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3.xml" ContentType="application/vnd.openxmlformats-officedocument.spreadsheetml.comments+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0" yWindow="180" windowWidth="20730" windowHeight="9945" tabRatio="636" activeTab="1"/>
  </bookViews>
  <sheets>
    <sheet name="Val" sheetId="182" r:id="rId1"/>
    <sheet name="1. Carátula" sheetId="1" r:id="rId2"/>
    <sheet name="2. Estado de situación" sheetId="2" r:id="rId3"/>
    <sheet name="3. Estado de resultados" sheetId="3" r:id="rId4"/>
    <sheet name="4. Estado de flujo" sheetId="4" r:id="rId5"/>
    <sheet name="6. Cambios en el patrimonio" sheetId="5" r:id="rId6"/>
    <sheet name="Nota 1" sheetId="6" r:id="rId7"/>
    <sheet name="Nota 1.1" sheetId="7" r:id="rId8"/>
    <sheet name="Nota 2" sheetId="229" r:id="rId9"/>
    <sheet name="Nota 3" sheetId="231" r:id="rId10"/>
    <sheet name="Nota 4" sheetId="230" r:id="rId11"/>
    <sheet name="Nota 7" sheetId="12" r:id="rId12"/>
    <sheet name="Nota  8" sheetId="14" r:id="rId13"/>
    <sheet name="Nota  8.1" sheetId="21" r:id="rId14"/>
    <sheet name="Nota  8.2" sheetId="24" r:id="rId15"/>
    <sheet name="Nota 9" sheetId="27" r:id="rId16"/>
    <sheet name="Nota 9.1" sheetId="30" r:id="rId17"/>
    <sheet name="Nota 10" sheetId="32" r:id="rId18"/>
    <sheet name="Nota 11" sheetId="34" r:id="rId19"/>
    <sheet name="Nota 12" sheetId="35" r:id="rId20"/>
    <sheet name="Nota 13" sheetId="39" r:id="rId21"/>
    <sheet name="Nota 13.1" sheetId="40" r:id="rId22"/>
    <sheet name="Nota 14" sheetId="42" r:id="rId23"/>
    <sheet name="Nota 15" sheetId="183" r:id="rId24"/>
    <sheet name="Nota 16" sheetId="48" r:id="rId25"/>
    <sheet name="Nota 16.1" sheetId="49" r:id="rId26"/>
    <sheet name="Nota 17" sheetId="52" r:id="rId27"/>
    <sheet name="Nota 17.1" sheetId="54" r:id="rId28"/>
    <sheet name="Nota 18" sheetId="64" r:id="rId29"/>
    <sheet name="Nota 19" sheetId="68" r:id="rId30"/>
    <sheet name="Nota 21" sheetId="184" r:id="rId31"/>
    <sheet name="Nota 22" sheetId="185" r:id="rId32"/>
    <sheet name="Nota 23" sheetId="187" r:id="rId33"/>
    <sheet name="Nota 24" sheetId="188" r:id="rId34"/>
    <sheet name="Nota 25" sheetId="189" r:id="rId35"/>
    <sheet name="Nota 26" sheetId="190" r:id="rId36"/>
    <sheet name="Nota 27" sheetId="191" r:id="rId37"/>
    <sheet name="Nota 28" sheetId="192" r:id="rId38"/>
    <sheet name="Nota 30" sheetId="41" r:id="rId39"/>
    <sheet name="Nota 31" sheetId="193" r:id="rId40"/>
    <sheet name="Nota 32" sheetId="194" r:id="rId41"/>
    <sheet name="Nota 33" sheetId="195" r:id="rId42"/>
    <sheet name="Nota 34" sheetId="196" r:id="rId43"/>
    <sheet name="Nota 35" sheetId="197" r:id="rId44"/>
    <sheet name="Nota 36" sheetId="198" r:id="rId45"/>
    <sheet name="Nota 37" sheetId="199" r:id="rId46"/>
    <sheet name="Nota 38" sheetId="200" r:id="rId47"/>
    <sheet name="Nota 40" sheetId="201" r:id="rId48"/>
    <sheet name="Nota 42" sheetId="202" r:id="rId49"/>
    <sheet name="Nota 42.1" sheetId="203" r:id="rId50"/>
    <sheet name="Nota 44" sheetId="204" r:id="rId51"/>
    <sheet name="Nota 45" sheetId="218" r:id="rId52"/>
    <sheet name="Nota 46" sheetId="205" r:id="rId53"/>
    <sheet name="Nota 48" sheetId="206" r:id="rId54"/>
    <sheet name="Nota 48.1" sheetId="207" r:id="rId55"/>
    <sheet name="Nota 49" sheetId="208" r:id="rId56"/>
    <sheet name="601" sheetId="167" r:id="rId57"/>
    <sheet name="602" sheetId="209" r:id="rId58"/>
    <sheet name="603" sheetId="210" r:id="rId59"/>
    <sheet name="604" sheetId="211" r:id="rId60"/>
    <sheet name="605" sheetId="212" r:id="rId61"/>
    <sheet name="607" sheetId="213" r:id="rId62"/>
    <sheet name="608" sheetId="214" r:id="rId63"/>
    <sheet name="Hoja1" sheetId="232" r:id="rId64"/>
    <sheet name="Hoja3" sheetId="234" r:id="rId65"/>
    <sheet name="Datos Varios" sheetId="235" r:id="rId66"/>
    <sheet name="SAP" sheetId="236" r:id="rId67"/>
    <sheet name="Balance Local" sheetId="237" r:id="rId68"/>
    <sheet name="Mapping FECU" sheetId="238" r:id="rId69"/>
    <sheet name="P O R T A D A " sheetId="239" r:id="rId70"/>
    <sheet name="Activo" sheetId="240" r:id="rId71"/>
    <sheet name="Pasivo" sheetId="241" r:id="rId72"/>
    <sheet name="Resultado Integral" sheetId="242" r:id="rId73"/>
    <sheet name="Hoja2" sheetId="243" r:id="rId74"/>
  </sheets>
  <externalReferences>
    <externalReference r:id="rId75"/>
    <externalReference r:id="rId76"/>
    <externalReference r:id="rId77"/>
    <externalReference r:id="rId78"/>
  </externalReferences>
  <definedNames>
    <definedName name="_xlnm._FilterDatabase" localSheetId="67" hidden="1">'Balance Local'!$B$7:$D$546</definedName>
    <definedName name="_xlnm._FilterDatabase" localSheetId="68" hidden="1">'Mapping FECU'!$A$8:$J$601</definedName>
    <definedName name="_xlnm._FilterDatabase" localSheetId="66" hidden="1">SAP!$B$7:$B$2195</definedName>
    <definedName name="_xlnm._FilterDatabase" localSheetId="0" hidden="1">Val!$C$3:$I$207</definedName>
    <definedName name="_xlnm.Print_Area" localSheetId="70">Activo!$B$1:$Z$81</definedName>
    <definedName name="_xlnm.Print_Area" localSheetId="68">'Mapping FECU'!$B$1:$H$503</definedName>
    <definedName name="_xlnm.Print_Area" localSheetId="69">'P O R T A D A '!$B$2:$K$52</definedName>
    <definedName name="_xlnm.Print_Area" localSheetId="71">Pasivo!$A$3:$X$67</definedName>
    <definedName name="_xlnm.Print_Area" localSheetId="72">'Resultado Integral'!$B$1:$AA$102</definedName>
    <definedName name="Reservas_Cedidas">[1]Reservas_Mat!$B$97</definedName>
    <definedName name="sdada">[1]Margen_Solvencia!$K$3</definedName>
    <definedName name="UF_Dic2011">'[2]Nota 19'!$O$2</definedName>
    <definedName name="Valor_UF">'[3]Nota 19'!$K$2</definedName>
  </definedNames>
  <calcPr calcId="144525"/>
  <pivotCaches>
    <pivotCache cacheId="0" r:id="rId79"/>
  </pivotCaches>
</workbook>
</file>

<file path=xl/calcChain.xml><?xml version="1.0" encoding="utf-8"?>
<calcChain xmlns="http://schemas.openxmlformats.org/spreadsheetml/2006/main">
  <c r="E44" i="189" l="1"/>
  <c r="I204" i="189"/>
  <c r="V15" i="34"/>
  <c r="V14" i="34"/>
  <c r="J116" i="206"/>
  <c r="U27" i="241" l="1"/>
  <c r="E52" i="192" l="1"/>
  <c r="BP42" i="210"/>
  <c r="BP41" i="210"/>
  <c r="BP40" i="210"/>
  <c r="BP39" i="210"/>
  <c r="BP38" i="210"/>
  <c r="BP37" i="210"/>
  <c r="BP36" i="210"/>
  <c r="BP35" i="210"/>
  <c r="BP34" i="210"/>
  <c r="BP33" i="210"/>
  <c r="BP32" i="210"/>
  <c r="BP31" i="210"/>
  <c r="BP30" i="210"/>
  <c r="BP29" i="210"/>
  <c r="BP28" i="210"/>
  <c r="L15" i="68" l="1"/>
  <c r="AG25" i="241"/>
  <c r="AE25" i="241"/>
  <c r="I24" i="5"/>
  <c r="G132" i="206" l="1"/>
  <c r="I50" i="240" l="1"/>
  <c r="I11" i="12" l="1"/>
  <c r="G11" i="12"/>
  <c r="H180" i="189"/>
  <c r="I180" i="189"/>
  <c r="S49" i="204" l="1"/>
  <c r="J49" i="204"/>
  <c r="G49" i="204"/>
  <c r="S46" i="204"/>
  <c r="J46" i="204"/>
  <c r="G46" i="204"/>
  <c r="S47" i="204"/>
  <c r="R46" i="204"/>
  <c r="L15" i="5" l="1"/>
  <c r="E22" i="195" l="1"/>
  <c r="G50" i="167"/>
  <c r="BN20" i="212"/>
  <c r="M14" i="210"/>
  <c r="M41" i="210"/>
  <c r="BC41" i="210"/>
  <c r="J131" i="206" l="1"/>
  <c r="G55" i="214" l="1"/>
  <c r="G54" i="214"/>
  <c r="G53" i="214"/>
  <c r="G52" i="214"/>
  <c r="D203" i="182" l="1"/>
  <c r="D202" i="182"/>
  <c r="D200" i="182"/>
  <c r="H205" i="182"/>
  <c r="H204" i="182"/>
  <c r="H203" i="182"/>
  <c r="H202" i="182"/>
  <c r="I203" i="182" l="1"/>
  <c r="I202" i="182"/>
  <c r="G72" i="189"/>
  <c r="H100" i="182" l="1"/>
  <c r="H51" i="182"/>
  <c r="K53" i="205" l="1"/>
  <c r="J53" i="205"/>
  <c r="I53" i="205"/>
  <c r="H53" i="205"/>
  <c r="G53" i="205"/>
  <c r="P10" i="205"/>
  <c r="O10" i="205"/>
  <c r="N10" i="205"/>
  <c r="M10" i="205"/>
  <c r="L10" i="205"/>
  <c r="K10" i="205"/>
  <c r="J10" i="205"/>
  <c r="I10" i="205"/>
  <c r="H10" i="205"/>
  <c r="G10" i="205"/>
  <c r="F10" i="205"/>
  <c r="E10" i="205"/>
  <c r="K747" i="189" l="1"/>
  <c r="J747" i="189"/>
  <c r="I747" i="189"/>
  <c r="H747" i="189"/>
  <c r="G747" i="189"/>
  <c r="F747" i="189"/>
  <c r="E747" i="189"/>
  <c r="K666" i="189"/>
  <c r="J666" i="189"/>
  <c r="I666" i="189"/>
  <c r="H666" i="189"/>
  <c r="G666" i="189"/>
  <c r="F666" i="189"/>
  <c r="E666" i="189"/>
  <c r="K687" i="189"/>
  <c r="J687" i="189"/>
  <c r="I687" i="189"/>
  <c r="H687" i="189"/>
  <c r="G687" i="189"/>
  <c r="F687" i="189"/>
  <c r="E687" i="189"/>
  <c r="K707" i="189"/>
  <c r="J707" i="189"/>
  <c r="I707" i="189"/>
  <c r="H707" i="189"/>
  <c r="G707" i="189"/>
  <c r="F707" i="189"/>
  <c r="E707" i="189"/>
  <c r="K727" i="189"/>
  <c r="J727" i="189"/>
  <c r="I727" i="189"/>
  <c r="H727" i="189"/>
  <c r="G727" i="189"/>
  <c r="F727" i="189"/>
  <c r="E727" i="189"/>
  <c r="G719" i="189"/>
  <c r="E720" i="189"/>
  <c r="E719" i="189" s="1"/>
  <c r="F720" i="189"/>
  <c r="F719" i="189" s="1"/>
  <c r="G720" i="189"/>
  <c r="H720" i="189"/>
  <c r="I720" i="189"/>
  <c r="J720" i="189"/>
  <c r="K720" i="189"/>
  <c r="E724" i="189"/>
  <c r="F724" i="189"/>
  <c r="G724" i="189"/>
  <c r="H724" i="189"/>
  <c r="I724" i="189"/>
  <c r="J724" i="189"/>
  <c r="J719" i="189" s="1"/>
  <c r="K724" i="189"/>
  <c r="H719" i="189" l="1"/>
  <c r="K719" i="189"/>
  <c r="I719" i="189"/>
  <c r="K16" i="208"/>
  <c r="K39" i="208"/>
  <c r="K744" i="189" l="1"/>
  <c r="J744" i="189"/>
  <c r="I744" i="189"/>
  <c r="H744" i="189"/>
  <c r="G744" i="189"/>
  <c r="F744" i="189"/>
  <c r="E744" i="189"/>
  <c r="K740" i="189"/>
  <c r="J740" i="189"/>
  <c r="I740" i="189"/>
  <c r="H740" i="189"/>
  <c r="G740" i="189"/>
  <c r="F740" i="189"/>
  <c r="E740" i="189"/>
  <c r="K704" i="189"/>
  <c r="J704" i="189"/>
  <c r="I704" i="189"/>
  <c r="H704" i="189"/>
  <c r="G704" i="189"/>
  <c r="F704" i="189"/>
  <c r="E704" i="189"/>
  <c r="K700" i="189"/>
  <c r="J700" i="189"/>
  <c r="I700" i="189"/>
  <c r="H700" i="189"/>
  <c r="G700" i="189"/>
  <c r="F700" i="189"/>
  <c r="E700" i="189"/>
  <c r="K684" i="189"/>
  <c r="J684" i="189"/>
  <c r="I684" i="189"/>
  <c r="H684" i="189"/>
  <c r="G684" i="189"/>
  <c r="F684" i="189"/>
  <c r="E684" i="189"/>
  <c r="K680" i="189"/>
  <c r="J680" i="189"/>
  <c r="J679" i="189" s="1"/>
  <c r="I680" i="189"/>
  <c r="H680" i="189"/>
  <c r="H679" i="189" s="1"/>
  <c r="G680" i="189"/>
  <c r="G679" i="189" s="1"/>
  <c r="F680" i="189"/>
  <c r="E680" i="189"/>
  <c r="K663" i="189"/>
  <c r="J663" i="189"/>
  <c r="I663" i="189"/>
  <c r="H663" i="189"/>
  <c r="G663" i="189"/>
  <c r="F663" i="189"/>
  <c r="K659" i="189"/>
  <c r="J659" i="189"/>
  <c r="I659" i="189"/>
  <c r="H659" i="189"/>
  <c r="G659" i="189"/>
  <c r="F659" i="189"/>
  <c r="H658" i="189"/>
  <c r="E663" i="189"/>
  <c r="E659" i="189"/>
  <c r="O613" i="189"/>
  <c r="N613" i="189"/>
  <c r="L613" i="189"/>
  <c r="J613" i="189"/>
  <c r="H613" i="189"/>
  <c r="F613" i="189"/>
  <c r="E613" i="189"/>
  <c r="O594" i="189"/>
  <c r="N594" i="189"/>
  <c r="L594" i="189"/>
  <c r="J594" i="189"/>
  <c r="H594" i="189"/>
  <c r="F594" i="189"/>
  <c r="E594" i="189"/>
  <c r="O575" i="189"/>
  <c r="N575" i="189"/>
  <c r="L575" i="189"/>
  <c r="J575" i="189"/>
  <c r="H575" i="189"/>
  <c r="F575" i="189"/>
  <c r="E575" i="189"/>
  <c r="O556" i="189"/>
  <c r="N556" i="189"/>
  <c r="L556" i="189"/>
  <c r="J556" i="189"/>
  <c r="H556" i="189"/>
  <c r="F556" i="189"/>
  <c r="E556" i="189"/>
  <c r="O537" i="189"/>
  <c r="N537" i="189"/>
  <c r="L537" i="189"/>
  <c r="J537" i="189"/>
  <c r="H537" i="189"/>
  <c r="F537" i="189"/>
  <c r="E537" i="189"/>
  <c r="F518" i="189"/>
  <c r="O518" i="189"/>
  <c r="N518" i="189"/>
  <c r="L518" i="189"/>
  <c r="J518" i="189"/>
  <c r="H518" i="189"/>
  <c r="E518" i="189"/>
  <c r="M463" i="189"/>
  <c r="L463" i="189"/>
  <c r="J463" i="189"/>
  <c r="H463" i="189"/>
  <c r="F463" i="189"/>
  <c r="E463" i="189"/>
  <c r="M445" i="189"/>
  <c r="L445" i="189"/>
  <c r="J445" i="189"/>
  <c r="H445" i="189"/>
  <c r="F445" i="189"/>
  <c r="E445" i="189"/>
  <c r="M427" i="189"/>
  <c r="L427" i="189"/>
  <c r="J427" i="189"/>
  <c r="H427" i="189"/>
  <c r="F427" i="189"/>
  <c r="E427" i="189"/>
  <c r="M409" i="189"/>
  <c r="L409" i="189"/>
  <c r="J409" i="189"/>
  <c r="H409" i="189"/>
  <c r="F409" i="189"/>
  <c r="E409" i="189"/>
  <c r="M391" i="189"/>
  <c r="L391" i="189"/>
  <c r="J391" i="189"/>
  <c r="H391" i="189"/>
  <c r="F391" i="189"/>
  <c r="E391" i="189"/>
  <c r="F739" i="189" l="1"/>
  <c r="K739" i="189"/>
  <c r="E699" i="189"/>
  <c r="K658" i="189"/>
  <c r="E658" i="189"/>
  <c r="E679" i="189"/>
  <c r="G699" i="189"/>
  <c r="F679" i="189"/>
  <c r="H699" i="189"/>
  <c r="J739" i="189"/>
  <c r="I699" i="189"/>
  <c r="G658" i="189"/>
  <c r="J699" i="189"/>
  <c r="I679" i="189"/>
  <c r="K699" i="189"/>
  <c r="E739" i="189"/>
  <c r="K679" i="189"/>
  <c r="G739" i="189"/>
  <c r="F699" i="189"/>
  <c r="H739" i="189"/>
  <c r="I739" i="189"/>
  <c r="J658" i="189"/>
  <c r="F658" i="189"/>
  <c r="I658" i="189"/>
  <c r="F81" i="197" l="1"/>
  <c r="H11" i="193" l="1"/>
  <c r="E10" i="68"/>
  <c r="K54" i="208"/>
  <c r="H107" i="182"/>
  <c r="F42" i="49"/>
  <c r="F23" i="48"/>
  <c r="F22" i="48"/>
  <c r="F21" i="48"/>
  <c r="F20" i="48"/>
  <c r="F18" i="48"/>
  <c r="E34" i="200" l="1"/>
  <c r="W79" i="242"/>
  <c r="X79" i="242"/>
  <c r="E30" i="185"/>
  <c r="J70" i="204"/>
  <c r="E70" i="204"/>
  <c r="K36" i="204"/>
  <c r="K22" i="204"/>
  <c r="K37" i="204"/>
  <c r="K35" i="204"/>
  <c r="L29" i="204"/>
  <c r="L35" i="204"/>
  <c r="J10" i="204"/>
  <c r="F22" i="204"/>
  <c r="F10" i="204"/>
  <c r="AE50" i="167" l="1"/>
  <c r="I48" i="167"/>
  <c r="E10" i="194"/>
  <c r="BN8" i="210"/>
  <c r="V8" i="210"/>
  <c r="T7" i="211"/>
  <c r="Q7" i="211"/>
  <c r="P7" i="211"/>
  <c r="O7" i="211"/>
  <c r="M7" i="211"/>
  <c r="K7" i="211"/>
  <c r="J7" i="211"/>
  <c r="H7" i="211"/>
  <c r="G7" i="211"/>
  <c r="BO28" i="213"/>
  <c r="BN28" i="213"/>
  <c r="BM28" i="213"/>
  <c r="BL28" i="213"/>
  <c r="BK28" i="213"/>
  <c r="BJ28" i="213"/>
  <c r="BI28" i="213"/>
  <c r="BH28" i="213"/>
  <c r="BG28" i="213"/>
  <c r="BF28" i="213"/>
  <c r="BE28" i="213"/>
  <c r="BD28" i="213"/>
  <c r="BC28" i="213"/>
  <c r="BB28" i="213"/>
  <c r="BA28" i="213"/>
  <c r="AZ28" i="213"/>
  <c r="AY28" i="213"/>
  <c r="AX28" i="213"/>
  <c r="AW28" i="213"/>
  <c r="AV28" i="213"/>
  <c r="AU28" i="213"/>
  <c r="AT28" i="213"/>
  <c r="AS28" i="213"/>
  <c r="AR28" i="213"/>
  <c r="AQ28" i="213"/>
  <c r="AP28" i="213"/>
  <c r="AO28" i="213"/>
  <c r="AN28" i="213"/>
  <c r="AM28" i="213"/>
  <c r="AL28" i="213"/>
  <c r="AK28" i="213"/>
  <c r="AJ28" i="213"/>
  <c r="AI28" i="213"/>
  <c r="AH28" i="213"/>
  <c r="AG28" i="213"/>
  <c r="AF28" i="213"/>
  <c r="AE28" i="213"/>
  <c r="AD28" i="213"/>
  <c r="AC28" i="213"/>
  <c r="AB28" i="213"/>
  <c r="AA28" i="213"/>
  <c r="Z28" i="213"/>
  <c r="Y28" i="213"/>
  <c r="X28" i="213"/>
  <c r="W28" i="213"/>
  <c r="V28" i="213"/>
  <c r="U28" i="213"/>
  <c r="T28" i="213"/>
  <c r="S28" i="213"/>
  <c r="R28" i="213"/>
  <c r="Q28" i="213"/>
  <c r="P28" i="213"/>
  <c r="O28" i="213"/>
  <c r="N28" i="213"/>
  <c r="M28" i="213"/>
  <c r="L28" i="213"/>
  <c r="K28" i="213"/>
  <c r="J28" i="213"/>
  <c r="I28" i="213"/>
  <c r="H28" i="213"/>
  <c r="G28" i="213"/>
  <c r="H20" i="49"/>
  <c r="G35" i="49"/>
  <c r="G37" i="49"/>
  <c r="D19" i="48"/>
  <c r="I201" i="189"/>
  <c r="H201" i="189"/>
  <c r="G201" i="189"/>
  <c r="F201" i="189"/>
  <c r="J199" i="189"/>
  <c r="E201" i="189"/>
  <c r="U53" i="241" l="1"/>
  <c r="W80" i="240"/>
  <c r="M12" i="5"/>
  <c r="H15" i="68"/>
  <c r="J15" i="68" s="1"/>
  <c r="H11" i="68"/>
  <c r="H9" i="68"/>
  <c r="AD15" i="242"/>
  <c r="J111" i="41" l="1"/>
  <c r="E14" i="194"/>
  <c r="E21" i="195"/>
  <c r="E23" i="195"/>
  <c r="E7" i="195" s="1"/>
  <c r="E48" i="192" l="1"/>
  <c r="F65" i="200"/>
  <c r="R81" i="242"/>
  <c r="Q79" i="242"/>
  <c r="K259" i="189" l="1"/>
  <c r="K258" i="189"/>
  <c r="K257" i="189"/>
  <c r="K256" i="189"/>
  <c r="K255" i="189"/>
  <c r="K254" i="189"/>
  <c r="K253" i="189"/>
  <c r="K252" i="189"/>
  <c r="K251" i="189"/>
  <c r="K250" i="189"/>
  <c r="E34" i="189"/>
  <c r="E38" i="189"/>
  <c r="E58" i="206"/>
  <c r="G25" i="235"/>
  <c r="F82" i="206"/>
  <c r="F78" i="206"/>
  <c r="E63" i="197"/>
  <c r="F29" i="197"/>
  <c r="F39" i="197"/>
  <c r="G33" i="197"/>
  <c r="E30" i="197"/>
  <c r="G99" i="35"/>
  <c r="E107" i="35"/>
  <c r="M18" i="5"/>
  <c r="O26" i="240"/>
  <c r="K86" i="35"/>
  <c r="E13" i="201"/>
  <c r="E17" i="201"/>
  <c r="E8" i="201"/>
  <c r="E13" i="184"/>
  <c r="BN23" i="167" l="1"/>
  <c r="BN20" i="167"/>
  <c r="V10" i="210" l="1"/>
  <c r="G26" i="167" l="1"/>
  <c r="G8" i="209"/>
  <c r="G8" i="167"/>
  <c r="T33" i="5"/>
  <c r="K20" i="5"/>
  <c r="T20" i="5" s="1"/>
  <c r="T43" i="5"/>
  <c r="L23" i="5"/>
  <c r="L46" i="5"/>
  <c r="L11" i="5"/>
  <c r="K23" i="5"/>
  <c r="K46" i="5"/>
  <c r="K45" i="5"/>
  <c r="N46" i="5"/>
  <c r="T53" i="241"/>
  <c r="S62" i="241"/>
  <c r="G123" i="206" l="1"/>
  <c r="F123" i="206"/>
  <c r="G131" i="206"/>
  <c r="G130" i="206"/>
  <c r="G129" i="206"/>
  <c r="G128" i="206"/>
  <c r="G127" i="206"/>
  <c r="G126" i="206"/>
  <c r="G125" i="206"/>
  <c r="G124" i="206"/>
  <c r="G122" i="206"/>
  <c r="G121" i="206"/>
  <c r="G120" i="206"/>
  <c r="G119" i="206"/>
  <c r="G118" i="206"/>
  <c r="G117" i="206"/>
  <c r="G116" i="206"/>
  <c r="J117" i="206" s="1"/>
  <c r="G115" i="206"/>
  <c r="G114" i="206"/>
  <c r="G113" i="206"/>
  <c r="G112" i="206"/>
  <c r="G111" i="206"/>
  <c r="G109" i="206"/>
  <c r="G108" i="206"/>
  <c r="G107" i="206"/>
  <c r="G106" i="206"/>
  <c r="G105" i="206"/>
  <c r="G104" i="206"/>
  <c r="G103" i="206"/>
  <c r="G102" i="206"/>
  <c r="G101" i="206"/>
  <c r="G100" i="206"/>
  <c r="G99" i="206"/>
  <c r="G98" i="206"/>
  <c r="G97" i="206"/>
  <c r="G96" i="206"/>
  <c r="G95" i="206"/>
  <c r="G94" i="206"/>
  <c r="G93" i="206"/>
  <c r="G92" i="206"/>
  <c r="G91" i="206"/>
  <c r="E40" i="197"/>
  <c r="W66" i="242"/>
  <c r="E35" i="197" l="1"/>
  <c r="I9" i="12"/>
  <c r="S10" i="242" l="1"/>
  <c r="R10" i="242"/>
  <c r="Q10" i="242"/>
  <c r="P10" i="242"/>
  <c r="S35" i="242"/>
  <c r="R35" i="242"/>
  <c r="Q35" i="242"/>
  <c r="P35" i="242"/>
  <c r="S30" i="242"/>
  <c r="R30" i="242"/>
  <c r="Q30" i="242"/>
  <c r="P30" i="242"/>
  <c r="S17" i="242"/>
  <c r="R17" i="242"/>
  <c r="Q17" i="242"/>
  <c r="P17" i="242"/>
  <c r="R12" i="242"/>
  <c r="Q12" i="242"/>
  <c r="P12" i="242"/>
  <c r="Q25" i="242"/>
  <c r="X27" i="242"/>
  <c r="O27" i="242"/>
  <c r="J27" i="242"/>
  <c r="P27" i="241"/>
  <c r="H23" i="5" l="1"/>
  <c r="I23" i="5"/>
  <c r="F22" i="39" l="1"/>
  <c r="E22" i="39"/>
  <c r="D22" i="39"/>
  <c r="K62" i="242" l="1"/>
  <c r="J62" i="242"/>
  <c r="E24" i="197"/>
  <c r="G25" i="197" l="1"/>
  <c r="G39" i="197"/>
  <c r="W17" i="240" l="1"/>
  <c r="L58" i="242"/>
  <c r="L52" i="242" s="1"/>
  <c r="K58" i="242"/>
  <c r="J58" i="242"/>
  <c r="M62" i="242"/>
  <c r="M54" i="242"/>
  <c r="L54" i="242"/>
  <c r="M10" i="242"/>
  <c r="L10" i="242"/>
  <c r="K10" i="242"/>
  <c r="L62" i="242"/>
  <c r="K52" i="242"/>
  <c r="J52" i="242"/>
  <c r="L56" i="242"/>
  <c r="K68" i="242"/>
  <c r="J64" i="242"/>
  <c r="N17" i="240"/>
  <c r="N23" i="240" s="1"/>
  <c r="L7" i="5"/>
  <c r="K7" i="5"/>
  <c r="I7" i="5"/>
  <c r="H7" i="5"/>
  <c r="M46" i="5"/>
  <c r="M34" i="5"/>
  <c r="M39" i="5"/>
  <c r="L39" i="5"/>
  <c r="J39" i="5"/>
  <c r="K39" i="5"/>
  <c r="S46" i="5"/>
  <c r="R46" i="5"/>
  <c r="Q46" i="5"/>
  <c r="P46" i="5"/>
  <c r="O46" i="5"/>
  <c r="J46" i="5"/>
  <c r="I46" i="5"/>
  <c r="H46" i="5"/>
  <c r="G46" i="5"/>
  <c r="F46" i="5"/>
  <c r="F39" i="5"/>
  <c r="F34" i="5"/>
  <c r="F33" i="5"/>
  <c r="H39" i="5"/>
  <c r="G39" i="5"/>
  <c r="K33" i="5"/>
  <c r="W50" i="242"/>
  <c r="F29" i="4" l="1"/>
  <c r="U78" i="240" l="1"/>
  <c r="J32" i="240" l="1"/>
  <c r="K27" i="241" l="1"/>
  <c r="AD23" i="242" l="1"/>
  <c r="AD22" i="242"/>
  <c r="AD21" i="242"/>
  <c r="Z62" i="240"/>
  <c r="AD37" i="240"/>
  <c r="AD18" i="240"/>
  <c r="E33" i="192"/>
  <c r="Q13" i="240"/>
  <c r="AD34" i="240"/>
  <c r="AD33" i="240"/>
  <c r="AD32" i="240"/>
  <c r="AD50" i="242"/>
  <c r="AD49" i="242"/>
  <c r="O53" i="241"/>
  <c r="L14" i="191"/>
  <c r="L13" i="191"/>
  <c r="L12" i="191"/>
  <c r="L11" i="191"/>
  <c r="L10" i="191"/>
  <c r="L9" i="191"/>
  <c r="L8" i="191"/>
  <c r="AD76" i="240" l="1"/>
  <c r="N53" i="241" l="1"/>
  <c r="AA50" i="241" l="1"/>
  <c r="AD44" i="240"/>
  <c r="AD45" i="240"/>
  <c r="F81" i="54"/>
  <c r="AA35" i="241"/>
  <c r="AA34" i="241"/>
  <c r="H170" i="54"/>
  <c r="AD48" i="240"/>
  <c r="O27" i="240"/>
  <c r="J28" i="35"/>
  <c r="H28" i="35"/>
  <c r="E15" i="32" l="1"/>
  <c r="AD21" i="240" l="1"/>
  <c r="AD20" i="240" l="1"/>
  <c r="H15" i="40" l="1"/>
  <c r="H14" i="40"/>
  <c r="H11" i="40"/>
  <c r="H10" i="40"/>
  <c r="H9" i="40"/>
  <c r="H8" i="40"/>
  <c r="F15" i="40"/>
  <c r="F14" i="40"/>
  <c r="F13" i="40"/>
  <c r="H13" i="40" s="1"/>
  <c r="F12" i="40"/>
  <c r="H12" i="40" s="1"/>
  <c r="F11" i="40"/>
  <c r="F10" i="40"/>
  <c r="F9" i="40"/>
  <c r="F8" i="40"/>
  <c r="AD76" i="242" l="1"/>
  <c r="AD45" i="242"/>
  <c r="Q23" i="240" l="1"/>
  <c r="E19" i="42" l="1"/>
  <c r="G13" i="42"/>
  <c r="F13" i="42"/>
  <c r="H4" i="3" l="1"/>
  <c r="G4" i="3"/>
  <c r="Z7" i="240"/>
  <c r="AA40" i="242"/>
  <c r="H7" i="3" l="1"/>
  <c r="H601" i="238"/>
  <c r="H600" i="238"/>
  <c r="H599" i="238"/>
  <c r="H598" i="238"/>
  <c r="H597" i="238"/>
  <c r="H596" i="238"/>
  <c r="H595" i="238"/>
  <c r="H594" i="238"/>
  <c r="H593" i="238"/>
  <c r="H592" i="238"/>
  <c r="H591" i="238"/>
  <c r="H590" i="238"/>
  <c r="H589" i="238"/>
  <c r="H588" i="238"/>
  <c r="H587" i="238"/>
  <c r="H586" i="238"/>
  <c r="H585" i="238"/>
  <c r="H584" i="238"/>
  <c r="H583" i="238"/>
  <c r="H582" i="238"/>
  <c r="H581" i="238"/>
  <c r="H580" i="238"/>
  <c r="H579" i="238"/>
  <c r="H578" i="238"/>
  <c r="H577" i="238"/>
  <c r="H576" i="238"/>
  <c r="H575" i="238"/>
  <c r="H574" i="238"/>
  <c r="H573" i="238"/>
  <c r="H572" i="238"/>
  <c r="H571" i="238"/>
  <c r="H570" i="238"/>
  <c r="H569" i="238"/>
  <c r="H568" i="238"/>
  <c r="H567" i="238"/>
  <c r="H566" i="238"/>
  <c r="H565" i="238"/>
  <c r="H564" i="238"/>
  <c r="H563" i="238"/>
  <c r="H562" i="238"/>
  <c r="H561" i="238"/>
  <c r="H560" i="238"/>
  <c r="H559" i="238"/>
  <c r="H558" i="238"/>
  <c r="H557" i="238"/>
  <c r="H556" i="238"/>
  <c r="H555" i="238"/>
  <c r="H554" i="238"/>
  <c r="H553" i="238"/>
  <c r="H552" i="238"/>
  <c r="H551" i="238"/>
  <c r="H550" i="238"/>
  <c r="H549" i="238"/>
  <c r="H548" i="238"/>
  <c r="H547" i="238"/>
  <c r="H546" i="238"/>
  <c r="H545" i="238"/>
  <c r="H544" i="238"/>
  <c r="H543" i="238"/>
  <c r="H542" i="238"/>
  <c r="H541" i="238"/>
  <c r="H540" i="238"/>
  <c r="H539" i="238"/>
  <c r="H538" i="238"/>
  <c r="H537" i="238"/>
  <c r="H536" i="238"/>
  <c r="H535" i="238"/>
  <c r="H534" i="238"/>
  <c r="H533" i="238"/>
  <c r="H532" i="238"/>
  <c r="H531" i="238"/>
  <c r="H530" i="238"/>
  <c r="H529" i="238"/>
  <c r="H528" i="238"/>
  <c r="H527" i="238"/>
  <c r="H526" i="238"/>
  <c r="H525" i="238"/>
  <c r="H524" i="238"/>
  <c r="H523" i="238"/>
  <c r="H522" i="238"/>
  <c r="H521" i="238"/>
  <c r="H520" i="238"/>
  <c r="H519" i="238"/>
  <c r="H518" i="238"/>
  <c r="H517" i="238"/>
  <c r="H516" i="238"/>
  <c r="H515" i="238"/>
  <c r="H514" i="238"/>
  <c r="H513" i="238"/>
  <c r="H512" i="238"/>
  <c r="H511" i="238"/>
  <c r="H510" i="238"/>
  <c r="H509" i="238"/>
  <c r="H508" i="238"/>
  <c r="H507" i="238"/>
  <c r="H506" i="238"/>
  <c r="H505" i="238"/>
  <c r="H504" i="238"/>
  <c r="H503" i="238"/>
  <c r="H502" i="238"/>
  <c r="H501" i="238"/>
  <c r="H500" i="238"/>
  <c r="H499" i="238"/>
  <c r="H498" i="238"/>
  <c r="H497" i="238"/>
  <c r="H496" i="238"/>
  <c r="H495" i="238"/>
  <c r="H494" i="238"/>
  <c r="H493" i="238"/>
  <c r="H492" i="238"/>
  <c r="H491" i="238"/>
  <c r="H490" i="238"/>
  <c r="H489" i="238"/>
  <c r="H488" i="238"/>
  <c r="H487" i="238"/>
  <c r="H486" i="238"/>
  <c r="H485" i="238"/>
  <c r="H484" i="238"/>
  <c r="H483" i="238"/>
  <c r="H482" i="238"/>
  <c r="H481" i="238"/>
  <c r="H480" i="238"/>
  <c r="H479" i="238"/>
  <c r="H478" i="238"/>
  <c r="H477" i="238"/>
  <c r="H476" i="238"/>
  <c r="H475" i="238"/>
  <c r="H474" i="238"/>
  <c r="H473" i="238"/>
  <c r="H472" i="238"/>
  <c r="H471" i="238"/>
  <c r="H470" i="238"/>
  <c r="H469" i="238"/>
  <c r="H468" i="238"/>
  <c r="H467" i="238"/>
  <c r="H466" i="238"/>
  <c r="H465" i="238"/>
  <c r="H464" i="238"/>
  <c r="H463" i="238"/>
  <c r="H462" i="238"/>
  <c r="H461" i="238"/>
  <c r="H460" i="238"/>
  <c r="H459" i="238"/>
  <c r="H458" i="238"/>
  <c r="H457" i="238"/>
  <c r="H456" i="238"/>
  <c r="H455" i="238"/>
  <c r="H454" i="238"/>
  <c r="H453" i="238"/>
  <c r="H452" i="238"/>
  <c r="H451" i="238"/>
  <c r="H450" i="238"/>
  <c r="H449" i="238"/>
  <c r="H448" i="238"/>
  <c r="H447" i="238"/>
  <c r="H446" i="238"/>
  <c r="H445" i="238"/>
  <c r="H444" i="238"/>
  <c r="H443" i="238"/>
  <c r="H442" i="238"/>
  <c r="H441" i="238"/>
  <c r="H440" i="238"/>
  <c r="H439" i="238"/>
  <c r="H438" i="238"/>
  <c r="H437" i="238"/>
  <c r="H436" i="238"/>
  <c r="H435" i="238"/>
  <c r="H434" i="238"/>
  <c r="H433" i="238"/>
  <c r="H432" i="238"/>
  <c r="H431" i="238"/>
  <c r="H430" i="238"/>
  <c r="H429" i="238"/>
  <c r="H428" i="238"/>
  <c r="H427" i="238"/>
  <c r="H426" i="238"/>
  <c r="H425" i="238"/>
  <c r="H424" i="238"/>
  <c r="H423" i="238"/>
  <c r="H422" i="238"/>
  <c r="H421" i="238"/>
  <c r="H420" i="238"/>
  <c r="H419" i="238"/>
  <c r="H418" i="238"/>
  <c r="H417" i="238"/>
  <c r="H416" i="238"/>
  <c r="H415" i="238"/>
  <c r="H414" i="238"/>
  <c r="H413" i="238"/>
  <c r="H412" i="238"/>
  <c r="H411" i="238"/>
  <c r="H410" i="238"/>
  <c r="H409" i="238"/>
  <c r="H408" i="238"/>
  <c r="H407" i="238"/>
  <c r="H406" i="238"/>
  <c r="H405" i="238"/>
  <c r="H404" i="238"/>
  <c r="H403" i="238"/>
  <c r="H402" i="238"/>
  <c r="H401" i="238"/>
  <c r="H400" i="238"/>
  <c r="H399" i="238"/>
  <c r="H398" i="238"/>
  <c r="H397" i="238"/>
  <c r="H396" i="238"/>
  <c r="H395" i="238"/>
  <c r="H394" i="238"/>
  <c r="H393" i="238"/>
  <c r="H392" i="238"/>
  <c r="H391" i="238"/>
  <c r="H390" i="238"/>
  <c r="H389" i="238"/>
  <c r="H388" i="238"/>
  <c r="H387" i="238"/>
  <c r="H386" i="238"/>
  <c r="H385" i="238"/>
  <c r="H384" i="238"/>
  <c r="H383" i="238"/>
  <c r="H382" i="238"/>
  <c r="H381" i="238"/>
  <c r="H380" i="238"/>
  <c r="H379" i="238"/>
  <c r="H378" i="238"/>
  <c r="H377" i="238"/>
  <c r="H376" i="238"/>
  <c r="H375" i="238"/>
  <c r="H374" i="238"/>
  <c r="H373" i="238"/>
  <c r="H372" i="238"/>
  <c r="H371" i="238"/>
  <c r="H370" i="238"/>
  <c r="H369" i="238"/>
  <c r="H368" i="238"/>
  <c r="H367" i="238"/>
  <c r="H366" i="238"/>
  <c r="H365" i="238"/>
  <c r="H364" i="238"/>
  <c r="H363" i="238"/>
  <c r="H362" i="238"/>
  <c r="H361" i="238"/>
  <c r="H360" i="238"/>
  <c r="H359" i="238"/>
  <c r="H358" i="238"/>
  <c r="H357" i="238"/>
  <c r="H356" i="238"/>
  <c r="H355" i="238"/>
  <c r="H354" i="238"/>
  <c r="H353" i="238"/>
  <c r="H352" i="238"/>
  <c r="H351" i="238"/>
  <c r="H350" i="238"/>
  <c r="H349" i="238"/>
  <c r="H348" i="238"/>
  <c r="H347" i="238"/>
  <c r="H346" i="238"/>
  <c r="H345" i="238"/>
  <c r="H344" i="238"/>
  <c r="H343" i="238"/>
  <c r="H342" i="238"/>
  <c r="H341" i="238"/>
  <c r="H340" i="238"/>
  <c r="H339" i="238"/>
  <c r="H338" i="238"/>
  <c r="H337" i="238"/>
  <c r="H336" i="238"/>
  <c r="H335" i="238"/>
  <c r="H334" i="238"/>
  <c r="H333" i="238"/>
  <c r="H332" i="238"/>
  <c r="H331" i="238"/>
  <c r="H330" i="238"/>
  <c r="H329" i="238"/>
  <c r="H328" i="238"/>
  <c r="H327" i="238"/>
  <c r="H326" i="238"/>
  <c r="H325" i="238"/>
  <c r="H324" i="238"/>
  <c r="H323" i="238"/>
  <c r="H322" i="238"/>
  <c r="H321" i="238"/>
  <c r="H320" i="238"/>
  <c r="H319" i="238"/>
  <c r="H318" i="238"/>
  <c r="H317" i="238"/>
  <c r="H316" i="238"/>
  <c r="H315" i="238"/>
  <c r="H314" i="238"/>
  <c r="H313" i="238"/>
  <c r="H312" i="238"/>
  <c r="H311" i="238"/>
  <c r="H310" i="238"/>
  <c r="H309" i="238"/>
  <c r="H308" i="238"/>
  <c r="H307" i="238"/>
  <c r="H306" i="238"/>
  <c r="H305" i="238"/>
  <c r="H304" i="238"/>
  <c r="H303" i="238"/>
  <c r="H302" i="238"/>
  <c r="H301" i="238"/>
  <c r="H300" i="238"/>
  <c r="H299" i="238"/>
  <c r="H298" i="238"/>
  <c r="H297" i="238"/>
  <c r="H296" i="238"/>
  <c r="H295" i="238"/>
  <c r="H294" i="238"/>
  <c r="H293" i="238"/>
  <c r="H292" i="238"/>
  <c r="H291" i="238"/>
  <c r="H290" i="238"/>
  <c r="H289" i="238"/>
  <c r="H288" i="238"/>
  <c r="H287" i="238"/>
  <c r="H286" i="238"/>
  <c r="H285" i="238"/>
  <c r="H284" i="238"/>
  <c r="H283" i="238"/>
  <c r="H282" i="238"/>
  <c r="H281" i="238"/>
  <c r="H280" i="238"/>
  <c r="H279" i="238"/>
  <c r="H278" i="238"/>
  <c r="H277" i="238"/>
  <c r="H276" i="238"/>
  <c r="H275" i="238"/>
  <c r="H274" i="238"/>
  <c r="H273" i="238"/>
  <c r="H272" i="238"/>
  <c r="H271" i="238"/>
  <c r="H270" i="238"/>
  <c r="H269" i="238"/>
  <c r="H268" i="238"/>
  <c r="H267" i="238"/>
  <c r="H266" i="238"/>
  <c r="H265" i="238"/>
  <c r="H264" i="238"/>
  <c r="H263" i="238"/>
  <c r="H262" i="238"/>
  <c r="H261" i="238"/>
  <c r="H260" i="238"/>
  <c r="H259" i="238"/>
  <c r="H258" i="238"/>
  <c r="H257" i="238"/>
  <c r="H256" i="238"/>
  <c r="H255" i="238"/>
  <c r="H254" i="238"/>
  <c r="H253" i="238"/>
  <c r="H252" i="238"/>
  <c r="H251" i="238"/>
  <c r="H250" i="238"/>
  <c r="H249" i="238"/>
  <c r="H248" i="238"/>
  <c r="H247" i="238"/>
  <c r="H246" i="238"/>
  <c r="H245" i="238"/>
  <c r="H244" i="238"/>
  <c r="H243" i="238"/>
  <c r="H242" i="238"/>
  <c r="H241" i="238"/>
  <c r="H240" i="238"/>
  <c r="H239" i="238"/>
  <c r="H238" i="238"/>
  <c r="H237" i="238"/>
  <c r="H236" i="238"/>
  <c r="H235" i="238"/>
  <c r="H234" i="238"/>
  <c r="H233" i="238"/>
  <c r="H232" i="238"/>
  <c r="H231" i="238"/>
  <c r="H230" i="238"/>
  <c r="H229" i="238"/>
  <c r="H228" i="238"/>
  <c r="H227" i="238"/>
  <c r="H226" i="238"/>
  <c r="H225" i="238"/>
  <c r="H224" i="238"/>
  <c r="H223" i="238"/>
  <c r="H222" i="238"/>
  <c r="H221" i="238"/>
  <c r="H220" i="238"/>
  <c r="H219" i="238"/>
  <c r="H218" i="238"/>
  <c r="H217" i="238"/>
  <c r="H216" i="238"/>
  <c r="H215" i="238"/>
  <c r="H214" i="238"/>
  <c r="H213" i="238"/>
  <c r="H212" i="238"/>
  <c r="H211" i="238"/>
  <c r="H210" i="238"/>
  <c r="H209" i="238"/>
  <c r="H208" i="238"/>
  <c r="H207" i="238"/>
  <c r="H206" i="238"/>
  <c r="H205" i="238"/>
  <c r="H204" i="238"/>
  <c r="H203" i="238"/>
  <c r="H202" i="238"/>
  <c r="H201" i="238"/>
  <c r="H200" i="238"/>
  <c r="H199" i="238"/>
  <c r="H198" i="238"/>
  <c r="H197" i="238"/>
  <c r="H196" i="238"/>
  <c r="H195" i="238"/>
  <c r="H194" i="238"/>
  <c r="H193" i="238"/>
  <c r="H192" i="238"/>
  <c r="H191" i="238"/>
  <c r="H190" i="238"/>
  <c r="H189" i="238"/>
  <c r="H188" i="238"/>
  <c r="H187" i="238"/>
  <c r="H186" i="238"/>
  <c r="H185" i="238"/>
  <c r="H184" i="238"/>
  <c r="H183" i="238"/>
  <c r="H182" i="238"/>
  <c r="H181" i="238"/>
  <c r="H180" i="238"/>
  <c r="H179" i="238"/>
  <c r="H178" i="238"/>
  <c r="H177" i="238"/>
  <c r="H176" i="238"/>
  <c r="H175" i="238"/>
  <c r="H174" i="238"/>
  <c r="H173" i="238"/>
  <c r="H172" i="238"/>
  <c r="H171" i="238"/>
  <c r="H170" i="238"/>
  <c r="H169" i="238"/>
  <c r="H168" i="238"/>
  <c r="H167" i="238"/>
  <c r="H166" i="238"/>
  <c r="H165" i="238"/>
  <c r="H164" i="238"/>
  <c r="H163" i="238"/>
  <c r="H162" i="238"/>
  <c r="H161" i="238"/>
  <c r="H160" i="238"/>
  <c r="H159" i="238"/>
  <c r="H158" i="238"/>
  <c r="H157" i="238"/>
  <c r="H156" i="238"/>
  <c r="H155" i="238"/>
  <c r="H154" i="238"/>
  <c r="H153" i="238"/>
  <c r="H152" i="238"/>
  <c r="H151" i="238"/>
  <c r="H150" i="238"/>
  <c r="H149" i="238"/>
  <c r="H148" i="238"/>
  <c r="H147" i="238"/>
  <c r="H146" i="238"/>
  <c r="H145" i="238"/>
  <c r="H144" i="238"/>
  <c r="H143" i="238"/>
  <c r="H142" i="238"/>
  <c r="H141" i="238"/>
  <c r="H140" i="238"/>
  <c r="H139" i="238"/>
  <c r="H138" i="238"/>
  <c r="H137" i="238"/>
  <c r="H136" i="238"/>
  <c r="H135" i="238"/>
  <c r="H134" i="238"/>
  <c r="H133" i="238"/>
  <c r="H132" i="238"/>
  <c r="H131" i="238"/>
  <c r="H130" i="238"/>
  <c r="H129" i="238"/>
  <c r="H128" i="238"/>
  <c r="H127" i="238"/>
  <c r="H126" i="238"/>
  <c r="H125" i="238"/>
  <c r="H124" i="238"/>
  <c r="H123" i="238"/>
  <c r="H122" i="238"/>
  <c r="H121" i="238"/>
  <c r="H120" i="238"/>
  <c r="H119" i="238"/>
  <c r="H118" i="238"/>
  <c r="H117" i="238"/>
  <c r="H116" i="238"/>
  <c r="H115" i="238"/>
  <c r="H114" i="238"/>
  <c r="H113" i="238"/>
  <c r="H112" i="238"/>
  <c r="H111" i="238"/>
  <c r="H110" i="238"/>
  <c r="H109" i="238"/>
  <c r="H108" i="238"/>
  <c r="H107" i="238"/>
  <c r="H106" i="238"/>
  <c r="H105" i="238"/>
  <c r="H104" i="238"/>
  <c r="H103" i="238"/>
  <c r="H102" i="238"/>
  <c r="H101" i="238"/>
  <c r="H100" i="238"/>
  <c r="H99" i="238"/>
  <c r="H98" i="238"/>
  <c r="H97" i="238"/>
  <c r="H96" i="238"/>
  <c r="H95" i="238"/>
  <c r="H94" i="238"/>
  <c r="H93" i="238"/>
  <c r="H92" i="238"/>
  <c r="H91" i="238"/>
  <c r="H90" i="238"/>
  <c r="H89" i="238"/>
  <c r="H88" i="238"/>
  <c r="H87" i="238"/>
  <c r="H86" i="238"/>
  <c r="H85" i="238"/>
  <c r="H84" i="238"/>
  <c r="H83" i="238"/>
  <c r="H82" i="238"/>
  <c r="H81" i="238"/>
  <c r="H80" i="238"/>
  <c r="H79" i="238"/>
  <c r="H78" i="238"/>
  <c r="H77" i="238"/>
  <c r="H76" i="238"/>
  <c r="H75" i="238"/>
  <c r="H74" i="238"/>
  <c r="H73" i="238"/>
  <c r="H72" i="238"/>
  <c r="H71" i="238"/>
  <c r="H70" i="238"/>
  <c r="H69" i="238"/>
  <c r="H68" i="238"/>
  <c r="H67" i="238"/>
  <c r="H66" i="238"/>
  <c r="H65" i="238"/>
  <c r="H64" i="238"/>
  <c r="H63" i="238"/>
  <c r="H62" i="238"/>
  <c r="H61" i="238"/>
  <c r="H60" i="238"/>
  <c r="H59" i="238"/>
  <c r="H58" i="238"/>
  <c r="H57" i="238"/>
  <c r="H56" i="238"/>
  <c r="H55" i="238"/>
  <c r="H54" i="238"/>
  <c r="H53" i="238"/>
  <c r="H52" i="238"/>
  <c r="H51" i="238"/>
  <c r="H50" i="238"/>
  <c r="H49" i="238"/>
  <c r="H48" i="238"/>
  <c r="H47" i="238"/>
  <c r="H46" i="238"/>
  <c r="H45" i="238"/>
  <c r="H44" i="238"/>
  <c r="H43" i="238"/>
  <c r="H42" i="238"/>
  <c r="H41" i="238"/>
  <c r="H40" i="238"/>
  <c r="H39" i="238"/>
  <c r="H38" i="238"/>
  <c r="H37" i="238"/>
  <c r="H36" i="238"/>
  <c r="H35" i="238"/>
  <c r="H34" i="238"/>
  <c r="H33" i="238"/>
  <c r="H32" i="238"/>
  <c r="H31" i="238"/>
  <c r="H30" i="238"/>
  <c r="H29" i="238"/>
  <c r="H28" i="238"/>
  <c r="H27" i="238"/>
  <c r="H26" i="238"/>
  <c r="H25" i="238"/>
  <c r="H24" i="238"/>
  <c r="H23" i="238"/>
  <c r="H22" i="238"/>
  <c r="H21" i="238"/>
  <c r="H20" i="238"/>
  <c r="H19" i="238"/>
  <c r="H18" i="238"/>
  <c r="H17" i="238"/>
  <c r="H16" i="238"/>
  <c r="H15" i="238"/>
  <c r="H14" i="238"/>
  <c r="H13" i="238"/>
  <c r="H12" i="238"/>
  <c r="H11" i="238"/>
  <c r="H10" i="238"/>
  <c r="H9" i="238"/>
  <c r="D601" i="238"/>
  <c r="G601" i="238" s="1"/>
  <c r="D600" i="238"/>
  <c r="G600" i="238" s="1"/>
  <c r="D599" i="238"/>
  <c r="G599" i="238" s="1"/>
  <c r="D598" i="238"/>
  <c r="G598" i="238" s="1"/>
  <c r="D574" i="238"/>
  <c r="G574" i="238" s="1"/>
  <c r="D455" i="238"/>
  <c r="G455" i="238" s="1"/>
  <c r="D390" i="238"/>
  <c r="G390" i="238" s="1"/>
  <c r="D389" i="238"/>
  <c r="G389" i="238" s="1"/>
  <c r="D388" i="238"/>
  <c r="G388" i="238" s="1"/>
  <c r="D387" i="238"/>
  <c r="G387" i="238" s="1"/>
  <c r="D324" i="238"/>
  <c r="G324" i="238" s="1"/>
  <c r="D322" i="238"/>
  <c r="G322" i="238" s="1"/>
  <c r="D294" i="238"/>
  <c r="G294" i="238" s="1"/>
  <c r="D252" i="238"/>
  <c r="G252" i="238" s="1"/>
  <c r="D232" i="238"/>
  <c r="G232" i="238" s="1"/>
  <c r="D183" i="238"/>
  <c r="G183" i="238" s="1"/>
  <c r="D178" i="238"/>
  <c r="G178" i="238" s="1"/>
  <c r="D170" i="238"/>
  <c r="G170" i="238" s="1"/>
  <c r="D168" i="238"/>
  <c r="G168" i="238" s="1"/>
  <c r="D166" i="238"/>
  <c r="G166" i="238" s="1"/>
  <c r="D162" i="238"/>
  <c r="G162" i="238" s="1"/>
  <c r="D157" i="238"/>
  <c r="G157" i="238" s="1"/>
  <c r="D138" i="238"/>
  <c r="G138" i="238" s="1"/>
  <c r="D130" i="238"/>
  <c r="G130" i="238" s="1"/>
  <c r="D120" i="238"/>
  <c r="G120" i="238" s="1"/>
  <c r="D119" i="238"/>
  <c r="G119" i="238" s="1"/>
  <c r="D103" i="238"/>
  <c r="G103" i="238" s="1"/>
  <c r="D99" i="238"/>
  <c r="G99" i="238" s="1"/>
  <c r="D86" i="238"/>
  <c r="G86" i="238" s="1"/>
  <c r="D80" i="238"/>
  <c r="G80" i="238" s="1"/>
  <c r="D77" i="238"/>
  <c r="G77" i="238" s="1"/>
  <c r="D48" i="238"/>
  <c r="G48" i="238" s="1"/>
  <c r="D46" i="238"/>
  <c r="G46" i="238" s="1"/>
  <c r="D40" i="238"/>
  <c r="G40" i="238" s="1"/>
  <c r="D22" i="238"/>
  <c r="G22" i="238" s="1"/>
  <c r="D10" i="238"/>
  <c r="G10" i="238" s="1"/>
  <c r="D540" i="237"/>
  <c r="D572" i="238" s="1"/>
  <c r="G572" i="238" s="1"/>
  <c r="D519" i="237"/>
  <c r="D551" i="238" s="1"/>
  <c r="G551" i="238" s="1"/>
  <c r="D487" i="237"/>
  <c r="D519" i="238" s="1"/>
  <c r="G519" i="238" s="1"/>
  <c r="D414" i="237"/>
  <c r="D445" i="238" s="1"/>
  <c r="G445" i="238" s="1"/>
  <c r="D397" i="237"/>
  <c r="D428" i="238" s="1"/>
  <c r="G428" i="238" s="1"/>
  <c r="D396" i="237"/>
  <c r="D427" i="238" s="1"/>
  <c r="G427" i="238" s="1"/>
  <c r="D392" i="237"/>
  <c r="D423" i="238" s="1"/>
  <c r="G423" i="238" s="1"/>
  <c r="D225" i="237"/>
  <c r="D248" i="238" s="1"/>
  <c r="G248" i="238" s="1"/>
  <c r="D209" i="237"/>
  <c r="D231" i="238" s="1"/>
  <c r="G231" i="238" s="1"/>
  <c r="D95" i="237"/>
  <c r="D106" i="238" s="1"/>
  <c r="G106" i="238" s="1"/>
  <c r="D90" i="237"/>
  <c r="D100" i="238" s="1"/>
  <c r="G100" i="238" s="1"/>
  <c r="D89" i="237"/>
  <c r="D98" i="238" s="1"/>
  <c r="G98" i="238" s="1"/>
  <c r="D83" i="237"/>
  <c r="D77" i="237"/>
  <c r="D85" i="238" s="1"/>
  <c r="G85" i="238" s="1"/>
  <c r="D74" i="237"/>
  <c r="D82" i="238" s="1"/>
  <c r="G82" i="238" s="1"/>
  <c r="D73" i="237"/>
  <c r="D81" i="238" s="1"/>
  <c r="G81" i="238" s="1"/>
  <c r="D67" i="237"/>
  <c r="D73" i="238" s="1"/>
  <c r="G73" i="238" s="1"/>
  <c r="D30" i="237"/>
  <c r="D33" i="238" s="1"/>
  <c r="G33" i="238" s="1"/>
  <c r="D564" i="237"/>
  <c r="D597" i="238" s="1"/>
  <c r="G597" i="238" s="1"/>
  <c r="D563" i="237"/>
  <c r="D596" i="238" s="1"/>
  <c r="G596" i="238" s="1"/>
  <c r="D562" i="237"/>
  <c r="D595" i="238" s="1"/>
  <c r="G595" i="238" s="1"/>
  <c r="D561" i="237"/>
  <c r="D594" i="238" s="1"/>
  <c r="G594" i="238" s="1"/>
  <c r="D560" i="237"/>
  <c r="D593" i="238" s="1"/>
  <c r="G593" i="238" s="1"/>
  <c r="D559" i="237"/>
  <c r="D592" i="238" s="1"/>
  <c r="G592" i="238" s="1"/>
  <c r="D558" i="237"/>
  <c r="D591" i="238" s="1"/>
  <c r="G591" i="238" s="1"/>
  <c r="D557" i="237"/>
  <c r="D590" i="238" s="1"/>
  <c r="G590" i="238" s="1"/>
  <c r="D556" i="237"/>
  <c r="D589" i="238" s="1"/>
  <c r="G589" i="238" s="1"/>
  <c r="D555" i="237"/>
  <c r="D588" i="238" s="1"/>
  <c r="G588" i="238" s="1"/>
  <c r="D554" i="237"/>
  <c r="D587" i="238" s="1"/>
  <c r="G587" i="238" s="1"/>
  <c r="D553" i="237"/>
  <c r="D586" i="238" s="1"/>
  <c r="G586" i="238" s="1"/>
  <c r="D552" i="237"/>
  <c r="D585" i="238" s="1"/>
  <c r="G585" i="238" s="1"/>
  <c r="D551" i="237"/>
  <c r="D584" i="238" s="1"/>
  <c r="G584" i="238" s="1"/>
  <c r="D550" i="237"/>
  <c r="D583" i="238" s="1"/>
  <c r="G583" i="238" s="1"/>
  <c r="D549" i="237"/>
  <c r="D582" i="238" s="1"/>
  <c r="G582" i="238" s="1"/>
  <c r="D548" i="237"/>
  <c r="D581" i="238" s="1"/>
  <c r="G581" i="238" s="1"/>
  <c r="D547" i="237"/>
  <c r="D580" i="238" s="1"/>
  <c r="G580" i="238" s="1"/>
  <c r="D546" i="237"/>
  <c r="D579" i="238" s="1"/>
  <c r="G579" i="238" s="1"/>
  <c r="D545" i="237"/>
  <c r="D578" i="238" s="1"/>
  <c r="G578" i="238" s="1"/>
  <c r="D544" i="237"/>
  <c r="D577" i="238" s="1"/>
  <c r="G577" i="238" s="1"/>
  <c r="D543" i="237"/>
  <c r="D576" i="238" s="1"/>
  <c r="G576" i="238" s="1"/>
  <c r="D542" i="237"/>
  <c r="D575" i="238" s="1"/>
  <c r="G575" i="238" s="1"/>
  <c r="D541" i="237"/>
  <c r="D573" i="238" s="1"/>
  <c r="G573" i="238" s="1"/>
  <c r="D539" i="237"/>
  <c r="D571" i="238" s="1"/>
  <c r="G571" i="238" s="1"/>
  <c r="D538" i="237"/>
  <c r="D570" i="238" s="1"/>
  <c r="G570" i="238" s="1"/>
  <c r="D537" i="237"/>
  <c r="D569" i="238" s="1"/>
  <c r="G569" i="238" s="1"/>
  <c r="D536" i="237"/>
  <c r="D568" i="238" s="1"/>
  <c r="G568" i="238" s="1"/>
  <c r="D535" i="237"/>
  <c r="D567" i="238" s="1"/>
  <c r="G567" i="238" s="1"/>
  <c r="D534" i="237"/>
  <c r="D566" i="238" s="1"/>
  <c r="G566" i="238" s="1"/>
  <c r="D533" i="237"/>
  <c r="D565" i="238" s="1"/>
  <c r="G565" i="238" s="1"/>
  <c r="D532" i="237"/>
  <c r="D564" i="238" s="1"/>
  <c r="G564" i="238" s="1"/>
  <c r="D531" i="237"/>
  <c r="D563" i="238" s="1"/>
  <c r="G563" i="238" s="1"/>
  <c r="D530" i="237"/>
  <c r="D562" i="238" s="1"/>
  <c r="G562" i="238" s="1"/>
  <c r="D529" i="237"/>
  <c r="D561" i="238" s="1"/>
  <c r="G561" i="238" s="1"/>
  <c r="D528" i="237"/>
  <c r="D560" i="238" s="1"/>
  <c r="G560" i="238" s="1"/>
  <c r="D527" i="237"/>
  <c r="D559" i="238" s="1"/>
  <c r="G559" i="238" s="1"/>
  <c r="D526" i="237"/>
  <c r="D558" i="238" s="1"/>
  <c r="G558" i="238" s="1"/>
  <c r="D525" i="237"/>
  <c r="D557" i="238" s="1"/>
  <c r="G557" i="238" s="1"/>
  <c r="D524" i="237"/>
  <c r="D556" i="238" s="1"/>
  <c r="G556" i="238" s="1"/>
  <c r="D523" i="237"/>
  <c r="D555" i="238" s="1"/>
  <c r="G555" i="238" s="1"/>
  <c r="D522" i="237"/>
  <c r="D554" i="238" s="1"/>
  <c r="G554" i="238" s="1"/>
  <c r="D521" i="237"/>
  <c r="D553" i="238" s="1"/>
  <c r="G553" i="238" s="1"/>
  <c r="D520" i="237"/>
  <c r="D552" i="238" s="1"/>
  <c r="G552" i="238" s="1"/>
  <c r="D518" i="237"/>
  <c r="D550" i="238" s="1"/>
  <c r="G550" i="238" s="1"/>
  <c r="D517" i="237"/>
  <c r="D549" i="238" s="1"/>
  <c r="G549" i="238" s="1"/>
  <c r="D516" i="237"/>
  <c r="D548" i="238" s="1"/>
  <c r="G548" i="238" s="1"/>
  <c r="D515" i="237"/>
  <c r="D547" i="238" s="1"/>
  <c r="G547" i="238" s="1"/>
  <c r="D514" i="237"/>
  <c r="D546" i="238" s="1"/>
  <c r="G546" i="238" s="1"/>
  <c r="D513" i="237"/>
  <c r="D545" i="238" s="1"/>
  <c r="G545" i="238" s="1"/>
  <c r="D512" i="237"/>
  <c r="D544" i="238" s="1"/>
  <c r="G544" i="238" s="1"/>
  <c r="D511" i="237"/>
  <c r="D543" i="238" s="1"/>
  <c r="G543" i="238" s="1"/>
  <c r="D510" i="237"/>
  <c r="D542" i="238" s="1"/>
  <c r="G542" i="238" s="1"/>
  <c r="D509" i="237"/>
  <c r="D541" i="238" s="1"/>
  <c r="G541" i="238" s="1"/>
  <c r="D508" i="237"/>
  <c r="D540" i="238" s="1"/>
  <c r="G540" i="238" s="1"/>
  <c r="D507" i="237"/>
  <c r="D539" i="238" s="1"/>
  <c r="G539" i="238" s="1"/>
  <c r="D506" i="237"/>
  <c r="D538" i="238" s="1"/>
  <c r="G538" i="238" s="1"/>
  <c r="D505" i="237"/>
  <c r="D537" i="238" s="1"/>
  <c r="G537" i="238" s="1"/>
  <c r="D504" i="237"/>
  <c r="D536" i="238" s="1"/>
  <c r="G536" i="238" s="1"/>
  <c r="D503" i="237"/>
  <c r="D535" i="238" s="1"/>
  <c r="G535" i="238" s="1"/>
  <c r="D502" i="237"/>
  <c r="D534" i="238" s="1"/>
  <c r="G534" i="238" s="1"/>
  <c r="D501" i="237"/>
  <c r="D533" i="238" s="1"/>
  <c r="G533" i="238" s="1"/>
  <c r="D500" i="237"/>
  <c r="D532" i="238" s="1"/>
  <c r="G532" i="238" s="1"/>
  <c r="D499" i="237"/>
  <c r="D531" i="238" s="1"/>
  <c r="G531" i="238" s="1"/>
  <c r="D498" i="237"/>
  <c r="D530" i="238" s="1"/>
  <c r="G530" i="238" s="1"/>
  <c r="D497" i="237"/>
  <c r="D529" i="238" s="1"/>
  <c r="G529" i="238" s="1"/>
  <c r="D496" i="237"/>
  <c r="D528" i="238" s="1"/>
  <c r="G528" i="238" s="1"/>
  <c r="D495" i="237"/>
  <c r="D527" i="238" s="1"/>
  <c r="G527" i="238" s="1"/>
  <c r="D494" i="237"/>
  <c r="D526" i="238" s="1"/>
  <c r="G526" i="238" s="1"/>
  <c r="D493" i="237"/>
  <c r="D525" i="238" s="1"/>
  <c r="G525" i="238" s="1"/>
  <c r="D492" i="237"/>
  <c r="D524" i="238" s="1"/>
  <c r="G524" i="238" s="1"/>
  <c r="D491" i="237"/>
  <c r="D523" i="238" s="1"/>
  <c r="G523" i="238" s="1"/>
  <c r="D490" i="237"/>
  <c r="D522" i="238" s="1"/>
  <c r="G522" i="238" s="1"/>
  <c r="D489" i="237"/>
  <c r="D521" i="238" s="1"/>
  <c r="G521" i="238" s="1"/>
  <c r="D488" i="237"/>
  <c r="D520" i="238" s="1"/>
  <c r="G520" i="238" s="1"/>
  <c r="D486" i="237"/>
  <c r="D518" i="238" s="1"/>
  <c r="G518" i="238" s="1"/>
  <c r="D485" i="237"/>
  <c r="D517" i="238" s="1"/>
  <c r="G517" i="238" s="1"/>
  <c r="D484" i="237"/>
  <c r="D516" i="238" s="1"/>
  <c r="G516" i="238" s="1"/>
  <c r="D483" i="237"/>
  <c r="D515" i="238" s="1"/>
  <c r="G515" i="238" s="1"/>
  <c r="D482" i="237"/>
  <c r="D514" i="238" s="1"/>
  <c r="G514" i="238" s="1"/>
  <c r="D481" i="237"/>
  <c r="D513" i="238" s="1"/>
  <c r="G513" i="238" s="1"/>
  <c r="D480" i="237"/>
  <c r="D512" i="238" s="1"/>
  <c r="G512" i="238" s="1"/>
  <c r="D479" i="237"/>
  <c r="D511" i="238" s="1"/>
  <c r="G511" i="238" s="1"/>
  <c r="D478" i="237"/>
  <c r="D510" i="238" s="1"/>
  <c r="G510" i="238" s="1"/>
  <c r="D477" i="237"/>
  <c r="D509" i="238" s="1"/>
  <c r="G509" i="238" s="1"/>
  <c r="D476" i="237"/>
  <c r="D508" i="238" s="1"/>
  <c r="G508" i="238" s="1"/>
  <c r="D475" i="237"/>
  <c r="D507" i="238" s="1"/>
  <c r="G507" i="238" s="1"/>
  <c r="D474" i="237"/>
  <c r="D506" i="238" s="1"/>
  <c r="G506" i="238" s="1"/>
  <c r="D473" i="237"/>
  <c r="D505" i="238" s="1"/>
  <c r="G505" i="238" s="1"/>
  <c r="D472" i="237"/>
  <c r="D504" i="238" s="1"/>
  <c r="G504" i="238" s="1"/>
  <c r="D471" i="237"/>
  <c r="D503" i="238" s="1"/>
  <c r="G503" i="238" s="1"/>
  <c r="D470" i="237"/>
  <c r="D502" i="238" s="1"/>
  <c r="G502" i="238" s="1"/>
  <c r="D469" i="237"/>
  <c r="D501" i="238" s="1"/>
  <c r="G501" i="238" s="1"/>
  <c r="D468" i="237"/>
  <c r="D500" i="238" s="1"/>
  <c r="G500" i="238" s="1"/>
  <c r="D467" i="237"/>
  <c r="D499" i="238" s="1"/>
  <c r="G499" i="238" s="1"/>
  <c r="D466" i="237"/>
  <c r="D498" i="238" s="1"/>
  <c r="G498" i="238" s="1"/>
  <c r="D465" i="237"/>
  <c r="D497" i="238" s="1"/>
  <c r="G497" i="238" s="1"/>
  <c r="D464" i="237"/>
  <c r="D496" i="238" s="1"/>
  <c r="G496" i="238" s="1"/>
  <c r="D463" i="237"/>
  <c r="D495" i="238" s="1"/>
  <c r="G495" i="238" s="1"/>
  <c r="D462" i="237"/>
  <c r="D494" i="238" s="1"/>
  <c r="G494" i="238" s="1"/>
  <c r="D461" i="237"/>
  <c r="D493" i="238" s="1"/>
  <c r="G493" i="238" s="1"/>
  <c r="D460" i="237"/>
  <c r="D492" i="238" s="1"/>
  <c r="G492" i="238" s="1"/>
  <c r="D459" i="237"/>
  <c r="D491" i="238" s="1"/>
  <c r="G491" i="238" s="1"/>
  <c r="D458" i="237"/>
  <c r="D490" i="238" s="1"/>
  <c r="G490" i="238" s="1"/>
  <c r="D457" i="237"/>
  <c r="D489" i="238" s="1"/>
  <c r="G489" i="238" s="1"/>
  <c r="D456" i="237"/>
  <c r="D488" i="238" s="1"/>
  <c r="G488" i="238" s="1"/>
  <c r="D455" i="237"/>
  <c r="D487" i="238" s="1"/>
  <c r="G487" i="238" s="1"/>
  <c r="D454" i="237"/>
  <c r="D486" i="238" s="1"/>
  <c r="G486" i="238" s="1"/>
  <c r="D453" i="237"/>
  <c r="D485" i="238" s="1"/>
  <c r="G485" i="238" s="1"/>
  <c r="D452" i="237"/>
  <c r="D484" i="238" s="1"/>
  <c r="G484" i="238" s="1"/>
  <c r="D451" i="237"/>
  <c r="D483" i="238" s="1"/>
  <c r="G483" i="238" s="1"/>
  <c r="D450" i="237"/>
  <c r="D482" i="238" s="1"/>
  <c r="G482" i="238" s="1"/>
  <c r="D449" i="237"/>
  <c r="D481" i="238" s="1"/>
  <c r="G481" i="238" s="1"/>
  <c r="D448" i="237"/>
  <c r="D480" i="238" s="1"/>
  <c r="G480" i="238" s="1"/>
  <c r="D447" i="237"/>
  <c r="D479" i="238" s="1"/>
  <c r="G479" i="238" s="1"/>
  <c r="D446" i="237"/>
  <c r="D478" i="238" s="1"/>
  <c r="G478" i="238" s="1"/>
  <c r="D445" i="237"/>
  <c r="D477" i="238" s="1"/>
  <c r="G477" i="238" s="1"/>
  <c r="D444" i="237"/>
  <c r="D476" i="238" s="1"/>
  <c r="G476" i="238" s="1"/>
  <c r="D443" i="237"/>
  <c r="D475" i="238" s="1"/>
  <c r="G475" i="238" s="1"/>
  <c r="D442" i="237"/>
  <c r="D474" i="238" s="1"/>
  <c r="G474" i="238" s="1"/>
  <c r="D441" i="237"/>
  <c r="D473" i="238" s="1"/>
  <c r="G473" i="238" s="1"/>
  <c r="D440" i="237"/>
  <c r="D472" i="238" s="1"/>
  <c r="G472" i="238" s="1"/>
  <c r="D439" i="237"/>
  <c r="D471" i="238" s="1"/>
  <c r="G471" i="238" s="1"/>
  <c r="D438" i="237"/>
  <c r="D470" i="238" s="1"/>
  <c r="G470" i="238" s="1"/>
  <c r="D437" i="237"/>
  <c r="D469" i="238" s="1"/>
  <c r="G469" i="238" s="1"/>
  <c r="D436" i="237"/>
  <c r="D468" i="238" s="1"/>
  <c r="G468" i="238" s="1"/>
  <c r="D435" i="237"/>
  <c r="D467" i="238" s="1"/>
  <c r="G467" i="238" s="1"/>
  <c r="D434" i="237"/>
  <c r="D466" i="238" s="1"/>
  <c r="G466" i="238" s="1"/>
  <c r="D433" i="237"/>
  <c r="D465" i="238" s="1"/>
  <c r="G465" i="238" s="1"/>
  <c r="D432" i="237"/>
  <c r="D464" i="238" s="1"/>
  <c r="G464" i="238" s="1"/>
  <c r="D431" i="237"/>
  <c r="D463" i="238" s="1"/>
  <c r="G463" i="238" s="1"/>
  <c r="D430" i="237"/>
  <c r="D462" i="238" s="1"/>
  <c r="G462" i="238" s="1"/>
  <c r="D429" i="237"/>
  <c r="D461" i="238" s="1"/>
  <c r="G461" i="238" s="1"/>
  <c r="D428" i="237"/>
  <c r="D460" i="238" s="1"/>
  <c r="G460" i="238" s="1"/>
  <c r="D427" i="237"/>
  <c r="D459" i="238" s="1"/>
  <c r="G459" i="238" s="1"/>
  <c r="D426" i="237"/>
  <c r="D458" i="238" s="1"/>
  <c r="G458" i="238" s="1"/>
  <c r="D425" i="237"/>
  <c r="D457" i="238" s="1"/>
  <c r="G457" i="238" s="1"/>
  <c r="D424" i="237"/>
  <c r="D456" i="238" s="1"/>
  <c r="G456" i="238" s="1"/>
  <c r="D423" i="237"/>
  <c r="D454" i="238" s="1"/>
  <c r="G454" i="238" s="1"/>
  <c r="D422" i="237"/>
  <c r="D453" i="238" s="1"/>
  <c r="G453" i="238" s="1"/>
  <c r="D421" i="237"/>
  <c r="D452" i="238" s="1"/>
  <c r="G452" i="238" s="1"/>
  <c r="D420" i="237"/>
  <c r="D451" i="238" s="1"/>
  <c r="G451" i="238" s="1"/>
  <c r="D419" i="237"/>
  <c r="D450" i="238" s="1"/>
  <c r="G450" i="238" s="1"/>
  <c r="D418" i="237"/>
  <c r="D449" i="238" s="1"/>
  <c r="G449" i="238" s="1"/>
  <c r="D417" i="237"/>
  <c r="D448" i="238" s="1"/>
  <c r="G448" i="238" s="1"/>
  <c r="D416" i="237"/>
  <c r="D447" i="238" s="1"/>
  <c r="G447" i="238" s="1"/>
  <c r="D415" i="237"/>
  <c r="D446" i="238" s="1"/>
  <c r="G446" i="238" s="1"/>
  <c r="D413" i="237"/>
  <c r="D444" i="238" s="1"/>
  <c r="G444" i="238" s="1"/>
  <c r="D412" i="237"/>
  <c r="D443" i="238" s="1"/>
  <c r="G443" i="238" s="1"/>
  <c r="D411" i="237"/>
  <c r="D442" i="238" s="1"/>
  <c r="G442" i="238" s="1"/>
  <c r="D410" i="237"/>
  <c r="D441" i="238" s="1"/>
  <c r="G441" i="238" s="1"/>
  <c r="D409" i="237"/>
  <c r="D440" i="238" s="1"/>
  <c r="G440" i="238" s="1"/>
  <c r="D408" i="237"/>
  <c r="D439" i="238" s="1"/>
  <c r="G439" i="238" s="1"/>
  <c r="D407" i="237"/>
  <c r="D438" i="238" s="1"/>
  <c r="G438" i="238" s="1"/>
  <c r="D406" i="237"/>
  <c r="D437" i="238" s="1"/>
  <c r="G437" i="238" s="1"/>
  <c r="D405" i="237"/>
  <c r="D436" i="238" s="1"/>
  <c r="G436" i="238" s="1"/>
  <c r="D404" i="237"/>
  <c r="D435" i="238" s="1"/>
  <c r="G435" i="238" s="1"/>
  <c r="D403" i="237"/>
  <c r="D434" i="238" s="1"/>
  <c r="G434" i="238" s="1"/>
  <c r="D402" i="237"/>
  <c r="D433" i="238" s="1"/>
  <c r="G433" i="238" s="1"/>
  <c r="D401" i="237"/>
  <c r="D432" i="238" s="1"/>
  <c r="G432" i="238" s="1"/>
  <c r="D400" i="237"/>
  <c r="D431" i="238" s="1"/>
  <c r="G431" i="238" s="1"/>
  <c r="D399" i="237"/>
  <c r="D430" i="238" s="1"/>
  <c r="G430" i="238" s="1"/>
  <c r="D398" i="237"/>
  <c r="D429" i="238" s="1"/>
  <c r="G429" i="238" s="1"/>
  <c r="D395" i="237"/>
  <c r="D426" i="238" s="1"/>
  <c r="G426" i="238" s="1"/>
  <c r="D394" i="237"/>
  <c r="D425" i="238" s="1"/>
  <c r="G425" i="238" s="1"/>
  <c r="D393" i="237"/>
  <c r="D424" i="238" s="1"/>
  <c r="G424" i="238" s="1"/>
  <c r="D391" i="237"/>
  <c r="D422" i="238" s="1"/>
  <c r="G422" i="238" s="1"/>
  <c r="D390" i="237"/>
  <c r="D421" i="238" s="1"/>
  <c r="G421" i="238" s="1"/>
  <c r="D389" i="237"/>
  <c r="D420" i="238" s="1"/>
  <c r="G420" i="238" s="1"/>
  <c r="D388" i="237"/>
  <c r="D419" i="238" s="1"/>
  <c r="G419" i="238" s="1"/>
  <c r="D387" i="237"/>
  <c r="D418" i="238" s="1"/>
  <c r="G418" i="238" s="1"/>
  <c r="D386" i="237"/>
  <c r="D417" i="238" s="1"/>
  <c r="G417" i="238" s="1"/>
  <c r="D385" i="237"/>
  <c r="D416" i="238" s="1"/>
  <c r="G416" i="238" s="1"/>
  <c r="D384" i="237"/>
  <c r="D415" i="238" s="1"/>
  <c r="G415" i="238" s="1"/>
  <c r="D383" i="237"/>
  <c r="D414" i="238" s="1"/>
  <c r="G414" i="238" s="1"/>
  <c r="D382" i="237"/>
  <c r="D413" i="238" s="1"/>
  <c r="G413" i="238" s="1"/>
  <c r="D381" i="237"/>
  <c r="D412" i="238" s="1"/>
  <c r="G412" i="238" s="1"/>
  <c r="D380" i="237"/>
  <c r="D411" i="238" s="1"/>
  <c r="G411" i="238" s="1"/>
  <c r="D379" i="237"/>
  <c r="D410" i="238" s="1"/>
  <c r="G410" i="238" s="1"/>
  <c r="D378" i="237"/>
  <c r="D409" i="238" s="1"/>
  <c r="G409" i="238" s="1"/>
  <c r="D377" i="237"/>
  <c r="D408" i="238" s="1"/>
  <c r="G408" i="238" s="1"/>
  <c r="D376" i="237"/>
  <c r="D407" i="238" s="1"/>
  <c r="G407" i="238" s="1"/>
  <c r="D375" i="237"/>
  <c r="D406" i="238" s="1"/>
  <c r="G406" i="238" s="1"/>
  <c r="D374" i="237"/>
  <c r="D405" i="238" s="1"/>
  <c r="G405" i="238" s="1"/>
  <c r="D373" i="237"/>
  <c r="D404" i="238" s="1"/>
  <c r="G404" i="238" s="1"/>
  <c r="D372" i="237"/>
  <c r="D403" i="238" s="1"/>
  <c r="G403" i="238" s="1"/>
  <c r="D371" i="237"/>
  <c r="D402" i="238" s="1"/>
  <c r="G402" i="238" s="1"/>
  <c r="D370" i="237"/>
  <c r="D401" i="238" s="1"/>
  <c r="G401" i="238" s="1"/>
  <c r="D369" i="237"/>
  <c r="D400" i="238" s="1"/>
  <c r="G400" i="238" s="1"/>
  <c r="D368" i="237"/>
  <c r="D399" i="238" s="1"/>
  <c r="G399" i="238" s="1"/>
  <c r="D367" i="237"/>
  <c r="D398" i="238" s="1"/>
  <c r="G398" i="238" s="1"/>
  <c r="D366" i="237"/>
  <c r="D397" i="238" s="1"/>
  <c r="G397" i="238" s="1"/>
  <c r="D365" i="237"/>
  <c r="D396" i="238" s="1"/>
  <c r="G396" i="238" s="1"/>
  <c r="D364" i="237"/>
  <c r="D395" i="238" s="1"/>
  <c r="G395" i="238" s="1"/>
  <c r="D363" i="237"/>
  <c r="D394" i="238" s="1"/>
  <c r="G394" i="238" s="1"/>
  <c r="D362" i="237"/>
  <c r="D393" i="238" s="1"/>
  <c r="G393" i="238" s="1"/>
  <c r="D361" i="237"/>
  <c r="D392" i="238" s="1"/>
  <c r="G392" i="238" s="1"/>
  <c r="D360" i="237"/>
  <c r="D391" i="238" s="1"/>
  <c r="G391" i="238" s="1"/>
  <c r="D359" i="237"/>
  <c r="D386" i="238" s="1"/>
  <c r="G386" i="238" s="1"/>
  <c r="D358" i="237"/>
  <c r="D385" i="238" s="1"/>
  <c r="G385" i="238" s="1"/>
  <c r="D357" i="237"/>
  <c r="D384" i="238" s="1"/>
  <c r="G384" i="238" s="1"/>
  <c r="D356" i="237"/>
  <c r="D383" i="238" s="1"/>
  <c r="G383" i="238" s="1"/>
  <c r="D355" i="237"/>
  <c r="D382" i="238" s="1"/>
  <c r="G382" i="238" s="1"/>
  <c r="D354" i="237"/>
  <c r="D381" i="238" s="1"/>
  <c r="G381" i="238" s="1"/>
  <c r="D353" i="237"/>
  <c r="D380" i="238" s="1"/>
  <c r="G380" i="238" s="1"/>
  <c r="D352" i="237"/>
  <c r="D379" i="238" s="1"/>
  <c r="G379" i="238" s="1"/>
  <c r="D351" i="237"/>
  <c r="D378" i="238" s="1"/>
  <c r="G378" i="238" s="1"/>
  <c r="D350" i="237"/>
  <c r="D377" i="238" s="1"/>
  <c r="G377" i="238" s="1"/>
  <c r="D349" i="237"/>
  <c r="D376" i="238" s="1"/>
  <c r="G376" i="238" s="1"/>
  <c r="D348" i="237"/>
  <c r="D375" i="238" s="1"/>
  <c r="G375" i="238" s="1"/>
  <c r="D347" i="237"/>
  <c r="D374" i="238" s="1"/>
  <c r="G374" i="238" s="1"/>
  <c r="D346" i="237"/>
  <c r="D373" i="238" s="1"/>
  <c r="G373" i="238" s="1"/>
  <c r="D345" i="237"/>
  <c r="D372" i="238" s="1"/>
  <c r="G372" i="238" s="1"/>
  <c r="D344" i="237"/>
  <c r="D371" i="238" s="1"/>
  <c r="G371" i="238" s="1"/>
  <c r="D343" i="237"/>
  <c r="D370" i="238" s="1"/>
  <c r="G370" i="238" s="1"/>
  <c r="D342" i="237"/>
  <c r="D369" i="238" s="1"/>
  <c r="G369" i="238" s="1"/>
  <c r="D341" i="237"/>
  <c r="D368" i="238" s="1"/>
  <c r="G368" i="238" s="1"/>
  <c r="D340" i="237"/>
  <c r="D367" i="238" s="1"/>
  <c r="G367" i="238" s="1"/>
  <c r="D339" i="237"/>
  <c r="D366" i="238" s="1"/>
  <c r="G366" i="238" s="1"/>
  <c r="D338" i="237"/>
  <c r="D365" i="238" s="1"/>
  <c r="G365" i="238" s="1"/>
  <c r="D337" i="237"/>
  <c r="D364" i="238" s="1"/>
  <c r="G364" i="238" s="1"/>
  <c r="D336" i="237"/>
  <c r="D363" i="238" s="1"/>
  <c r="G363" i="238" s="1"/>
  <c r="D335" i="237"/>
  <c r="D362" i="238" s="1"/>
  <c r="G362" i="238" s="1"/>
  <c r="D334" i="237"/>
  <c r="D361" i="238" s="1"/>
  <c r="G361" i="238" s="1"/>
  <c r="D333" i="237"/>
  <c r="D360" i="238" s="1"/>
  <c r="G360" i="238" s="1"/>
  <c r="D332" i="237"/>
  <c r="D359" i="238" s="1"/>
  <c r="G359" i="238" s="1"/>
  <c r="D331" i="237"/>
  <c r="D358" i="238" s="1"/>
  <c r="G358" i="238" s="1"/>
  <c r="D330" i="237"/>
  <c r="D357" i="238" s="1"/>
  <c r="G357" i="238" s="1"/>
  <c r="D329" i="237"/>
  <c r="D356" i="238" s="1"/>
  <c r="G356" i="238" s="1"/>
  <c r="D328" i="237"/>
  <c r="D355" i="238" s="1"/>
  <c r="G355" i="238" s="1"/>
  <c r="D327" i="237"/>
  <c r="D354" i="238" s="1"/>
  <c r="G354" i="238" s="1"/>
  <c r="D326" i="237"/>
  <c r="D353" i="238" s="1"/>
  <c r="G353" i="238" s="1"/>
  <c r="D325" i="237"/>
  <c r="D352" i="238" s="1"/>
  <c r="G352" i="238" s="1"/>
  <c r="D324" i="237"/>
  <c r="D351" i="238" s="1"/>
  <c r="G351" i="238" s="1"/>
  <c r="D323" i="237"/>
  <c r="D350" i="238" s="1"/>
  <c r="G350" i="238" s="1"/>
  <c r="D322" i="237"/>
  <c r="D349" i="238" s="1"/>
  <c r="G349" i="238" s="1"/>
  <c r="D321" i="237"/>
  <c r="D348" i="238" s="1"/>
  <c r="G348" i="238" s="1"/>
  <c r="D320" i="237"/>
  <c r="D347" i="238" s="1"/>
  <c r="G347" i="238" s="1"/>
  <c r="D319" i="237"/>
  <c r="D346" i="238" s="1"/>
  <c r="G346" i="238" s="1"/>
  <c r="D318" i="237"/>
  <c r="D345" i="238" s="1"/>
  <c r="G345" i="238" s="1"/>
  <c r="D317" i="237"/>
  <c r="D344" i="238" s="1"/>
  <c r="G344" i="238" s="1"/>
  <c r="D316" i="237"/>
  <c r="D343" i="238" s="1"/>
  <c r="G343" i="238" s="1"/>
  <c r="D315" i="237"/>
  <c r="D342" i="238" s="1"/>
  <c r="G342" i="238" s="1"/>
  <c r="D314" i="237"/>
  <c r="D341" i="238" s="1"/>
  <c r="G341" i="238" s="1"/>
  <c r="D313" i="237"/>
  <c r="D340" i="238" s="1"/>
  <c r="G340" i="238" s="1"/>
  <c r="D312" i="237"/>
  <c r="D339" i="238" s="1"/>
  <c r="G339" i="238" s="1"/>
  <c r="D311" i="237"/>
  <c r="D338" i="238" s="1"/>
  <c r="G338" i="238" s="1"/>
  <c r="D310" i="237"/>
  <c r="D337" i="238" s="1"/>
  <c r="G337" i="238" s="1"/>
  <c r="D309" i="237"/>
  <c r="D336" i="238" s="1"/>
  <c r="G336" i="238" s="1"/>
  <c r="D308" i="237"/>
  <c r="D335" i="238" s="1"/>
  <c r="G335" i="238" s="1"/>
  <c r="D307" i="237"/>
  <c r="D334" i="238" s="1"/>
  <c r="G334" i="238" s="1"/>
  <c r="D306" i="237"/>
  <c r="D333" i="238" s="1"/>
  <c r="G333" i="238" s="1"/>
  <c r="D305" i="237"/>
  <c r="D332" i="238" s="1"/>
  <c r="G332" i="238" s="1"/>
  <c r="D304" i="237"/>
  <c r="D331" i="238" s="1"/>
  <c r="G331" i="238" s="1"/>
  <c r="D303" i="237"/>
  <c r="D330" i="238" s="1"/>
  <c r="G330" i="238" s="1"/>
  <c r="D302" i="237"/>
  <c r="D329" i="238" s="1"/>
  <c r="G329" i="238" s="1"/>
  <c r="D301" i="237"/>
  <c r="D328" i="238" s="1"/>
  <c r="G328" i="238" s="1"/>
  <c r="D300" i="237"/>
  <c r="D327" i="238" s="1"/>
  <c r="G327" i="238" s="1"/>
  <c r="D299" i="237"/>
  <c r="D326" i="238" s="1"/>
  <c r="G326" i="238" s="1"/>
  <c r="D298" i="237"/>
  <c r="D325" i="238" s="1"/>
  <c r="G325" i="238" s="1"/>
  <c r="D297" i="237"/>
  <c r="D323" i="238" s="1"/>
  <c r="G323" i="238" s="1"/>
  <c r="D296" i="237"/>
  <c r="D321" i="238" s="1"/>
  <c r="G321" i="238" s="1"/>
  <c r="D295" i="237"/>
  <c r="D320" i="238" s="1"/>
  <c r="G320" i="238" s="1"/>
  <c r="D294" i="237"/>
  <c r="D319" i="238" s="1"/>
  <c r="G319" i="238" s="1"/>
  <c r="D293" i="237"/>
  <c r="D318" i="238" s="1"/>
  <c r="G318" i="238" s="1"/>
  <c r="D292" i="237"/>
  <c r="D317" i="238" s="1"/>
  <c r="G317" i="238" s="1"/>
  <c r="D291" i="237"/>
  <c r="D316" i="238" s="1"/>
  <c r="G316" i="238" s="1"/>
  <c r="D290" i="237"/>
  <c r="D315" i="238" s="1"/>
  <c r="G315" i="238" s="1"/>
  <c r="D289" i="237"/>
  <c r="D314" i="238" s="1"/>
  <c r="G314" i="238" s="1"/>
  <c r="D288" i="237"/>
  <c r="D313" i="238" s="1"/>
  <c r="G313" i="238" s="1"/>
  <c r="D287" i="237"/>
  <c r="D312" i="238" s="1"/>
  <c r="G312" i="238" s="1"/>
  <c r="D286" i="237"/>
  <c r="D311" i="238" s="1"/>
  <c r="G311" i="238" s="1"/>
  <c r="D285" i="237"/>
  <c r="D310" i="238" s="1"/>
  <c r="G310" i="238" s="1"/>
  <c r="D284" i="237"/>
  <c r="D309" i="238" s="1"/>
  <c r="G309" i="238" s="1"/>
  <c r="D283" i="237"/>
  <c r="D308" i="238" s="1"/>
  <c r="G308" i="238" s="1"/>
  <c r="D282" i="237"/>
  <c r="D307" i="238" s="1"/>
  <c r="G307" i="238" s="1"/>
  <c r="D281" i="237"/>
  <c r="D306" i="238" s="1"/>
  <c r="G306" i="238" s="1"/>
  <c r="D280" i="237"/>
  <c r="D305" i="238" s="1"/>
  <c r="G305" i="238" s="1"/>
  <c r="D279" i="237"/>
  <c r="D304" i="238" s="1"/>
  <c r="G304" i="238" s="1"/>
  <c r="D278" i="237"/>
  <c r="D303" i="238" s="1"/>
  <c r="G303" i="238" s="1"/>
  <c r="D277" i="237"/>
  <c r="D302" i="238" s="1"/>
  <c r="G302" i="238" s="1"/>
  <c r="D276" i="237"/>
  <c r="D301" i="238" s="1"/>
  <c r="G301" i="238" s="1"/>
  <c r="D275" i="237"/>
  <c r="D300" i="238" s="1"/>
  <c r="G300" i="238" s="1"/>
  <c r="D274" i="237"/>
  <c r="D299" i="238" s="1"/>
  <c r="G299" i="238" s="1"/>
  <c r="D273" i="237"/>
  <c r="D298" i="238" s="1"/>
  <c r="G298" i="238" s="1"/>
  <c r="D272" i="237"/>
  <c r="D297" i="238" s="1"/>
  <c r="G297" i="238" s="1"/>
  <c r="D271" i="237"/>
  <c r="D296" i="238" s="1"/>
  <c r="G296" i="238" s="1"/>
  <c r="D270" i="237"/>
  <c r="D295" i="238" s="1"/>
  <c r="G295" i="238" s="1"/>
  <c r="D269" i="237"/>
  <c r="D293" i="238" s="1"/>
  <c r="G293" i="238" s="1"/>
  <c r="D268" i="237"/>
  <c r="D292" i="238" s="1"/>
  <c r="G292" i="238" s="1"/>
  <c r="D267" i="237"/>
  <c r="D291" i="238" s="1"/>
  <c r="G291" i="238" s="1"/>
  <c r="D266" i="237"/>
  <c r="D290" i="238" s="1"/>
  <c r="G290" i="238" s="1"/>
  <c r="D265" i="237"/>
  <c r="D289" i="238" s="1"/>
  <c r="G289" i="238" s="1"/>
  <c r="D264" i="237"/>
  <c r="D288" i="238" s="1"/>
  <c r="G288" i="238" s="1"/>
  <c r="D263" i="237"/>
  <c r="D287" i="238" s="1"/>
  <c r="G287" i="238" s="1"/>
  <c r="D262" i="237"/>
  <c r="D286" i="238" s="1"/>
  <c r="G286" i="238" s="1"/>
  <c r="D261" i="237"/>
  <c r="D285" i="238" s="1"/>
  <c r="G285" i="238" s="1"/>
  <c r="D260" i="237"/>
  <c r="D284" i="238" s="1"/>
  <c r="G284" i="238" s="1"/>
  <c r="D259" i="237"/>
  <c r="D283" i="238" s="1"/>
  <c r="G283" i="238" s="1"/>
  <c r="D258" i="237"/>
  <c r="D282" i="238" s="1"/>
  <c r="G282" i="238" s="1"/>
  <c r="D257" i="237"/>
  <c r="D281" i="238" s="1"/>
  <c r="G281" i="238" s="1"/>
  <c r="D256" i="237"/>
  <c r="D280" i="238" s="1"/>
  <c r="G280" i="238" s="1"/>
  <c r="D255" i="237"/>
  <c r="D279" i="238" s="1"/>
  <c r="G279" i="238" s="1"/>
  <c r="D254" i="237"/>
  <c r="D278" i="238" s="1"/>
  <c r="G278" i="238" s="1"/>
  <c r="D253" i="237"/>
  <c r="D277" i="238" s="1"/>
  <c r="G277" i="238" s="1"/>
  <c r="D252" i="237"/>
  <c r="D276" i="238" s="1"/>
  <c r="G276" i="238" s="1"/>
  <c r="D251" i="237"/>
  <c r="D275" i="238" s="1"/>
  <c r="G275" i="238" s="1"/>
  <c r="D250" i="237"/>
  <c r="D274" i="238" s="1"/>
  <c r="G274" i="238" s="1"/>
  <c r="D249" i="237"/>
  <c r="D273" i="238" s="1"/>
  <c r="G273" i="238" s="1"/>
  <c r="D248" i="237"/>
  <c r="D272" i="238" s="1"/>
  <c r="G272" i="238" s="1"/>
  <c r="D247" i="237"/>
  <c r="D271" i="238" s="1"/>
  <c r="G271" i="238" s="1"/>
  <c r="D246" i="237"/>
  <c r="D270" i="238" s="1"/>
  <c r="G270" i="238" s="1"/>
  <c r="D245" i="237"/>
  <c r="D269" i="238" s="1"/>
  <c r="G269" i="238" s="1"/>
  <c r="D244" i="237"/>
  <c r="D268" i="238" s="1"/>
  <c r="G268" i="238" s="1"/>
  <c r="D243" i="237"/>
  <c r="D267" i="238" s="1"/>
  <c r="G267" i="238" s="1"/>
  <c r="D242" i="237"/>
  <c r="D266" i="238" s="1"/>
  <c r="G266" i="238" s="1"/>
  <c r="D241" i="237"/>
  <c r="D265" i="238" s="1"/>
  <c r="G265" i="238" s="1"/>
  <c r="D240" i="237"/>
  <c r="D264" i="238" s="1"/>
  <c r="G264" i="238" s="1"/>
  <c r="D239" i="237"/>
  <c r="D263" i="238" s="1"/>
  <c r="G263" i="238" s="1"/>
  <c r="D238" i="237"/>
  <c r="D262" i="238" s="1"/>
  <c r="G262" i="238" s="1"/>
  <c r="D237" i="237"/>
  <c r="D261" i="238" s="1"/>
  <c r="G261" i="238" s="1"/>
  <c r="D236" i="237"/>
  <c r="D260" i="238" s="1"/>
  <c r="G260" i="238" s="1"/>
  <c r="D235" i="237"/>
  <c r="D259" i="238" s="1"/>
  <c r="G259" i="238" s="1"/>
  <c r="D234" i="237"/>
  <c r="D258" i="238" s="1"/>
  <c r="G258" i="238" s="1"/>
  <c r="D233" i="237"/>
  <c r="D257" i="238" s="1"/>
  <c r="G257" i="238" s="1"/>
  <c r="D232" i="237"/>
  <c r="D256" i="238" s="1"/>
  <c r="G256" i="238" s="1"/>
  <c r="D231" i="237"/>
  <c r="D255" i="238" s="1"/>
  <c r="G255" i="238" s="1"/>
  <c r="D230" i="237"/>
  <c r="D254" i="238" s="1"/>
  <c r="G254" i="238" s="1"/>
  <c r="D229" i="237"/>
  <c r="D253" i="238" s="1"/>
  <c r="G253" i="238" s="1"/>
  <c r="D228" i="237"/>
  <c r="D251" i="238" s="1"/>
  <c r="G251" i="238" s="1"/>
  <c r="D227" i="237"/>
  <c r="D250" i="238" s="1"/>
  <c r="G250" i="238" s="1"/>
  <c r="D226" i="237"/>
  <c r="D249" i="238" s="1"/>
  <c r="G249" i="238" s="1"/>
  <c r="D224" i="237"/>
  <c r="D247" i="238" s="1"/>
  <c r="G247" i="238" s="1"/>
  <c r="D223" i="237"/>
  <c r="D246" i="238" s="1"/>
  <c r="G246" i="238" s="1"/>
  <c r="D222" i="237"/>
  <c r="D245" i="238" s="1"/>
  <c r="G245" i="238" s="1"/>
  <c r="D221" i="237"/>
  <c r="D244" i="238" s="1"/>
  <c r="G244" i="238" s="1"/>
  <c r="D220" i="237"/>
  <c r="D243" i="238" s="1"/>
  <c r="G243" i="238" s="1"/>
  <c r="D219" i="237"/>
  <c r="D242" i="238" s="1"/>
  <c r="G242" i="238" s="1"/>
  <c r="D218" i="237"/>
  <c r="D241" i="238" s="1"/>
  <c r="G241" i="238" s="1"/>
  <c r="D217" i="237"/>
  <c r="D240" i="238" s="1"/>
  <c r="G240" i="238" s="1"/>
  <c r="D216" i="237"/>
  <c r="D239" i="238" s="1"/>
  <c r="G239" i="238" s="1"/>
  <c r="D215" i="237"/>
  <c r="D238" i="238" s="1"/>
  <c r="G238" i="238" s="1"/>
  <c r="D214" i="237"/>
  <c r="D237" i="238" s="1"/>
  <c r="G237" i="238" s="1"/>
  <c r="D213" i="237"/>
  <c r="D236" i="238" s="1"/>
  <c r="G236" i="238" s="1"/>
  <c r="D212" i="237"/>
  <c r="D235" i="238" s="1"/>
  <c r="G235" i="238" s="1"/>
  <c r="D211" i="237"/>
  <c r="D234" i="238" s="1"/>
  <c r="G234" i="238" s="1"/>
  <c r="D210" i="237"/>
  <c r="D233" i="238" s="1"/>
  <c r="G233" i="238" s="1"/>
  <c r="D208" i="237"/>
  <c r="D230" i="238" s="1"/>
  <c r="G230" i="238" s="1"/>
  <c r="D207" i="237"/>
  <c r="D229" i="238" s="1"/>
  <c r="G229" i="238" s="1"/>
  <c r="D206" i="237"/>
  <c r="D228" i="238" s="1"/>
  <c r="G228" i="238" s="1"/>
  <c r="D205" i="237"/>
  <c r="D227" i="238" s="1"/>
  <c r="G227" i="238" s="1"/>
  <c r="D204" i="237"/>
  <c r="D226" i="238" s="1"/>
  <c r="G226" i="238" s="1"/>
  <c r="D203" i="237"/>
  <c r="D225" i="238" s="1"/>
  <c r="G225" i="238" s="1"/>
  <c r="D202" i="237"/>
  <c r="D224" i="238" s="1"/>
  <c r="G224" i="238" s="1"/>
  <c r="D201" i="237"/>
  <c r="D223" i="238" s="1"/>
  <c r="G223" i="238" s="1"/>
  <c r="D200" i="237"/>
  <c r="D222" i="238" s="1"/>
  <c r="G222" i="238" s="1"/>
  <c r="D199" i="237"/>
  <c r="D221" i="238" s="1"/>
  <c r="G221" i="238" s="1"/>
  <c r="D198" i="237"/>
  <c r="D220" i="238" s="1"/>
  <c r="G220" i="238" s="1"/>
  <c r="D197" i="237"/>
  <c r="D219" i="238" s="1"/>
  <c r="G219" i="238" s="1"/>
  <c r="D196" i="237"/>
  <c r="D218" i="238" s="1"/>
  <c r="G218" i="238" s="1"/>
  <c r="D195" i="237"/>
  <c r="D217" i="238" s="1"/>
  <c r="G217" i="238" s="1"/>
  <c r="D194" i="237"/>
  <c r="D216" i="238" s="1"/>
  <c r="G216" i="238" s="1"/>
  <c r="D193" i="237"/>
  <c r="D215" i="238" s="1"/>
  <c r="G215" i="238" s="1"/>
  <c r="D192" i="237"/>
  <c r="D214" i="238" s="1"/>
  <c r="G214" i="238" s="1"/>
  <c r="D191" i="237"/>
  <c r="D213" i="238" s="1"/>
  <c r="G213" i="238" s="1"/>
  <c r="D190" i="237"/>
  <c r="D212" i="238" s="1"/>
  <c r="G212" i="238" s="1"/>
  <c r="D189" i="237"/>
  <c r="D211" i="238" s="1"/>
  <c r="G211" i="238" s="1"/>
  <c r="D188" i="237"/>
  <c r="D210" i="238" s="1"/>
  <c r="G210" i="238" s="1"/>
  <c r="D187" i="237"/>
  <c r="D209" i="238" s="1"/>
  <c r="G209" i="238" s="1"/>
  <c r="D186" i="237"/>
  <c r="D208" i="238" s="1"/>
  <c r="G208" i="238" s="1"/>
  <c r="D185" i="237"/>
  <c r="D207" i="238" s="1"/>
  <c r="G207" i="238" s="1"/>
  <c r="D184" i="237"/>
  <c r="D206" i="238" s="1"/>
  <c r="G206" i="238" s="1"/>
  <c r="D183" i="237"/>
  <c r="D205" i="238" s="1"/>
  <c r="G205" i="238" s="1"/>
  <c r="D182" i="237"/>
  <c r="D204" i="238" s="1"/>
  <c r="G204" i="238" s="1"/>
  <c r="D181" i="237"/>
  <c r="D203" i="238" s="1"/>
  <c r="G203" i="238" s="1"/>
  <c r="D180" i="237"/>
  <c r="D202" i="238" s="1"/>
  <c r="G202" i="238" s="1"/>
  <c r="D179" i="237"/>
  <c r="D201" i="238" s="1"/>
  <c r="G201" i="238" s="1"/>
  <c r="D178" i="237"/>
  <c r="D200" i="238" s="1"/>
  <c r="G200" i="238" s="1"/>
  <c r="D177" i="237"/>
  <c r="D199" i="238" s="1"/>
  <c r="G199" i="238" s="1"/>
  <c r="D176" i="237"/>
  <c r="D198" i="238" s="1"/>
  <c r="G198" i="238" s="1"/>
  <c r="D175" i="237"/>
  <c r="D197" i="238" s="1"/>
  <c r="G197" i="238" s="1"/>
  <c r="D174" i="237"/>
  <c r="D196" i="238" s="1"/>
  <c r="G196" i="238" s="1"/>
  <c r="D173" i="237"/>
  <c r="D195" i="238" s="1"/>
  <c r="G195" i="238" s="1"/>
  <c r="D172" i="237"/>
  <c r="D194" i="238" s="1"/>
  <c r="G194" i="238" s="1"/>
  <c r="D171" i="237"/>
  <c r="D193" i="238" s="1"/>
  <c r="G193" i="238" s="1"/>
  <c r="D170" i="237"/>
  <c r="D192" i="238" s="1"/>
  <c r="G192" i="238" s="1"/>
  <c r="D169" i="237"/>
  <c r="D191" i="238" s="1"/>
  <c r="G191" i="238" s="1"/>
  <c r="D168" i="237"/>
  <c r="D190" i="238" s="1"/>
  <c r="G190" i="238" s="1"/>
  <c r="D167" i="237"/>
  <c r="D189" i="238" s="1"/>
  <c r="G189" i="238" s="1"/>
  <c r="D166" i="237"/>
  <c r="D188" i="238" s="1"/>
  <c r="G188" i="238" s="1"/>
  <c r="D165" i="237"/>
  <c r="D187" i="238" s="1"/>
  <c r="G187" i="238" s="1"/>
  <c r="D164" i="237"/>
  <c r="D186" i="238" s="1"/>
  <c r="G186" i="238" s="1"/>
  <c r="D163" i="237"/>
  <c r="D185" i="238" s="1"/>
  <c r="G185" i="238" s="1"/>
  <c r="D162" i="237"/>
  <c r="D184" i="238" s="1"/>
  <c r="G184" i="238" s="1"/>
  <c r="D161" i="237"/>
  <c r="D182" i="238" s="1"/>
  <c r="G182" i="238" s="1"/>
  <c r="D160" i="237"/>
  <c r="D181" i="238" s="1"/>
  <c r="G181" i="238" s="1"/>
  <c r="D159" i="237"/>
  <c r="D180" i="238" s="1"/>
  <c r="G180" i="238" s="1"/>
  <c r="D158" i="237"/>
  <c r="D179" i="238" s="1"/>
  <c r="G179" i="238" s="1"/>
  <c r="D157" i="237"/>
  <c r="D177" i="238" s="1"/>
  <c r="G177" i="238" s="1"/>
  <c r="D156" i="237"/>
  <c r="D176" i="238" s="1"/>
  <c r="G176" i="238" s="1"/>
  <c r="D155" i="237"/>
  <c r="D175" i="238" s="1"/>
  <c r="G175" i="238" s="1"/>
  <c r="D154" i="237"/>
  <c r="D174" i="238" s="1"/>
  <c r="G174" i="238" s="1"/>
  <c r="D153" i="237"/>
  <c r="D173" i="238" s="1"/>
  <c r="G173" i="238" s="1"/>
  <c r="D152" i="237"/>
  <c r="D172" i="238" s="1"/>
  <c r="G172" i="238" s="1"/>
  <c r="D151" i="237"/>
  <c r="D171" i="238" s="1"/>
  <c r="G171" i="238" s="1"/>
  <c r="D150" i="237"/>
  <c r="D169" i="238" s="1"/>
  <c r="G169" i="238" s="1"/>
  <c r="D149" i="237"/>
  <c r="D167" i="238" s="1"/>
  <c r="G167" i="238" s="1"/>
  <c r="D148" i="237"/>
  <c r="D165" i="238" s="1"/>
  <c r="G165" i="238" s="1"/>
  <c r="D147" i="237"/>
  <c r="D164" i="238" s="1"/>
  <c r="G164" i="238" s="1"/>
  <c r="D146" i="237"/>
  <c r="D163" i="238" s="1"/>
  <c r="G163" i="238" s="1"/>
  <c r="D145" i="237"/>
  <c r="D161" i="238" s="1"/>
  <c r="G161" i="238" s="1"/>
  <c r="D144" i="237"/>
  <c r="D160" i="238" s="1"/>
  <c r="G160" i="238" s="1"/>
  <c r="D143" i="237"/>
  <c r="D159" i="238" s="1"/>
  <c r="G159" i="238" s="1"/>
  <c r="D142" i="237"/>
  <c r="D158" i="238" s="1"/>
  <c r="G158" i="238" s="1"/>
  <c r="D141" i="237"/>
  <c r="D156" i="238" s="1"/>
  <c r="G156" i="238" s="1"/>
  <c r="D140" i="237"/>
  <c r="D155" i="238" s="1"/>
  <c r="G155" i="238" s="1"/>
  <c r="D139" i="237"/>
  <c r="D154" i="238" s="1"/>
  <c r="G154" i="238" s="1"/>
  <c r="D138" i="237"/>
  <c r="D153" i="238" s="1"/>
  <c r="G153" i="238" s="1"/>
  <c r="D137" i="237"/>
  <c r="D152" i="238" s="1"/>
  <c r="G152" i="238" s="1"/>
  <c r="D136" i="237"/>
  <c r="D151" i="238" s="1"/>
  <c r="G151" i="238" s="1"/>
  <c r="D135" i="237"/>
  <c r="D150" i="238" s="1"/>
  <c r="G150" i="238" s="1"/>
  <c r="D134" i="237"/>
  <c r="D149" i="238" s="1"/>
  <c r="G149" i="238" s="1"/>
  <c r="D133" i="237"/>
  <c r="D148" i="238" s="1"/>
  <c r="G148" i="238" s="1"/>
  <c r="D132" i="237"/>
  <c r="D147" i="238" s="1"/>
  <c r="G147" i="238" s="1"/>
  <c r="D131" i="237"/>
  <c r="D146" i="238" s="1"/>
  <c r="G146" i="238" s="1"/>
  <c r="D130" i="237"/>
  <c r="D145" i="238" s="1"/>
  <c r="G145" i="238" s="1"/>
  <c r="D129" i="237"/>
  <c r="D144" i="238" s="1"/>
  <c r="G144" i="238" s="1"/>
  <c r="D128" i="237"/>
  <c r="D143" i="238" s="1"/>
  <c r="G143" i="238" s="1"/>
  <c r="D127" i="237"/>
  <c r="D142" i="238" s="1"/>
  <c r="G142" i="238" s="1"/>
  <c r="D126" i="237"/>
  <c r="D141" i="238" s="1"/>
  <c r="G141" i="238" s="1"/>
  <c r="D125" i="237"/>
  <c r="D140" i="238" s="1"/>
  <c r="G140" i="238" s="1"/>
  <c r="D124" i="237"/>
  <c r="D139" i="238" s="1"/>
  <c r="G139" i="238" s="1"/>
  <c r="D123" i="237"/>
  <c r="D137" i="238" s="1"/>
  <c r="G137" i="238" s="1"/>
  <c r="D122" i="237"/>
  <c r="D136" i="238" s="1"/>
  <c r="G136" i="238" s="1"/>
  <c r="D121" i="237"/>
  <c r="D135" i="238" s="1"/>
  <c r="G135" i="238" s="1"/>
  <c r="D120" i="237"/>
  <c r="D134" i="238" s="1"/>
  <c r="G134" i="238" s="1"/>
  <c r="D119" i="237"/>
  <c r="D133" i="238" s="1"/>
  <c r="G133" i="238" s="1"/>
  <c r="D118" i="237"/>
  <c r="D132" i="238" s="1"/>
  <c r="G132" i="238" s="1"/>
  <c r="D117" i="237"/>
  <c r="D131" i="238" s="1"/>
  <c r="G131" i="238" s="1"/>
  <c r="D116" i="237"/>
  <c r="D129" i="238" s="1"/>
  <c r="G129" i="238" s="1"/>
  <c r="D115" i="237"/>
  <c r="D128" i="238" s="1"/>
  <c r="G128" i="238" s="1"/>
  <c r="D114" i="237"/>
  <c r="D127" i="238" s="1"/>
  <c r="G127" i="238" s="1"/>
  <c r="D113" i="237"/>
  <c r="D126" i="238" s="1"/>
  <c r="G126" i="238" s="1"/>
  <c r="D112" i="237"/>
  <c r="D125" i="238" s="1"/>
  <c r="G125" i="238" s="1"/>
  <c r="D111" i="237"/>
  <c r="D124" i="238" s="1"/>
  <c r="G124" i="238" s="1"/>
  <c r="D110" i="237"/>
  <c r="D123" i="238" s="1"/>
  <c r="G123" i="238" s="1"/>
  <c r="D109" i="237"/>
  <c r="D122" i="238" s="1"/>
  <c r="G122" i="238" s="1"/>
  <c r="D108" i="237"/>
  <c r="D121" i="238" s="1"/>
  <c r="G121" i="238" s="1"/>
  <c r="D107" i="237"/>
  <c r="D118" i="238" s="1"/>
  <c r="G118" i="238" s="1"/>
  <c r="D106" i="237"/>
  <c r="D117" i="238" s="1"/>
  <c r="G117" i="238" s="1"/>
  <c r="D105" i="237"/>
  <c r="D116" i="238" s="1"/>
  <c r="G116" i="238" s="1"/>
  <c r="D104" i="237"/>
  <c r="D115" i="238" s="1"/>
  <c r="G115" i="238" s="1"/>
  <c r="D103" i="237"/>
  <c r="D114" i="238" s="1"/>
  <c r="G114" i="238" s="1"/>
  <c r="D102" i="237"/>
  <c r="D113" i="238" s="1"/>
  <c r="G113" i="238" s="1"/>
  <c r="D101" i="237"/>
  <c r="D112" i="238" s="1"/>
  <c r="G112" i="238" s="1"/>
  <c r="D100" i="237"/>
  <c r="D111" i="238" s="1"/>
  <c r="G111" i="238" s="1"/>
  <c r="D99" i="237"/>
  <c r="D110" i="238" s="1"/>
  <c r="G110" i="238" s="1"/>
  <c r="D98" i="237"/>
  <c r="D109" i="238" s="1"/>
  <c r="G109" i="238" s="1"/>
  <c r="D97" i="237"/>
  <c r="D108" i="238" s="1"/>
  <c r="G108" i="238" s="1"/>
  <c r="D96" i="237"/>
  <c r="D107" i="238" s="1"/>
  <c r="G107" i="238" s="1"/>
  <c r="D94" i="237"/>
  <c r="D105" i="238" s="1"/>
  <c r="G105" i="238" s="1"/>
  <c r="D93" i="237"/>
  <c r="D104" i="238" s="1"/>
  <c r="G104" i="238" s="1"/>
  <c r="D92" i="237"/>
  <c r="D102" i="238" s="1"/>
  <c r="G102" i="238" s="1"/>
  <c r="D91" i="237"/>
  <c r="D101" i="238" s="1"/>
  <c r="G101" i="238" s="1"/>
  <c r="D88" i="237"/>
  <c r="D97" i="238" s="1"/>
  <c r="G97" i="238" s="1"/>
  <c r="D87" i="237"/>
  <c r="D96" i="238" s="1"/>
  <c r="G96" i="238" s="1"/>
  <c r="D86" i="237"/>
  <c r="D95" i="238" s="1"/>
  <c r="G95" i="238" s="1"/>
  <c r="D85" i="237"/>
  <c r="D94" i="238" s="1"/>
  <c r="G94" i="238" s="1"/>
  <c r="D84" i="237"/>
  <c r="D93" i="238" s="1"/>
  <c r="G93" i="238" s="1"/>
  <c r="D82" i="237"/>
  <c r="D91" i="238" s="1"/>
  <c r="G91" i="238" s="1"/>
  <c r="D81" i="237"/>
  <c r="D90" i="238" s="1"/>
  <c r="G90" i="238" s="1"/>
  <c r="D80" i="237"/>
  <c r="D89" i="238" s="1"/>
  <c r="G89" i="238" s="1"/>
  <c r="D79" i="237"/>
  <c r="D88" i="238" s="1"/>
  <c r="G88" i="238" s="1"/>
  <c r="D78" i="237"/>
  <c r="D87" i="238" s="1"/>
  <c r="G87" i="238" s="1"/>
  <c r="D76" i="237"/>
  <c r="D84" i="238" s="1"/>
  <c r="G84" i="238" s="1"/>
  <c r="D75" i="237"/>
  <c r="D83" i="238" s="1"/>
  <c r="G83" i="238" s="1"/>
  <c r="D72" i="237"/>
  <c r="D79" i="238" s="1"/>
  <c r="G79" i="238" s="1"/>
  <c r="D71" i="237"/>
  <c r="D78" i="238" s="1"/>
  <c r="G78" i="238" s="1"/>
  <c r="D70" i="237"/>
  <c r="D76" i="238" s="1"/>
  <c r="G76" i="238" s="1"/>
  <c r="D69" i="237"/>
  <c r="D75" i="238" s="1"/>
  <c r="G75" i="238" s="1"/>
  <c r="D68" i="237"/>
  <c r="D74" i="238" s="1"/>
  <c r="G74" i="238" s="1"/>
  <c r="D66" i="237"/>
  <c r="D72" i="238" s="1"/>
  <c r="G72" i="238" s="1"/>
  <c r="D65" i="237"/>
  <c r="D71" i="238" s="1"/>
  <c r="G71" i="238" s="1"/>
  <c r="D64" i="237"/>
  <c r="D70" i="238" s="1"/>
  <c r="G70" i="238" s="1"/>
  <c r="D63" i="237"/>
  <c r="D69" i="238" s="1"/>
  <c r="G69" i="238" s="1"/>
  <c r="D62" i="237"/>
  <c r="D68" i="238" s="1"/>
  <c r="G68" i="238" s="1"/>
  <c r="D61" i="237"/>
  <c r="D67" i="238" s="1"/>
  <c r="G67" i="238" s="1"/>
  <c r="D60" i="237"/>
  <c r="D66" i="238" s="1"/>
  <c r="G66" i="238" s="1"/>
  <c r="D59" i="237"/>
  <c r="D65" i="238" s="1"/>
  <c r="G65" i="238" s="1"/>
  <c r="D58" i="237"/>
  <c r="D64" i="238" s="1"/>
  <c r="G64" i="238" s="1"/>
  <c r="D57" i="237"/>
  <c r="D63" i="238" s="1"/>
  <c r="G63" i="238" s="1"/>
  <c r="D56" i="237"/>
  <c r="D62" i="238" s="1"/>
  <c r="G62" i="238" s="1"/>
  <c r="D55" i="237"/>
  <c r="D61" i="238" s="1"/>
  <c r="G61" i="238" s="1"/>
  <c r="D54" i="237"/>
  <c r="D60" i="238" s="1"/>
  <c r="G60" i="238" s="1"/>
  <c r="D53" i="237"/>
  <c r="D59" i="238" s="1"/>
  <c r="G59" i="238" s="1"/>
  <c r="D52" i="237"/>
  <c r="D58" i="238" s="1"/>
  <c r="G58" i="238" s="1"/>
  <c r="D51" i="237"/>
  <c r="D57" i="238" s="1"/>
  <c r="G57" i="238" s="1"/>
  <c r="D50" i="237"/>
  <c r="D56" i="238" s="1"/>
  <c r="G56" i="238" s="1"/>
  <c r="D49" i="237"/>
  <c r="D55" i="238" s="1"/>
  <c r="G55" i="238" s="1"/>
  <c r="D48" i="237"/>
  <c r="D54" i="238" s="1"/>
  <c r="G54" i="238" s="1"/>
  <c r="D47" i="237"/>
  <c r="D53" i="238" s="1"/>
  <c r="G53" i="238" s="1"/>
  <c r="D46" i="237"/>
  <c r="D52" i="238" s="1"/>
  <c r="G52" i="238" s="1"/>
  <c r="D45" i="237"/>
  <c r="D51" i="238" s="1"/>
  <c r="G51" i="238" s="1"/>
  <c r="D44" i="237"/>
  <c r="D50" i="238" s="1"/>
  <c r="G50" i="238" s="1"/>
  <c r="D43" i="237"/>
  <c r="D49" i="238" s="1"/>
  <c r="G49" i="238" s="1"/>
  <c r="D42" i="237"/>
  <c r="D47" i="238" s="1"/>
  <c r="G47" i="238" s="1"/>
  <c r="D41" i="237"/>
  <c r="D45" i="238" s="1"/>
  <c r="G45" i="238" s="1"/>
  <c r="D40" i="237"/>
  <c r="D44" i="238" s="1"/>
  <c r="G44" i="238" s="1"/>
  <c r="D39" i="237"/>
  <c r="D43" i="238" s="1"/>
  <c r="G43" i="238" s="1"/>
  <c r="D38" i="237"/>
  <c r="D42" i="238" s="1"/>
  <c r="G42" i="238" s="1"/>
  <c r="D37" i="237"/>
  <c r="D41" i="238" s="1"/>
  <c r="G41" i="238" s="1"/>
  <c r="D36" i="237"/>
  <c r="D39" i="238" s="1"/>
  <c r="G39" i="238" s="1"/>
  <c r="D35" i="237"/>
  <c r="D38" i="238" s="1"/>
  <c r="G38" i="238" s="1"/>
  <c r="D34" i="237"/>
  <c r="D37" i="238" s="1"/>
  <c r="G37" i="238" s="1"/>
  <c r="D33" i="237"/>
  <c r="D36" i="238" s="1"/>
  <c r="G36" i="238" s="1"/>
  <c r="D32" i="237"/>
  <c r="D35" i="238" s="1"/>
  <c r="G35" i="238" s="1"/>
  <c r="D31" i="237"/>
  <c r="D34" i="238" s="1"/>
  <c r="G34" i="238" s="1"/>
  <c r="D29" i="237"/>
  <c r="D32" i="238" s="1"/>
  <c r="G32" i="238" s="1"/>
  <c r="D28" i="237"/>
  <c r="D31" i="238" s="1"/>
  <c r="G31" i="238" s="1"/>
  <c r="D27" i="237"/>
  <c r="D30" i="238" s="1"/>
  <c r="G30" i="238" s="1"/>
  <c r="D26" i="237"/>
  <c r="D29" i="238" s="1"/>
  <c r="G29" i="238" s="1"/>
  <c r="D25" i="237"/>
  <c r="D28" i="238" s="1"/>
  <c r="G28" i="238" s="1"/>
  <c r="D24" i="237"/>
  <c r="D27" i="238" s="1"/>
  <c r="G27" i="238" s="1"/>
  <c r="D23" i="237"/>
  <c r="D26" i="238" s="1"/>
  <c r="G26" i="238" s="1"/>
  <c r="D22" i="237"/>
  <c r="D25" i="238" s="1"/>
  <c r="G25" i="238" s="1"/>
  <c r="D21" i="237"/>
  <c r="D24" i="238" s="1"/>
  <c r="G24" i="238" s="1"/>
  <c r="D20" i="237"/>
  <c r="D23" i="238" s="1"/>
  <c r="G23" i="238" s="1"/>
  <c r="D19" i="237"/>
  <c r="D21" i="238" s="1"/>
  <c r="G21" i="238" s="1"/>
  <c r="D18" i="237"/>
  <c r="D20" i="238" s="1"/>
  <c r="G20" i="238" s="1"/>
  <c r="D17" i="237"/>
  <c r="D19" i="238" s="1"/>
  <c r="G19" i="238" s="1"/>
  <c r="D16" i="237"/>
  <c r="D18" i="238" s="1"/>
  <c r="G18" i="238" s="1"/>
  <c r="D15" i="237"/>
  <c r="D17" i="238" s="1"/>
  <c r="G17" i="238" s="1"/>
  <c r="D14" i="237"/>
  <c r="D16" i="238" s="1"/>
  <c r="G16" i="238" s="1"/>
  <c r="D13" i="237"/>
  <c r="D15" i="238" s="1"/>
  <c r="G15" i="238" s="1"/>
  <c r="D12" i="237"/>
  <c r="D14" i="238" s="1"/>
  <c r="G14" i="238" s="1"/>
  <c r="D11" i="237"/>
  <c r="D13" i="238" s="1"/>
  <c r="G13" i="238" s="1"/>
  <c r="D10" i="237"/>
  <c r="D12" i="238" s="1"/>
  <c r="G12" i="238" s="1"/>
  <c r="D9" i="237"/>
  <c r="D11" i="238" s="1"/>
  <c r="G11" i="238" s="1"/>
  <c r="D8" i="237"/>
  <c r="D9" i="238" s="1"/>
  <c r="G9" i="238" s="1"/>
  <c r="H9" i="32"/>
  <c r="G9" i="32"/>
  <c r="G8" i="32"/>
  <c r="G7" i="32"/>
  <c r="F9" i="32"/>
  <c r="E9" i="32"/>
  <c r="D606" i="238" l="1"/>
  <c r="H80" i="240"/>
  <c r="G53" i="241"/>
  <c r="D567" i="237"/>
  <c r="D569" i="237"/>
  <c r="I105" i="242" s="1"/>
  <c r="D92" i="238"/>
  <c r="G92" i="238" s="1"/>
  <c r="AD13" i="240"/>
  <c r="I10" i="12"/>
  <c r="I8" i="12"/>
  <c r="N9" i="2"/>
  <c r="N8" i="2"/>
  <c r="N10" i="2"/>
  <c r="I102" i="2"/>
  <c r="I83" i="2"/>
  <c r="I82" i="2"/>
  <c r="I63" i="2"/>
  <c r="W66" i="241"/>
  <c r="W55" i="241"/>
  <c r="W61" i="241"/>
  <c r="W64" i="241"/>
  <c r="W63" i="241"/>
  <c r="W62" i="241"/>
  <c r="W59" i="241"/>
  <c r="W57" i="241"/>
  <c r="W53" i="241"/>
  <c r="W52" i="241"/>
  <c r="W51" i="241"/>
  <c r="W50" i="241"/>
  <c r="W49" i="241"/>
  <c r="W48" i="241"/>
  <c r="W47" i="241"/>
  <c r="W46" i="241"/>
  <c r="W44" i="241"/>
  <c r="W40" i="241"/>
  <c r="W42" i="241"/>
  <c r="W38" i="241"/>
  <c r="W37" i="241"/>
  <c r="W36" i="241"/>
  <c r="W35" i="241"/>
  <c r="W34" i="241"/>
  <c r="W33" i="241"/>
  <c r="W32" i="241"/>
  <c r="W30" i="241"/>
  <c r="W29" i="241"/>
  <c r="W28" i="241"/>
  <c r="W27" i="241"/>
  <c r="W26" i="241"/>
  <c r="W25" i="241"/>
  <c r="W24" i="241"/>
  <c r="W23" i="241"/>
  <c r="W22" i="241"/>
  <c r="W21" i="241"/>
  <c r="W20" i="241"/>
  <c r="W19" i="241"/>
  <c r="W17" i="241"/>
  <c r="W15" i="241"/>
  <c r="W13" i="241"/>
  <c r="W11" i="241"/>
  <c r="I46" i="2"/>
  <c r="I36" i="2"/>
  <c r="I24" i="2"/>
  <c r="Y19" i="240"/>
  <c r="Y25" i="240"/>
  <c r="Y33" i="240"/>
  <c r="Y41" i="240"/>
  <c r="Y53" i="240"/>
  <c r="Y67" i="240"/>
  <c r="Y71" i="240"/>
  <c r="Y75" i="240"/>
  <c r="Y80" i="240"/>
  <c r="Y79" i="240"/>
  <c r="Y78" i="240"/>
  <c r="Y77" i="240"/>
  <c r="Y76" i="240"/>
  <c r="Y73" i="240"/>
  <c r="Y72" i="240"/>
  <c r="Y69" i="240"/>
  <c r="Y68" i="240"/>
  <c r="Y62" i="240"/>
  <c r="Y61" i="240"/>
  <c r="Y60" i="240"/>
  <c r="Y59" i="240"/>
  <c r="Y58" i="240"/>
  <c r="Y57" i="240"/>
  <c r="Y56" i="240"/>
  <c r="Y55" i="240"/>
  <c r="Y54" i="240"/>
  <c r="Y51" i="240"/>
  <c r="Y50" i="240"/>
  <c r="Y49" i="240"/>
  <c r="Y48" i="240"/>
  <c r="Y47" i="240"/>
  <c r="Y46" i="240"/>
  <c r="Y45" i="240"/>
  <c r="Y44" i="240"/>
  <c r="Y43" i="240"/>
  <c r="Y42" i="240"/>
  <c r="Y35" i="240"/>
  <c r="Y34" i="240"/>
  <c r="Y32" i="240"/>
  <c r="Y31" i="240"/>
  <c r="Y27" i="240"/>
  <c r="Y26" i="240"/>
  <c r="Y23" i="240"/>
  <c r="Y21" i="240"/>
  <c r="Y20" i="240"/>
  <c r="Y17" i="240"/>
  <c r="Y15" i="240"/>
  <c r="Y13" i="240"/>
  <c r="J99" i="242"/>
  <c r="W89" i="242"/>
  <c r="U89" i="242"/>
  <c r="N89" i="242"/>
  <c r="M89" i="242"/>
  <c r="K89" i="242"/>
  <c r="V81" i="242"/>
  <c r="V76" i="242"/>
  <c r="V74" i="242" s="1"/>
  <c r="X74" i="242"/>
  <c r="W74" i="242"/>
  <c r="U74" i="242"/>
  <c r="T74" i="242"/>
  <c r="S74" i="242"/>
  <c r="O74" i="242"/>
  <c r="N74" i="242"/>
  <c r="M74" i="242"/>
  <c r="K74" i="242"/>
  <c r="J74" i="242"/>
  <c r="S70" i="242"/>
  <c r="M70" i="242"/>
  <c r="O68" i="242"/>
  <c r="N68" i="242"/>
  <c r="M68" i="242"/>
  <c r="M52" i="242" s="1"/>
  <c r="L68" i="242"/>
  <c r="J68" i="242"/>
  <c r="X62" i="242"/>
  <c r="W62" i="242"/>
  <c r="V62" i="242"/>
  <c r="U62" i="242"/>
  <c r="U52" i="242" s="1"/>
  <c r="T62" i="242"/>
  <c r="S62" i="242"/>
  <c r="O62" i="242"/>
  <c r="O52" i="242" s="1"/>
  <c r="N62" i="242"/>
  <c r="P60" i="242"/>
  <c r="X58" i="242"/>
  <c r="W58" i="242"/>
  <c r="V58" i="242"/>
  <c r="U58" i="242"/>
  <c r="T58" i="242"/>
  <c r="S58" i="242"/>
  <c r="O58" i="242"/>
  <c r="N58" i="242"/>
  <c r="M58" i="242"/>
  <c r="M56" i="242"/>
  <c r="J54" i="242"/>
  <c r="X54" i="242"/>
  <c r="W54" i="242"/>
  <c r="V54" i="242"/>
  <c r="U54" i="242"/>
  <c r="T54" i="242"/>
  <c r="S54" i="242"/>
  <c r="S52" i="242" s="1"/>
  <c r="O54" i="242"/>
  <c r="K54" i="242"/>
  <c r="V52" i="242"/>
  <c r="V50" i="242"/>
  <c r="V47" i="242" s="1"/>
  <c r="X47" i="242"/>
  <c r="W47" i="242"/>
  <c r="U47" i="242"/>
  <c r="T47" i="242"/>
  <c r="S47" i="242"/>
  <c r="O47" i="242"/>
  <c r="N47" i="242"/>
  <c r="M47" i="242"/>
  <c r="K47" i="242"/>
  <c r="J47" i="242"/>
  <c r="M45" i="242"/>
  <c r="R41" i="242"/>
  <c r="S36" i="242"/>
  <c r="X35" i="242"/>
  <c r="W35" i="242"/>
  <c r="V35" i="242"/>
  <c r="T35" i="242"/>
  <c r="O35" i="242"/>
  <c r="N35" i="242"/>
  <c r="M35" i="242"/>
  <c r="K35" i="242"/>
  <c r="J35" i="242"/>
  <c r="O30" i="242"/>
  <c r="X30" i="242"/>
  <c r="T31" i="242"/>
  <c r="W30" i="242"/>
  <c r="V30" i="242"/>
  <c r="U30" i="242"/>
  <c r="N30" i="242"/>
  <c r="M30" i="242"/>
  <c r="K30" i="242"/>
  <c r="W26" i="242"/>
  <c r="V25" i="242"/>
  <c r="K26" i="242"/>
  <c r="X25" i="242"/>
  <c r="U25" i="242"/>
  <c r="S25" i="242"/>
  <c r="O25" i="242"/>
  <c r="N25" i="242"/>
  <c r="M25" i="242"/>
  <c r="K25" i="242"/>
  <c r="J25" i="242"/>
  <c r="AC24" i="242"/>
  <c r="J17" i="242"/>
  <c r="X17" i="242"/>
  <c r="W17" i="242"/>
  <c r="V17" i="242"/>
  <c r="U17" i="242"/>
  <c r="T17" i="242"/>
  <c r="O17" i="242"/>
  <c r="N17" i="242"/>
  <c r="M17" i="242"/>
  <c r="X12" i="242"/>
  <c r="W12" i="242"/>
  <c r="V12" i="242"/>
  <c r="V10" i="242" s="1"/>
  <c r="V72" i="242" s="1"/>
  <c r="V83" i="242" s="1"/>
  <c r="V89" i="242" s="1"/>
  <c r="V101" i="242" s="1"/>
  <c r="U12" i="242"/>
  <c r="T12" i="242"/>
  <c r="S12" i="242"/>
  <c r="O12" i="242"/>
  <c r="N12" i="242"/>
  <c r="M12" i="242"/>
  <c r="K12" i="242"/>
  <c r="J12" i="242"/>
  <c r="U10" i="242"/>
  <c r="U72" i="242" s="1"/>
  <c r="N10" i="242"/>
  <c r="Y7" i="242"/>
  <c r="AA7" i="242" s="1"/>
  <c r="I7" i="242"/>
  <c r="L72" i="241"/>
  <c r="L71" i="241"/>
  <c r="X66" i="241"/>
  <c r="AA62" i="241"/>
  <c r="U61" i="241"/>
  <c r="S61" i="241"/>
  <c r="S55" i="241" s="1"/>
  <c r="R61" i="241"/>
  <c r="R55" i="241" s="1"/>
  <c r="P61" i="241"/>
  <c r="N61" i="241"/>
  <c r="N55" i="241" s="1"/>
  <c r="M61" i="241"/>
  <c r="M55" i="241" s="1"/>
  <c r="K61" i="241"/>
  <c r="K55" i="241" s="1"/>
  <c r="J61" i="241"/>
  <c r="I61" i="241"/>
  <c r="I55" i="241" s="1"/>
  <c r="H61" i="241"/>
  <c r="H55" i="241" s="1"/>
  <c r="AA59" i="241"/>
  <c r="AA57" i="241"/>
  <c r="U55" i="241"/>
  <c r="P55" i="241"/>
  <c r="J55" i="241"/>
  <c r="R53" i="241"/>
  <c r="H53" i="241"/>
  <c r="Q50" i="241"/>
  <c r="AA48" i="241"/>
  <c r="T46" i="241"/>
  <c r="S46" i="241"/>
  <c r="S44" i="241" s="1"/>
  <c r="S40" i="241" s="1"/>
  <c r="R46" i="241"/>
  <c r="Q46" i="241"/>
  <c r="P46" i="241"/>
  <c r="P44" i="241" s="1"/>
  <c r="P40" i="241" s="1"/>
  <c r="N46" i="241"/>
  <c r="N44" i="241" s="1"/>
  <c r="N40" i="241" s="1"/>
  <c r="M46" i="241"/>
  <c r="K46" i="241"/>
  <c r="J46" i="241"/>
  <c r="I46" i="241"/>
  <c r="I44" i="241" s="1"/>
  <c r="I40" i="241" s="1"/>
  <c r="H46" i="241"/>
  <c r="U44" i="241"/>
  <c r="U40" i="241" s="1"/>
  <c r="R44" i="241"/>
  <c r="R40" i="241" s="1"/>
  <c r="M44" i="241"/>
  <c r="K44" i="241"/>
  <c r="K40" i="241" s="1"/>
  <c r="H44" i="241"/>
  <c r="M40" i="241"/>
  <c r="H40" i="241"/>
  <c r="X38" i="241"/>
  <c r="X37" i="241"/>
  <c r="T35" i="241"/>
  <c r="S35" i="241"/>
  <c r="S32" i="241" s="1"/>
  <c r="R35" i="241"/>
  <c r="Q35" i="241"/>
  <c r="Q32" i="241" s="1"/>
  <c r="P35" i="241"/>
  <c r="P32" i="241" s="1"/>
  <c r="N35" i="241"/>
  <c r="N32" i="241" s="1"/>
  <c r="M35" i="241"/>
  <c r="K35" i="241"/>
  <c r="K32" i="241" s="1"/>
  <c r="J35" i="241"/>
  <c r="J32" i="241" s="1"/>
  <c r="I35" i="241"/>
  <c r="H35" i="241"/>
  <c r="L34" i="241"/>
  <c r="L32" i="241" s="1"/>
  <c r="T32" i="241"/>
  <c r="T17" i="241" s="1"/>
  <c r="R32" i="241"/>
  <c r="M32" i="241"/>
  <c r="I32" i="241"/>
  <c r="H32" i="241"/>
  <c r="Q27" i="241"/>
  <c r="N27" i="241"/>
  <c r="N19" i="241" s="1"/>
  <c r="M22" i="241"/>
  <c r="M21" i="241" s="1"/>
  <c r="M19" i="241" s="1"/>
  <c r="M17" i="241" s="1"/>
  <c r="T21" i="241"/>
  <c r="S21" i="241"/>
  <c r="S19" i="241" s="1"/>
  <c r="S17" i="241" s="1"/>
  <c r="R21" i="241"/>
  <c r="Q21" i="241"/>
  <c r="N21" i="241"/>
  <c r="K21" i="241"/>
  <c r="K19" i="241" s="1"/>
  <c r="K17" i="241" s="1"/>
  <c r="K11" i="241" s="1"/>
  <c r="K9" i="241" s="1"/>
  <c r="J21" i="241"/>
  <c r="I21" i="241"/>
  <c r="H21" i="241"/>
  <c r="H19" i="241" s="1"/>
  <c r="H17" i="241" s="1"/>
  <c r="H11" i="241" s="1"/>
  <c r="H9" i="241" s="1"/>
  <c r="T19" i="241"/>
  <c r="R19" i="241"/>
  <c r="R17" i="241" s="1"/>
  <c r="R11" i="241" s="1"/>
  <c r="R9" i="241" s="1"/>
  <c r="Q19" i="241"/>
  <c r="I19" i="241"/>
  <c r="I17" i="241" s="1"/>
  <c r="U17" i="241"/>
  <c r="N17" i="241"/>
  <c r="X15" i="241"/>
  <c r="G7" i="241"/>
  <c r="V7" i="241" s="1"/>
  <c r="X7" i="241" s="1"/>
  <c r="U80" i="240"/>
  <c r="K80" i="240"/>
  <c r="K75" i="240" s="1"/>
  <c r="I80" i="240"/>
  <c r="P78" i="240"/>
  <c r="W75" i="240"/>
  <c r="W65" i="240" s="1"/>
  <c r="V75" i="240"/>
  <c r="S75" i="240"/>
  <c r="R75" i="240"/>
  <c r="Q75" i="240"/>
  <c r="O75" i="240"/>
  <c r="O65" i="240" s="1"/>
  <c r="L75" i="240"/>
  <c r="J75" i="240"/>
  <c r="I75" i="240"/>
  <c r="W71" i="240"/>
  <c r="V71" i="240"/>
  <c r="T71" i="240"/>
  <c r="S71" i="240"/>
  <c r="R71" i="240"/>
  <c r="R65" i="240" s="1"/>
  <c r="Q71" i="240"/>
  <c r="O71" i="240"/>
  <c r="L71" i="240"/>
  <c r="K71" i="240"/>
  <c r="K65" i="240" s="1"/>
  <c r="J71" i="240"/>
  <c r="I71" i="240"/>
  <c r="W67" i="240"/>
  <c r="V67" i="240"/>
  <c r="V65" i="240" s="1"/>
  <c r="T67" i="240"/>
  <c r="S67" i="240"/>
  <c r="R67" i="240"/>
  <c r="Q67" i="240"/>
  <c r="Q65" i="240" s="1"/>
  <c r="O67" i="240"/>
  <c r="L67" i="240"/>
  <c r="K67" i="240"/>
  <c r="J67" i="240"/>
  <c r="I67" i="240"/>
  <c r="T65" i="240"/>
  <c r="I65" i="240"/>
  <c r="W60" i="240"/>
  <c r="R57" i="240"/>
  <c r="L60" i="240"/>
  <c r="V56" i="240"/>
  <c r="W55" i="240"/>
  <c r="V55" i="240"/>
  <c r="V53" i="240" s="1"/>
  <c r="T55" i="240"/>
  <c r="S55" i="240"/>
  <c r="R55" i="240"/>
  <c r="Q55" i="240"/>
  <c r="O55" i="240"/>
  <c r="L55" i="240"/>
  <c r="L53" i="240" s="1"/>
  <c r="K55" i="240"/>
  <c r="J55" i="240"/>
  <c r="I55" i="240"/>
  <c r="T53" i="240"/>
  <c r="S53" i="240"/>
  <c r="R53" i="240"/>
  <c r="Q53" i="240"/>
  <c r="O53" i="240"/>
  <c r="K53" i="240"/>
  <c r="J53" i="240"/>
  <c r="J39" i="240" s="1"/>
  <c r="I53" i="240"/>
  <c r="W43" i="240"/>
  <c r="V43" i="240"/>
  <c r="T43" i="240"/>
  <c r="T41" i="240" s="1"/>
  <c r="S43" i="240"/>
  <c r="R43" i="240"/>
  <c r="R41" i="240" s="1"/>
  <c r="R39" i="240" s="1"/>
  <c r="Q43" i="240"/>
  <c r="O43" i="240"/>
  <c r="O41" i="240" s="1"/>
  <c r="M43" i="240"/>
  <c r="M41" i="240" s="1"/>
  <c r="L43" i="240"/>
  <c r="L41" i="240" s="1"/>
  <c r="K43" i="240"/>
  <c r="K41" i="240" s="1"/>
  <c r="K39" i="240" s="1"/>
  <c r="J43" i="240"/>
  <c r="J41" i="240" s="1"/>
  <c r="I43" i="240"/>
  <c r="W41" i="240"/>
  <c r="V41" i="240"/>
  <c r="S41" i="240"/>
  <c r="S39" i="240" s="1"/>
  <c r="Q41" i="240"/>
  <c r="I41" i="240"/>
  <c r="I39" i="240" s="1"/>
  <c r="T39" i="240"/>
  <c r="O39" i="240"/>
  <c r="AE37" i="240"/>
  <c r="X37" i="240"/>
  <c r="Z37" i="240" s="1"/>
  <c r="J34" i="240"/>
  <c r="W33" i="240"/>
  <c r="W29" i="240" s="1"/>
  <c r="V33" i="240"/>
  <c r="V29" i="240" s="1"/>
  <c r="T33" i="240"/>
  <c r="S33" i="240"/>
  <c r="R33" i="240"/>
  <c r="R29" i="240" s="1"/>
  <c r="Q33" i="240"/>
  <c r="Q29" i="240" s="1"/>
  <c r="O33" i="240"/>
  <c r="L33" i="240"/>
  <c r="K33" i="240"/>
  <c r="K29" i="240" s="1"/>
  <c r="J33" i="240"/>
  <c r="J29" i="240" s="1"/>
  <c r="I33" i="240"/>
  <c r="I29" i="240" s="1"/>
  <c r="K31" i="240"/>
  <c r="T29" i="240"/>
  <c r="S29" i="240"/>
  <c r="O29" i="240"/>
  <c r="L29" i="240"/>
  <c r="W25" i="240"/>
  <c r="V25" i="240"/>
  <c r="T25" i="240"/>
  <c r="T11" i="240" s="1"/>
  <c r="T9" i="240" s="1"/>
  <c r="S25" i="240"/>
  <c r="R25" i="240"/>
  <c r="Q25" i="240"/>
  <c r="O25" i="240"/>
  <c r="L25" i="240"/>
  <c r="K25" i="240"/>
  <c r="J25" i="240"/>
  <c r="I25" i="240"/>
  <c r="Q11" i="240"/>
  <c r="L23" i="240"/>
  <c r="K19" i="240"/>
  <c r="W11" i="240"/>
  <c r="V11" i="240"/>
  <c r="S11" i="240"/>
  <c r="R11" i="240"/>
  <c r="O11" i="240"/>
  <c r="O9" i="240" s="1"/>
  <c r="L11" i="240"/>
  <c r="K11" i="240"/>
  <c r="J11" i="240"/>
  <c r="I11" i="240"/>
  <c r="I9" i="240" s="1"/>
  <c r="R9" i="240"/>
  <c r="X7" i="240"/>
  <c r="J65" i="240" l="1"/>
  <c r="J31" i="242"/>
  <c r="J30" i="242" s="1"/>
  <c r="J10" i="242" s="1"/>
  <c r="J72" i="242" s="1"/>
  <c r="J83" i="242" s="1"/>
  <c r="W25" i="242"/>
  <c r="X10" i="242"/>
  <c r="O10" i="242"/>
  <c r="W52" i="242"/>
  <c r="I64" i="242"/>
  <c r="Y64" i="242" s="1"/>
  <c r="I87" i="242"/>
  <c r="I60" i="242"/>
  <c r="I41" i="242"/>
  <c r="G66" i="241"/>
  <c r="G50" i="241"/>
  <c r="G34" i="241"/>
  <c r="I96" i="242"/>
  <c r="I77" i="242"/>
  <c r="I66" i="242"/>
  <c r="Y66" i="242" s="1"/>
  <c r="I50" i="242"/>
  <c r="I36" i="242"/>
  <c r="I28" i="242"/>
  <c r="I22" i="242"/>
  <c r="I18" i="242"/>
  <c r="G57" i="241"/>
  <c r="G42" i="241"/>
  <c r="V42" i="241" s="1"/>
  <c r="G28" i="241"/>
  <c r="H72" i="240"/>
  <c r="H45" i="240"/>
  <c r="H61" i="240"/>
  <c r="H57" i="240"/>
  <c r="H26" i="240"/>
  <c r="H78" i="240"/>
  <c r="H50" i="240"/>
  <c r="H17" i="240"/>
  <c r="G24" i="241"/>
  <c r="H34" i="240"/>
  <c r="G15" i="241"/>
  <c r="I32" i="242"/>
  <c r="G30" i="241"/>
  <c r="H47" i="240"/>
  <c r="I68" i="242"/>
  <c r="I13" i="242"/>
  <c r="Y13" i="242" s="1"/>
  <c r="H79" i="240"/>
  <c r="I95" i="242"/>
  <c r="I27" i="242"/>
  <c r="G27" i="241"/>
  <c r="H44" i="240"/>
  <c r="I56" i="242"/>
  <c r="G52" i="241"/>
  <c r="H68" i="240"/>
  <c r="I97" i="242"/>
  <c r="I31" i="242"/>
  <c r="G29" i="241"/>
  <c r="H46" i="240"/>
  <c r="I49" i="242"/>
  <c r="G49" i="241"/>
  <c r="H60" i="240"/>
  <c r="I94" i="242"/>
  <c r="I70" i="242"/>
  <c r="I38" i="242"/>
  <c r="I14" i="242"/>
  <c r="G37" i="241"/>
  <c r="H54" i="240"/>
  <c r="X54" i="240" s="1"/>
  <c r="Z54" i="240" s="1"/>
  <c r="H21" i="240"/>
  <c r="I79" i="242"/>
  <c r="I43" i="242"/>
  <c r="I19" i="242"/>
  <c r="G47" i="241"/>
  <c r="G20" i="241"/>
  <c r="H58" i="240"/>
  <c r="H27" i="240"/>
  <c r="I65" i="242"/>
  <c r="Y65" i="242" s="1"/>
  <c r="AA65" i="242" s="1"/>
  <c r="I33" i="242"/>
  <c r="G64" i="241"/>
  <c r="G33" i="241"/>
  <c r="H77" i="240"/>
  <c r="H49" i="240"/>
  <c r="H15" i="240"/>
  <c r="G62" i="241"/>
  <c r="H76" i="240"/>
  <c r="H13" i="240"/>
  <c r="I37" i="242"/>
  <c r="G36" i="241"/>
  <c r="H51" i="240"/>
  <c r="I59" i="242"/>
  <c r="H69" i="240"/>
  <c r="H20" i="240"/>
  <c r="I26" i="242"/>
  <c r="G26" i="241"/>
  <c r="H42" i="240"/>
  <c r="I63" i="242"/>
  <c r="Y63" i="242" s="1"/>
  <c r="G59" i="241"/>
  <c r="H73" i="240"/>
  <c r="I85" i="242"/>
  <c r="I21" i="242"/>
  <c r="G23" i="241"/>
  <c r="H32" i="240"/>
  <c r="I81" i="242"/>
  <c r="I45" i="242"/>
  <c r="I20" i="242"/>
  <c r="G48" i="241"/>
  <c r="G22" i="241"/>
  <c r="H59" i="240"/>
  <c r="H31" i="240"/>
  <c r="I93" i="242"/>
  <c r="I55" i="242"/>
  <c r="I23" i="242"/>
  <c r="G51" i="241"/>
  <c r="V51" i="241" s="1"/>
  <c r="X51" i="241" s="1"/>
  <c r="G25" i="241"/>
  <c r="H62" i="240"/>
  <c r="H35" i="240"/>
  <c r="I76" i="242"/>
  <c r="I39" i="242"/>
  <c r="I15" i="242"/>
  <c r="G38" i="241"/>
  <c r="G13" i="241"/>
  <c r="H56" i="240"/>
  <c r="X56" i="240" s="1"/>
  <c r="Z56" i="240" s="1"/>
  <c r="H23" i="240"/>
  <c r="N52" i="242"/>
  <c r="N72" i="242" s="1"/>
  <c r="O72" i="242"/>
  <c r="U11" i="241"/>
  <c r="U9" i="241" s="1"/>
  <c r="N11" i="241"/>
  <c r="N9" i="241" s="1"/>
  <c r="V39" i="240"/>
  <c r="V9" i="240" s="1"/>
  <c r="K9" i="240"/>
  <c r="L39" i="240"/>
  <c r="J9" i="240"/>
  <c r="G604" i="238"/>
  <c r="D604" i="238"/>
  <c r="AF37" i="240"/>
  <c r="Q39" i="240"/>
  <c r="Q9" i="240" s="1"/>
  <c r="I11" i="241"/>
  <c r="I9" i="241" s="1"/>
  <c r="M11" i="241"/>
  <c r="M9" i="241" s="1"/>
  <c r="S11" i="241"/>
  <c r="S9" i="241" s="1"/>
  <c r="T32" i="242"/>
  <c r="T25" i="242"/>
  <c r="Q17" i="241"/>
  <c r="W53" i="240"/>
  <c r="W39" i="240" s="1"/>
  <c r="W9" i="240" s="1"/>
  <c r="L65" i="240"/>
  <c r="S65" i="240"/>
  <c r="S9" i="240" s="1"/>
  <c r="T61" i="241"/>
  <c r="T55" i="241" s="1"/>
  <c r="T44" i="241"/>
  <c r="T40" i="241" s="1"/>
  <c r="T11" i="241" s="1"/>
  <c r="S72" i="242"/>
  <c r="S79" i="242" s="1"/>
  <c r="W10" i="242"/>
  <c r="P21" i="241"/>
  <c r="P19" i="241" s="1"/>
  <c r="P17" i="241" s="1"/>
  <c r="P11" i="241" s="1"/>
  <c r="P9" i="241" s="1"/>
  <c r="T30" i="242"/>
  <c r="M72" i="242"/>
  <c r="O83" i="242"/>
  <c r="O89" i="242" s="1"/>
  <c r="T52" i="242"/>
  <c r="X52" i="242"/>
  <c r="T81" i="242"/>
  <c r="AH66" i="242" l="1"/>
  <c r="AA66" i="242"/>
  <c r="L9" i="240"/>
  <c r="I74" i="242"/>
  <c r="T10" i="242"/>
  <c r="T72" i="242" s="1"/>
  <c r="T83" i="242" s="1"/>
  <c r="T89" i="242" s="1"/>
  <c r="T9" i="241"/>
  <c r="X46" i="240"/>
  <c r="Z46" i="240" s="1"/>
  <c r="I31" i="2" s="1"/>
  <c r="Y79" i="242"/>
  <c r="V49" i="241"/>
  <c r="X49" i="241" s="1"/>
  <c r="Y31" i="242"/>
  <c r="Y49" i="242"/>
  <c r="Y41" i="242"/>
  <c r="X50" i="240"/>
  <c r="Z50" i="240" s="1"/>
  <c r="I35" i="2" s="1"/>
  <c r="Y23" i="242"/>
  <c r="X73" i="240"/>
  <c r="Z73" i="240" s="1"/>
  <c r="Y39" i="242"/>
  <c r="AA39" i="242" s="1"/>
  <c r="X49" i="240"/>
  <c r="Y96" i="242"/>
  <c r="AA96" i="242" s="1"/>
  <c r="G66" i="3" s="1"/>
  <c r="Y36" i="242"/>
  <c r="V34" i="241"/>
  <c r="X34" i="241" s="1"/>
  <c r="AC34" i="241" s="1"/>
  <c r="X17" i="240"/>
  <c r="Y55" i="242"/>
  <c r="Y19" i="242"/>
  <c r="V29" i="241"/>
  <c r="X27" i="240"/>
  <c r="Z27" i="240" s="1"/>
  <c r="Y21" i="242"/>
  <c r="V23" i="241"/>
  <c r="X23" i="241" s="1"/>
  <c r="I69" i="2" s="1"/>
  <c r="X44" i="240"/>
  <c r="Z44" i="240" s="1"/>
  <c r="Y77" i="242"/>
  <c r="Y28" i="242"/>
  <c r="AA28" i="242" s="1"/>
  <c r="G22" i="3" s="1"/>
  <c r="X78" i="240"/>
  <c r="Z78" i="240" s="1"/>
  <c r="X60" i="240"/>
  <c r="Z60" i="240" s="1"/>
  <c r="V57" i="241"/>
  <c r="X57" i="241" s="1"/>
  <c r="I96" i="2" s="1"/>
  <c r="V47" i="241"/>
  <c r="X47" i="241" s="1"/>
  <c r="I88" i="2" s="1"/>
  <c r="X35" i="240"/>
  <c r="Z35" i="240" s="1"/>
  <c r="I23" i="2" s="1"/>
  <c r="J130" i="206" s="1"/>
  <c r="K130" i="206" s="1"/>
  <c r="V33" i="241"/>
  <c r="X33" i="241" s="1"/>
  <c r="I78" i="2" s="1"/>
  <c r="AE23" i="241"/>
  <c r="Y93" i="242"/>
  <c r="Y43" i="242"/>
  <c r="AA43" i="242" s="1"/>
  <c r="V59" i="241"/>
  <c r="X59" i="241" s="1"/>
  <c r="I97" i="2" s="1"/>
  <c r="V25" i="241"/>
  <c r="X25" i="241" s="1"/>
  <c r="G26" i="235" s="1"/>
  <c r="X58" i="240"/>
  <c r="Z58" i="240" s="1"/>
  <c r="V13" i="241"/>
  <c r="X13" i="241" s="1"/>
  <c r="I62" i="2" s="1"/>
  <c r="X15" i="240"/>
  <c r="X72" i="240"/>
  <c r="Z72" i="240" s="1"/>
  <c r="I38" i="2"/>
  <c r="D33" i="182" s="1"/>
  <c r="Y95" i="242"/>
  <c r="AA95" i="242" s="1"/>
  <c r="G65" i="3" s="1"/>
  <c r="Y70" i="242"/>
  <c r="AA70" i="242" s="1"/>
  <c r="X80" i="240"/>
  <c r="Z80" i="240" s="1"/>
  <c r="Y33" i="242"/>
  <c r="Y38" i="242"/>
  <c r="I40" i="2"/>
  <c r="Y97" i="242"/>
  <c r="AA97" i="242" s="1"/>
  <c r="G67" i="3" s="1"/>
  <c r="X31" i="240"/>
  <c r="Z31" i="240" s="1"/>
  <c r="I19" i="2" s="1"/>
  <c r="X59" i="240"/>
  <c r="Z59" i="240" s="1"/>
  <c r="V48" i="241"/>
  <c r="X48" i="241" s="1"/>
  <c r="Y20" i="242"/>
  <c r="Y45" i="242"/>
  <c r="Y81" i="242"/>
  <c r="AA81" i="242" s="1"/>
  <c r="G57" i="3" s="1"/>
  <c r="X77" i="240"/>
  <c r="Z77" i="240" s="1"/>
  <c r="X42" i="240"/>
  <c r="Z42" i="240" s="1"/>
  <c r="V26" i="241"/>
  <c r="X26" i="241" s="1"/>
  <c r="V52" i="241"/>
  <c r="X52" i="241" s="1"/>
  <c r="Y56" i="242"/>
  <c r="AA56" i="242" s="1"/>
  <c r="G41" i="3" s="1"/>
  <c r="Y94" i="242"/>
  <c r="AA94" i="242" s="1"/>
  <c r="G64" i="3" s="1"/>
  <c r="V27" i="241"/>
  <c r="X27" i="241" s="1"/>
  <c r="X42" i="241"/>
  <c r="X13" i="240"/>
  <c r="X47" i="240"/>
  <c r="Z47" i="240" s="1"/>
  <c r="I32" i="2" s="1"/>
  <c r="V30" i="241"/>
  <c r="X30" i="241" s="1"/>
  <c r="V62" i="241"/>
  <c r="X62" i="241" s="1"/>
  <c r="I99" i="2" s="1"/>
  <c r="Y32" i="242"/>
  <c r="AA32" i="242" s="1"/>
  <c r="X32" i="240"/>
  <c r="Z32" i="240" s="1"/>
  <c r="Y85" i="242"/>
  <c r="AA85" i="242" s="1"/>
  <c r="G59" i="3" s="1"/>
  <c r="X61" i="240"/>
  <c r="V24" i="241"/>
  <c r="X24" i="241" s="1"/>
  <c r="V50" i="241"/>
  <c r="X50" i="241" s="1"/>
  <c r="Y22" i="242"/>
  <c r="AA22" i="242" s="1"/>
  <c r="G17" i="3" s="1"/>
  <c r="Y87" i="242"/>
  <c r="X23" i="240"/>
  <c r="X69" i="240"/>
  <c r="Z69" i="240" s="1"/>
  <c r="Y27" i="242"/>
  <c r="AA27" i="242" s="1"/>
  <c r="X79" i="240"/>
  <c r="Z79" i="240" s="1"/>
  <c r="Y37" i="242"/>
  <c r="Y68" i="242"/>
  <c r="AA68" i="242" s="1"/>
  <c r="G50" i="3" s="1"/>
  <c r="Y60" i="242"/>
  <c r="AA60" i="242" s="1"/>
  <c r="V28" i="241"/>
  <c r="X28" i="241" s="1"/>
  <c r="I74" i="2" s="1"/>
  <c r="X45" i="240"/>
  <c r="Z45" i="240" s="1"/>
  <c r="I30" i="2" s="1"/>
  <c r="Y14" i="242"/>
  <c r="AA14" i="242" s="1"/>
  <c r="G10" i="3" s="1"/>
  <c r="Y15" i="242"/>
  <c r="AA15" i="242" s="1"/>
  <c r="X21" i="240"/>
  <c r="Z21" i="240" s="1"/>
  <c r="S83" i="242"/>
  <c r="S89" i="242" s="1"/>
  <c r="X48" i="240" l="1"/>
  <c r="Z49" i="240"/>
  <c r="Z48" i="240" s="1"/>
  <c r="AE48" i="240" s="1"/>
  <c r="E24" i="206"/>
  <c r="O73" i="2"/>
  <c r="AA41" i="242"/>
  <c r="G32" i="3" s="1"/>
  <c r="X80" i="241"/>
  <c r="X75" i="241"/>
  <c r="G44" i="3"/>
  <c r="Y62" i="242"/>
  <c r="Z15" i="240"/>
  <c r="H22" i="39" s="1"/>
  <c r="Z23" i="240"/>
  <c r="Z17" i="240"/>
  <c r="I22" i="39" s="1"/>
  <c r="Z13" i="240"/>
  <c r="AE13" i="240" s="1"/>
  <c r="Z61" i="240"/>
  <c r="K17" i="242"/>
  <c r="K72" i="242" s="1"/>
  <c r="X29" i="241"/>
  <c r="AA79" i="242"/>
  <c r="G56" i="3" s="1"/>
  <c r="AA87" i="242"/>
  <c r="G60" i="3" s="1"/>
  <c r="G51" i="3"/>
  <c r="AA63" i="242"/>
  <c r="AA77" i="242"/>
  <c r="G55" i="3" s="1"/>
  <c r="AA64" i="242"/>
  <c r="G47" i="3" s="1"/>
  <c r="AA49" i="242"/>
  <c r="G36" i="3" s="1"/>
  <c r="AA45" i="242"/>
  <c r="G34" i="3" s="1"/>
  <c r="G33" i="3"/>
  <c r="AA37" i="242"/>
  <c r="G29" i="3" s="1"/>
  <c r="G31" i="3"/>
  <c r="AA38" i="242"/>
  <c r="G30" i="3" s="1"/>
  <c r="AA36" i="242"/>
  <c r="AA33" i="242"/>
  <c r="G26" i="3" s="1"/>
  <c r="AA31" i="242"/>
  <c r="AA20" i="242"/>
  <c r="AA21" i="242"/>
  <c r="AF21" i="242" s="1"/>
  <c r="AA23" i="242"/>
  <c r="G18" i="3" s="1"/>
  <c r="AA19" i="242"/>
  <c r="G11" i="3"/>
  <c r="D201" i="182"/>
  <c r="I79" i="2"/>
  <c r="E63" i="206" s="1"/>
  <c r="AC59" i="241"/>
  <c r="I57" i="2"/>
  <c r="AC57" i="241"/>
  <c r="H48" i="240"/>
  <c r="I44" i="2"/>
  <c r="N74" i="2" s="1"/>
  <c r="I52" i="2"/>
  <c r="AB34" i="241"/>
  <c r="AE28" i="241"/>
  <c r="AE30" i="241"/>
  <c r="I42" i="2"/>
  <c r="E32" i="206" s="1"/>
  <c r="V46" i="241"/>
  <c r="X46" i="241" s="1"/>
  <c r="I71" i="2"/>
  <c r="D74" i="182" s="1"/>
  <c r="AB13" i="241"/>
  <c r="X71" i="240"/>
  <c r="AB57" i="241"/>
  <c r="AC13" i="241"/>
  <c r="AB59" i="241"/>
  <c r="Z71" i="240"/>
  <c r="I53" i="2"/>
  <c r="I29" i="2"/>
  <c r="I17" i="2"/>
  <c r="H71" i="240"/>
  <c r="Y35" i="242"/>
  <c r="I73" i="2"/>
  <c r="N73" i="2" s="1"/>
  <c r="AE27" i="241"/>
  <c r="G25" i="3"/>
  <c r="Y30" i="242"/>
  <c r="I50" i="2"/>
  <c r="AF69" i="240"/>
  <c r="AE69" i="240"/>
  <c r="I12" i="242"/>
  <c r="I90" i="2"/>
  <c r="AB50" i="241"/>
  <c r="AC50" i="241"/>
  <c r="I72" i="2"/>
  <c r="AE22" i="241"/>
  <c r="J53" i="241"/>
  <c r="J19" i="241"/>
  <c r="J17" i="241" s="1"/>
  <c r="H43" i="240"/>
  <c r="I99" i="242"/>
  <c r="I62" i="242"/>
  <c r="I59" i="2"/>
  <c r="I35" i="242"/>
  <c r="AE21" i="240"/>
  <c r="I13" i="2"/>
  <c r="AF21" i="240"/>
  <c r="X34" i="240"/>
  <c r="H33" i="240"/>
  <c r="H29" i="240" s="1"/>
  <c r="X76" i="240"/>
  <c r="H75" i="240"/>
  <c r="Y18" i="242"/>
  <c r="AA18" i="242" s="1"/>
  <c r="I17" i="242"/>
  <c r="X20" i="240"/>
  <c r="Z20" i="240" s="1"/>
  <c r="H19" i="240"/>
  <c r="X57" i="240"/>
  <c r="Z57" i="240" s="1"/>
  <c r="H55" i="240"/>
  <c r="I56" i="2"/>
  <c r="I89" i="2"/>
  <c r="I87" i="2" s="1"/>
  <c r="AC48" i="241"/>
  <c r="AB48" i="241"/>
  <c r="V36" i="241"/>
  <c r="X36" i="241" s="1"/>
  <c r="I81" i="2" s="1"/>
  <c r="E64" i="206" s="1"/>
  <c r="G35" i="241"/>
  <c r="I70" i="2"/>
  <c r="X26" i="240"/>
  <c r="H25" i="240"/>
  <c r="X68" i="240"/>
  <c r="H67" i="240"/>
  <c r="V22" i="241"/>
  <c r="X22" i="241" s="1"/>
  <c r="G21" i="241"/>
  <c r="I30" i="242"/>
  <c r="Y99" i="242"/>
  <c r="AA93" i="242"/>
  <c r="G63" i="3" s="1"/>
  <c r="AE79" i="240"/>
  <c r="AF79" i="240"/>
  <c r="I58" i="2"/>
  <c r="Y50" i="242"/>
  <c r="AA50" i="242" s="1"/>
  <c r="G37" i="3" s="1"/>
  <c r="I47" i="242"/>
  <c r="I20" i="2"/>
  <c r="I76" i="2"/>
  <c r="I85" i="2"/>
  <c r="I58" i="242"/>
  <c r="Y59" i="242"/>
  <c r="I25" i="242"/>
  <c r="Y26" i="242"/>
  <c r="AA26" i="242" s="1"/>
  <c r="I27" i="2"/>
  <c r="I43" i="2"/>
  <c r="E36" i="206" s="1"/>
  <c r="I54" i="242"/>
  <c r="G46" i="241"/>
  <c r="G44" i="241" s="1"/>
  <c r="G40" i="241" s="1"/>
  <c r="I93" i="2"/>
  <c r="I91" i="2"/>
  <c r="AC52" i="241"/>
  <c r="AB52" i="241"/>
  <c r="Y76" i="242"/>
  <c r="V20" i="241"/>
  <c r="X20" i="241" s="1"/>
  <c r="I66" i="2" s="1"/>
  <c r="E28" i="206" s="1"/>
  <c r="Y54" i="242"/>
  <c r="AA55" i="242"/>
  <c r="G40" i="3" s="1"/>
  <c r="AB62" i="241"/>
  <c r="AC62" i="241"/>
  <c r="N75" i="2" l="1"/>
  <c r="I34" i="2"/>
  <c r="P73" i="2"/>
  <c r="E40" i="206"/>
  <c r="D44" i="182"/>
  <c r="E51" i="206"/>
  <c r="AA62" i="242"/>
  <c r="AF18" i="240"/>
  <c r="I14" i="2"/>
  <c r="I9" i="2"/>
  <c r="I10" i="2"/>
  <c r="AE18" i="240"/>
  <c r="I8" i="2"/>
  <c r="AF13" i="240"/>
  <c r="K24" i="242"/>
  <c r="Z30" i="241"/>
  <c r="I45" i="2"/>
  <c r="I75" i="2"/>
  <c r="D85" i="182" s="1"/>
  <c r="G24" i="3"/>
  <c r="AA30" i="242"/>
  <c r="G46" i="3"/>
  <c r="AE49" i="242"/>
  <c r="AF49" i="242"/>
  <c r="G49" i="3"/>
  <c r="G48" i="3"/>
  <c r="AF45" i="242"/>
  <c r="AE45" i="242"/>
  <c r="AA35" i="242"/>
  <c r="G28" i="3"/>
  <c r="G20" i="3"/>
  <c r="AA25" i="242"/>
  <c r="AF23" i="242"/>
  <c r="AE23" i="242"/>
  <c r="G15" i="3"/>
  <c r="AE21" i="242"/>
  <c r="G14" i="3"/>
  <c r="G16" i="3"/>
  <c r="AA99" i="242"/>
  <c r="G68" i="3" s="1"/>
  <c r="G21" i="3"/>
  <c r="AE22" i="242"/>
  <c r="AF22" i="242"/>
  <c r="AF48" i="240"/>
  <c r="AE29" i="241"/>
  <c r="AG29" i="241" s="1"/>
  <c r="H65" i="240"/>
  <c r="I52" i="242"/>
  <c r="K38" i="3" s="1"/>
  <c r="Y74" i="242"/>
  <c r="AA76" i="242"/>
  <c r="AA74" i="242" s="1"/>
  <c r="I68" i="2"/>
  <c r="I67" i="2" s="1"/>
  <c r="AE21" i="241"/>
  <c r="AE24" i="241" s="1"/>
  <c r="H53" i="240"/>
  <c r="X55" i="240"/>
  <c r="X53" i="240" s="1"/>
  <c r="AA13" i="242"/>
  <c r="G9" i="3" s="1"/>
  <c r="Y12" i="242"/>
  <c r="Y47" i="242"/>
  <c r="I41" i="2"/>
  <c r="Z55" i="240"/>
  <c r="AE31" i="241"/>
  <c r="AE32" i="241" s="1"/>
  <c r="G13" i="3"/>
  <c r="Y17" i="242"/>
  <c r="H41" i="240"/>
  <c r="X43" i="240"/>
  <c r="Z43" i="240" s="1"/>
  <c r="AA54" i="242"/>
  <c r="Z68" i="240"/>
  <c r="X67" i="240"/>
  <c r="X19" i="240"/>
  <c r="H11" i="240"/>
  <c r="Z76" i="240"/>
  <c r="X75" i="240"/>
  <c r="V35" i="241"/>
  <c r="X35" i="241" s="1"/>
  <c r="G32" i="241"/>
  <c r="V32" i="241" s="1"/>
  <c r="Z34" i="240"/>
  <c r="X33" i="240"/>
  <c r="X29" i="240" s="1"/>
  <c r="AA59" i="242"/>
  <c r="G43" i="3" s="1"/>
  <c r="Y58" i="242"/>
  <c r="Y52" i="242" s="1"/>
  <c r="Y25" i="242"/>
  <c r="G19" i="241"/>
  <c r="V21" i="241"/>
  <c r="X21" i="241" s="1"/>
  <c r="X19" i="241" s="1"/>
  <c r="Z26" i="240"/>
  <c r="X25" i="240"/>
  <c r="I12" i="2"/>
  <c r="Z19" i="240"/>
  <c r="AF20" i="240"/>
  <c r="AE20" i="240"/>
  <c r="J44" i="241"/>
  <c r="J40" i="241" s="1"/>
  <c r="J11" i="241" s="1"/>
  <c r="J9" i="241" s="1"/>
  <c r="I10" i="242"/>
  <c r="AF25" i="241" l="1"/>
  <c r="AG26" i="241" s="1"/>
  <c r="I39" i="2"/>
  <c r="O74" i="2"/>
  <c r="D83" i="182"/>
  <c r="D84" i="182"/>
  <c r="E81" i="197"/>
  <c r="G54" i="3"/>
  <c r="G53" i="3" s="1"/>
  <c r="AA17" i="242"/>
  <c r="G8" i="3"/>
  <c r="AA12" i="242"/>
  <c r="AE34" i="241"/>
  <c r="AE36" i="241" s="1"/>
  <c r="I72" i="242"/>
  <c r="G17" i="241"/>
  <c r="G11" i="241" s="1"/>
  <c r="I22" i="2"/>
  <c r="AE33" i="240"/>
  <c r="Z33" i="240"/>
  <c r="Z29" i="240" s="1"/>
  <c r="AF33" i="240"/>
  <c r="AF34" i="240"/>
  <c r="AE34" i="240"/>
  <c r="G19" i="3"/>
  <c r="AA58" i="242"/>
  <c r="AA52" i="242" s="1"/>
  <c r="AH52" i="242" s="1"/>
  <c r="I55" i="2"/>
  <c r="AE76" i="240"/>
  <c r="AF76" i="240"/>
  <c r="Z75" i="240"/>
  <c r="I49" i="2"/>
  <c r="AF68" i="240"/>
  <c r="AE68" i="240"/>
  <c r="Z67" i="240"/>
  <c r="Y10" i="242"/>
  <c r="Y72" i="242" s="1"/>
  <c r="AE76" i="242"/>
  <c r="AF76" i="242"/>
  <c r="X65" i="240"/>
  <c r="X41" i="240"/>
  <c r="X39" i="240" s="1"/>
  <c r="H39" i="240"/>
  <c r="H9" i="240" s="1"/>
  <c r="Z53" i="240"/>
  <c r="I16" i="2"/>
  <c r="Z25" i="240"/>
  <c r="Z11" i="240" s="1"/>
  <c r="V19" i="241"/>
  <c r="V17" i="241" s="1"/>
  <c r="AB35" i="241"/>
  <c r="X32" i="241"/>
  <c r="X17" i="241" s="1"/>
  <c r="AC35" i="241"/>
  <c r="X11" i="240"/>
  <c r="Z41" i="240"/>
  <c r="AA47" i="242"/>
  <c r="AF50" i="242"/>
  <c r="AE50" i="242"/>
  <c r="O75" i="2" l="1"/>
  <c r="P75" i="2" s="1"/>
  <c r="P74" i="2"/>
  <c r="Z16" i="241"/>
  <c r="C27" i="235"/>
  <c r="Y83" i="242"/>
  <c r="Y89" i="242" s="1"/>
  <c r="Y101" i="242" s="1"/>
  <c r="AA10" i="242"/>
  <c r="AA72" i="242" s="1"/>
  <c r="I83" i="242"/>
  <c r="X9" i="240"/>
  <c r="Z65" i="240"/>
  <c r="Z39" i="240"/>
  <c r="AA83" i="242" l="1"/>
  <c r="AA89" i="242" s="1"/>
  <c r="AA101" i="242" s="1"/>
  <c r="Z9" i="240"/>
  <c r="I89" i="242"/>
  <c r="I101" i="242" l="1"/>
  <c r="Y103" i="242" s="1"/>
  <c r="I106" i="242" l="1"/>
  <c r="G63" i="241"/>
  <c r="AA64" i="241"/>
  <c r="G61" i="241" l="1"/>
  <c r="G55" i="241" s="1"/>
  <c r="G9" i="241" s="1"/>
  <c r="G4" i="241" s="1"/>
  <c r="V63" i="241"/>
  <c r="X63" i="241" s="1"/>
  <c r="I69" i="241" l="1"/>
  <c r="Q64" i="241" s="1"/>
  <c r="AA63" i="241"/>
  <c r="Q53" i="241" l="1"/>
  <c r="Q61" i="241"/>
  <c r="Q55" i="241" s="1"/>
  <c r="V64" i="241"/>
  <c r="X64" i="241" s="1"/>
  <c r="AD6" i="242"/>
  <c r="I100" i="2"/>
  <c r="AC63" i="241"/>
  <c r="AB63" i="241"/>
  <c r="V53" i="241" l="1"/>
  <c r="X53" i="241" s="1"/>
  <c r="I94" i="2" s="1"/>
  <c r="Q44" i="241"/>
  <c r="Q40" i="241" s="1"/>
  <c r="Q11" i="241" s="1"/>
  <c r="Q9" i="241" s="1"/>
  <c r="X61" i="241"/>
  <c r="V61" i="241"/>
  <c r="V55" i="241" s="1"/>
  <c r="V69" i="241" s="1"/>
  <c r="X69" i="241" s="1"/>
  <c r="V44" i="241" l="1"/>
  <c r="V40" i="241" s="1"/>
  <c r="V11" i="241" s="1"/>
  <c r="I92" i="2"/>
  <c r="X44" i="241"/>
  <c r="X40" i="241" s="1"/>
  <c r="X11" i="241" s="1"/>
  <c r="I101" i="2"/>
  <c r="AC64" i="241"/>
  <c r="AB64" i="241"/>
  <c r="X55" i="241"/>
  <c r="E53" i="205" l="1"/>
  <c r="L53" i="205" s="1"/>
  <c r="V9" i="241"/>
  <c r="AB6" i="241" s="1"/>
  <c r="Z11" i="241"/>
  <c r="C25" i="235"/>
  <c r="X9" i="241"/>
  <c r="AB55" i="241"/>
  <c r="AC55" i="241"/>
  <c r="C46" i="235"/>
  <c r="C43" i="235"/>
  <c r="E43" i="235" s="1"/>
  <c r="I78" i="206" s="1"/>
  <c r="C35" i="235"/>
  <c r="N55" i="205" l="1"/>
  <c r="J47" i="235"/>
  <c r="E46" i="235"/>
  <c r="AA6" i="241"/>
  <c r="AA3" i="241" s="1"/>
  <c r="AC6" i="241"/>
  <c r="C49" i="235"/>
  <c r="C48" i="235"/>
  <c r="C45" i="235"/>
  <c r="E45" i="235" s="1"/>
  <c r="C47" i="235"/>
  <c r="E47" i="235" s="1"/>
  <c r="C42" i="235"/>
  <c r="E42" i="235" s="1"/>
  <c r="C44" i="235"/>
  <c r="E44" i="235" s="1"/>
  <c r="G45" i="235" l="1"/>
  <c r="E49" i="235"/>
  <c r="I82" i="206"/>
  <c r="G44" i="235"/>
  <c r="E48" i="235"/>
  <c r="J48" i="235"/>
  <c r="G43" i="235"/>
  <c r="C51" i="235"/>
  <c r="C58" i="235" s="1"/>
  <c r="G42" i="235"/>
  <c r="H78" i="206" s="1"/>
  <c r="H82" i="206" l="1"/>
  <c r="G51" i="235"/>
  <c r="G52" i="235" s="1"/>
  <c r="C28" i="235" l="1"/>
  <c r="G24" i="235" l="1"/>
  <c r="J19" i="14"/>
  <c r="J18" i="14"/>
  <c r="J17" i="14"/>
  <c r="F11" i="12"/>
  <c r="E11" i="12"/>
  <c r="G27" i="3"/>
  <c r="G23" i="3"/>
  <c r="G12" i="3"/>
  <c r="G7" i="3" l="1"/>
  <c r="I28" i="2"/>
  <c r="J28" i="2"/>
  <c r="L17" i="52" l="1"/>
  <c r="K17" i="52"/>
  <c r="M16" i="52"/>
  <c r="M15" i="52"/>
  <c r="M17" i="52" s="1"/>
  <c r="M14" i="52"/>
  <c r="L13" i="52"/>
  <c r="K13" i="52"/>
  <c r="M12" i="52"/>
  <c r="M11" i="52"/>
  <c r="M10" i="52"/>
  <c r="M9" i="52"/>
  <c r="M8" i="52"/>
  <c r="M13" i="52" s="1"/>
  <c r="K11" i="48"/>
  <c r="K10" i="48"/>
  <c r="K9" i="48"/>
  <c r="J9" i="48"/>
  <c r="I9" i="48"/>
  <c r="K8" i="48"/>
  <c r="K7" i="48"/>
  <c r="K6" i="48"/>
  <c r="H45" i="214" l="1"/>
  <c r="H41" i="214"/>
  <c r="H37" i="214"/>
  <c r="G43" i="214"/>
  <c r="G39" i="214"/>
  <c r="G35" i="214"/>
  <c r="V7" i="214"/>
  <c r="V8" i="214"/>
  <c r="V9" i="214"/>
  <c r="G36" i="214" s="1"/>
  <c r="V10" i="214"/>
  <c r="G37" i="214" s="1"/>
  <c r="V11" i="214"/>
  <c r="V12" i="214"/>
  <c r="G38" i="214" s="1"/>
  <c r="V13" i="214"/>
  <c r="V14" i="214"/>
  <c r="G40" i="214" s="1"/>
  <c r="V15" i="214"/>
  <c r="G41" i="214" s="1"/>
  <c r="V16" i="214"/>
  <c r="G42" i="214" s="1"/>
  <c r="V17" i="214"/>
  <c r="V18" i="214"/>
  <c r="G44" i="214" s="1"/>
  <c r="V19" i="214"/>
  <c r="G45" i="214" s="1"/>
  <c r="V20" i="214"/>
  <c r="G46" i="214" s="1"/>
  <c r="V27" i="214"/>
  <c r="V28" i="214"/>
  <c r="AL7" i="214"/>
  <c r="H35" i="214" s="1"/>
  <c r="AL8" i="214"/>
  <c r="AL9" i="214"/>
  <c r="H36" i="214" s="1"/>
  <c r="AL10" i="214"/>
  <c r="AL11" i="214"/>
  <c r="AL12" i="214"/>
  <c r="H38" i="214" s="1"/>
  <c r="AL13" i="214"/>
  <c r="H39" i="214" s="1"/>
  <c r="AL14" i="214"/>
  <c r="H40" i="214" s="1"/>
  <c r="AL15" i="214"/>
  <c r="AL16" i="214"/>
  <c r="H42" i="214" s="1"/>
  <c r="AL17" i="214"/>
  <c r="H43" i="214" s="1"/>
  <c r="AL18" i="214"/>
  <c r="H44" i="214" s="1"/>
  <c r="AL19" i="214"/>
  <c r="AL20" i="214"/>
  <c r="H46" i="214" s="1"/>
  <c r="AL27" i="214"/>
  <c r="AL28" i="214"/>
  <c r="H53" i="3" l="1"/>
  <c r="BM22" i="213" l="1"/>
  <c r="BL22" i="213"/>
  <c r="BK22" i="213"/>
  <c r="BJ22" i="213"/>
  <c r="BI22" i="213"/>
  <c r="BH22" i="213"/>
  <c r="BG22" i="213"/>
  <c r="BF22" i="213"/>
  <c r="BE22" i="213"/>
  <c r="BD22" i="213"/>
  <c r="BC22" i="213"/>
  <c r="BA22" i="213"/>
  <c r="AZ22" i="213"/>
  <c r="AY22" i="213"/>
  <c r="AX22" i="213"/>
  <c r="AW22" i="213"/>
  <c r="AV22" i="213"/>
  <c r="AU22" i="213"/>
  <c r="AT22" i="213"/>
  <c r="AS22" i="213"/>
  <c r="AR22" i="213"/>
  <c r="AQ22" i="213"/>
  <c r="AP22" i="213"/>
  <c r="AO22" i="213"/>
  <c r="AN22" i="213"/>
  <c r="AM22" i="213"/>
  <c r="AK22" i="213"/>
  <c r="AJ22" i="213"/>
  <c r="AI22" i="213"/>
  <c r="AH22" i="213"/>
  <c r="AG22" i="213"/>
  <c r="AF22" i="213"/>
  <c r="AE22" i="213"/>
  <c r="AD22" i="213"/>
  <c r="AC22" i="213"/>
  <c r="AB22" i="213"/>
  <c r="AA22" i="213"/>
  <c r="Z22" i="213"/>
  <c r="Y22" i="213"/>
  <c r="X22" i="213"/>
  <c r="W22" i="213"/>
  <c r="U22" i="213"/>
  <c r="T22" i="213"/>
  <c r="S22" i="213"/>
  <c r="R22" i="213"/>
  <c r="Q22" i="213"/>
  <c r="P22" i="213"/>
  <c r="O22" i="213"/>
  <c r="N22" i="213"/>
  <c r="M22" i="213"/>
  <c r="L22" i="213"/>
  <c r="K22" i="213"/>
  <c r="J22" i="213"/>
  <c r="I22" i="213"/>
  <c r="H22" i="213"/>
  <c r="G22" i="213"/>
  <c r="G29" i="213"/>
  <c r="D185" i="182" l="1"/>
  <c r="H199" i="182" l="1"/>
  <c r="D199" i="182"/>
  <c r="I199" i="182" s="1"/>
  <c r="K199" i="182" l="1"/>
  <c r="L922" i="189"/>
  <c r="K922" i="189"/>
  <c r="I922" i="189"/>
  <c r="H922" i="189"/>
  <c r="G922" i="189"/>
  <c r="F922" i="189"/>
  <c r="E922" i="189"/>
  <c r="M918" i="189"/>
  <c r="L918" i="189"/>
  <c r="K918" i="189"/>
  <c r="J918" i="189"/>
  <c r="I918" i="189"/>
  <c r="H918" i="189"/>
  <c r="G918" i="189"/>
  <c r="F918" i="189"/>
  <c r="E918" i="189"/>
  <c r="R903" i="189"/>
  <c r="Q903" i="189"/>
  <c r="P903" i="189"/>
  <c r="O903" i="189"/>
  <c r="N903" i="189"/>
  <c r="M903" i="189"/>
  <c r="L903" i="189"/>
  <c r="K903" i="189"/>
  <c r="J903" i="189"/>
  <c r="I903" i="189"/>
  <c r="H903" i="189"/>
  <c r="G903" i="189"/>
  <c r="U902" i="189"/>
  <c r="T902" i="189"/>
  <c r="S902" i="189"/>
  <c r="U901" i="189"/>
  <c r="T901" i="189"/>
  <c r="S901" i="189"/>
  <c r="U900" i="189"/>
  <c r="T900" i="189"/>
  <c r="S900" i="189"/>
  <c r="U899" i="189"/>
  <c r="T899" i="189"/>
  <c r="S899" i="189"/>
  <c r="U898" i="189"/>
  <c r="T898" i="189"/>
  <c r="S898" i="189"/>
  <c r="U897" i="189"/>
  <c r="T897" i="189"/>
  <c r="S897" i="189"/>
  <c r="U896" i="189"/>
  <c r="T896" i="189"/>
  <c r="S896" i="189"/>
  <c r="U895" i="189"/>
  <c r="T895" i="189"/>
  <c r="S895" i="189"/>
  <c r="U894" i="189"/>
  <c r="T894" i="189"/>
  <c r="S894" i="189"/>
  <c r="U893" i="189"/>
  <c r="T893" i="189"/>
  <c r="S893" i="189"/>
  <c r="U892" i="189"/>
  <c r="T892" i="189"/>
  <c r="S892" i="189"/>
  <c r="U891" i="189"/>
  <c r="T891" i="189"/>
  <c r="S891" i="189"/>
  <c r="U890" i="189"/>
  <c r="T890" i="189"/>
  <c r="S890" i="189"/>
  <c r="U889" i="189"/>
  <c r="T889" i="189"/>
  <c r="S889" i="189"/>
  <c r="U888" i="189"/>
  <c r="T888" i="189"/>
  <c r="S888" i="189"/>
  <c r="U887" i="189"/>
  <c r="T887" i="189"/>
  <c r="S887" i="189"/>
  <c r="U886" i="189"/>
  <c r="T886" i="189"/>
  <c r="S886" i="189"/>
  <c r="U885" i="189"/>
  <c r="T885" i="189"/>
  <c r="S885" i="189"/>
  <c r="U884" i="189"/>
  <c r="T884" i="189"/>
  <c r="S884" i="189"/>
  <c r="U883" i="189"/>
  <c r="T883" i="189"/>
  <c r="S883" i="189"/>
  <c r="X876" i="189"/>
  <c r="W876" i="189"/>
  <c r="V876" i="189"/>
  <c r="U876" i="189"/>
  <c r="T876" i="189"/>
  <c r="S876" i="189"/>
  <c r="O876" i="189"/>
  <c r="N876" i="189"/>
  <c r="M876" i="189"/>
  <c r="L876" i="189"/>
  <c r="K876" i="189"/>
  <c r="J876" i="189"/>
  <c r="I876" i="189"/>
  <c r="H876" i="189"/>
  <c r="G876" i="189"/>
  <c r="R875" i="189"/>
  <c r="AA875" i="189" s="1"/>
  <c r="Q875" i="189"/>
  <c r="Z875" i="189" s="1"/>
  <c r="P875" i="189"/>
  <c r="Y875" i="189" s="1"/>
  <c r="R874" i="189"/>
  <c r="AA874" i="189" s="1"/>
  <c r="Q874" i="189"/>
  <c r="Z874" i="189" s="1"/>
  <c r="P874" i="189"/>
  <c r="Y874" i="189" s="1"/>
  <c r="R873" i="189"/>
  <c r="AA873" i="189" s="1"/>
  <c r="Q873" i="189"/>
  <c r="Z873" i="189" s="1"/>
  <c r="P873" i="189"/>
  <c r="Y873" i="189" s="1"/>
  <c r="R872" i="189"/>
  <c r="AA872" i="189" s="1"/>
  <c r="Q872" i="189"/>
  <c r="Z872" i="189" s="1"/>
  <c r="P872" i="189"/>
  <c r="Y872" i="189" s="1"/>
  <c r="R871" i="189"/>
  <c r="AA871" i="189" s="1"/>
  <c r="Q871" i="189"/>
  <c r="Z871" i="189" s="1"/>
  <c r="P871" i="189"/>
  <c r="Y871" i="189" s="1"/>
  <c r="R870" i="189"/>
  <c r="AA870" i="189" s="1"/>
  <c r="Q870" i="189"/>
  <c r="Z870" i="189" s="1"/>
  <c r="P870" i="189"/>
  <c r="Y870" i="189" s="1"/>
  <c r="R869" i="189"/>
  <c r="AA869" i="189" s="1"/>
  <c r="Q869" i="189"/>
  <c r="Z869" i="189" s="1"/>
  <c r="P869" i="189"/>
  <c r="Y869" i="189" s="1"/>
  <c r="R868" i="189"/>
  <c r="AA868" i="189" s="1"/>
  <c r="Q868" i="189"/>
  <c r="Z868" i="189" s="1"/>
  <c r="P868" i="189"/>
  <c r="Y868" i="189" s="1"/>
  <c r="R867" i="189"/>
  <c r="AA867" i="189" s="1"/>
  <c r="Q867" i="189"/>
  <c r="Z867" i="189" s="1"/>
  <c r="P867" i="189"/>
  <c r="Y867" i="189" s="1"/>
  <c r="R866" i="189"/>
  <c r="AA866" i="189" s="1"/>
  <c r="Q866" i="189"/>
  <c r="Z866" i="189" s="1"/>
  <c r="P866" i="189"/>
  <c r="Y866" i="189" s="1"/>
  <c r="R865" i="189"/>
  <c r="AA865" i="189" s="1"/>
  <c r="Q865" i="189"/>
  <c r="Z865" i="189" s="1"/>
  <c r="P865" i="189"/>
  <c r="Y865" i="189" s="1"/>
  <c r="R864" i="189"/>
  <c r="AA864" i="189" s="1"/>
  <c r="Q864" i="189"/>
  <c r="Z864" i="189" s="1"/>
  <c r="P864" i="189"/>
  <c r="Y864" i="189" s="1"/>
  <c r="R863" i="189"/>
  <c r="AA863" i="189" s="1"/>
  <c r="Q863" i="189"/>
  <c r="Z863" i="189" s="1"/>
  <c r="P863" i="189"/>
  <c r="Y863" i="189" s="1"/>
  <c r="R862" i="189"/>
  <c r="AA862" i="189" s="1"/>
  <c r="Q862" i="189"/>
  <c r="Z862" i="189" s="1"/>
  <c r="P862" i="189"/>
  <c r="Y862" i="189" s="1"/>
  <c r="R861" i="189"/>
  <c r="AA861" i="189" s="1"/>
  <c r="Q861" i="189"/>
  <c r="Z861" i="189" s="1"/>
  <c r="P861" i="189"/>
  <c r="Y861" i="189" s="1"/>
  <c r="R860" i="189"/>
  <c r="AA860" i="189" s="1"/>
  <c r="Q860" i="189"/>
  <c r="Z860" i="189" s="1"/>
  <c r="P860" i="189"/>
  <c r="Y860" i="189" s="1"/>
  <c r="R859" i="189"/>
  <c r="AA859" i="189" s="1"/>
  <c r="Q859" i="189"/>
  <c r="Z859" i="189" s="1"/>
  <c r="P859" i="189"/>
  <c r="Y859" i="189" s="1"/>
  <c r="R858" i="189"/>
  <c r="AA858" i="189" s="1"/>
  <c r="Q858" i="189"/>
  <c r="Z858" i="189" s="1"/>
  <c r="P858" i="189"/>
  <c r="Y858" i="189" s="1"/>
  <c r="R857" i="189"/>
  <c r="AA857" i="189" s="1"/>
  <c r="Q857" i="189"/>
  <c r="Z857" i="189" s="1"/>
  <c r="P857" i="189"/>
  <c r="Y857" i="189" s="1"/>
  <c r="R856" i="189"/>
  <c r="AA856" i="189" s="1"/>
  <c r="Q856" i="189"/>
  <c r="Z856" i="189" s="1"/>
  <c r="P856" i="189"/>
  <c r="Y856" i="189" s="1"/>
  <c r="U848" i="189"/>
  <c r="T848" i="189"/>
  <c r="S848" i="189"/>
  <c r="R848" i="189"/>
  <c r="Q848" i="189"/>
  <c r="P848" i="189"/>
  <c r="O848" i="189"/>
  <c r="N848" i="189"/>
  <c r="M848" i="189"/>
  <c r="L848" i="189"/>
  <c r="K848" i="189"/>
  <c r="J848" i="189"/>
  <c r="I848" i="189"/>
  <c r="H848" i="189"/>
  <c r="G848" i="189"/>
  <c r="X847" i="189"/>
  <c r="W847" i="189"/>
  <c r="V847" i="189"/>
  <c r="X846" i="189"/>
  <c r="W846" i="189"/>
  <c r="V846" i="189"/>
  <c r="X845" i="189"/>
  <c r="W845" i="189"/>
  <c r="V845" i="189"/>
  <c r="X844" i="189"/>
  <c r="W844" i="189"/>
  <c r="V844" i="189"/>
  <c r="X843" i="189"/>
  <c r="W843" i="189"/>
  <c r="V843" i="189"/>
  <c r="X842" i="189"/>
  <c r="W842" i="189"/>
  <c r="V842" i="189"/>
  <c r="X841" i="189"/>
  <c r="W841" i="189"/>
  <c r="V841" i="189"/>
  <c r="X840" i="189"/>
  <c r="W840" i="189"/>
  <c r="V840" i="189"/>
  <c r="X839" i="189"/>
  <c r="W839" i="189"/>
  <c r="V839" i="189"/>
  <c r="X838" i="189"/>
  <c r="W838" i="189"/>
  <c r="V838" i="189"/>
  <c r="X837" i="189"/>
  <c r="W837" i="189"/>
  <c r="V837" i="189"/>
  <c r="X836" i="189"/>
  <c r="W836" i="189"/>
  <c r="V836" i="189"/>
  <c r="X835" i="189"/>
  <c r="W835" i="189"/>
  <c r="V835" i="189"/>
  <c r="X834" i="189"/>
  <c r="W834" i="189"/>
  <c r="V834" i="189"/>
  <c r="X833" i="189"/>
  <c r="W833" i="189"/>
  <c r="V833" i="189"/>
  <c r="X832" i="189"/>
  <c r="W832" i="189"/>
  <c r="V832" i="189"/>
  <c r="X831" i="189"/>
  <c r="W831" i="189"/>
  <c r="V831" i="189"/>
  <c r="X830" i="189"/>
  <c r="W830" i="189"/>
  <c r="V830" i="189"/>
  <c r="X829" i="189"/>
  <c r="W829" i="189"/>
  <c r="V829" i="189"/>
  <c r="X828" i="189"/>
  <c r="W828" i="189"/>
  <c r="V828" i="189"/>
  <c r="O821" i="189"/>
  <c r="N821" i="189"/>
  <c r="M821" i="189"/>
  <c r="L821" i="189"/>
  <c r="K821" i="189"/>
  <c r="J821" i="189"/>
  <c r="I821" i="189"/>
  <c r="H821" i="189"/>
  <c r="G821" i="189"/>
  <c r="R820" i="189"/>
  <c r="Q820" i="189"/>
  <c r="P820" i="189"/>
  <c r="R819" i="189"/>
  <c r="Q819" i="189"/>
  <c r="P819" i="189"/>
  <c r="R818" i="189"/>
  <c r="Q818" i="189"/>
  <c r="P818" i="189"/>
  <c r="R817" i="189"/>
  <c r="Q817" i="189"/>
  <c r="P817" i="189"/>
  <c r="R816" i="189"/>
  <c r="Q816" i="189"/>
  <c r="P816" i="189"/>
  <c r="R815" i="189"/>
  <c r="Q815" i="189"/>
  <c r="P815" i="189"/>
  <c r="R814" i="189"/>
  <c r="Q814" i="189"/>
  <c r="P814" i="189"/>
  <c r="R813" i="189"/>
  <c r="Q813" i="189"/>
  <c r="P813" i="189"/>
  <c r="R812" i="189"/>
  <c r="Q812" i="189"/>
  <c r="P812" i="189"/>
  <c r="R811" i="189"/>
  <c r="Q811" i="189"/>
  <c r="P811" i="189"/>
  <c r="R810" i="189"/>
  <c r="Q810" i="189"/>
  <c r="P810" i="189"/>
  <c r="R809" i="189"/>
  <c r="Q809" i="189"/>
  <c r="P809" i="189"/>
  <c r="R808" i="189"/>
  <c r="Q808" i="189"/>
  <c r="P808" i="189"/>
  <c r="R807" i="189"/>
  <c r="Q807" i="189"/>
  <c r="P807" i="189"/>
  <c r="R806" i="189"/>
  <c r="Q806" i="189"/>
  <c r="P806" i="189"/>
  <c r="R805" i="189"/>
  <c r="Q805" i="189"/>
  <c r="P805" i="189"/>
  <c r="R804" i="189"/>
  <c r="Q804" i="189"/>
  <c r="P804" i="189"/>
  <c r="R803" i="189"/>
  <c r="Q803" i="189"/>
  <c r="P803" i="189"/>
  <c r="R802" i="189"/>
  <c r="Q802" i="189"/>
  <c r="P802" i="189"/>
  <c r="R801" i="189"/>
  <c r="Q801" i="189"/>
  <c r="P801" i="189"/>
  <c r="O794" i="189"/>
  <c r="N794" i="189"/>
  <c r="M794" i="189"/>
  <c r="L794" i="189"/>
  <c r="K794" i="189"/>
  <c r="J794" i="189"/>
  <c r="I794" i="189"/>
  <c r="H794" i="189"/>
  <c r="G794" i="189"/>
  <c r="R793" i="189"/>
  <c r="Q793" i="189"/>
  <c r="P793" i="189"/>
  <c r="R792" i="189"/>
  <c r="Q792" i="189"/>
  <c r="P792" i="189"/>
  <c r="R791" i="189"/>
  <c r="Q791" i="189"/>
  <c r="P791" i="189"/>
  <c r="R790" i="189"/>
  <c r="Q790" i="189"/>
  <c r="P790" i="189"/>
  <c r="R789" i="189"/>
  <c r="Q789" i="189"/>
  <c r="P789" i="189"/>
  <c r="R788" i="189"/>
  <c r="Q788" i="189"/>
  <c r="P788" i="189"/>
  <c r="R787" i="189"/>
  <c r="Q787" i="189"/>
  <c r="P787" i="189"/>
  <c r="R786" i="189"/>
  <c r="Q786" i="189"/>
  <c r="P786" i="189"/>
  <c r="R785" i="189"/>
  <c r="Q785" i="189"/>
  <c r="P785" i="189"/>
  <c r="R784" i="189"/>
  <c r="Q784" i="189"/>
  <c r="P784" i="189"/>
  <c r="R783" i="189"/>
  <c r="Q783" i="189"/>
  <c r="P783" i="189"/>
  <c r="R782" i="189"/>
  <c r="Q782" i="189"/>
  <c r="P782" i="189"/>
  <c r="R781" i="189"/>
  <c r="Q781" i="189"/>
  <c r="P781" i="189"/>
  <c r="R780" i="189"/>
  <c r="Q780" i="189"/>
  <c r="P780" i="189"/>
  <c r="R779" i="189"/>
  <c r="Q779" i="189"/>
  <c r="P779" i="189"/>
  <c r="R778" i="189"/>
  <c r="Q778" i="189"/>
  <c r="P778" i="189"/>
  <c r="R777" i="189"/>
  <c r="Q777" i="189"/>
  <c r="P777" i="189"/>
  <c r="R776" i="189"/>
  <c r="Q776" i="189"/>
  <c r="P776" i="189"/>
  <c r="R775" i="189"/>
  <c r="Q775" i="189"/>
  <c r="P775" i="189"/>
  <c r="R774" i="189"/>
  <c r="Q774" i="189"/>
  <c r="P774" i="189"/>
  <c r="S903" i="189" l="1"/>
  <c r="X848" i="189"/>
  <c r="R794" i="189"/>
  <c r="U903" i="189"/>
  <c r="P821" i="189"/>
  <c r="T903" i="189"/>
  <c r="P794" i="189"/>
  <c r="V848" i="189"/>
  <c r="Q794" i="189"/>
  <c r="R821" i="189"/>
  <c r="Q821" i="189"/>
  <c r="W848" i="189"/>
  <c r="Y876" i="189"/>
  <c r="Z876" i="189"/>
  <c r="AA876" i="189"/>
  <c r="P876" i="189"/>
  <c r="Q876" i="189"/>
  <c r="R876" i="189"/>
  <c r="H54" i="182"/>
  <c r="E94" i="187"/>
  <c r="D54" i="182"/>
  <c r="D198" i="182"/>
  <c r="D196" i="182"/>
  <c r="H194" i="182"/>
  <c r="D53" i="182"/>
  <c r="I54" i="182" l="1"/>
  <c r="K54" i="182"/>
  <c r="H191" i="182" l="1"/>
  <c r="D191" i="182"/>
  <c r="K191" i="182" l="1"/>
  <c r="I191" i="182"/>
  <c r="D161" i="182"/>
  <c r="D160" i="182"/>
  <c r="D115" i="182"/>
  <c r="H185" i="182" l="1"/>
  <c r="K185" i="182" s="1"/>
  <c r="H186" i="182"/>
  <c r="H187" i="182"/>
  <c r="K187" i="182" s="1"/>
  <c r="H184" i="182"/>
  <c r="D187" i="182"/>
  <c r="D186" i="182"/>
  <c r="D184" i="182"/>
  <c r="D11" i="182"/>
  <c r="H159" i="182"/>
  <c r="H131" i="182"/>
  <c r="H133" i="182"/>
  <c r="H128" i="182"/>
  <c r="H127" i="182"/>
  <c r="H183" i="182"/>
  <c r="H181" i="182"/>
  <c r="K184" i="182" l="1"/>
  <c r="K186" i="182"/>
  <c r="I187" i="182"/>
  <c r="I184" i="182"/>
  <c r="I186" i="182"/>
  <c r="I185" i="182"/>
  <c r="D183" i="182"/>
  <c r="D180" i="182"/>
  <c r="D179" i="182"/>
  <c r="D178" i="182"/>
  <c r="D177" i="182"/>
  <c r="D176" i="182"/>
  <c r="D175" i="182"/>
  <c r="D174" i="182"/>
  <c r="D173" i="182"/>
  <c r="D172" i="182"/>
  <c r="D171" i="182"/>
  <c r="D170" i="182"/>
  <c r="D168" i="182"/>
  <c r="D167" i="182"/>
  <c r="D165" i="182"/>
  <c r="D164" i="182"/>
  <c r="D159" i="182"/>
  <c r="D156" i="182"/>
  <c r="D155" i="182"/>
  <c r="D154" i="182"/>
  <c r="D153" i="182"/>
  <c r="D152" i="182"/>
  <c r="D151" i="182"/>
  <c r="D150" i="182"/>
  <c r="D149" i="182"/>
  <c r="D147" i="182"/>
  <c r="D146" i="182"/>
  <c r="D145" i="182"/>
  <c r="D142" i="182"/>
  <c r="D141" i="182"/>
  <c r="D140" i="182"/>
  <c r="D139" i="182"/>
  <c r="D138" i="182"/>
  <c r="D137" i="182"/>
  <c r="D133" i="182"/>
  <c r="D132" i="182"/>
  <c r="D131" i="182"/>
  <c r="D130" i="182"/>
  <c r="D129" i="182"/>
  <c r="D128" i="182"/>
  <c r="D127" i="182"/>
  <c r="D126" i="182"/>
  <c r="D125" i="182"/>
  <c r="D124" i="182"/>
  <c r="D123" i="182"/>
  <c r="D122" i="182"/>
  <c r="D121" i="182"/>
  <c r="D120" i="182"/>
  <c r="D119" i="182"/>
  <c r="D118" i="182"/>
  <c r="D114" i="182"/>
  <c r="D113" i="182"/>
  <c r="D112" i="182"/>
  <c r="D111" i="182"/>
  <c r="D110" i="182"/>
  <c r="D109" i="182"/>
  <c r="D108" i="182"/>
  <c r="D9" i="182"/>
  <c r="D8" i="182"/>
  <c r="D6" i="182"/>
  <c r="J6" i="182" s="1"/>
  <c r="D5" i="182"/>
  <c r="D88" i="182"/>
  <c r="D70" i="182"/>
  <c r="D59" i="182"/>
  <c r="F26" i="5"/>
  <c r="F3" i="5"/>
  <c r="S45" i="5"/>
  <c r="N45" i="5"/>
  <c r="T45" i="5"/>
  <c r="S44" i="5"/>
  <c r="N44" i="5"/>
  <c r="K44" i="5"/>
  <c r="T44" i="5" s="1"/>
  <c r="S43" i="5"/>
  <c r="N43" i="5"/>
  <c r="K43" i="5"/>
  <c r="S42" i="5"/>
  <c r="N42" i="5"/>
  <c r="K42" i="5"/>
  <c r="T42" i="5" s="1"/>
  <c r="S41" i="5"/>
  <c r="N41" i="5"/>
  <c r="K41" i="5"/>
  <c r="S40" i="5"/>
  <c r="N40" i="5"/>
  <c r="K40" i="5"/>
  <c r="R39" i="5"/>
  <c r="Q39" i="5"/>
  <c r="P39" i="5"/>
  <c r="O39" i="5"/>
  <c r="S39" i="5" s="1"/>
  <c r="N39" i="5"/>
  <c r="I39" i="5"/>
  <c r="S38" i="5"/>
  <c r="N38" i="5"/>
  <c r="K38" i="5"/>
  <c r="T38" i="5" s="1"/>
  <c r="S37" i="5"/>
  <c r="N37" i="5"/>
  <c r="K37" i="5"/>
  <c r="T37" i="5" s="1"/>
  <c r="S36" i="5"/>
  <c r="N36" i="5"/>
  <c r="K36" i="5"/>
  <c r="T36" i="5" s="1"/>
  <c r="S35" i="5"/>
  <c r="N35" i="5"/>
  <c r="K35" i="5"/>
  <c r="R34" i="5"/>
  <c r="Q34" i="5"/>
  <c r="P34" i="5"/>
  <c r="S34" i="5" s="1"/>
  <c r="O34" i="5"/>
  <c r="N34" i="5"/>
  <c r="L34" i="5"/>
  <c r="J34" i="5"/>
  <c r="I34" i="5"/>
  <c r="H34" i="5"/>
  <c r="G34" i="5"/>
  <c r="R33" i="5"/>
  <c r="Q33" i="5"/>
  <c r="P33" i="5"/>
  <c r="O33" i="5"/>
  <c r="S33" i="5" s="1"/>
  <c r="M33" i="5"/>
  <c r="L33" i="5"/>
  <c r="J33" i="5"/>
  <c r="I33" i="5"/>
  <c r="H33" i="5"/>
  <c r="G33" i="5"/>
  <c r="S32" i="5"/>
  <c r="N32" i="5"/>
  <c r="K32" i="5"/>
  <c r="T32" i="5" s="1"/>
  <c r="S31" i="5"/>
  <c r="N31" i="5"/>
  <c r="K31" i="5"/>
  <c r="T31" i="5" s="1"/>
  <c r="S30" i="5"/>
  <c r="N30" i="5"/>
  <c r="K30" i="5"/>
  <c r="T30" i="5" s="1"/>
  <c r="H97" i="182"/>
  <c r="E39" i="206"/>
  <c r="H96" i="182" s="1"/>
  <c r="H95" i="182"/>
  <c r="H94" i="182"/>
  <c r="E50" i="206"/>
  <c r="E47" i="206"/>
  <c r="H87" i="182" s="1"/>
  <c r="E44" i="206"/>
  <c r="E41" i="206"/>
  <c r="H82" i="182" s="1"/>
  <c r="E38" i="206"/>
  <c r="H80" i="182" s="1"/>
  <c r="E35" i="206"/>
  <c r="H77" i="182" s="1"/>
  <c r="E33" i="206"/>
  <c r="E56" i="206" s="1"/>
  <c r="E31" i="206"/>
  <c r="D69" i="182"/>
  <c r="D68" i="182"/>
  <c r="H64" i="182"/>
  <c r="E21" i="206"/>
  <c r="H58" i="182"/>
  <c r="E48" i="206"/>
  <c r="H48" i="182" s="1"/>
  <c r="D48" i="182"/>
  <c r="E45" i="206"/>
  <c r="H46" i="182" s="1"/>
  <c r="D46" i="182"/>
  <c r="H44" i="182"/>
  <c r="H42" i="182"/>
  <c r="H40" i="182"/>
  <c r="E25" i="206"/>
  <c r="H38" i="182" s="1"/>
  <c r="E22" i="206"/>
  <c r="E29" i="206"/>
  <c r="H33" i="182" s="1"/>
  <c r="H24" i="182"/>
  <c r="H17" i="42"/>
  <c r="H17" i="182"/>
  <c r="H16" i="182"/>
  <c r="H18" i="209"/>
  <c r="I18" i="209"/>
  <c r="J18" i="209"/>
  <c r="K18" i="209"/>
  <c r="L18" i="209"/>
  <c r="M18" i="209"/>
  <c r="N18" i="209"/>
  <c r="O18" i="209"/>
  <c r="P18" i="209"/>
  <c r="Q18" i="209"/>
  <c r="R18" i="209"/>
  <c r="S18" i="209"/>
  <c r="T18" i="209"/>
  <c r="U18" i="209"/>
  <c r="W18" i="209"/>
  <c r="X18" i="209"/>
  <c r="Y18" i="209"/>
  <c r="Z18" i="209"/>
  <c r="AA18" i="209"/>
  <c r="AB18" i="209"/>
  <c r="AC18" i="209"/>
  <c r="AD18" i="209"/>
  <c r="AE18" i="209"/>
  <c r="AF18" i="209"/>
  <c r="AG18" i="209"/>
  <c r="AH18" i="209"/>
  <c r="AI18" i="209"/>
  <c r="AJ18" i="209"/>
  <c r="AK18" i="209"/>
  <c r="AM18" i="209"/>
  <c r="AN18" i="209"/>
  <c r="AO18" i="209"/>
  <c r="AP18" i="209"/>
  <c r="AQ18" i="209"/>
  <c r="AR18" i="209"/>
  <c r="AS18" i="209"/>
  <c r="AT18" i="209"/>
  <c r="AU18" i="209"/>
  <c r="AV18" i="209"/>
  <c r="AW18" i="209"/>
  <c r="AX18" i="209"/>
  <c r="AY18" i="209"/>
  <c r="AZ18" i="209"/>
  <c r="BA18" i="209"/>
  <c r="BC18" i="209"/>
  <c r="BD18" i="209"/>
  <c r="BE18" i="209"/>
  <c r="BF18" i="209"/>
  <c r="BG18" i="209"/>
  <c r="BH18" i="209"/>
  <c r="BI18" i="209"/>
  <c r="BJ18" i="209"/>
  <c r="BK18" i="209"/>
  <c r="BL18" i="209"/>
  <c r="BM18" i="209"/>
  <c r="G18" i="209"/>
  <c r="G17" i="209"/>
  <c r="G33" i="206" l="1"/>
  <c r="G32" i="206"/>
  <c r="K48" i="182"/>
  <c r="H84" i="182"/>
  <c r="K84" i="182" s="1"/>
  <c r="E43" i="206"/>
  <c r="H91" i="182"/>
  <c r="E49" i="206"/>
  <c r="H73" i="182"/>
  <c r="H63" i="182"/>
  <c r="H36" i="182"/>
  <c r="G19" i="209"/>
  <c r="K46" i="182"/>
  <c r="I127" i="182"/>
  <c r="K127" i="182"/>
  <c r="I159" i="182"/>
  <c r="K159" i="182"/>
  <c r="I183" i="182"/>
  <c r="K183" i="182"/>
  <c r="I128" i="182"/>
  <c r="K128" i="182"/>
  <c r="I133" i="182"/>
  <c r="K133" i="182"/>
  <c r="I131" i="182"/>
  <c r="K131" i="182"/>
  <c r="T40" i="5"/>
  <c r="T39" i="5"/>
  <c r="T46" i="5" s="1"/>
  <c r="T41" i="5"/>
  <c r="T35" i="5"/>
  <c r="N33" i="5"/>
  <c r="H69" i="182"/>
  <c r="D190" i="182"/>
  <c r="K34" i="5"/>
  <c r="I48" i="182"/>
  <c r="I46" i="182"/>
  <c r="I84" i="182" l="1"/>
  <c r="I69" i="182"/>
  <c r="K69" i="182"/>
  <c r="T34" i="5"/>
  <c r="D102" i="182" l="1"/>
  <c r="D101" i="182"/>
  <c r="D100" i="182"/>
  <c r="D99" i="182"/>
  <c r="D98" i="182"/>
  <c r="D97" i="182"/>
  <c r="D96" i="182"/>
  <c r="D95" i="182"/>
  <c r="D94" i="182"/>
  <c r="D93" i="182"/>
  <c r="D91" i="182"/>
  <c r="D90" i="182"/>
  <c r="D89" i="182"/>
  <c r="D87" i="182"/>
  <c r="D86" i="182"/>
  <c r="D82" i="182"/>
  <c r="D81" i="182"/>
  <c r="D80" i="182"/>
  <c r="D79" i="182"/>
  <c r="D78" i="182"/>
  <c r="D77" i="182"/>
  <c r="D76" i="182"/>
  <c r="D75" i="182"/>
  <c r="D73" i="182"/>
  <c r="D72" i="182"/>
  <c r="D71" i="182"/>
  <c r="D67" i="182"/>
  <c r="D66" i="182"/>
  <c r="D65" i="182"/>
  <c r="D64" i="182"/>
  <c r="D63" i="182"/>
  <c r="D62" i="182"/>
  <c r="D61" i="182"/>
  <c r="D58" i="182"/>
  <c r="D57" i="182"/>
  <c r="D56" i="182"/>
  <c r="D52" i="182"/>
  <c r="D51" i="182"/>
  <c r="D50" i="182"/>
  <c r="D49" i="182"/>
  <c r="D45" i="182"/>
  <c r="D47" i="182"/>
  <c r="D43" i="182"/>
  <c r="I95" i="182" l="1"/>
  <c r="K95" i="182"/>
  <c r="I96" i="182"/>
  <c r="K96" i="182"/>
  <c r="I97" i="182"/>
  <c r="K97" i="182"/>
  <c r="I73" i="182"/>
  <c r="K73" i="182"/>
  <c r="I82" i="182"/>
  <c r="K82" i="182"/>
  <c r="I94" i="182"/>
  <c r="K94" i="182"/>
  <c r="I44" i="182"/>
  <c r="K44" i="182"/>
  <c r="I63" i="182"/>
  <c r="K63" i="182"/>
  <c r="I58" i="182"/>
  <c r="K58" i="182"/>
  <c r="I64" i="182"/>
  <c r="K64" i="182"/>
  <c r="I80" i="182"/>
  <c r="K80" i="182"/>
  <c r="I91" i="182"/>
  <c r="K91" i="182"/>
  <c r="I77" i="182"/>
  <c r="K77" i="182"/>
  <c r="I87" i="182"/>
  <c r="K87" i="182"/>
  <c r="M22" i="218"/>
  <c r="L22" i="218"/>
  <c r="K22" i="218"/>
  <c r="J22" i="218"/>
  <c r="I22" i="218"/>
  <c r="H22" i="218"/>
  <c r="G22" i="218"/>
  <c r="F22" i="218"/>
  <c r="E22" i="218"/>
  <c r="M21" i="218"/>
  <c r="M20" i="218"/>
  <c r="M19" i="218"/>
  <c r="M18" i="218"/>
  <c r="M17" i="218"/>
  <c r="M16" i="218"/>
  <c r="M15" i="218"/>
  <c r="M14" i="218"/>
  <c r="M13" i="218"/>
  <c r="M12" i="218"/>
  <c r="M11" i="218"/>
  <c r="M10" i="218"/>
  <c r="M9" i="218"/>
  <c r="M8" i="218"/>
  <c r="M7" i="218"/>
  <c r="D42" i="182" l="1"/>
  <c r="D41" i="182"/>
  <c r="D40" i="182"/>
  <c r="D39" i="182"/>
  <c r="D38" i="182"/>
  <c r="D37" i="182"/>
  <c r="D36" i="182"/>
  <c r="D35" i="182"/>
  <c r="D32" i="182"/>
  <c r="D29" i="182"/>
  <c r="D27" i="182"/>
  <c r="D26" i="182"/>
  <c r="D28" i="182"/>
  <c r="C8" i="183"/>
  <c r="H26" i="182" s="1"/>
  <c r="H25" i="182"/>
  <c r="D25" i="182"/>
  <c r="D24" i="182"/>
  <c r="D23" i="182"/>
  <c r="D22" i="182"/>
  <c r="D21" i="182"/>
  <c r="D20" i="182"/>
  <c r="D18" i="182"/>
  <c r="D17" i="182"/>
  <c r="D16" i="182"/>
  <c r="H15" i="182"/>
  <c r="D14" i="182"/>
  <c r="D12" i="182"/>
  <c r="H10" i="182"/>
  <c r="D10" i="182"/>
  <c r="BG28" i="214"/>
  <c r="BD28" i="214"/>
  <c r="BB28" i="214"/>
  <c r="BG27" i="214"/>
  <c r="BD27" i="214"/>
  <c r="BN27" i="214" s="1"/>
  <c r="BB27" i="214"/>
  <c r="BG31" i="210"/>
  <c r="BG30" i="210"/>
  <c r="BG29" i="210"/>
  <c r="BG26" i="210"/>
  <c r="BG25" i="210"/>
  <c r="BG24" i="210"/>
  <c r="BG18" i="210"/>
  <c r="BG17" i="210"/>
  <c r="BG16" i="210"/>
  <c r="BG15" i="210"/>
  <c r="BG10" i="210"/>
  <c r="BG8" i="210"/>
  <c r="BD31" i="210"/>
  <c r="BD30" i="210"/>
  <c r="BD29" i="210"/>
  <c r="BD26" i="210"/>
  <c r="BD25" i="210"/>
  <c r="BD24" i="210"/>
  <c r="BD18" i="210"/>
  <c r="BD17" i="210"/>
  <c r="BD16" i="210"/>
  <c r="BD15" i="210"/>
  <c r="BD10" i="210"/>
  <c r="BD8" i="210"/>
  <c r="BG34" i="212"/>
  <c r="BG33" i="212"/>
  <c r="BG31" i="212"/>
  <c r="BG30" i="212"/>
  <c r="BG29" i="212"/>
  <c r="BD34" i="212"/>
  <c r="BD33" i="212"/>
  <c r="BD32" i="212" s="1"/>
  <c r="BD31" i="212"/>
  <c r="BN31" i="212" s="1"/>
  <c r="BO31" i="212" s="1"/>
  <c r="BD30" i="212"/>
  <c r="BD29" i="212"/>
  <c r="BN29" i="212" s="1"/>
  <c r="BO29" i="212" s="1"/>
  <c r="BG17" i="213"/>
  <c r="BG16" i="213"/>
  <c r="BN12" i="213"/>
  <c r="BG7" i="213"/>
  <c r="BN19" i="213"/>
  <c r="BN18" i="213"/>
  <c r="BD17" i="213"/>
  <c r="BD16" i="213"/>
  <c r="BN9" i="213"/>
  <c r="BN8" i="213"/>
  <c r="BD7" i="213"/>
  <c r="BN7" i="213" s="1"/>
  <c r="BG20" i="214"/>
  <c r="BG19" i="214"/>
  <c r="BG18" i="214"/>
  <c r="BG17" i="214"/>
  <c r="BG16" i="214"/>
  <c r="BG15" i="214"/>
  <c r="BG14" i="214"/>
  <c r="BG13" i="214"/>
  <c r="BG12" i="214"/>
  <c r="BG8" i="214"/>
  <c r="BG7" i="214"/>
  <c r="BD20" i="214"/>
  <c r="BD19" i="214"/>
  <c r="BD18" i="214"/>
  <c r="BD17" i="214"/>
  <c r="BD16" i="214"/>
  <c r="BD15" i="214"/>
  <c r="BD14" i="214"/>
  <c r="BD13" i="214"/>
  <c r="BD12" i="214"/>
  <c r="BD8" i="214"/>
  <c r="BD7" i="214"/>
  <c r="BB20" i="214"/>
  <c r="I46" i="214" s="1"/>
  <c r="BB19" i="214"/>
  <c r="I45" i="214" s="1"/>
  <c r="BB18" i="214"/>
  <c r="I44" i="214" s="1"/>
  <c r="BB17" i="214"/>
  <c r="I43" i="214" s="1"/>
  <c r="BB16" i="214"/>
  <c r="I42" i="214" s="1"/>
  <c r="BB15" i="214"/>
  <c r="I41" i="214" s="1"/>
  <c r="BB14" i="214"/>
  <c r="I40" i="214" s="1"/>
  <c r="BB13" i="214"/>
  <c r="I39" i="214" s="1"/>
  <c r="BB12" i="214"/>
  <c r="I38" i="214" s="1"/>
  <c r="BB11" i="214"/>
  <c r="BB10" i="214"/>
  <c r="I37" i="214" s="1"/>
  <c r="BB9" i="214"/>
  <c r="I36" i="214" s="1"/>
  <c r="BB8" i="214"/>
  <c r="BB7" i="214"/>
  <c r="I35" i="214" s="1"/>
  <c r="H29" i="213"/>
  <c r="I29" i="213"/>
  <c r="J29" i="213"/>
  <c r="K29" i="213"/>
  <c r="L29" i="213"/>
  <c r="M29" i="213"/>
  <c r="N29" i="213"/>
  <c r="O29" i="213"/>
  <c r="P29" i="213"/>
  <c r="Q29" i="213"/>
  <c r="R29" i="213"/>
  <c r="S29" i="213"/>
  <c r="T29" i="213"/>
  <c r="U29" i="213"/>
  <c r="W29" i="213"/>
  <c r="X29" i="213"/>
  <c r="Y29" i="213"/>
  <c r="Z29" i="213"/>
  <c r="AA29" i="213"/>
  <c r="AB29" i="213"/>
  <c r="AC29" i="213"/>
  <c r="AD29" i="213"/>
  <c r="AE29" i="213"/>
  <c r="AF29" i="213"/>
  <c r="AG29" i="213"/>
  <c r="AH29" i="213"/>
  <c r="AI29" i="213"/>
  <c r="AJ29" i="213"/>
  <c r="AK29" i="213"/>
  <c r="AM29" i="213"/>
  <c r="AN29" i="213"/>
  <c r="AO29" i="213"/>
  <c r="AP29" i="213"/>
  <c r="AQ29" i="213"/>
  <c r="AR29" i="213"/>
  <c r="AS29" i="213"/>
  <c r="AT29" i="213"/>
  <c r="AU29" i="213"/>
  <c r="AV29" i="213"/>
  <c r="AW29" i="213"/>
  <c r="AX29" i="213"/>
  <c r="AY29" i="213"/>
  <c r="AZ29" i="213"/>
  <c r="BA29" i="213"/>
  <c r="BC29" i="213"/>
  <c r="BD29" i="213"/>
  <c r="BE29" i="213"/>
  <c r="BF29" i="213"/>
  <c r="BG29" i="213"/>
  <c r="BH29" i="213"/>
  <c r="BI29" i="213"/>
  <c r="BJ29" i="213"/>
  <c r="BK29" i="213"/>
  <c r="BL29" i="213"/>
  <c r="BM29" i="213"/>
  <c r="G30" i="213"/>
  <c r="BN20" i="213"/>
  <c r="BN10" i="213"/>
  <c r="BB20" i="213"/>
  <c r="BB19" i="213"/>
  <c r="BB18" i="213"/>
  <c r="BB17" i="213"/>
  <c r="BB15" i="213"/>
  <c r="BB14" i="213"/>
  <c r="BB13" i="213"/>
  <c r="BB16" i="213" s="1"/>
  <c r="BB12" i="213"/>
  <c r="BB10" i="213"/>
  <c r="BB9" i="213"/>
  <c r="BB8" i="213"/>
  <c r="BB7" i="213"/>
  <c r="AL20" i="213"/>
  <c r="AL19" i="213"/>
  <c r="AL18" i="213"/>
  <c r="AL17" i="213"/>
  <c r="AL15" i="213"/>
  <c r="AL14" i="213"/>
  <c r="AL13" i="213"/>
  <c r="AL16" i="213" s="1"/>
  <c r="AL12" i="213"/>
  <c r="AL10" i="213"/>
  <c r="AL9" i="213"/>
  <c r="AL8" i="213"/>
  <c r="AL7" i="213"/>
  <c r="V20" i="213"/>
  <c r="V19" i="213"/>
  <c r="V18" i="213"/>
  <c r="V21" i="213" s="1"/>
  <c r="V17" i="213"/>
  <c r="V15" i="213"/>
  <c r="V14" i="213"/>
  <c r="V13" i="213"/>
  <c r="V16" i="213" s="1"/>
  <c r="V12" i="213"/>
  <c r="V10" i="213"/>
  <c r="V9" i="213"/>
  <c r="V8" i="213"/>
  <c r="V22" i="213" s="1"/>
  <c r="V7" i="213"/>
  <c r="BM21" i="213"/>
  <c r="BL21" i="213"/>
  <c r="BK21" i="213"/>
  <c r="BJ21" i="213"/>
  <c r="BI21" i="213"/>
  <c r="BH21" i="213"/>
  <c r="BG21" i="213"/>
  <c r="BF21" i="213"/>
  <c r="BE21" i="213"/>
  <c r="BC21" i="213"/>
  <c r="BA21" i="213"/>
  <c r="AZ21" i="213"/>
  <c r="AY21" i="213"/>
  <c r="AX21" i="213"/>
  <c r="AW21" i="213"/>
  <c r="AV21" i="213"/>
  <c r="AU21" i="213"/>
  <c r="AT21" i="213"/>
  <c r="AS21" i="213"/>
  <c r="AR21" i="213"/>
  <c r="AQ21" i="213"/>
  <c r="AP21" i="213"/>
  <c r="AO21" i="213"/>
  <c r="AN21" i="213"/>
  <c r="AM21" i="213"/>
  <c r="AK21" i="213"/>
  <c r="AJ21" i="213"/>
  <c r="AI21" i="213"/>
  <c r="AH21" i="213"/>
  <c r="AG21" i="213"/>
  <c r="AF21" i="213"/>
  <c r="AE21" i="213"/>
  <c r="AD21" i="213"/>
  <c r="AC21" i="213"/>
  <c r="AB21" i="213"/>
  <c r="AA21" i="213"/>
  <c r="Z21" i="213"/>
  <c r="Y21" i="213"/>
  <c r="X21" i="213"/>
  <c r="W21" i="213"/>
  <c r="U21" i="213"/>
  <c r="T21" i="213"/>
  <c r="S21" i="213"/>
  <c r="R21" i="213"/>
  <c r="Q21" i="213"/>
  <c r="P21" i="213"/>
  <c r="O21" i="213"/>
  <c r="N21" i="213"/>
  <c r="M21" i="213"/>
  <c r="L21" i="213"/>
  <c r="K21" i="213"/>
  <c r="J21" i="213"/>
  <c r="I21" i="213"/>
  <c r="H21" i="213"/>
  <c r="BM16" i="213"/>
  <c r="BL16" i="213"/>
  <c r="BK16" i="213"/>
  <c r="BJ16" i="213"/>
  <c r="BI16" i="213"/>
  <c r="BH16" i="213"/>
  <c r="BF16" i="213"/>
  <c r="BE16" i="213"/>
  <c r="BC16" i="213"/>
  <c r="BA16" i="213"/>
  <c r="AZ16" i="213"/>
  <c r="AY16" i="213"/>
  <c r="AX16" i="213"/>
  <c r="AW16" i="213"/>
  <c r="AV16" i="213"/>
  <c r="AU16" i="213"/>
  <c r="AT16" i="213"/>
  <c r="AS16" i="213"/>
  <c r="AR16" i="213"/>
  <c r="AR24" i="213" s="1"/>
  <c r="AQ16" i="213"/>
  <c r="AP16" i="213"/>
  <c r="AO16" i="213"/>
  <c r="AN16" i="213"/>
  <c r="AN24" i="213" s="1"/>
  <c r="AM16" i="213"/>
  <c r="AK16" i="213"/>
  <c r="AJ16" i="213"/>
  <c r="AI16" i="213"/>
  <c r="AH16" i="213"/>
  <c r="AG16" i="213"/>
  <c r="AF16" i="213"/>
  <c r="AE16" i="213"/>
  <c r="AD16" i="213"/>
  <c r="AC16" i="213"/>
  <c r="AB16" i="213"/>
  <c r="AA16" i="213"/>
  <c r="Z16" i="213"/>
  <c r="Y16" i="213"/>
  <c r="X16" i="213"/>
  <c r="W16" i="213"/>
  <c r="U16" i="213"/>
  <c r="T16" i="213"/>
  <c r="S16" i="213"/>
  <c r="R16" i="213"/>
  <c r="Q16" i="213"/>
  <c r="Q24" i="213" s="1"/>
  <c r="P16" i="213"/>
  <c r="O16" i="213"/>
  <c r="N16" i="213"/>
  <c r="M16" i="213"/>
  <c r="M24" i="213" s="1"/>
  <c r="L16" i="213"/>
  <c r="K16" i="213"/>
  <c r="J16" i="213"/>
  <c r="I16" i="213"/>
  <c r="H16" i="213"/>
  <c r="BM11" i="213"/>
  <c r="BL11" i="213"/>
  <c r="BK11" i="213"/>
  <c r="BJ11" i="213"/>
  <c r="BI11" i="213"/>
  <c r="BH11" i="213"/>
  <c r="BG11" i="213"/>
  <c r="BF11" i="213"/>
  <c r="BE11" i="213"/>
  <c r="BC11" i="213"/>
  <c r="BB11" i="213"/>
  <c r="BA11" i="213"/>
  <c r="AZ11" i="213"/>
  <c r="AY11" i="213"/>
  <c r="AX11" i="213"/>
  <c r="AW11" i="213"/>
  <c r="AV11" i="213"/>
  <c r="AU11" i="213"/>
  <c r="AT11" i="213"/>
  <c r="AS11" i="213"/>
  <c r="AR11" i="213"/>
  <c r="AQ11" i="213"/>
  <c r="AP11" i="213"/>
  <c r="AO11" i="213"/>
  <c r="AN11" i="213"/>
  <c r="AM11" i="213"/>
  <c r="AK11" i="213"/>
  <c r="AJ11" i="213"/>
  <c r="AI11" i="213"/>
  <c r="AH11" i="213"/>
  <c r="AG11" i="213"/>
  <c r="AF11" i="213"/>
  <c r="AE11" i="213"/>
  <c r="AD11" i="213"/>
  <c r="AC11" i="213"/>
  <c r="AB11" i="213"/>
  <c r="AA11" i="213"/>
  <c r="Z11" i="213"/>
  <c r="Y11" i="213"/>
  <c r="X11" i="213"/>
  <c r="W11" i="213"/>
  <c r="U11" i="213"/>
  <c r="U24" i="213" s="1"/>
  <c r="T11" i="213"/>
  <c r="S11" i="213"/>
  <c r="R11" i="213"/>
  <c r="Q11" i="213"/>
  <c r="P11" i="213"/>
  <c r="O11" i="213"/>
  <c r="N11" i="213"/>
  <c r="M11" i="213"/>
  <c r="L11" i="213"/>
  <c r="K11" i="213"/>
  <c r="J11" i="213"/>
  <c r="I11" i="213"/>
  <c r="H11" i="213"/>
  <c r="G16" i="213"/>
  <c r="G11" i="213"/>
  <c r="G21" i="213"/>
  <c r="BN34" i="212"/>
  <c r="BO34" i="212" s="1"/>
  <c r="BN33" i="212"/>
  <c r="BN32" i="212" s="1"/>
  <c r="BN30" i="212"/>
  <c r="BO30" i="212" s="1"/>
  <c r="BO28" i="212" s="1"/>
  <c r="BB34" i="212"/>
  <c r="BB33" i="212"/>
  <c r="BB32" i="212" s="1"/>
  <c r="BB31" i="212"/>
  <c r="BB30" i="212"/>
  <c r="BB29" i="212"/>
  <c r="AL34" i="212"/>
  <c r="AL33" i="212"/>
  <c r="AL31" i="212"/>
  <c r="AL30" i="212"/>
  <c r="AL28" i="212" s="1"/>
  <c r="AL27" i="212" s="1"/>
  <c r="AL29" i="212"/>
  <c r="V34" i="212"/>
  <c r="V32" i="212" s="1"/>
  <c r="V33" i="212"/>
  <c r="V31" i="212"/>
  <c r="V30" i="212"/>
  <c r="V28" i="212" s="1"/>
  <c r="V27" i="212" s="1"/>
  <c r="V29" i="212"/>
  <c r="BM32" i="212"/>
  <c r="BL32" i="212"/>
  <c r="BK32" i="212"/>
  <c r="BJ32" i="212"/>
  <c r="BI32" i="212"/>
  <c r="BH32" i="212"/>
  <c r="BG32" i="212"/>
  <c r="BF32" i="212"/>
  <c r="BE32" i="212"/>
  <c r="BC32" i="212"/>
  <c r="BA32" i="212"/>
  <c r="AZ32" i="212"/>
  <c r="AY32" i="212"/>
  <c r="AX32" i="212"/>
  <c r="AW32" i="212"/>
  <c r="AV32" i="212"/>
  <c r="AU32" i="212"/>
  <c r="AT32" i="212"/>
  <c r="AS32" i="212"/>
  <c r="AR32" i="212"/>
  <c r="AQ32" i="212"/>
  <c r="AP32" i="212"/>
  <c r="AO32" i="212"/>
  <c r="AN32" i="212"/>
  <c r="AM32" i="212"/>
  <c r="AL32" i="212"/>
  <c r="AK32" i="212"/>
  <c r="AJ32" i="212"/>
  <c r="AI32" i="212"/>
  <c r="AH32" i="212"/>
  <c r="AG32" i="212"/>
  <c r="AF32" i="212"/>
  <c r="AE32" i="212"/>
  <c r="AD32" i="212"/>
  <c r="AC32" i="212"/>
  <c r="AB32" i="212"/>
  <c r="AA32" i="212"/>
  <c r="Z32" i="212"/>
  <c r="Y32" i="212"/>
  <c r="X32" i="212"/>
  <c r="W32" i="212"/>
  <c r="U32" i="212"/>
  <c r="T32" i="212"/>
  <c r="S32" i="212"/>
  <c r="R32" i="212"/>
  <c r="Q32" i="212"/>
  <c r="P32" i="212"/>
  <c r="O32" i="212"/>
  <c r="N32" i="212"/>
  <c r="M32" i="212"/>
  <c r="L32" i="212"/>
  <c r="K32" i="212"/>
  <c r="J32" i="212"/>
  <c r="I32" i="212"/>
  <c r="H32" i="212"/>
  <c r="BM28" i="212"/>
  <c r="BM27" i="212" s="1"/>
  <c r="BL28" i="212"/>
  <c r="BL27" i="212" s="1"/>
  <c r="BK28" i="212"/>
  <c r="BK27" i="212" s="1"/>
  <c r="BJ28" i="212"/>
  <c r="BJ27" i="212" s="1"/>
  <c r="BI28" i="212"/>
  <c r="BH28" i="212"/>
  <c r="BG28" i="212"/>
  <c r="BF28" i="212"/>
  <c r="BE28" i="212"/>
  <c r="BE27" i="212" s="1"/>
  <c r="BC28" i="212"/>
  <c r="BC27" i="212" s="1"/>
  <c r="BB28" i="212"/>
  <c r="BA28" i="212"/>
  <c r="AZ28" i="212"/>
  <c r="AY28" i="212"/>
  <c r="AX28" i="212"/>
  <c r="AW28" i="212"/>
  <c r="AW27" i="212" s="1"/>
  <c r="AV28" i="212"/>
  <c r="AV27" i="212" s="1"/>
  <c r="AU28" i="212"/>
  <c r="AU27" i="212" s="1"/>
  <c r="AT28" i="212"/>
  <c r="AT27" i="212" s="1"/>
  <c r="AS28" i="212"/>
  <c r="AR28" i="212"/>
  <c r="AQ28" i="212"/>
  <c r="AP28" i="212"/>
  <c r="AO28" i="212"/>
  <c r="AO27" i="212" s="1"/>
  <c r="AN28" i="212"/>
  <c r="AN27" i="212" s="1"/>
  <c r="AM28" i="212"/>
  <c r="AM27" i="212" s="1"/>
  <c r="AK28" i="212"/>
  <c r="AJ28" i="212"/>
  <c r="AI28" i="212"/>
  <c r="AH28" i="212"/>
  <c r="AG28" i="212"/>
  <c r="AG27" i="212" s="1"/>
  <c r="AF28" i="212"/>
  <c r="AF27" i="212" s="1"/>
  <c r="AE28" i="212"/>
  <c r="AE27" i="212" s="1"/>
  <c r="AD28" i="212"/>
  <c r="AD27" i="212" s="1"/>
  <c r="AC28" i="212"/>
  <c r="AB28" i="212"/>
  <c r="AA28" i="212"/>
  <c r="Z28" i="212"/>
  <c r="Y28" i="212"/>
  <c r="Y27" i="212" s="1"/>
  <c r="X28" i="212"/>
  <c r="X27" i="212" s="1"/>
  <c r="W28" i="212"/>
  <c r="W27" i="212" s="1"/>
  <c r="U28" i="212"/>
  <c r="T28" i="212"/>
  <c r="S28" i="212"/>
  <c r="R28" i="212"/>
  <c r="Q28" i="212"/>
  <c r="Q27" i="212" s="1"/>
  <c r="P28" i="212"/>
  <c r="P27" i="212" s="1"/>
  <c r="O28" i="212"/>
  <c r="O27" i="212" s="1"/>
  <c r="N28" i="212"/>
  <c r="N27" i="212" s="1"/>
  <c r="M28" i="212"/>
  <c r="L28" i="212"/>
  <c r="K28" i="212"/>
  <c r="J28" i="212"/>
  <c r="I28" i="212"/>
  <c r="I27" i="212" s="1"/>
  <c r="H28" i="212"/>
  <c r="H27" i="212" s="1"/>
  <c r="BI27" i="212"/>
  <c r="BH27" i="212"/>
  <c r="BG27" i="212"/>
  <c r="BF27" i="212"/>
  <c r="BA27" i="212"/>
  <c r="AZ27" i="212"/>
  <c r="AY27" i="212"/>
  <c r="AX27" i="212"/>
  <c r="AS27" i="212"/>
  <c r="AR27" i="212"/>
  <c r="AQ27" i="212"/>
  <c r="AP27" i="212"/>
  <c r="AK27" i="212"/>
  <c r="AJ27" i="212"/>
  <c r="AI27" i="212"/>
  <c r="AH27" i="212"/>
  <c r="AC27" i="212"/>
  <c r="AB27" i="212"/>
  <c r="AA27" i="212"/>
  <c r="Z27" i="212"/>
  <c r="U27" i="212"/>
  <c r="T27" i="212"/>
  <c r="S27" i="212"/>
  <c r="R27" i="212"/>
  <c r="M27" i="212"/>
  <c r="L27" i="212"/>
  <c r="K27" i="212"/>
  <c r="J27" i="212"/>
  <c r="G32" i="212"/>
  <c r="G28" i="212"/>
  <c r="BN18" i="212"/>
  <c r="BN17" i="212"/>
  <c r="BN15" i="212"/>
  <c r="BN14" i="212"/>
  <c r="BN12" i="212"/>
  <c r="BN11" i="212"/>
  <c r="BN10" i="212" s="1"/>
  <c r="BN9" i="212"/>
  <c r="BN8" i="212"/>
  <c r="BN7" i="212" s="1"/>
  <c r="BB18" i="212"/>
  <c r="BB17" i="212"/>
  <c r="BB16" i="212" s="1"/>
  <c r="BB15" i="212"/>
  <c r="BB14" i="212"/>
  <c r="BB13" i="212" s="1"/>
  <c r="BB12" i="212"/>
  <c r="BB11" i="212"/>
  <c r="BB9" i="212"/>
  <c r="BB8" i="212"/>
  <c r="BB7" i="212" s="1"/>
  <c r="AL18" i="212"/>
  <c r="AL17" i="212"/>
  <c r="AL16" i="212" s="1"/>
  <c r="AL15" i="212"/>
  <c r="AL14" i="212"/>
  <c r="AL12" i="212"/>
  <c r="AL11" i="212"/>
  <c r="AL9" i="212"/>
  <c r="AL8" i="212"/>
  <c r="AL7" i="212" s="1"/>
  <c r="V18" i="212"/>
  <c r="BO18" i="212" s="1"/>
  <c r="V17" i="212"/>
  <c r="V15" i="212"/>
  <c r="BO15" i="212" s="1"/>
  <c r="H74" i="182" s="1"/>
  <c r="V14" i="212"/>
  <c r="V12" i="212"/>
  <c r="V11" i="212"/>
  <c r="BO11" i="212" s="1"/>
  <c r="V9" i="212"/>
  <c r="V8" i="212"/>
  <c r="V7" i="212" s="1"/>
  <c r="BM16" i="212"/>
  <c r="BL16" i="212"/>
  <c r="BK16" i="212"/>
  <c r="BJ16" i="212"/>
  <c r="BI16" i="212"/>
  <c r="BH16" i="212"/>
  <c r="BG16" i="212"/>
  <c r="BF16" i="212"/>
  <c r="BE16" i="212"/>
  <c r="BD16" i="212"/>
  <c r="BC16" i="212"/>
  <c r="BA16" i="212"/>
  <c r="AZ16" i="212"/>
  <c r="AY16" i="212"/>
  <c r="AX16" i="212"/>
  <c r="AW16" i="212"/>
  <c r="AV16" i="212"/>
  <c r="AU16" i="212"/>
  <c r="AT16" i="212"/>
  <c r="AS16" i="212"/>
  <c r="AR16" i="212"/>
  <c r="AQ16" i="212"/>
  <c r="AP16" i="212"/>
  <c r="AO16" i="212"/>
  <c r="AN16" i="212"/>
  <c r="AM16" i="212"/>
  <c r="AK16" i="212"/>
  <c r="AJ16" i="212"/>
  <c r="AI16" i="212"/>
  <c r="AH16" i="212"/>
  <c r="AG16" i="212"/>
  <c r="AF16" i="212"/>
  <c r="AE16" i="212"/>
  <c r="AD16" i="212"/>
  <c r="AC16" i="212"/>
  <c r="AB16" i="212"/>
  <c r="AA16" i="212"/>
  <c r="Z16" i="212"/>
  <c r="Y16" i="212"/>
  <c r="X16" i="212"/>
  <c r="W16" i="212"/>
  <c r="U16" i="212"/>
  <c r="T16" i="212"/>
  <c r="S16" i="212"/>
  <c r="R16" i="212"/>
  <c r="Q16" i="212"/>
  <c r="P16" i="212"/>
  <c r="O16" i="212"/>
  <c r="N16" i="212"/>
  <c r="M16" i="212"/>
  <c r="L16" i="212"/>
  <c r="K16" i="212"/>
  <c r="J16" i="212"/>
  <c r="I16" i="212"/>
  <c r="H16" i="212"/>
  <c r="BM13" i="212"/>
  <c r="BL13" i="212"/>
  <c r="BK13" i="212"/>
  <c r="BJ13" i="212"/>
  <c r="BI13" i="212"/>
  <c r="BH13" i="212"/>
  <c r="BG13" i="212"/>
  <c r="BF13" i="212"/>
  <c r="BE13" i="212"/>
  <c r="BD13" i="212"/>
  <c r="BC13" i="212"/>
  <c r="BA13" i="212"/>
  <c r="AZ13" i="212"/>
  <c r="AY13" i="212"/>
  <c r="AX13" i="212"/>
  <c r="AW13" i="212"/>
  <c r="AV13" i="212"/>
  <c r="AU13" i="212"/>
  <c r="AT13" i="212"/>
  <c r="AS13" i="212"/>
  <c r="AR13" i="212"/>
  <c r="AQ13" i="212"/>
  <c r="AP13" i="212"/>
  <c r="AO13" i="212"/>
  <c r="AN13" i="212"/>
  <c r="AM13" i="212"/>
  <c r="AK13" i="212"/>
  <c r="AJ13" i="212"/>
  <c r="AI13" i="212"/>
  <c r="AH13" i="212"/>
  <c r="AG13" i="212"/>
  <c r="AF13" i="212"/>
  <c r="AE13" i="212"/>
  <c r="AD13" i="212"/>
  <c r="AC13" i="212"/>
  <c r="AB13" i="212"/>
  <c r="AA13" i="212"/>
  <c r="Z13" i="212"/>
  <c r="Y13" i="212"/>
  <c r="X13" i="212"/>
  <c r="W13" i="212"/>
  <c r="U13" i="212"/>
  <c r="T13" i="212"/>
  <c r="S13" i="212"/>
  <c r="R13" i="212"/>
  <c r="Q13" i="212"/>
  <c r="P13" i="212"/>
  <c r="O13" i="212"/>
  <c r="N13" i="212"/>
  <c r="M13" i="212"/>
  <c r="L13" i="212"/>
  <c r="K13" i="212"/>
  <c r="J13" i="212"/>
  <c r="I13" i="212"/>
  <c r="H13" i="212"/>
  <c r="BM10" i="212"/>
  <c r="BL10" i="212"/>
  <c r="BK10" i="212"/>
  <c r="BJ10" i="212"/>
  <c r="BI10" i="212"/>
  <c r="BH10" i="212"/>
  <c r="BG10" i="212"/>
  <c r="BF10" i="212"/>
  <c r="BE10" i="212"/>
  <c r="BD10" i="212"/>
  <c r="BC10" i="212"/>
  <c r="BA10" i="212"/>
  <c r="AZ10" i="212"/>
  <c r="AY10" i="212"/>
  <c r="AX10" i="212"/>
  <c r="AW10" i="212"/>
  <c r="AV10" i="212"/>
  <c r="AU10" i="212"/>
  <c r="AT10" i="212"/>
  <c r="AS10" i="212"/>
  <c r="AR10" i="212"/>
  <c r="AQ10" i="212"/>
  <c r="AP10" i="212"/>
  <c r="AO10" i="212"/>
  <c r="AN10" i="212"/>
  <c r="AM10" i="212"/>
  <c r="AK10" i="212"/>
  <c r="AJ10" i="212"/>
  <c r="AI10" i="212"/>
  <c r="AH10" i="212"/>
  <c r="AG10" i="212"/>
  <c r="AF10" i="212"/>
  <c r="AE10" i="212"/>
  <c r="AD10" i="212"/>
  <c r="AC10" i="212"/>
  <c r="AB10" i="212"/>
  <c r="AA10" i="212"/>
  <c r="Z10" i="212"/>
  <c r="Y10" i="212"/>
  <c r="X10" i="212"/>
  <c r="W10" i="212"/>
  <c r="U10" i="212"/>
  <c r="T10" i="212"/>
  <c r="S10" i="212"/>
  <c r="R10" i="212"/>
  <c r="Q10" i="212"/>
  <c r="P10" i="212"/>
  <c r="O10" i="212"/>
  <c r="N10" i="212"/>
  <c r="M10" i="212"/>
  <c r="L10" i="212"/>
  <c r="K10" i="212"/>
  <c r="J10" i="212"/>
  <c r="I10" i="212"/>
  <c r="H10" i="212"/>
  <c r="BM7" i="212"/>
  <c r="BL7" i="212"/>
  <c r="BK7" i="212"/>
  <c r="BJ7" i="212"/>
  <c r="BI7" i="212"/>
  <c r="BH7" i="212"/>
  <c r="BG7" i="212"/>
  <c r="BF7" i="212"/>
  <c r="BE7" i="212"/>
  <c r="BD7" i="212"/>
  <c r="BC7" i="212"/>
  <c r="BA7" i="212"/>
  <c r="AZ7" i="212"/>
  <c r="AY7" i="212"/>
  <c r="AX7" i="212"/>
  <c r="AW7" i="212"/>
  <c r="AV7" i="212"/>
  <c r="AU7" i="212"/>
  <c r="AT7" i="212"/>
  <c r="AS7" i="212"/>
  <c r="AR7" i="212"/>
  <c r="AQ7" i="212"/>
  <c r="AP7" i="212"/>
  <c r="AO7" i="212"/>
  <c r="AN7" i="212"/>
  <c r="AM7" i="212"/>
  <c r="AK7" i="212"/>
  <c r="AJ7" i="212"/>
  <c r="AI7" i="212"/>
  <c r="AH7" i="212"/>
  <c r="AG7" i="212"/>
  <c r="AF7" i="212"/>
  <c r="AE7" i="212"/>
  <c r="AD7" i="212"/>
  <c r="AC7" i="212"/>
  <c r="AB7" i="212"/>
  <c r="AA7" i="212"/>
  <c r="Z7" i="212"/>
  <c r="Y7" i="212"/>
  <c r="X7" i="212"/>
  <c r="W7" i="212"/>
  <c r="U7" i="212"/>
  <c r="T7" i="212"/>
  <c r="S7" i="212"/>
  <c r="R7" i="212"/>
  <c r="Q7" i="212"/>
  <c r="P7" i="212"/>
  <c r="O7" i="212"/>
  <c r="N7" i="212"/>
  <c r="M7" i="212"/>
  <c r="L7" i="212"/>
  <c r="K7" i="212"/>
  <c r="J7" i="212"/>
  <c r="I7" i="212"/>
  <c r="H7" i="212"/>
  <c r="G16" i="212"/>
  <c r="G13" i="212"/>
  <c r="G10" i="212"/>
  <c r="G7" i="212"/>
  <c r="R18" i="211"/>
  <c r="R17" i="211"/>
  <c r="R14" i="211" s="1"/>
  <c r="R8" i="211" s="1"/>
  <c r="R16" i="211"/>
  <c r="R15" i="211"/>
  <c r="R13" i="211"/>
  <c r="R12" i="211"/>
  <c r="R11" i="211"/>
  <c r="R10" i="211" s="1"/>
  <c r="R9" i="211" s="1"/>
  <c r="R7" i="211"/>
  <c r="N13" i="211"/>
  <c r="S13" i="211" s="1"/>
  <c r="U13" i="211" s="1"/>
  <c r="Q6" i="211"/>
  <c r="P6" i="211"/>
  <c r="L18" i="211"/>
  <c r="L17" i="211"/>
  <c r="N17" i="211" s="1"/>
  <c r="L16" i="211"/>
  <c r="L14" i="211" s="1"/>
  <c r="L8" i="211" s="1"/>
  <c r="L6" i="211" s="1"/>
  <c r="L15" i="211"/>
  <c r="L13" i="211"/>
  <c r="L12" i="211"/>
  <c r="N12" i="211" s="1"/>
  <c r="S12" i="211" s="1"/>
  <c r="U12" i="211" s="1"/>
  <c r="L11" i="211"/>
  <c r="L7" i="211"/>
  <c r="I18" i="211"/>
  <c r="N18" i="211" s="1"/>
  <c r="S18" i="211" s="1"/>
  <c r="U18" i="211" s="1"/>
  <c r="I17" i="211"/>
  <c r="I16" i="211"/>
  <c r="I15" i="211"/>
  <c r="I14" i="211" s="1"/>
  <c r="I13" i="211"/>
  <c r="I12" i="211"/>
  <c r="I11" i="211"/>
  <c r="I10" i="211" s="1"/>
  <c r="I7" i="211"/>
  <c r="N7" i="211" s="1"/>
  <c r="S7" i="211" s="1"/>
  <c r="U7" i="211" s="1"/>
  <c r="T14" i="211"/>
  <c r="Q14" i="211"/>
  <c r="P14" i="211"/>
  <c r="P8" i="211" s="1"/>
  <c r="O14" i="211"/>
  <c r="M14" i="211"/>
  <c r="K14" i="211"/>
  <c r="K8" i="211" s="1"/>
  <c r="K6" i="211" s="1"/>
  <c r="J14" i="211"/>
  <c r="J8" i="211" s="1"/>
  <c r="J6" i="211" s="1"/>
  <c r="H14" i="211"/>
  <c r="H8" i="211" s="1"/>
  <c r="H6" i="211" s="1"/>
  <c r="H20" i="211" s="1"/>
  <c r="T10" i="211"/>
  <c r="Q10" i="211"/>
  <c r="Q9" i="211" s="1"/>
  <c r="P10" i="211"/>
  <c r="P9" i="211" s="1"/>
  <c r="O10" i="211"/>
  <c r="M10" i="211"/>
  <c r="K10" i="211"/>
  <c r="K9" i="211" s="1"/>
  <c r="J10" i="211"/>
  <c r="H10" i="211"/>
  <c r="Q8" i="211"/>
  <c r="G14" i="211"/>
  <c r="G8" i="211" s="1"/>
  <c r="G6" i="211" s="1"/>
  <c r="G10" i="211"/>
  <c r="G9" i="211" s="1"/>
  <c r="I17" i="182" l="1"/>
  <c r="K17" i="182"/>
  <c r="K10" i="182"/>
  <c r="T9" i="211"/>
  <c r="T8" i="211"/>
  <c r="T6" i="211" s="1"/>
  <c r="O8" i="211"/>
  <c r="O6" i="211" s="1"/>
  <c r="D192" i="182" s="1"/>
  <c r="O9" i="211"/>
  <c r="M8" i="211"/>
  <c r="M6" i="211" s="1"/>
  <c r="M9" i="211"/>
  <c r="N16" i="211"/>
  <c r="S16" i="211" s="1"/>
  <c r="U16" i="211" s="1"/>
  <c r="J9" i="211"/>
  <c r="L9" i="211" s="1"/>
  <c r="L10" i="211"/>
  <c r="H9" i="211"/>
  <c r="H24" i="211" s="1"/>
  <c r="S17" i="211"/>
  <c r="I8" i="211"/>
  <c r="I6" i="211" s="1"/>
  <c r="N15" i="211"/>
  <c r="S15" i="211" s="1"/>
  <c r="U15" i="211" s="1"/>
  <c r="N11" i="211"/>
  <c r="BB10" i="212"/>
  <c r="BO12" i="212"/>
  <c r="BO10" i="212"/>
  <c r="H123" i="182" s="1"/>
  <c r="K123" i="182" s="1"/>
  <c r="AL10" i="212"/>
  <c r="BI24" i="213"/>
  <c r="BM24" i="213"/>
  <c r="BJ24" i="213"/>
  <c r="W24" i="213"/>
  <c r="AA24" i="213"/>
  <c r="AE24" i="213"/>
  <c r="AI24" i="213"/>
  <c r="AV24" i="213"/>
  <c r="AZ24" i="213"/>
  <c r="BN15" i="213"/>
  <c r="BO15" i="213" s="1"/>
  <c r="G24" i="213"/>
  <c r="J24" i="213"/>
  <c r="N24" i="213"/>
  <c r="R24" i="213"/>
  <c r="BE24" i="213"/>
  <c r="BO12" i="213"/>
  <c r="K24" i="213"/>
  <c r="O24" i="213"/>
  <c r="L24" i="213"/>
  <c r="P24" i="213"/>
  <c r="T24" i="213"/>
  <c r="Y24" i="213"/>
  <c r="AC24" i="213"/>
  <c r="AG24" i="213"/>
  <c r="AK24" i="213"/>
  <c r="AP24" i="213"/>
  <c r="AT24" i="213"/>
  <c r="AX24" i="213"/>
  <c r="H24" i="213"/>
  <c r="X24" i="213"/>
  <c r="AB24" i="213"/>
  <c r="AF24" i="213"/>
  <c r="AJ24" i="213"/>
  <c r="S24" i="213"/>
  <c r="I24" i="213"/>
  <c r="Z24" i="213"/>
  <c r="AD24" i="213"/>
  <c r="AH24" i="213"/>
  <c r="AM24" i="213"/>
  <c r="AQ24" i="213"/>
  <c r="AU24" i="213"/>
  <c r="AY24" i="213"/>
  <c r="BC24" i="213"/>
  <c r="BL24" i="213"/>
  <c r="BK24" i="213"/>
  <c r="BH24" i="213"/>
  <c r="BN17" i="213"/>
  <c r="BF24" i="213"/>
  <c r="BN11" i="213"/>
  <c r="BB22" i="213"/>
  <c r="BB21" i="213"/>
  <c r="BB24" i="213" s="1"/>
  <c r="AO24" i="213"/>
  <c r="AS24" i="213"/>
  <c r="AW24" i="213"/>
  <c r="BA24" i="213"/>
  <c r="AL22" i="213"/>
  <c r="AL21" i="213"/>
  <c r="BO19" i="213"/>
  <c r="BO9" i="213"/>
  <c r="AL11" i="213"/>
  <c r="BO20" i="213"/>
  <c r="BO17" i="213"/>
  <c r="BO7" i="213"/>
  <c r="K26" i="182"/>
  <c r="K25" i="182"/>
  <c r="I40" i="182"/>
  <c r="K40" i="182"/>
  <c r="I36" i="182"/>
  <c r="K36" i="182"/>
  <c r="I24" i="182"/>
  <c r="K24" i="182"/>
  <c r="I38" i="182"/>
  <c r="K38" i="182"/>
  <c r="I42" i="182"/>
  <c r="K42" i="182"/>
  <c r="I16" i="182"/>
  <c r="K16" i="182"/>
  <c r="H29" i="182"/>
  <c r="I29" i="182" s="1"/>
  <c r="I26" i="182"/>
  <c r="I25" i="182"/>
  <c r="BN28" i="214"/>
  <c r="BO28" i="214" s="1"/>
  <c r="I10" i="182"/>
  <c r="BN14" i="214"/>
  <c r="BN7" i="214"/>
  <c r="BN8" i="214"/>
  <c r="BO8" i="214" s="1"/>
  <c r="BN9" i="214"/>
  <c r="BN10" i="214"/>
  <c r="BN18" i="214"/>
  <c r="BN17" i="214"/>
  <c r="BN13" i="214"/>
  <c r="BN15" i="214"/>
  <c r="BN16" i="214"/>
  <c r="BO27" i="214"/>
  <c r="BN11" i="214"/>
  <c r="BO11" i="214" s="1"/>
  <c r="BN19" i="214"/>
  <c r="BN12" i="214"/>
  <c r="BN20" i="214"/>
  <c r="BD28" i="212"/>
  <c r="BD27" i="212" s="1"/>
  <c r="BO33" i="212"/>
  <c r="BO32" i="212" s="1"/>
  <c r="BN28" i="212"/>
  <c r="BN27" i="212" s="1"/>
  <c r="BG24" i="213"/>
  <c r="BN21" i="213"/>
  <c r="BO18" i="213"/>
  <c r="BN14" i="213"/>
  <c r="BO14" i="213" s="1"/>
  <c r="BO10" i="213"/>
  <c r="BN13" i="213"/>
  <c r="BN22" i="213" s="1"/>
  <c r="BD11" i="213"/>
  <c r="BD21" i="213"/>
  <c r="V11" i="213"/>
  <c r="V24" i="213" s="1"/>
  <c r="BO8" i="213"/>
  <c r="BO27" i="212"/>
  <c r="BB27" i="212"/>
  <c r="G27" i="212"/>
  <c r="V13" i="212"/>
  <c r="BN13" i="212"/>
  <c r="AL13" i="212"/>
  <c r="V10" i="212"/>
  <c r="BO9" i="212"/>
  <c r="V16" i="212"/>
  <c r="BN16" i="212"/>
  <c r="BO8" i="212"/>
  <c r="BO14" i="212"/>
  <c r="BO13" i="212" s="1"/>
  <c r="H126" i="182" s="1"/>
  <c r="BO17" i="212"/>
  <c r="BO16" i="212" s="1"/>
  <c r="H130" i="182" s="1"/>
  <c r="R6" i="211"/>
  <c r="K29" i="182" l="1"/>
  <c r="I123" i="182"/>
  <c r="BO17" i="214"/>
  <c r="J43" i="214"/>
  <c r="BO18" i="214"/>
  <c r="J44" i="214"/>
  <c r="BO7" i="214"/>
  <c r="J35" i="214"/>
  <c r="BO19" i="214"/>
  <c r="J45" i="214"/>
  <c r="BO15" i="214"/>
  <c r="J41" i="214"/>
  <c r="BO10" i="214"/>
  <c r="J37" i="214"/>
  <c r="BO14" i="214"/>
  <c r="J40" i="214"/>
  <c r="BO20" i="214"/>
  <c r="J46" i="214"/>
  <c r="BO12" i="214"/>
  <c r="J38" i="214"/>
  <c r="BO16" i="214"/>
  <c r="J42" i="214"/>
  <c r="BO13" i="214"/>
  <c r="J39" i="214"/>
  <c r="BO9" i="214"/>
  <c r="J36" i="214"/>
  <c r="N14" i="211"/>
  <c r="N8" i="211" s="1"/>
  <c r="N6" i="211" s="1"/>
  <c r="I9" i="211"/>
  <c r="N9" i="211" s="1"/>
  <c r="S9" i="211" s="1"/>
  <c r="U9" i="211" s="1"/>
  <c r="S14" i="211"/>
  <c r="S8" i="211" s="1"/>
  <c r="S6" i="211" s="1"/>
  <c r="U17" i="211"/>
  <c r="U14" i="211" s="1"/>
  <c r="U8" i="211" s="1"/>
  <c r="H144" i="182" s="1"/>
  <c r="N10" i="211"/>
  <c r="S11" i="211"/>
  <c r="I130" i="182"/>
  <c r="K130" i="182"/>
  <c r="I126" i="182"/>
  <c r="K126" i="182"/>
  <c r="BD24" i="213"/>
  <c r="AL24" i="213"/>
  <c r="BO21" i="213"/>
  <c r="BO11" i="213"/>
  <c r="AE44" i="240"/>
  <c r="AF44" i="240"/>
  <c r="BN16" i="213"/>
  <c r="BO13" i="213"/>
  <c r="BO16" i="213" s="1"/>
  <c r="BO7" i="212"/>
  <c r="H120" i="182" s="1"/>
  <c r="U11" i="211" l="1"/>
  <c r="U10" i="211" s="1"/>
  <c r="S10" i="211"/>
  <c r="I120" i="182"/>
  <c r="K120" i="182"/>
  <c r="BO22" i="213"/>
  <c r="H110" i="182" s="1"/>
  <c r="K110" i="182" s="1"/>
  <c r="BO24" i="213"/>
  <c r="BN24" i="213"/>
  <c r="I110" i="182" l="1"/>
  <c r="BN42" i="210"/>
  <c r="BN41" i="210"/>
  <c r="BN40" i="210"/>
  <c r="BN39" i="210"/>
  <c r="BN38" i="210"/>
  <c r="BN36" i="210"/>
  <c r="BN35" i="210"/>
  <c r="BN34" i="210"/>
  <c r="BN31" i="210"/>
  <c r="BN30" i="210"/>
  <c r="BN29" i="210"/>
  <c r="BN26" i="210"/>
  <c r="BN25" i="210"/>
  <c r="BO25" i="210" s="1"/>
  <c r="BN24" i="210"/>
  <c r="BO24" i="210" s="1"/>
  <c r="BN22" i="210"/>
  <c r="BN21" i="210"/>
  <c r="BN20" i="210"/>
  <c r="BN18" i="210"/>
  <c r="BN17" i="210"/>
  <c r="BN16" i="210"/>
  <c r="BN15" i="210"/>
  <c r="BN14" i="210"/>
  <c r="BN10" i="210"/>
  <c r="BB42" i="210"/>
  <c r="BB41" i="210"/>
  <c r="BB40" i="210"/>
  <c r="BB39" i="210"/>
  <c r="BB38" i="210"/>
  <c r="BB36" i="210"/>
  <c r="BB35" i="210"/>
  <c r="BB34" i="210"/>
  <c r="BB31" i="210"/>
  <c r="BB30" i="210"/>
  <c r="BB29" i="210"/>
  <c r="BB28" i="210" s="1"/>
  <c r="BB26" i="210"/>
  <c r="BB25" i="210"/>
  <c r="BB24" i="210"/>
  <c r="BB22" i="210"/>
  <c r="BB19" i="210" s="1"/>
  <c r="BB21" i="210"/>
  <c r="BB20" i="210"/>
  <c r="BB18" i="210"/>
  <c r="BB17" i="210"/>
  <c r="BB16" i="210"/>
  <c r="BB15" i="210"/>
  <c r="BB14" i="210"/>
  <c r="BB10" i="210"/>
  <c r="BB8" i="210"/>
  <c r="AL10" i="210"/>
  <c r="AL8" i="210"/>
  <c r="AL18" i="210"/>
  <c r="AL17" i="210"/>
  <c r="AL16" i="210"/>
  <c r="AL15" i="210"/>
  <c r="AL14" i="210"/>
  <c r="AL13" i="210" s="1"/>
  <c r="AL22" i="210"/>
  <c r="AL21" i="210"/>
  <c r="AL20" i="210"/>
  <c r="AL26" i="210"/>
  <c r="AL25" i="210"/>
  <c r="AL24" i="210"/>
  <c r="AL31" i="210"/>
  <c r="AL30" i="210"/>
  <c r="AL29" i="210"/>
  <c r="AL36" i="210"/>
  <c r="AL35" i="210"/>
  <c r="AL34" i="210"/>
  <c r="AL42" i="210"/>
  <c r="AL41" i="210"/>
  <c r="AL40" i="210"/>
  <c r="AL39" i="210"/>
  <c r="AL38" i="210"/>
  <c r="V42" i="210"/>
  <c r="V41" i="210"/>
  <c r="V40" i="210"/>
  <c r="V39" i="210"/>
  <c r="V38" i="210"/>
  <c r="V36" i="210"/>
  <c r="V35" i="210"/>
  <c r="V34" i="210"/>
  <c r="V31" i="210"/>
  <c r="V30" i="210"/>
  <c r="V29" i="210"/>
  <c r="V28" i="210" s="1"/>
  <c r="V26" i="210"/>
  <c r="V25" i="210"/>
  <c r="V24" i="210"/>
  <c r="V22" i="210"/>
  <c r="V21" i="210"/>
  <c r="V20" i="210"/>
  <c r="V18" i="210"/>
  <c r="V17" i="210"/>
  <c r="V16" i="210"/>
  <c r="V15" i="210"/>
  <c r="V14" i="210"/>
  <c r="BM37" i="210"/>
  <c r="BL37" i="210"/>
  <c r="BK37" i="210"/>
  <c r="BJ37" i="210"/>
  <c r="BI37" i="210"/>
  <c r="BH37" i="210"/>
  <c r="BG37" i="210"/>
  <c r="BF37" i="210"/>
  <c r="BE37" i="210"/>
  <c r="BD37" i="210"/>
  <c r="BC37" i="210"/>
  <c r="BA37" i="210"/>
  <c r="AZ37" i="210"/>
  <c r="AY37" i="210"/>
  <c r="AX37" i="210"/>
  <c r="AW37" i="210"/>
  <c r="AV37" i="210"/>
  <c r="AU37" i="210"/>
  <c r="AT37" i="210"/>
  <c r="AS37" i="210"/>
  <c r="AR37" i="210"/>
  <c r="AQ37" i="210"/>
  <c r="AP37" i="210"/>
  <c r="AO37" i="210"/>
  <c r="AN37" i="210"/>
  <c r="AM37" i="210"/>
  <c r="AK37" i="210"/>
  <c r="AJ37" i="210"/>
  <c r="AI37" i="210"/>
  <c r="AH37" i="210"/>
  <c r="AG37" i="210"/>
  <c r="AF37" i="210"/>
  <c r="AE37" i="210"/>
  <c r="AD37" i="210"/>
  <c r="AC37" i="210"/>
  <c r="AB37" i="210"/>
  <c r="AA37" i="210"/>
  <c r="Z37" i="210"/>
  <c r="Y37" i="210"/>
  <c r="X37" i="210"/>
  <c r="W37" i="210"/>
  <c r="V37" i="210"/>
  <c r="U37" i="210"/>
  <c r="U32" i="210" s="1"/>
  <c r="T37" i="210"/>
  <c r="T32" i="210" s="1"/>
  <c r="T27" i="210" s="1"/>
  <c r="T9" i="210" s="1"/>
  <c r="S37" i="210"/>
  <c r="R37" i="210"/>
  <c r="Q37" i="210"/>
  <c r="P37" i="210"/>
  <c r="O37" i="210"/>
  <c r="N37" i="210"/>
  <c r="N32" i="210" s="1"/>
  <c r="N27" i="210" s="1"/>
  <c r="N9" i="210" s="1"/>
  <c r="M37" i="210"/>
  <c r="L37" i="210"/>
  <c r="K37" i="210"/>
  <c r="J37" i="210"/>
  <c r="I37" i="210"/>
  <c r="H37" i="210"/>
  <c r="BM33" i="210"/>
  <c r="BM32" i="210" s="1"/>
  <c r="BL33" i="210"/>
  <c r="BL32" i="210" s="1"/>
  <c r="BK33" i="210"/>
  <c r="BJ33" i="210"/>
  <c r="BI33" i="210"/>
  <c r="BI32" i="210" s="1"/>
  <c r="BH33" i="210"/>
  <c r="BG33" i="210"/>
  <c r="BF33" i="210"/>
  <c r="BF32" i="210" s="1"/>
  <c r="BE33" i="210"/>
  <c r="BD33" i="210"/>
  <c r="BD32" i="210" s="1"/>
  <c r="BD27" i="210" s="1"/>
  <c r="BD9" i="210" s="1"/>
  <c r="BC33" i="210"/>
  <c r="BC32" i="210" s="1"/>
  <c r="BC27" i="210" s="1"/>
  <c r="BC9" i="210" s="1"/>
  <c r="BA33" i="210"/>
  <c r="AZ33" i="210"/>
  <c r="AY33" i="210"/>
  <c r="AY32" i="210" s="1"/>
  <c r="AX33" i="210"/>
  <c r="AX32" i="210" s="1"/>
  <c r="AW33" i="210"/>
  <c r="AW32" i="210" s="1"/>
  <c r="AV33" i="210"/>
  <c r="AV32" i="210" s="1"/>
  <c r="AU33" i="210"/>
  <c r="AT33" i="210"/>
  <c r="AT32" i="210" s="1"/>
  <c r="AT27" i="210" s="1"/>
  <c r="AT9" i="210" s="1"/>
  <c r="AS33" i="210"/>
  <c r="AS32" i="210" s="1"/>
  <c r="AR33" i="210"/>
  <c r="AQ33" i="210"/>
  <c r="AQ32" i="210" s="1"/>
  <c r="AP33" i="210"/>
  <c r="AP32" i="210" s="1"/>
  <c r="AO33" i="210"/>
  <c r="AO32" i="210" s="1"/>
  <c r="AN33" i="210"/>
  <c r="AN32" i="210" s="1"/>
  <c r="AM33" i="210"/>
  <c r="AM32" i="210" s="1"/>
  <c r="AM27" i="210" s="1"/>
  <c r="AM9" i="210" s="1"/>
  <c r="AK33" i="210"/>
  <c r="AJ33" i="210"/>
  <c r="AJ32" i="210" s="1"/>
  <c r="AI33" i="210"/>
  <c r="AI32" i="210" s="1"/>
  <c r="AH33" i="210"/>
  <c r="AH32" i="210" s="1"/>
  <c r="AG33" i="210"/>
  <c r="AG32" i="210" s="1"/>
  <c r="AF33" i="210"/>
  <c r="AF32" i="210" s="1"/>
  <c r="AE33" i="210"/>
  <c r="AE32" i="210" s="1"/>
  <c r="AD33" i="210"/>
  <c r="AC33" i="210"/>
  <c r="AC32" i="210" s="1"/>
  <c r="AB33" i="210"/>
  <c r="AA33" i="210"/>
  <c r="AA32" i="210" s="1"/>
  <c r="Z33" i="210"/>
  <c r="Z32" i="210" s="1"/>
  <c r="Y33" i="210"/>
  <c r="Y32" i="210" s="1"/>
  <c r="X33" i="210"/>
  <c r="X32" i="210" s="1"/>
  <c r="W33" i="210"/>
  <c r="W32" i="210" s="1"/>
  <c r="U33" i="210"/>
  <c r="T33" i="210"/>
  <c r="S33" i="210"/>
  <c r="S32" i="210" s="1"/>
  <c r="R33" i="210"/>
  <c r="Q33" i="210"/>
  <c r="Q32" i="210" s="1"/>
  <c r="P33" i="210"/>
  <c r="O33" i="210"/>
  <c r="O32" i="210" s="1"/>
  <c r="O27" i="210" s="1"/>
  <c r="O9" i="210" s="1"/>
  <c r="N33" i="210"/>
  <c r="M33" i="210"/>
  <c r="M32" i="210" s="1"/>
  <c r="L33" i="210"/>
  <c r="K33" i="210"/>
  <c r="K32" i="210" s="1"/>
  <c r="J33" i="210"/>
  <c r="I33" i="210"/>
  <c r="I32" i="210" s="1"/>
  <c r="H33" i="210"/>
  <c r="BK32" i="210"/>
  <c r="BE32" i="210"/>
  <c r="AU32" i="210"/>
  <c r="AU27" i="210" s="1"/>
  <c r="AU9" i="210" s="1"/>
  <c r="AK32" i="210"/>
  <c r="BN28" i="210"/>
  <c r="BM28" i="210"/>
  <c r="BL28" i="210"/>
  <c r="BK28" i="210"/>
  <c r="BJ28" i="210"/>
  <c r="BI28" i="210"/>
  <c r="BI27" i="210" s="1"/>
  <c r="BI9" i="210" s="1"/>
  <c r="BH28" i="210"/>
  <c r="BG28" i="210"/>
  <c r="BF28" i="210"/>
  <c r="BF27" i="210" s="1"/>
  <c r="BF9" i="210" s="1"/>
  <c r="BE28" i="210"/>
  <c r="BD28" i="210"/>
  <c r="BC28" i="210"/>
  <c r="BA28" i="210"/>
  <c r="AZ28" i="210"/>
  <c r="AY28" i="210"/>
  <c r="AX28" i="210"/>
  <c r="AW28" i="210"/>
  <c r="AV28" i="210"/>
  <c r="AU28" i="210"/>
  <c r="AT28" i="210"/>
  <c r="AS28" i="210"/>
  <c r="AR28" i="210"/>
  <c r="AQ28" i="210"/>
  <c r="AP28" i="210"/>
  <c r="AO28" i="210"/>
  <c r="AN28" i="210"/>
  <c r="AM28" i="210"/>
  <c r="AK28" i="210"/>
  <c r="AJ28" i="210"/>
  <c r="AI28" i="210"/>
  <c r="AH28" i="210"/>
  <c r="AG28" i="210"/>
  <c r="AF28" i="210"/>
  <c r="AE28" i="210"/>
  <c r="AD28" i="210"/>
  <c r="AC28" i="210"/>
  <c r="AB28" i="210"/>
  <c r="AA28" i="210"/>
  <c r="Z28" i="210"/>
  <c r="Y28" i="210"/>
  <c r="X28" i="210"/>
  <c r="W28" i="210"/>
  <c r="U28" i="210"/>
  <c r="T28" i="210"/>
  <c r="S28" i="210"/>
  <c r="R28" i="210"/>
  <c r="Q28" i="210"/>
  <c r="P28" i="210"/>
  <c r="O28" i="210"/>
  <c r="N28" i="210"/>
  <c r="M28" i="210"/>
  <c r="M27" i="210" s="1"/>
  <c r="M9" i="210" s="1"/>
  <c r="L28" i="210"/>
  <c r="K28" i="210"/>
  <c r="J28" i="210"/>
  <c r="I28" i="210"/>
  <c r="H28" i="210"/>
  <c r="BK27" i="210"/>
  <c r="BK9" i="210" s="1"/>
  <c r="BE27" i="210"/>
  <c r="BE9" i="210" s="1"/>
  <c r="BM23" i="210"/>
  <c r="BL23" i="210"/>
  <c r="BK23" i="210"/>
  <c r="BJ23" i="210"/>
  <c r="BI23" i="210"/>
  <c r="BH23" i="210"/>
  <c r="BG23" i="210"/>
  <c r="BF23" i="210"/>
  <c r="BE23" i="210"/>
  <c r="BD23" i="210"/>
  <c r="BC23" i="210"/>
  <c r="BB23" i="210"/>
  <c r="BA23" i="210"/>
  <c r="AZ23" i="210"/>
  <c r="AY23" i="210"/>
  <c r="AX23" i="210"/>
  <c r="AW23" i="210"/>
  <c r="AV23" i="210"/>
  <c r="AU23" i="210"/>
  <c r="AT23" i="210"/>
  <c r="AS23" i="210"/>
  <c r="AR23" i="210"/>
  <c r="AQ23" i="210"/>
  <c r="AP23" i="210"/>
  <c r="AO23" i="210"/>
  <c r="AN23" i="210"/>
  <c r="AM23" i="210"/>
  <c r="AL23" i="210"/>
  <c r="AK23" i="210"/>
  <c r="AJ23" i="210"/>
  <c r="AI23" i="210"/>
  <c r="AH23" i="210"/>
  <c r="AG23" i="210"/>
  <c r="AF23" i="210"/>
  <c r="AE23" i="210"/>
  <c r="AD23" i="210"/>
  <c r="AC23" i="210"/>
  <c r="AB23" i="210"/>
  <c r="AA23" i="210"/>
  <c r="Z23" i="210"/>
  <c r="Y23" i="210"/>
  <c r="X23" i="210"/>
  <c r="W23" i="210"/>
  <c r="V23" i="210"/>
  <c r="U23" i="210"/>
  <c r="T23" i="210"/>
  <c r="S23" i="210"/>
  <c r="R23" i="210"/>
  <c r="Q23" i="210"/>
  <c r="P23" i="210"/>
  <c r="O23" i="210"/>
  <c r="N23" i="210"/>
  <c r="M23" i="210"/>
  <c r="L23" i="210"/>
  <c r="K23" i="210"/>
  <c r="J23" i="210"/>
  <c r="I23" i="210"/>
  <c r="H23" i="210"/>
  <c r="BM19" i="210"/>
  <c r="BL19" i="210"/>
  <c r="BK19" i="210"/>
  <c r="BJ19" i="210"/>
  <c r="BI19" i="210"/>
  <c r="BH19" i="210"/>
  <c r="BG19" i="210"/>
  <c r="BF19" i="210"/>
  <c r="BE19" i="210"/>
  <c r="BD19" i="210"/>
  <c r="BC19" i="210"/>
  <c r="BA19" i="210"/>
  <c r="AZ19" i="210"/>
  <c r="AY19" i="210"/>
  <c r="AX19" i="210"/>
  <c r="AW19" i="210"/>
  <c r="AV19" i="210"/>
  <c r="AU19" i="210"/>
  <c r="AT19" i="210"/>
  <c r="AS19" i="210"/>
  <c r="AR19" i="210"/>
  <c r="AQ19" i="210"/>
  <c r="AP19" i="210"/>
  <c r="AO19" i="210"/>
  <c r="AN19" i="210"/>
  <c r="AM19" i="210"/>
  <c r="AK19" i="210"/>
  <c r="AJ19" i="210"/>
  <c r="AI19" i="210"/>
  <c r="AH19" i="210"/>
  <c r="AG19" i="210"/>
  <c r="AF19" i="210"/>
  <c r="AE19" i="210"/>
  <c r="AD19" i="210"/>
  <c r="AC19" i="210"/>
  <c r="AB19" i="210"/>
  <c r="AA19" i="210"/>
  <c r="Z19" i="210"/>
  <c r="Y19" i="210"/>
  <c r="X19" i="210"/>
  <c r="W19" i="210"/>
  <c r="V19" i="210"/>
  <c r="U19" i="210"/>
  <c r="T19" i="210"/>
  <c r="S19" i="210"/>
  <c r="R19" i="210"/>
  <c r="Q19" i="210"/>
  <c r="P19" i="210"/>
  <c r="O19" i="210"/>
  <c r="N19" i="210"/>
  <c r="M19" i="210"/>
  <c r="L19" i="210"/>
  <c r="K19" i="210"/>
  <c r="J19" i="210"/>
  <c r="I19" i="210"/>
  <c r="H19" i="210"/>
  <c r="BM13" i="210"/>
  <c r="BM12" i="210" s="1"/>
  <c r="BL13" i="210"/>
  <c r="BK13" i="210"/>
  <c r="BK12" i="210" s="1"/>
  <c r="BJ13" i="210"/>
  <c r="BI13" i="210"/>
  <c r="BI12" i="210" s="1"/>
  <c r="BH13" i="210"/>
  <c r="BG13" i="210"/>
  <c r="BG12" i="210" s="1"/>
  <c r="BF13" i="210"/>
  <c r="BF12" i="210" s="1"/>
  <c r="BE13" i="210"/>
  <c r="BD13" i="210"/>
  <c r="BC13" i="210"/>
  <c r="BA13" i="210"/>
  <c r="AZ13" i="210"/>
  <c r="AY13" i="210"/>
  <c r="AY12" i="210" s="1"/>
  <c r="AX13" i="210"/>
  <c r="AX12" i="210" s="1"/>
  <c r="AW13" i="210"/>
  <c r="AW12" i="210" s="1"/>
  <c r="AV13" i="210"/>
  <c r="AV12" i="210" s="1"/>
  <c r="AU13" i="210"/>
  <c r="AU12" i="210" s="1"/>
  <c r="AT13" i="210"/>
  <c r="AS13" i="210"/>
  <c r="AS12" i="210" s="1"/>
  <c r="AR13" i="210"/>
  <c r="AQ13" i="210"/>
  <c r="AQ12" i="210" s="1"/>
  <c r="AP13" i="210"/>
  <c r="AP12" i="210" s="1"/>
  <c r="AO13" i="210"/>
  <c r="AO12" i="210" s="1"/>
  <c r="AN13" i="210"/>
  <c r="AN12" i="210" s="1"/>
  <c r="AM13" i="210"/>
  <c r="AM12" i="210" s="1"/>
  <c r="AK13" i="210"/>
  <c r="AJ13" i="210"/>
  <c r="AI13" i="210"/>
  <c r="AI12" i="210" s="1"/>
  <c r="AH13" i="210"/>
  <c r="AH12" i="210" s="1"/>
  <c r="AG13" i="210"/>
  <c r="AG12" i="210" s="1"/>
  <c r="AF13" i="210"/>
  <c r="AF12" i="210" s="1"/>
  <c r="AE13" i="210"/>
  <c r="AE12" i="210" s="1"/>
  <c r="AD13" i="210"/>
  <c r="AC13" i="210"/>
  <c r="AC12" i="210" s="1"/>
  <c r="AB13" i="210"/>
  <c r="AA13" i="210"/>
  <c r="AA12" i="210" s="1"/>
  <c r="Z13" i="210"/>
  <c r="Z12" i="210" s="1"/>
  <c r="Y13" i="210"/>
  <c r="X13" i="210"/>
  <c r="X12" i="210" s="1"/>
  <c r="W13" i="210"/>
  <c r="U13" i="210"/>
  <c r="T13" i="210"/>
  <c r="S13" i="210"/>
  <c r="R13" i="210"/>
  <c r="Q13" i="210"/>
  <c r="P13" i="210"/>
  <c r="P12" i="210" s="1"/>
  <c r="O13" i="210"/>
  <c r="N13" i="210"/>
  <c r="M13" i="210"/>
  <c r="L13" i="210"/>
  <c r="K13" i="210"/>
  <c r="J13" i="210"/>
  <c r="I13" i="210"/>
  <c r="H13" i="210"/>
  <c r="H12" i="210" s="1"/>
  <c r="BE12" i="210"/>
  <c r="AT12" i="210"/>
  <c r="AK12" i="210"/>
  <c r="AJ12" i="210"/>
  <c r="Y12" i="210"/>
  <c r="V13" i="210" l="1"/>
  <c r="V12" i="210" s="1"/>
  <c r="BL12" i="210"/>
  <c r="BJ32" i="210"/>
  <c r="BJ27" i="210" s="1"/>
  <c r="BJ9" i="210" s="1"/>
  <c r="BF11" i="210"/>
  <c r="BF7" i="210" s="1"/>
  <c r="BE11" i="210"/>
  <c r="BE7" i="210" s="1"/>
  <c r="BH32" i="210"/>
  <c r="BH27" i="210" s="1"/>
  <c r="BH9" i="210" s="1"/>
  <c r="BB37" i="210"/>
  <c r="BO40" i="210"/>
  <c r="AE27" i="210"/>
  <c r="AE9" i="210" s="1"/>
  <c r="BO31" i="210"/>
  <c r="W27" i="210"/>
  <c r="W9" i="210" s="1"/>
  <c r="X27" i="210"/>
  <c r="X9" i="210" s="1"/>
  <c r="X11" i="210" s="1"/>
  <c r="X7" i="210" s="1"/>
  <c r="Z27" i="210"/>
  <c r="Z9" i="210" s="1"/>
  <c r="Z11" i="210" s="1"/>
  <c r="Z7" i="210" s="1"/>
  <c r="AH27" i="210"/>
  <c r="AH9" i="210" s="1"/>
  <c r="AA27" i="210"/>
  <c r="AA9" i="210" s="1"/>
  <c r="AA11" i="210" s="1"/>
  <c r="AA7" i="210" s="1"/>
  <c r="AI27" i="210"/>
  <c r="AI9" i="210" s="1"/>
  <c r="AL37" i="210"/>
  <c r="J27" i="210"/>
  <c r="J9" i="210" s="1"/>
  <c r="R27" i="210"/>
  <c r="R9" i="210" s="1"/>
  <c r="J32" i="210"/>
  <c r="R32" i="210"/>
  <c r="BO36" i="210"/>
  <c r="M12" i="210"/>
  <c r="I12" i="210"/>
  <c r="Q12" i="210"/>
  <c r="BO22" i="210"/>
  <c r="BO18" i="210"/>
  <c r="BO17" i="210"/>
  <c r="BO42" i="210"/>
  <c r="BO41" i="210"/>
  <c r="AS27" i="210"/>
  <c r="AS9" i="210" s="1"/>
  <c r="AC27" i="210"/>
  <c r="AC9" i="210" s="1"/>
  <c r="AC11" i="210" s="1"/>
  <c r="AC7" i="210" s="1"/>
  <c r="H32" i="210"/>
  <c r="P32" i="210"/>
  <c r="P27" i="210" s="1"/>
  <c r="P9" i="210" s="1"/>
  <c r="P11" i="210" s="1"/>
  <c r="P7" i="210" s="1"/>
  <c r="BO38" i="210"/>
  <c r="AI11" i="210"/>
  <c r="AI7" i="210" s="1"/>
  <c r="BN33" i="210"/>
  <c r="AL33" i="210"/>
  <c r="AL32" i="210" s="1"/>
  <c r="Y27" i="210"/>
  <c r="Y9" i="210" s="1"/>
  <c r="Y11" i="210" s="1"/>
  <c r="Y7" i="210" s="1"/>
  <c r="L32" i="210"/>
  <c r="L27" i="210" s="1"/>
  <c r="L9" i="210" s="1"/>
  <c r="BO35" i="210"/>
  <c r="V33" i="210"/>
  <c r="AP27" i="210"/>
  <c r="AP9" i="210" s="1"/>
  <c r="AP11" i="210" s="1"/>
  <c r="AP7" i="210" s="1"/>
  <c r="AX27" i="210"/>
  <c r="AX9" i="210" s="1"/>
  <c r="AX11" i="210" s="1"/>
  <c r="AX7" i="210" s="1"/>
  <c r="AQ27" i="210"/>
  <c r="AQ9" i="210" s="1"/>
  <c r="AQ11" i="210" s="1"/>
  <c r="AQ7" i="210" s="1"/>
  <c r="AY27" i="210"/>
  <c r="AY9" i="210" s="1"/>
  <c r="AY11" i="210" s="1"/>
  <c r="AY7" i="210" s="1"/>
  <c r="AR32" i="210"/>
  <c r="AR27" i="210" s="1"/>
  <c r="AR9" i="210" s="1"/>
  <c r="AZ32" i="210"/>
  <c r="AZ27" i="210" s="1"/>
  <c r="AZ9" i="210" s="1"/>
  <c r="BA32" i="210"/>
  <c r="BA27" i="210" s="1"/>
  <c r="BA9" i="210" s="1"/>
  <c r="BB33" i="210"/>
  <c r="AB32" i="210"/>
  <c r="AB27" i="210" s="1"/>
  <c r="AB9" i="210" s="1"/>
  <c r="AH11" i="210"/>
  <c r="AH7" i="210" s="1"/>
  <c r="AK27" i="210"/>
  <c r="AK9" i="210" s="1"/>
  <c r="AK11" i="210" s="1"/>
  <c r="AK7" i="210" s="1"/>
  <c r="AD32" i="210"/>
  <c r="AD27" i="210" s="1"/>
  <c r="AD9" i="210" s="1"/>
  <c r="K27" i="210"/>
  <c r="K9" i="210" s="1"/>
  <c r="S27" i="210"/>
  <c r="S9" i="210" s="1"/>
  <c r="BO30" i="210"/>
  <c r="AL28" i="210"/>
  <c r="AJ27" i="210"/>
  <c r="AJ9" i="210" s="1"/>
  <c r="AJ11" i="210" s="1"/>
  <c r="AJ7" i="210" s="1"/>
  <c r="BO29" i="210"/>
  <c r="BO28" i="210" s="1"/>
  <c r="U27" i="210"/>
  <c r="U9" i="210" s="1"/>
  <c r="BN19" i="210"/>
  <c r="AL19" i="210"/>
  <c r="AL12" i="210" s="1"/>
  <c r="J12" i="210"/>
  <c r="J11" i="210" s="1"/>
  <c r="J7" i="210" s="1"/>
  <c r="N12" i="210"/>
  <c r="N11" i="210" s="1"/>
  <c r="N7" i="210" s="1"/>
  <c r="K12" i="210"/>
  <c r="O12" i="210"/>
  <c r="O11" i="210" s="1"/>
  <c r="O7" i="210" s="1"/>
  <c r="S12" i="210"/>
  <c r="S11" i="210" s="1"/>
  <c r="S7" i="210" s="1"/>
  <c r="BO20" i="210"/>
  <c r="R12" i="210"/>
  <c r="BB13" i="210"/>
  <c r="BB12" i="210" s="1"/>
  <c r="BO15" i="210"/>
  <c r="BH12" i="210"/>
  <c r="BJ12" i="210"/>
  <c r="BC12" i="210"/>
  <c r="BC11" i="210" s="1"/>
  <c r="BC7" i="210" s="1"/>
  <c r="AR12" i="210"/>
  <c r="AZ12" i="210"/>
  <c r="BA12" i="210"/>
  <c r="AD12" i="210"/>
  <c r="W12" i="210"/>
  <c r="W11" i="210" s="1"/>
  <c r="W7" i="210" s="1"/>
  <c r="AB12" i="210"/>
  <c r="U12" i="210"/>
  <c r="BO14" i="210"/>
  <c r="L12" i="210"/>
  <c r="T12" i="210"/>
  <c r="T11" i="210" s="1"/>
  <c r="T7" i="210" s="1"/>
  <c r="BO10" i="210"/>
  <c r="H81" i="182" s="1"/>
  <c r="I81" i="182" s="1"/>
  <c r="BO8" i="210"/>
  <c r="BO23" i="210"/>
  <c r="BO21" i="210"/>
  <c r="BO34" i="210"/>
  <c r="BN23" i="210"/>
  <c r="BN13" i="210"/>
  <c r="BO26" i="210"/>
  <c r="BN37" i="210"/>
  <c r="BO16" i="210"/>
  <c r="BD12" i="210"/>
  <c r="BD11" i="210" s="1"/>
  <c r="BD7" i="210" s="1"/>
  <c r="BG32" i="210"/>
  <c r="BG27" i="210" s="1"/>
  <c r="BG9" i="210" s="1"/>
  <c r="BG11" i="210" s="1"/>
  <c r="BG7" i="210" s="1"/>
  <c r="BO39" i="210"/>
  <c r="BB32" i="210"/>
  <c r="BB27" i="210" s="1"/>
  <c r="BB9" i="210" s="1"/>
  <c r="V32" i="210"/>
  <c r="V27" i="210" s="1"/>
  <c r="V9" i="210" s="1"/>
  <c r="H27" i="210"/>
  <c r="H9" i="210" s="1"/>
  <c r="H11" i="210" s="1"/>
  <c r="H7" i="210" s="1"/>
  <c r="AF27" i="210"/>
  <c r="AF9" i="210" s="1"/>
  <c r="AF11" i="210" s="1"/>
  <c r="AF7" i="210" s="1"/>
  <c r="AN27" i="210"/>
  <c r="AN9" i="210" s="1"/>
  <c r="AN11" i="210" s="1"/>
  <c r="AN7" i="210" s="1"/>
  <c r="AV27" i="210"/>
  <c r="AV9" i="210" s="1"/>
  <c r="AV11" i="210" s="1"/>
  <c r="AV7" i="210" s="1"/>
  <c r="BL27" i="210"/>
  <c r="BL9" i="210" s="1"/>
  <c r="BL11" i="210" s="1"/>
  <c r="BL7" i="210" s="1"/>
  <c r="AT11" i="210"/>
  <c r="AT7" i="210" s="1"/>
  <c r="M11" i="210"/>
  <c r="M7" i="210" s="1"/>
  <c r="AS11" i="210"/>
  <c r="AS7" i="210" s="1"/>
  <c r="BI11" i="210"/>
  <c r="BI7" i="210" s="1"/>
  <c r="I27" i="210"/>
  <c r="I9" i="210" s="1"/>
  <c r="Q27" i="210"/>
  <c r="Q9" i="210" s="1"/>
  <c r="AG27" i="210"/>
  <c r="AG9" i="210" s="1"/>
  <c r="AG11" i="210" s="1"/>
  <c r="AG7" i="210" s="1"/>
  <c r="AO27" i="210"/>
  <c r="AO9" i="210" s="1"/>
  <c r="AO11" i="210" s="1"/>
  <c r="AO7" i="210" s="1"/>
  <c r="AW27" i="210"/>
  <c r="AW9" i="210" s="1"/>
  <c r="AW11" i="210" s="1"/>
  <c r="AW7" i="210" s="1"/>
  <c r="BM27" i="210"/>
  <c r="BM9" i="210" s="1"/>
  <c r="BM11" i="210" s="1"/>
  <c r="BM7" i="210" s="1"/>
  <c r="AU11" i="210"/>
  <c r="AU7" i="210" s="1"/>
  <c r="AM11" i="210"/>
  <c r="AM7" i="210" s="1"/>
  <c r="AE11" i="210"/>
  <c r="AE7" i="210" s="1"/>
  <c r="BK11" i="210"/>
  <c r="BK7" i="210" s="1"/>
  <c r="G37" i="210"/>
  <c r="G33" i="210"/>
  <c r="G28" i="210"/>
  <c r="G23" i="210"/>
  <c r="G19" i="210"/>
  <c r="G13" i="210"/>
  <c r="I11" i="210" l="1"/>
  <c r="I7" i="210" s="1"/>
  <c r="BN12" i="210"/>
  <c r="BH11" i="210"/>
  <c r="BH7" i="210" s="1"/>
  <c r="BJ11" i="210"/>
  <c r="BJ7" i="210" s="1"/>
  <c r="AL27" i="210"/>
  <c r="AL9" i="210" s="1"/>
  <c r="BO37" i="210"/>
  <c r="R11" i="210"/>
  <c r="R7" i="210" s="1"/>
  <c r="V11" i="210"/>
  <c r="V7" i="210" s="1"/>
  <c r="Q11" i="210"/>
  <c r="Q7" i="210" s="1"/>
  <c r="AR11" i="210"/>
  <c r="AR7" i="210" s="1"/>
  <c r="BA11" i="210"/>
  <c r="BA7" i="210" s="1"/>
  <c r="L11" i="210"/>
  <c r="L7" i="210" s="1"/>
  <c r="BN32" i="210"/>
  <c r="BN27" i="210" s="1"/>
  <c r="BN9" i="210" s="1"/>
  <c r="AB11" i="210"/>
  <c r="AB7" i="210" s="1"/>
  <c r="BO33" i="210"/>
  <c r="BO32" i="210" s="1"/>
  <c r="BO27" i="210" s="1"/>
  <c r="U11" i="210"/>
  <c r="U7" i="210" s="1"/>
  <c r="K11" i="210"/>
  <c r="K7" i="210" s="1"/>
  <c r="AZ11" i="210"/>
  <c r="AZ7" i="210" s="1"/>
  <c r="AD11" i="210"/>
  <c r="AD7" i="210" s="1"/>
  <c r="BO19" i="210"/>
  <c r="AL11" i="210"/>
  <c r="AL7" i="210" s="1"/>
  <c r="BB11" i="210"/>
  <c r="BB7" i="210" s="1"/>
  <c r="BO13" i="210"/>
  <c r="E6" i="194" s="1"/>
  <c r="K81" i="182"/>
  <c r="G32" i="210"/>
  <c r="G27" i="210" s="1"/>
  <c r="G9" i="210" s="1"/>
  <c r="G12" i="210"/>
  <c r="BN11" i="210" l="1"/>
  <c r="BN7" i="210" s="1"/>
  <c r="BO9" i="210"/>
  <c r="H206" i="182" s="1"/>
  <c r="E7" i="194"/>
  <c r="E5" i="194" s="1"/>
  <c r="G11" i="210"/>
  <c r="G7" i="210" s="1"/>
  <c r="BO12" i="210"/>
  <c r="BB55" i="209"/>
  <c r="AL55" i="209"/>
  <c r="V55" i="209"/>
  <c r="BN54" i="209"/>
  <c r="BB54" i="209"/>
  <c r="AL54" i="209"/>
  <c r="V54" i="209"/>
  <c r="BB53" i="209"/>
  <c r="AL53" i="209"/>
  <c r="V53" i="209"/>
  <c r="BB52" i="209"/>
  <c r="AL52" i="209"/>
  <c r="V52" i="209"/>
  <c r="BN42" i="209"/>
  <c r="BN41" i="209"/>
  <c r="BG42" i="209"/>
  <c r="BG41" i="209"/>
  <c r="BG40" i="209"/>
  <c r="BN40" i="209" s="1"/>
  <c r="BG39" i="209"/>
  <c r="BN39" i="209" s="1"/>
  <c r="BG38" i="209"/>
  <c r="BG43" i="209" s="1"/>
  <c r="BC43" i="209"/>
  <c r="BD42" i="209"/>
  <c r="BD41" i="209"/>
  <c r="BD40" i="209"/>
  <c r="BD39" i="209"/>
  <c r="BD38" i="209"/>
  <c r="BN38" i="209" s="1"/>
  <c r="AL42" i="209"/>
  <c r="AL41" i="209"/>
  <c r="AL40" i="209"/>
  <c r="AL39" i="209"/>
  <c r="AL38" i="209"/>
  <c r="BB42" i="209"/>
  <c r="BB41" i="209"/>
  <c r="BB40" i="209"/>
  <c r="BB39" i="209"/>
  <c r="BB38" i="209"/>
  <c r="V42" i="209"/>
  <c r="V41" i="209"/>
  <c r="V39" i="209"/>
  <c r="V38" i="209"/>
  <c r="BM43" i="209"/>
  <c r="BL43" i="209"/>
  <c r="BK43" i="209"/>
  <c r="BJ43" i="209"/>
  <c r="BI43" i="209"/>
  <c r="BH43" i="209"/>
  <c r="BF43" i="209"/>
  <c r="BE43" i="209"/>
  <c r="BA43" i="209"/>
  <c r="AZ43" i="209"/>
  <c r="AY43" i="209"/>
  <c r="AX43" i="209"/>
  <c r="AW43" i="209"/>
  <c r="AV43" i="209"/>
  <c r="AU43" i="209"/>
  <c r="AT43" i="209"/>
  <c r="AS43" i="209"/>
  <c r="AR43" i="209"/>
  <c r="AQ43" i="209"/>
  <c r="AP43" i="209"/>
  <c r="AO43" i="209"/>
  <c r="AN43" i="209"/>
  <c r="AM43" i="209"/>
  <c r="AK43" i="209"/>
  <c r="AJ43" i="209"/>
  <c r="AI43" i="209"/>
  <c r="AH43" i="209"/>
  <c r="AG43" i="209"/>
  <c r="AF43" i="209"/>
  <c r="AE43" i="209"/>
  <c r="AD43" i="209"/>
  <c r="AC43" i="209"/>
  <c r="AB43" i="209"/>
  <c r="AA43" i="209"/>
  <c r="Z43" i="209"/>
  <c r="Y43" i="209"/>
  <c r="X43" i="209"/>
  <c r="W43" i="209"/>
  <c r="U43" i="209"/>
  <c r="T43" i="209"/>
  <c r="S43" i="209"/>
  <c r="R43" i="209"/>
  <c r="Q43" i="209"/>
  <c r="P43" i="209"/>
  <c r="O43" i="209"/>
  <c r="N43" i="209"/>
  <c r="M43" i="209"/>
  <c r="L43" i="209"/>
  <c r="K43" i="209"/>
  <c r="J43" i="209"/>
  <c r="I43" i="209"/>
  <c r="H43" i="209"/>
  <c r="G43" i="209"/>
  <c r="V40" i="209"/>
  <c r="E17" i="194" l="1"/>
  <c r="D204" i="182"/>
  <c r="I204" i="182" s="1"/>
  <c r="D206" i="182"/>
  <c r="I206" i="182" s="1"/>
  <c r="BO11" i="210"/>
  <c r="BO38" i="209"/>
  <c r="BO39" i="209"/>
  <c r="BO55" i="209"/>
  <c r="H88" i="182" s="1"/>
  <c r="V43" i="209"/>
  <c r="BN55" i="209"/>
  <c r="BO54" i="209"/>
  <c r="H85" i="182" s="1"/>
  <c r="BN53" i="209"/>
  <c r="BO53" i="209" s="1"/>
  <c r="H70" i="182" s="1"/>
  <c r="BN52" i="209"/>
  <c r="BD43" i="209"/>
  <c r="BB43" i="209"/>
  <c r="AL43" i="209"/>
  <c r="BO42" i="209"/>
  <c r="BN43" i="209"/>
  <c r="BO40" i="209"/>
  <c r="BO41" i="209"/>
  <c r="BG26" i="167"/>
  <c r="BG22" i="167"/>
  <c r="BG18" i="167"/>
  <c r="BG12" i="167"/>
  <c r="BG10" i="167"/>
  <c r="BN33" i="167"/>
  <c r="BN32" i="167"/>
  <c r="BN31" i="167"/>
  <c r="BN30" i="167"/>
  <c r="BN24" i="167"/>
  <c r="BD18" i="167"/>
  <c r="BN11" i="167"/>
  <c r="BN29" i="213" s="1"/>
  <c r="BD10" i="167"/>
  <c r="BN10" i="167" s="1"/>
  <c r="BN50" i="167"/>
  <c r="BN49" i="167"/>
  <c r="BN48" i="167"/>
  <c r="BG46" i="167"/>
  <c r="BN46" i="167" s="1"/>
  <c r="BO46" i="167" s="1"/>
  <c r="BG45" i="167"/>
  <c r="BG43" i="167" s="1"/>
  <c r="BG44" i="167"/>
  <c r="BD47" i="167"/>
  <c r="BD46" i="167"/>
  <c r="BD45" i="167"/>
  <c r="BN45" i="167" s="1"/>
  <c r="BO45" i="167" s="1"/>
  <c r="BD44" i="167"/>
  <c r="BD43" i="167" s="1"/>
  <c r="BG29" i="209"/>
  <c r="BG28" i="209"/>
  <c r="BG27" i="209"/>
  <c r="BG26" i="209"/>
  <c r="BD29" i="209"/>
  <c r="BN29" i="209" s="1"/>
  <c r="BD28" i="209"/>
  <c r="BN28" i="209" s="1"/>
  <c r="BD27" i="209"/>
  <c r="BD26" i="209"/>
  <c r="BB29" i="209"/>
  <c r="BB28" i="209"/>
  <c r="BB27" i="209"/>
  <c r="BB26" i="209"/>
  <c r="AL29" i="209"/>
  <c r="AL28" i="209"/>
  <c r="AL27" i="209"/>
  <c r="AL26" i="209"/>
  <c r="V29" i="209"/>
  <c r="V28" i="209"/>
  <c r="V26" i="209"/>
  <c r="BM25" i="209"/>
  <c r="BL25" i="209"/>
  <c r="BK25" i="209"/>
  <c r="BJ25" i="209"/>
  <c r="BI25" i="209"/>
  <c r="BH25" i="209"/>
  <c r="BF25" i="209"/>
  <c r="BE25" i="209"/>
  <c r="BC25" i="209"/>
  <c r="BA25" i="209"/>
  <c r="AZ25" i="209"/>
  <c r="AY25" i="209"/>
  <c r="AX25" i="209"/>
  <c r="AW25" i="209"/>
  <c r="AV25" i="209"/>
  <c r="AU25" i="209"/>
  <c r="AT25" i="209"/>
  <c r="AS25" i="209"/>
  <c r="AR25" i="209"/>
  <c r="AQ25" i="209"/>
  <c r="AP25" i="209"/>
  <c r="AO25" i="209"/>
  <c r="AN25" i="209"/>
  <c r="AM25" i="209"/>
  <c r="AK25" i="209"/>
  <c r="AJ25" i="209"/>
  <c r="AI25" i="209"/>
  <c r="AH25" i="209"/>
  <c r="AG25" i="209"/>
  <c r="AF25" i="209"/>
  <c r="AE25" i="209"/>
  <c r="AD25" i="209"/>
  <c r="AC25" i="209"/>
  <c r="AB25" i="209"/>
  <c r="AA25" i="209"/>
  <c r="Z25" i="209"/>
  <c r="Y25" i="209"/>
  <c r="X25" i="209"/>
  <c r="W25" i="209"/>
  <c r="U25" i="209"/>
  <c r="T25" i="209"/>
  <c r="S25" i="209"/>
  <c r="R25" i="209"/>
  <c r="Q25" i="209"/>
  <c r="P25" i="209"/>
  <c r="O25" i="209"/>
  <c r="N25" i="209"/>
  <c r="M25" i="209"/>
  <c r="L25" i="209"/>
  <c r="K25" i="209"/>
  <c r="J25" i="209"/>
  <c r="I25" i="209"/>
  <c r="H25" i="209"/>
  <c r="G25" i="209"/>
  <c r="BN12" i="209"/>
  <c r="BN11" i="209"/>
  <c r="BN10" i="209"/>
  <c r="BN9" i="209"/>
  <c r="BB12" i="209"/>
  <c r="BB11" i="209"/>
  <c r="BB10" i="209"/>
  <c r="BB9" i="209"/>
  <c r="AL12" i="209"/>
  <c r="AL11" i="209"/>
  <c r="AL10" i="209"/>
  <c r="AL9" i="209"/>
  <c r="V12" i="209"/>
  <c r="V11" i="209"/>
  <c r="V10" i="209"/>
  <c r="V9" i="209"/>
  <c r="BM8" i="209"/>
  <c r="BL8" i="209"/>
  <c r="BK8" i="209"/>
  <c r="BJ8" i="209"/>
  <c r="BI8" i="209"/>
  <c r="BH8" i="209"/>
  <c r="BG8" i="209"/>
  <c r="BF8" i="209"/>
  <c r="BE8" i="209"/>
  <c r="BD8" i="209"/>
  <c r="BC8" i="209"/>
  <c r="BA8" i="209"/>
  <c r="AZ8" i="209"/>
  <c r="AY8" i="209"/>
  <c r="AX8" i="209"/>
  <c r="AW8" i="209"/>
  <c r="AV8" i="209"/>
  <c r="AU8" i="209"/>
  <c r="AT8" i="209"/>
  <c r="AS8" i="209"/>
  <c r="AR8" i="209"/>
  <c r="AQ8" i="209"/>
  <c r="AP8" i="209"/>
  <c r="AO8" i="209"/>
  <c r="AN8" i="209"/>
  <c r="AM8" i="209"/>
  <c r="AK8" i="209"/>
  <c r="AJ8" i="209"/>
  <c r="AI8" i="209"/>
  <c r="AH8" i="209"/>
  <c r="AG8" i="209"/>
  <c r="AF8" i="209"/>
  <c r="AE8" i="209"/>
  <c r="AD8" i="209"/>
  <c r="AC8" i="209"/>
  <c r="AB8" i="209"/>
  <c r="AA8" i="209"/>
  <c r="Z8" i="209"/>
  <c r="Y8" i="209"/>
  <c r="X8" i="209"/>
  <c r="W8" i="209"/>
  <c r="U8" i="209"/>
  <c r="T8" i="209"/>
  <c r="S8" i="209"/>
  <c r="R8" i="209"/>
  <c r="Q8" i="209"/>
  <c r="P8" i="209"/>
  <c r="O8" i="209"/>
  <c r="N8" i="209"/>
  <c r="M8" i="209"/>
  <c r="L8" i="209"/>
  <c r="K8" i="209"/>
  <c r="J8" i="209"/>
  <c r="I8" i="209"/>
  <c r="H8" i="209"/>
  <c r="G7" i="209"/>
  <c r="G13" i="209" s="1"/>
  <c r="V27" i="209"/>
  <c r="BB50" i="167"/>
  <c r="BB49" i="167"/>
  <c r="BB47" i="167" s="1"/>
  <c r="BB48" i="167"/>
  <c r="BB46" i="167"/>
  <c r="BB45" i="167"/>
  <c r="BB43" i="167" s="1"/>
  <c r="BB44" i="167"/>
  <c r="AL50" i="167"/>
  <c r="AL49" i="167"/>
  <c r="AL48" i="167"/>
  <c r="AL46" i="167"/>
  <c r="AL45" i="167"/>
  <c r="AL44" i="167"/>
  <c r="V50" i="167"/>
  <c r="V49" i="167"/>
  <c r="V48" i="167"/>
  <c r="V46" i="167"/>
  <c r="V45" i="167"/>
  <c r="V44" i="167"/>
  <c r="BM47" i="167"/>
  <c r="BL47" i="167"/>
  <c r="BK47" i="167"/>
  <c r="BJ47" i="167"/>
  <c r="BI47" i="167"/>
  <c r="BI42" i="167" s="1"/>
  <c r="BH47" i="167"/>
  <c r="BH42" i="167" s="1"/>
  <c r="BG47" i="167"/>
  <c r="BF47" i="167"/>
  <c r="BF42" i="167" s="1"/>
  <c r="BE47" i="167"/>
  <c r="BC47" i="167"/>
  <c r="BA47" i="167"/>
  <c r="AZ47" i="167"/>
  <c r="AZ42" i="167" s="1"/>
  <c r="AY47" i="167"/>
  <c r="AX47" i="167"/>
  <c r="AW47" i="167"/>
  <c r="AV47" i="167"/>
  <c r="AU47" i="167"/>
  <c r="AT47" i="167"/>
  <c r="AS47" i="167"/>
  <c r="AR47" i="167"/>
  <c r="AR42" i="167" s="1"/>
  <c r="AQ47" i="167"/>
  <c r="AP47" i="167"/>
  <c r="AO47" i="167"/>
  <c r="AN47" i="167"/>
  <c r="AM47" i="167"/>
  <c r="AK47" i="167"/>
  <c r="AJ47" i="167"/>
  <c r="AJ42" i="167" s="1"/>
  <c r="AI47" i="167"/>
  <c r="AH47" i="167"/>
  <c r="AH42" i="167" s="1"/>
  <c r="AG47" i="167"/>
  <c r="AF47" i="167"/>
  <c r="AE47" i="167"/>
  <c r="AD47" i="167"/>
  <c r="AC47" i="167"/>
  <c r="AB47" i="167"/>
  <c r="AB42" i="167" s="1"/>
  <c r="AA47" i="167"/>
  <c r="AA42" i="167" s="1"/>
  <c r="Z47" i="167"/>
  <c r="Z42" i="167" s="1"/>
  <c r="Y47" i="167"/>
  <c r="X47" i="167"/>
  <c r="W47" i="167"/>
  <c r="U47" i="167"/>
  <c r="U42" i="167" s="1"/>
  <c r="T47" i="167"/>
  <c r="S47" i="167"/>
  <c r="R47" i="167"/>
  <c r="R42" i="167" s="1"/>
  <c r="Q47" i="167"/>
  <c r="P47" i="167"/>
  <c r="O47" i="167"/>
  <c r="N47" i="167"/>
  <c r="M47" i="167"/>
  <c r="M42" i="167" s="1"/>
  <c r="L47" i="167"/>
  <c r="K47" i="167"/>
  <c r="J47" i="167"/>
  <c r="J42" i="167" s="1"/>
  <c r="I47" i="167"/>
  <c r="H47" i="167"/>
  <c r="BM43" i="167"/>
  <c r="BL43" i="167"/>
  <c r="BL42" i="167" s="1"/>
  <c r="BK43" i="167"/>
  <c r="BJ43" i="167"/>
  <c r="BI43" i="167"/>
  <c r="BH43" i="167"/>
  <c r="BF43" i="167"/>
  <c r="BE43" i="167"/>
  <c r="BC43" i="167"/>
  <c r="BA43" i="167"/>
  <c r="AZ43" i="167"/>
  <c r="AY43" i="167"/>
  <c r="AX43" i="167"/>
  <c r="AW43" i="167"/>
  <c r="AV43" i="167"/>
  <c r="AU43" i="167"/>
  <c r="AT43" i="167"/>
  <c r="AT42" i="167" s="1"/>
  <c r="AS43" i="167"/>
  <c r="AR43" i="167"/>
  <c r="AQ43" i="167"/>
  <c r="AP43" i="167"/>
  <c r="AO43" i="167"/>
  <c r="AN43" i="167"/>
  <c r="AM43" i="167"/>
  <c r="AL43" i="167"/>
  <c r="AK43" i="167"/>
  <c r="AJ43" i="167"/>
  <c r="AI43" i="167"/>
  <c r="AH43" i="167"/>
  <c r="AG43" i="167"/>
  <c r="AG42" i="167" s="1"/>
  <c r="AF43" i="167"/>
  <c r="AF42" i="167" s="1"/>
  <c r="AE43" i="167"/>
  <c r="AD43" i="167"/>
  <c r="AC43" i="167"/>
  <c r="AB43" i="167"/>
  <c r="AA43" i="167"/>
  <c r="Z43" i="167"/>
  <c r="Y43" i="167"/>
  <c r="Y42" i="167" s="1"/>
  <c r="X43" i="167"/>
  <c r="X42" i="167" s="1"/>
  <c r="W43" i="167"/>
  <c r="V43" i="167"/>
  <c r="U43" i="167"/>
  <c r="T43" i="167"/>
  <c r="S43" i="167"/>
  <c r="R43" i="167"/>
  <c r="Q43" i="167"/>
  <c r="P43" i="167"/>
  <c r="O43" i="167"/>
  <c r="O42" i="167" s="1"/>
  <c r="N43" i="167"/>
  <c r="M43" i="167"/>
  <c r="L43" i="167"/>
  <c r="K43" i="167"/>
  <c r="J43" i="167"/>
  <c r="I43" i="167"/>
  <c r="H43" i="167"/>
  <c r="BA42" i="167"/>
  <c r="AY42" i="167"/>
  <c r="AX42" i="167"/>
  <c r="AS42" i="167"/>
  <c r="AQ42" i="167"/>
  <c r="AP42" i="167"/>
  <c r="AK42" i="167"/>
  <c r="AI42" i="167"/>
  <c r="AC42" i="167"/>
  <c r="T42" i="167"/>
  <c r="S42" i="167"/>
  <c r="L42" i="167"/>
  <c r="K42" i="167"/>
  <c r="G47" i="167"/>
  <c r="G43" i="167"/>
  <c r="G42" i="167" s="1"/>
  <c r="BN29" i="167"/>
  <c r="BN28" i="167"/>
  <c r="BN27" i="167"/>
  <c r="BN25" i="167"/>
  <c r="BN19" i="167"/>
  <c r="BN9" i="167"/>
  <c r="BN18" i="209" s="1"/>
  <c r="BM26" i="167"/>
  <c r="BL26" i="167"/>
  <c r="BK26" i="167"/>
  <c r="BJ26" i="167"/>
  <c r="BI26" i="167"/>
  <c r="BH26" i="167"/>
  <c r="BF26" i="167"/>
  <c r="BE26" i="167"/>
  <c r="BD26" i="167"/>
  <c r="BC26" i="167"/>
  <c r="BM22" i="167"/>
  <c r="BL22" i="167"/>
  <c r="BK22" i="167"/>
  <c r="H192" i="182" s="1"/>
  <c r="BJ22" i="167"/>
  <c r="BI22" i="167"/>
  <c r="BH22" i="167"/>
  <c r="BF22" i="167"/>
  <c r="BE22" i="167"/>
  <c r="BC22" i="167"/>
  <c r="BM18" i="167"/>
  <c r="BL18" i="167"/>
  <c r="BK18" i="167"/>
  <c r="BJ18" i="167"/>
  <c r="BI18" i="167"/>
  <c r="BH18" i="167"/>
  <c r="BF18" i="167"/>
  <c r="BE18" i="167"/>
  <c r="BC18" i="167"/>
  <c r="BM12" i="167"/>
  <c r="BL12" i="167"/>
  <c r="BK12" i="167"/>
  <c r="BJ12" i="167"/>
  <c r="BI12" i="167"/>
  <c r="BH12" i="167"/>
  <c r="BF12" i="167"/>
  <c r="BE12" i="167"/>
  <c r="BD12" i="167"/>
  <c r="BC12" i="167"/>
  <c r="BM8" i="167"/>
  <c r="BL8" i="167"/>
  <c r="BK8" i="167"/>
  <c r="BJ8" i="167"/>
  <c r="BI8" i="167"/>
  <c r="BH8" i="167"/>
  <c r="BG8" i="167"/>
  <c r="BF8" i="167"/>
  <c r="BE8" i="167"/>
  <c r="BC8" i="167"/>
  <c r="BA26" i="167"/>
  <c r="AZ26" i="167"/>
  <c r="AY26" i="167"/>
  <c r="AX26" i="167"/>
  <c r="AW26" i="167"/>
  <c r="AV26" i="167"/>
  <c r="AU26" i="167"/>
  <c r="AT26" i="167"/>
  <c r="AS26" i="167"/>
  <c r="AR26" i="167"/>
  <c r="AQ26" i="167"/>
  <c r="AP26" i="167"/>
  <c r="AO26" i="167"/>
  <c r="AN26" i="167"/>
  <c r="AM26" i="167"/>
  <c r="BA22" i="167"/>
  <c r="AZ22" i="167"/>
  <c r="AY22" i="167"/>
  <c r="AX22" i="167"/>
  <c r="AW22" i="167"/>
  <c r="AV22" i="167"/>
  <c r="AU22" i="167"/>
  <c r="AT22" i="167"/>
  <c r="AS22" i="167"/>
  <c r="AR22" i="167"/>
  <c r="AQ22" i="167"/>
  <c r="AP22" i="167"/>
  <c r="AO22" i="167"/>
  <c r="AN22" i="167"/>
  <c r="AM22" i="167"/>
  <c r="BA18" i="167"/>
  <c r="AZ18" i="167"/>
  <c r="AY18" i="167"/>
  <c r="AX18" i="167"/>
  <c r="AW18" i="167"/>
  <c r="AV18" i="167"/>
  <c r="AU18" i="167"/>
  <c r="AT18" i="167"/>
  <c r="AS18" i="167"/>
  <c r="AR18" i="167"/>
  <c r="AQ18" i="167"/>
  <c r="AP18" i="167"/>
  <c r="AO18" i="167"/>
  <c r="AN18" i="167"/>
  <c r="AM18" i="167"/>
  <c r="BA12" i="167"/>
  <c r="AZ12" i="167"/>
  <c r="AY12" i="167"/>
  <c r="AX12" i="167"/>
  <c r="AW12" i="167"/>
  <c r="AV12" i="167"/>
  <c r="AU12" i="167"/>
  <c r="AT12" i="167"/>
  <c r="AS12" i="167"/>
  <c r="AR12" i="167"/>
  <c r="AQ12" i="167"/>
  <c r="AP12" i="167"/>
  <c r="AO12" i="167"/>
  <c r="AN12" i="167"/>
  <c r="AM12" i="167"/>
  <c r="BA8" i="167"/>
  <c r="AZ8" i="167"/>
  <c r="AY8" i="167"/>
  <c r="AX8" i="167"/>
  <c r="AW8" i="167"/>
  <c r="AV8" i="167"/>
  <c r="AU8" i="167"/>
  <c r="AT8" i="167"/>
  <c r="AS8" i="167"/>
  <c r="AR8" i="167"/>
  <c r="AQ8" i="167"/>
  <c r="AP8" i="167"/>
  <c r="AO8" i="167"/>
  <c r="AN8" i="167"/>
  <c r="AM8" i="167"/>
  <c r="AL33" i="167"/>
  <c r="AL32" i="167"/>
  <c r="AL31" i="167"/>
  <c r="AL30" i="167"/>
  <c r="AL29" i="167"/>
  <c r="AL28" i="167"/>
  <c r="AL27" i="167"/>
  <c r="AL25" i="167"/>
  <c r="AL24" i="167"/>
  <c r="AL22" i="167" s="1"/>
  <c r="AL23" i="167"/>
  <c r="AL21" i="167"/>
  <c r="AL20" i="167"/>
  <c r="AL19" i="167"/>
  <c r="AL17" i="167"/>
  <c r="AL16" i="167"/>
  <c r="AL15" i="167"/>
  <c r="AL14" i="167"/>
  <c r="AL13" i="167"/>
  <c r="AL11" i="167"/>
  <c r="AL29" i="213" s="1"/>
  <c r="AL10" i="167"/>
  <c r="AL9" i="167"/>
  <c r="AL18" i="209" s="1"/>
  <c r="V33" i="167"/>
  <c r="V32" i="167"/>
  <c r="V31" i="167"/>
  <c r="V30" i="167"/>
  <c r="V29" i="167"/>
  <c r="V28" i="167"/>
  <c r="V27" i="167"/>
  <c r="V25" i="167"/>
  <c r="V24" i="167"/>
  <c r="V23" i="167"/>
  <c r="V21" i="167"/>
  <c r="V20" i="167"/>
  <c r="V19" i="167"/>
  <c r="V17" i="167"/>
  <c r="V16" i="167"/>
  <c r="V15" i="167"/>
  <c r="V14" i="167"/>
  <c r="V13" i="167"/>
  <c r="V11" i="167"/>
  <c r="V29" i="213" s="1"/>
  <c r="V10" i="167"/>
  <c r="V9" i="167"/>
  <c r="V18" i="209" s="1"/>
  <c r="AK26" i="167"/>
  <c r="AJ26" i="167"/>
  <c r="AI26" i="167"/>
  <c r="AH26" i="167"/>
  <c r="AG26" i="167"/>
  <c r="AF26" i="167"/>
  <c r="AE26" i="167"/>
  <c r="AD26" i="167"/>
  <c r="AC26" i="167"/>
  <c r="AB26" i="167"/>
  <c r="AA26" i="167"/>
  <c r="Z26" i="167"/>
  <c r="Y26" i="167"/>
  <c r="X26" i="167"/>
  <c r="W26" i="167"/>
  <c r="U26" i="167"/>
  <c r="T26" i="167"/>
  <c r="S26" i="167"/>
  <c r="R26" i="167"/>
  <c r="Q26" i="167"/>
  <c r="P26" i="167"/>
  <c r="O26" i="167"/>
  <c r="N26" i="167"/>
  <c r="M26" i="167"/>
  <c r="L26" i="167"/>
  <c r="K26" i="167"/>
  <c r="J26" i="167"/>
  <c r="I26" i="167"/>
  <c r="H26" i="167"/>
  <c r="AK22" i="167"/>
  <c r="AJ22" i="167"/>
  <c r="AI22" i="167"/>
  <c r="AH22" i="167"/>
  <c r="AG22" i="167"/>
  <c r="AF22" i="167"/>
  <c r="AE22" i="167"/>
  <c r="AD22" i="167"/>
  <c r="AC22" i="167"/>
  <c r="AB22" i="167"/>
  <c r="AA22" i="167"/>
  <c r="Z22" i="167"/>
  <c r="Y22" i="167"/>
  <c r="X22" i="167"/>
  <c r="W22" i="167"/>
  <c r="U22" i="167"/>
  <c r="T22" i="167"/>
  <c r="S22" i="167"/>
  <c r="R22" i="167"/>
  <c r="Q22" i="167"/>
  <c r="P22" i="167"/>
  <c r="O22" i="167"/>
  <c r="N22" i="167"/>
  <c r="M22" i="167"/>
  <c r="L22" i="167"/>
  <c r="K22" i="167"/>
  <c r="J22" i="167"/>
  <c r="I22" i="167"/>
  <c r="H22" i="167"/>
  <c r="AK18" i="167"/>
  <c r="AJ18" i="167"/>
  <c r="AI18" i="167"/>
  <c r="AH18" i="167"/>
  <c r="AG18" i="167"/>
  <c r="AF18" i="167"/>
  <c r="AE18" i="167"/>
  <c r="AD18" i="167"/>
  <c r="AC18" i="167"/>
  <c r="AB18" i="167"/>
  <c r="AA18" i="167"/>
  <c r="Z18" i="167"/>
  <c r="Y18" i="167"/>
  <c r="X18" i="167"/>
  <c r="W18" i="167"/>
  <c r="U18" i="167"/>
  <c r="T18" i="167"/>
  <c r="S18" i="167"/>
  <c r="R18" i="167"/>
  <c r="Q18" i="167"/>
  <c r="P18" i="167"/>
  <c r="O18" i="167"/>
  <c r="N18" i="167"/>
  <c r="M18" i="167"/>
  <c r="L18" i="167"/>
  <c r="K18" i="167"/>
  <c r="J18" i="167"/>
  <c r="I18" i="167"/>
  <c r="H18" i="167"/>
  <c r="AK12" i="167"/>
  <c r="AJ12" i="167"/>
  <c r="AI12" i="167"/>
  <c r="AH12" i="167"/>
  <c r="AG12" i="167"/>
  <c r="AF12" i="167"/>
  <c r="AE12" i="167"/>
  <c r="AD12" i="167"/>
  <c r="AC12" i="167"/>
  <c r="AB12" i="167"/>
  <c r="AA12" i="167"/>
  <c r="Z12" i="167"/>
  <c r="Y12" i="167"/>
  <c r="X12" i="167"/>
  <c r="W12" i="167"/>
  <c r="U12" i="167"/>
  <c r="T12" i="167"/>
  <c r="S12" i="167"/>
  <c r="R12" i="167"/>
  <c r="Q12" i="167"/>
  <c r="P12" i="167"/>
  <c r="O12" i="167"/>
  <c r="N12" i="167"/>
  <c r="M12" i="167"/>
  <c r="L12" i="167"/>
  <c r="K12" i="167"/>
  <c r="J12" i="167"/>
  <c r="I12" i="167"/>
  <c r="H12" i="167"/>
  <c r="AK8" i="167"/>
  <c r="AJ8" i="167"/>
  <c r="AI8" i="167"/>
  <c r="AH8" i="167"/>
  <c r="AG8" i="167"/>
  <c r="AF8" i="167"/>
  <c r="AE8" i="167"/>
  <c r="AD8" i="167"/>
  <c r="AC8" i="167"/>
  <c r="AB8" i="167"/>
  <c r="AA8" i="167"/>
  <c r="Z8" i="167"/>
  <c r="Y8" i="167"/>
  <c r="X8" i="167"/>
  <c r="W8" i="167"/>
  <c r="U8" i="167"/>
  <c r="T8" i="167"/>
  <c r="S8" i="167"/>
  <c r="R8" i="167"/>
  <c r="Q8" i="167"/>
  <c r="P8" i="167"/>
  <c r="O8" i="167"/>
  <c r="N8" i="167"/>
  <c r="M8" i="167"/>
  <c r="L8" i="167"/>
  <c r="K8" i="167"/>
  <c r="J8" i="167"/>
  <c r="I8" i="167"/>
  <c r="H8" i="167"/>
  <c r="G22" i="167"/>
  <c r="G18" i="167"/>
  <c r="G12" i="167"/>
  <c r="J91" i="208"/>
  <c r="J90" i="208"/>
  <c r="J92" i="208" s="1"/>
  <c r="J89" i="208"/>
  <c r="J88" i="208"/>
  <c r="I92" i="208"/>
  <c r="H92" i="208"/>
  <c r="G92" i="208"/>
  <c r="F92" i="208"/>
  <c r="E92" i="208"/>
  <c r="M81" i="208"/>
  <c r="L81" i="208"/>
  <c r="K81" i="208"/>
  <c r="K27" i="208"/>
  <c r="E46" i="206"/>
  <c r="E37" i="206"/>
  <c r="E34" i="206"/>
  <c r="E30" i="206"/>
  <c r="E27" i="206"/>
  <c r="E23" i="206"/>
  <c r="E20" i="206"/>
  <c r="E66" i="206"/>
  <c r="E62" i="206"/>
  <c r="H123" i="206"/>
  <c r="H110" i="206"/>
  <c r="G110" i="206"/>
  <c r="F110" i="206"/>
  <c r="E123" i="206"/>
  <c r="E110" i="206"/>
  <c r="E133" i="206" s="1"/>
  <c r="I83" i="206"/>
  <c r="H83" i="206"/>
  <c r="F83" i="206"/>
  <c r="BC11" i="207"/>
  <c r="BC10" i="207"/>
  <c r="BC9" i="207"/>
  <c r="BC8" i="207"/>
  <c r="BC7" i="207"/>
  <c r="O37" i="205"/>
  <c r="E54" i="206" s="1"/>
  <c r="N37" i="205"/>
  <c r="K37" i="205"/>
  <c r="I37" i="205"/>
  <c r="F37" i="205"/>
  <c r="M27" i="205"/>
  <c r="L27" i="205"/>
  <c r="K27" i="205"/>
  <c r="J27" i="205"/>
  <c r="I27" i="205"/>
  <c r="H27" i="205"/>
  <c r="G27" i="205"/>
  <c r="F27" i="205"/>
  <c r="E27" i="205"/>
  <c r="V47" i="167" l="1"/>
  <c r="BO7" i="210"/>
  <c r="H207" i="182"/>
  <c r="D205" i="182"/>
  <c r="I205" i="182" s="1"/>
  <c r="D207" i="182"/>
  <c r="BM42" i="167"/>
  <c r="BD42" i="167"/>
  <c r="BE42" i="167"/>
  <c r="AN42" i="167"/>
  <c r="AV42" i="167"/>
  <c r="W42" i="167"/>
  <c r="AE42" i="167"/>
  <c r="AL47" i="167"/>
  <c r="AL42" i="167" s="1"/>
  <c r="I42" i="167"/>
  <c r="N42" i="167"/>
  <c r="Q42" i="167"/>
  <c r="H136" i="182"/>
  <c r="H189" i="182"/>
  <c r="E13" i="206"/>
  <c r="D189" i="182" s="1"/>
  <c r="I189" i="182" s="1"/>
  <c r="F54" i="206"/>
  <c r="K85" i="182"/>
  <c r="I85" i="182"/>
  <c r="I70" i="182"/>
  <c r="K70" i="182"/>
  <c r="I88" i="182"/>
  <c r="K88" i="182"/>
  <c r="BB25" i="209"/>
  <c r="BE7" i="209"/>
  <c r="BE13" i="209" s="1"/>
  <c r="BE17" i="209"/>
  <c r="BE19" i="209" s="1"/>
  <c r="BI7" i="209"/>
  <c r="BI13" i="209" s="1"/>
  <c r="BI17" i="209"/>
  <c r="BI19" i="209" s="1"/>
  <c r="BM7" i="209"/>
  <c r="BM13" i="209" s="1"/>
  <c r="BM17" i="209"/>
  <c r="BM19" i="209" s="1"/>
  <c r="BF7" i="209"/>
  <c r="BF13" i="209" s="1"/>
  <c r="BF17" i="209"/>
  <c r="BF19" i="209" s="1"/>
  <c r="BJ7" i="209"/>
  <c r="BJ13" i="209" s="1"/>
  <c r="BJ17" i="209"/>
  <c r="BJ19" i="209" s="1"/>
  <c r="BC7" i="209"/>
  <c r="BC13" i="209" s="1"/>
  <c r="BC17" i="209"/>
  <c r="BC19" i="209" s="1"/>
  <c r="BG7" i="209"/>
  <c r="BG13" i="209" s="1"/>
  <c r="BG17" i="209"/>
  <c r="BG19" i="209" s="1"/>
  <c r="BK7" i="209"/>
  <c r="BK13" i="209" s="1"/>
  <c r="BK17" i="209"/>
  <c r="BK19" i="209" s="1"/>
  <c r="BD7" i="209"/>
  <c r="BD13" i="209" s="1"/>
  <c r="BD17" i="209"/>
  <c r="BD19" i="209" s="1"/>
  <c r="BH7" i="209"/>
  <c r="BH13" i="209" s="1"/>
  <c r="BH17" i="209"/>
  <c r="BH19" i="209" s="1"/>
  <c r="BL7" i="209"/>
  <c r="BL13" i="209" s="1"/>
  <c r="BL17" i="209"/>
  <c r="BL19" i="209" s="1"/>
  <c r="AN7" i="209"/>
  <c r="AN13" i="209" s="1"/>
  <c r="AN17" i="209"/>
  <c r="AN19" i="209" s="1"/>
  <c r="AR7" i="209"/>
  <c r="AR13" i="209" s="1"/>
  <c r="AR17" i="209"/>
  <c r="AR19" i="209" s="1"/>
  <c r="AV7" i="209"/>
  <c r="AV13" i="209" s="1"/>
  <c r="AV17" i="209"/>
  <c r="AV19" i="209" s="1"/>
  <c r="AZ7" i="209"/>
  <c r="AZ13" i="209" s="1"/>
  <c r="AZ17" i="209"/>
  <c r="AZ19" i="209" s="1"/>
  <c r="AO7" i="209"/>
  <c r="AO13" i="209" s="1"/>
  <c r="AO17" i="209"/>
  <c r="AO19" i="209" s="1"/>
  <c r="AS7" i="209"/>
  <c r="AS13" i="209" s="1"/>
  <c r="AS17" i="209"/>
  <c r="AS19" i="209" s="1"/>
  <c r="AW7" i="209"/>
  <c r="AW13" i="209" s="1"/>
  <c r="AW17" i="209"/>
  <c r="AW19" i="209" s="1"/>
  <c r="BA7" i="209"/>
  <c r="BA13" i="209" s="1"/>
  <c r="BA17" i="209"/>
  <c r="BA19" i="209" s="1"/>
  <c r="AP7" i="209"/>
  <c r="AP13" i="209" s="1"/>
  <c r="AP17" i="209"/>
  <c r="AP19" i="209" s="1"/>
  <c r="AT7" i="209"/>
  <c r="AT13" i="209" s="1"/>
  <c r="AT17" i="209"/>
  <c r="AT19" i="209" s="1"/>
  <c r="AX7" i="209"/>
  <c r="AX13" i="209" s="1"/>
  <c r="AX17" i="209"/>
  <c r="AX19" i="209" s="1"/>
  <c r="AM7" i="209"/>
  <c r="AM13" i="209" s="1"/>
  <c r="AM17" i="209"/>
  <c r="AM19" i="209" s="1"/>
  <c r="AQ7" i="209"/>
  <c r="AQ13" i="209" s="1"/>
  <c r="AQ17" i="209"/>
  <c r="AQ19" i="209" s="1"/>
  <c r="AU7" i="209"/>
  <c r="AU13" i="209" s="1"/>
  <c r="AU17" i="209"/>
  <c r="AU19" i="209" s="1"/>
  <c r="AY7" i="209"/>
  <c r="AY13" i="209" s="1"/>
  <c r="AY17" i="209"/>
  <c r="AY19" i="209" s="1"/>
  <c r="W7" i="209"/>
  <c r="W13" i="209" s="1"/>
  <c r="W17" i="209"/>
  <c r="W19" i="209" s="1"/>
  <c r="AE7" i="209"/>
  <c r="AE13" i="209" s="1"/>
  <c r="AE17" i="209"/>
  <c r="AE19" i="209" s="1"/>
  <c r="X7" i="209"/>
  <c r="X13" i="209" s="1"/>
  <c r="X17" i="209"/>
  <c r="X19" i="209" s="1"/>
  <c r="AB7" i="209"/>
  <c r="AB13" i="209" s="1"/>
  <c r="AB17" i="209"/>
  <c r="AB19" i="209" s="1"/>
  <c r="AF7" i="209"/>
  <c r="AF13" i="209" s="1"/>
  <c r="AF17" i="209"/>
  <c r="AF19" i="209" s="1"/>
  <c r="AJ7" i="209"/>
  <c r="AJ13" i="209" s="1"/>
  <c r="AJ17" i="209"/>
  <c r="AJ19" i="209" s="1"/>
  <c r="AI7" i="209"/>
  <c r="AI13" i="209" s="1"/>
  <c r="AI17" i="209"/>
  <c r="AI19" i="209" s="1"/>
  <c r="Y7" i="209"/>
  <c r="Y13" i="209" s="1"/>
  <c r="Y17" i="209"/>
  <c r="Y19" i="209" s="1"/>
  <c r="AC7" i="209"/>
  <c r="AC13" i="209" s="1"/>
  <c r="AC17" i="209"/>
  <c r="AC19" i="209" s="1"/>
  <c r="AG7" i="209"/>
  <c r="AG13" i="209" s="1"/>
  <c r="AG17" i="209"/>
  <c r="AG19" i="209" s="1"/>
  <c r="AK7" i="209"/>
  <c r="AK13" i="209" s="1"/>
  <c r="AK17" i="209"/>
  <c r="AK19" i="209" s="1"/>
  <c r="AA7" i="209"/>
  <c r="AA13" i="209" s="1"/>
  <c r="AA17" i="209"/>
  <c r="AA19" i="209" s="1"/>
  <c r="Z7" i="209"/>
  <c r="Z13" i="209" s="1"/>
  <c r="Z17" i="209"/>
  <c r="Z19" i="209" s="1"/>
  <c r="AD7" i="209"/>
  <c r="AD13" i="209" s="1"/>
  <c r="AD17" i="209"/>
  <c r="AD19" i="209" s="1"/>
  <c r="AH7" i="209"/>
  <c r="AH13" i="209" s="1"/>
  <c r="AH17" i="209"/>
  <c r="AH19" i="209" s="1"/>
  <c r="J7" i="209"/>
  <c r="J13" i="209" s="1"/>
  <c r="J17" i="209"/>
  <c r="J19" i="209" s="1"/>
  <c r="N7" i="209"/>
  <c r="N13" i="209" s="1"/>
  <c r="N17" i="209"/>
  <c r="N19" i="209" s="1"/>
  <c r="R7" i="209"/>
  <c r="R13" i="209" s="1"/>
  <c r="R17" i="209"/>
  <c r="R19" i="209" s="1"/>
  <c r="K7" i="209"/>
  <c r="K13" i="209" s="1"/>
  <c r="K17" i="209"/>
  <c r="K19" i="209" s="1"/>
  <c r="O7" i="209"/>
  <c r="O13" i="209" s="1"/>
  <c r="O17" i="209"/>
  <c r="O19" i="209" s="1"/>
  <c r="S7" i="209"/>
  <c r="S13" i="209" s="1"/>
  <c r="S17" i="209"/>
  <c r="S19" i="209" s="1"/>
  <c r="H7" i="209"/>
  <c r="H13" i="209" s="1"/>
  <c r="H17" i="209"/>
  <c r="H19" i="209" s="1"/>
  <c r="L7" i="209"/>
  <c r="L13" i="209" s="1"/>
  <c r="L17" i="209"/>
  <c r="L19" i="209" s="1"/>
  <c r="P7" i="209"/>
  <c r="P13" i="209" s="1"/>
  <c r="P17" i="209"/>
  <c r="P19" i="209" s="1"/>
  <c r="T7" i="209"/>
  <c r="T13" i="209" s="1"/>
  <c r="T17" i="209"/>
  <c r="T19" i="209" s="1"/>
  <c r="I7" i="209"/>
  <c r="I13" i="209" s="1"/>
  <c r="I17" i="209"/>
  <c r="I19" i="209" s="1"/>
  <c r="M7" i="209"/>
  <c r="M13" i="209" s="1"/>
  <c r="M17" i="209"/>
  <c r="M19" i="209" s="1"/>
  <c r="Q7" i="209"/>
  <c r="Q13" i="209" s="1"/>
  <c r="Q17" i="209"/>
  <c r="Q19" i="209" s="1"/>
  <c r="U7" i="209"/>
  <c r="U13" i="209" s="1"/>
  <c r="U17" i="209"/>
  <c r="U19" i="209" s="1"/>
  <c r="BJ42" i="167"/>
  <c r="BK42" i="167"/>
  <c r="BC42" i="167"/>
  <c r="BG42" i="167"/>
  <c r="AM42" i="167"/>
  <c r="AU42" i="167"/>
  <c r="BB42" i="167"/>
  <c r="AO42" i="167"/>
  <c r="AW42" i="167"/>
  <c r="AD42" i="167"/>
  <c r="H42" i="167"/>
  <c r="P42" i="167"/>
  <c r="BO49" i="167"/>
  <c r="V42" i="167"/>
  <c r="BO50" i="167"/>
  <c r="H25" i="211"/>
  <c r="H26" i="211" s="1"/>
  <c r="H21" i="211"/>
  <c r="H22" i="211" s="1"/>
  <c r="K192" i="182"/>
  <c r="I192" i="182"/>
  <c r="BG14" i="209"/>
  <c r="BG25" i="213"/>
  <c r="BK14" i="209"/>
  <c r="BK25" i="213"/>
  <c r="BC14" i="209"/>
  <c r="BC25" i="213"/>
  <c r="BH14" i="209"/>
  <c r="BH25" i="213"/>
  <c r="BL14" i="209"/>
  <c r="BL25" i="213"/>
  <c r="BE14" i="209"/>
  <c r="BE25" i="213"/>
  <c r="BI14" i="209"/>
  <c r="BI25" i="213"/>
  <c r="BM14" i="209"/>
  <c r="BM25" i="213"/>
  <c r="BF14" i="209"/>
  <c r="BF25" i="213"/>
  <c r="BJ14" i="209"/>
  <c r="BJ25" i="213"/>
  <c r="AO14" i="209"/>
  <c r="AO25" i="213"/>
  <c r="AS14" i="209"/>
  <c r="AS15" i="209" s="1"/>
  <c r="AS25" i="213"/>
  <c r="BA14" i="209"/>
  <c r="BA25" i="213"/>
  <c r="AP14" i="209"/>
  <c r="AP25" i="213"/>
  <c r="AX14" i="209"/>
  <c r="AX25" i="213"/>
  <c r="AM14" i="209"/>
  <c r="AM15" i="209" s="1"/>
  <c r="AM25" i="213"/>
  <c r="AQ14" i="209"/>
  <c r="AQ25" i="213"/>
  <c r="AU14" i="209"/>
  <c r="AU15" i="209" s="1"/>
  <c r="AU25" i="213"/>
  <c r="AY14" i="209"/>
  <c r="AY25" i="213"/>
  <c r="AN14" i="209"/>
  <c r="AN25" i="213"/>
  <c r="AR14" i="209"/>
  <c r="AR25" i="213"/>
  <c r="AV14" i="209"/>
  <c r="AV25" i="213"/>
  <c r="AZ14" i="209"/>
  <c r="AZ25" i="213"/>
  <c r="AW14" i="209"/>
  <c r="AW25" i="213"/>
  <c r="AT14" i="209"/>
  <c r="AT25" i="213"/>
  <c r="W14" i="209"/>
  <c r="W15" i="209" s="1"/>
  <c r="W25" i="213"/>
  <c r="AE14" i="209"/>
  <c r="AE25" i="213"/>
  <c r="Y14" i="209"/>
  <c r="Y25" i="213"/>
  <c r="AC14" i="209"/>
  <c r="AC15" i="209" s="1"/>
  <c r="AC25" i="213"/>
  <c r="AG14" i="209"/>
  <c r="AG25" i="213"/>
  <c r="AK14" i="209"/>
  <c r="AK15" i="209" s="1"/>
  <c r="AK25" i="213"/>
  <c r="Z14" i="209"/>
  <c r="Z25" i="213"/>
  <c r="AD14" i="209"/>
  <c r="AD25" i="213"/>
  <c r="AH14" i="209"/>
  <c r="AH25" i="213"/>
  <c r="X7" i="167"/>
  <c r="AA14" i="209"/>
  <c r="AA15" i="209" s="1"/>
  <c r="AA25" i="213"/>
  <c r="AI14" i="209"/>
  <c r="AI15" i="209" s="1"/>
  <c r="AI25" i="213"/>
  <c r="X14" i="209"/>
  <c r="X15" i="209" s="1"/>
  <c r="X25" i="213"/>
  <c r="AB14" i="209"/>
  <c r="AB25" i="213"/>
  <c r="AF14" i="209"/>
  <c r="AF15" i="209" s="1"/>
  <c r="AF25" i="213"/>
  <c r="AJ14" i="209"/>
  <c r="AJ25" i="213"/>
  <c r="H14" i="209"/>
  <c r="H15" i="209" s="1"/>
  <c r="H25" i="213"/>
  <c r="L14" i="209"/>
  <c r="L15" i="209" s="1"/>
  <c r="L25" i="213"/>
  <c r="P14" i="209"/>
  <c r="P15" i="209" s="1"/>
  <c r="P25" i="213"/>
  <c r="T14" i="209"/>
  <c r="T15" i="209" s="1"/>
  <c r="T25" i="213"/>
  <c r="I14" i="209"/>
  <c r="I15" i="209" s="1"/>
  <c r="I25" i="213"/>
  <c r="M14" i="209"/>
  <c r="M15" i="209" s="1"/>
  <c r="M25" i="213"/>
  <c r="Q14" i="209"/>
  <c r="Q15" i="209" s="1"/>
  <c r="Q25" i="213"/>
  <c r="U14" i="209"/>
  <c r="U15" i="209" s="1"/>
  <c r="U25" i="213"/>
  <c r="H7" i="167"/>
  <c r="J14" i="209"/>
  <c r="J15" i="209" s="1"/>
  <c r="J25" i="213"/>
  <c r="N14" i="209"/>
  <c r="N15" i="209" s="1"/>
  <c r="N25" i="213"/>
  <c r="R14" i="209"/>
  <c r="R15" i="209" s="1"/>
  <c r="R25" i="213"/>
  <c r="K14" i="209"/>
  <c r="K15" i="209" s="1"/>
  <c r="K25" i="213"/>
  <c r="O14" i="209"/>
  <c r="O15" i="209" s="1"/>
  <c r="O25" i="213"/>
  <c r="S14" i="209"/>
  <c r="S15" i="209" s="1"/>
  <c r="S25" i="213"/>
  <c r="G133" i="206"/>
  <c r="F133" i="206"/>
  <c r="E9" i="206" s="1"/>
  <c r="AA49" i="241"/>
  <c r="AD78" i="240"/>
  <c r="E42" i="206"/>
  <c r="G25" i="213"/>
  <c r="G26" i="213" s="1"/>
  <c r="G14" i="209"/>
  <c r="G15" i="209" s="1"/>
  <c r="E19" i="206"/>
  <c r="V25" i="209"/>
  <c r="BN26" i="209"/>
  <c r="BO26" i="209" s="1"/>
  <c r="BO52" i="209"/>
  <c r="H59" i="182" s="1"/>
  <c r="BD25" i="209"/>
  <c r="BG25" i="209"/>
  <c r="BO43" i="209"/>
  <c r="H190" i="182" s="1"/>
  <c r="AL8" i="209"/>
  <c r="BN8" i="209"/>
  <c r="BO12" i="209"/>
  <c r="H114" i="182" s="1"/>
  <c r="BD8" i="167"/>
  <c r="BN21" i="167"/>
  <c r="BD22" i="167"/>
  <c r="BN47" i="167"/>
  <c r="BO48" i="167"/>
  <c r="BN44" i="167"/>
  <c r="BO29" i="209"/>
  <c r="BN27" i="209"/>
  <c r="BO27" i="209" s="1"/>
  <c r="AL25" i="209"/>
  <c r="BO10" i="209"/>
  <c r="BO11" i="209"/>
  <c r="H112" i="182" s="1"/>
  <c r="V8" i="209"/>
  <c r="BB8" i="209"/>
  <c r="BO9" i="209"/>
  <c r="H109" i="182" s="1"/>
  <c r="BO28" i="209"/>
  <c r="AW7" i="167"/>
  <c r="P7" i="167"/>
  <c r="Y7" i="167"/>
  <c r="AG7" i="167"/>
  <c r="K7" i="167"/>
  <c r="I7" i="167"/>
  <c r="AO7" i="167"/>
  <c r="Z7" i="167"/>
  <c r="J7" i="167"/>
  <c r="BA7" i="167"/>
  <c r="AA7" i="167"/>
  <c r="BC7" i="167"/>
  <c r="BE7" i="167"/>
  <c r="S7" i="167"/>
  <c r="Q7" i="167"/>
  <c r="AH7" i="167"/>
  <c r="AF7" i="167"/>
  <c r="AS7" i="167"/>
  <c r="R7" i="167"/>
  <c r="AI7" i="167"/>
  <c r="BK7" i="167"/>
  <c r="BM7" i="167"/>
  <c r="V26" i="167"/>
  <c r="AQ7" i="167"/>
  <c r="AR7" i="167"/>
  <c r="AZ7" i="167"/>
  <c r="BI7" i="167"/>
  <c r="BF7" i="167"/>
  <c r="L7" i="167"/>
  <c r="T7" i="167"/>
  <c r="AC7" i="167"/>
  <c r="AK7" i="167"/>
  <c r="BJ7" i="167"/>
  <c r="BG7" i="167"/>
  <c r="BL7" i="167"/>
  <c r="AP7" i="167"/>
  <c r="V18" i="167"/>
  <c r="AY7" i="167"/>
  <c r="AJ7" i="167"/>
  <c r="U7" i="167"/>
  <c r="AT7" i="167"/>
  <c r="N7" i="167"/>
  <c r="W7" i="167"/>
  <c r="AE7" i="167"/>
  <c r="V12" i="167"/>
  <c r="V22" i="167"/>
  <c r="AL26" i="167"/>
  <c r="AM7" i="167"/>
  <c r="AU7" i="167"/>
  <c r="AN7" i="167"/>
  <c r="AV7" i="167"/>
  <c r="AX7" i="167"/>
  <c r="V8" i="167"/>
  <c r="V14" i="209" s="1"/>
  <c r="BH7" i="167"/>
  <c r="AB7" i="167"/>
  <c r="M7" i="167"/>
  <c r="AD7" i="167"/>
  <c r="O7" i="167"/>
  <c r="AL8" i="167"/>
  <c r="AL12" i="167"/>
  <c r="AL18" i="167"/>
  <c r="G7" i="167"/>
  <c r="E26" i="206"/>
  <c r="P17" i="205"/>
  <c r="O17" i="205"/>
  <c r="N17" i="205"/>
  <c r="M17" i="205"/>
  <c r="L17" i="205"/>
  <c r="K17" i="205"/>
  <c r="J17" i="205"/>
  <c r="I17" i="205"/>
  <c r="H17" i="205"/>
  <c r="G17" i="205"/>
  <c r="F17" i="205"/>
  <c r="E17" i="205"/>
  <c r="I207" i="182" l="1"/>
  <c r="I51" i="182"/>
  <c r="K51" i="182"/>
  <c r="K189" i="182"/>
  <c r="AT15" i="209"/>
  <c r="AZ15" i="209"/>
  <c r="AR15" i="209"/>
  <c r="BA15" i="209"/>
  <c r="AW15" i="209"/>
  <c r="AV15" i="209"/>
  <c r="AN15" i="209"/>
  <c r="AP15" i="209"/>
  <c r="AG15" i="209"/>
  <c r="Y15" i="209"/>
  <c r="I112" i="182"/>
  <c r="K112" i="182"/>
  <c r="I100" i="182"/>
  <c r="K100" i="182"/>
  <c r="E52" i="206"/>
  <c r="G54" i="206"/>
  <c r="K59" i="182"/>
  <c r="I59" i="182"/>
  <c r="K190" i="182"/>
  <c r="I190" i="182"/>
  <c r="AY15" i="209"/>
  <c r="AQ15" i="209"/>
  <c r="AX15" i="209"/>
  <c r="AO15" i="209"/>
  <c r="AE15" i="209"/>
  <c r="AJ15" i="209"/>
  <c r="AB15" i="209"/>
  <c r="K114" i="182"/>
  <c r="I114" i="182"/>
  <c r="BN7" i="209"/>
  <c r="BN13" i="209" s="1"/>
  <c r="BN17" i="209"/>
  <c r="BN19" i="209" s="1"/>
  <c r="BF15" i="209"/>
  <c r="BI15" i="209"/>
  <c r="BL15" i="209"/>
  <c r="BC15" i="209"/>
  <c r="BG15" i="209"/>
  <c r="BJ15" i="209"/>
  <c r="BM15" i="209"/>
  <c r="BE15" i="209"/>
  <c r="BH15" i="209"/>
  <c r="BK15" i="209"/>
  <c r="BB7" i="209"/>
  <c r="BB13" i="209" s="1"/>
  <c r="BB17" i="209"/>
  <c r="AD15" i="209"/>
  <c r="AL7" i="209"/>
  <c r="AL13" i="209" s="1"/>
  <c r="AL17" i="209"/>
  <c r="AL19" i="209" s="1"/>
  <c r="AH15" i="209"/>
  <c r="Z15" i="209"/>
  <c r="V7" i="209"/>
  <c r="V13" i="209" s="1"/>
  <c r="V15" i="209" s="1"/>
  <c r="V17" i="209"/>
  <c r="V19" i="209" s="1"/>
  <c r="K109" i="182"/>
  <c r="I109" i="182"/>
  <c r="BO47" i="167"/>
  <c r="H160" i="182"/>
  <c r="H161" i="182"/>
  <c r="BJ30" i="213"/>
  <c r="BJ26" i="213"/>
  <c r="BM30" i="213"/>
  <c r="BM26" i="213"/>
  <c r="BE26" i="213"/>
  <c r="BE30" i="213"/>
  <c r="BH30" i="213"/>
  <c r="BH26" i="213"/>
  <c r="BK26" i="213"/>
  <c r="BK30" i="213"/>
  <c r="BD14" i="209"/>
  <c r="BD15" i="209" s="1"/>
  <c r="BD25" i="213"/>
  <c r="BF30" i="213"/>
  <c r="BF26" i="213"/>
  <c r="BI30" i="213"/>
  <c r="BI26" i="213"/>
  <c r="BL30" i="213"/>
  <c r="BL26" i="213"/>
  <c r="BC30" i="213"/>
  <c r="BC26" i="213"/>
  <c r="BG30" i="213"/>
  <c r="BG26" i="213"/>
  <c r="BD7" i="167"/>
  <c r="AZ26" i="213"/>
  <c r="AZ30" i="213"/>
  <c r="AR26" i="213"/>
  <c r="AR30" i="213"/>
  <c r="AQ30" i="213"/>
  <c r="AQ26" i="213"/>
  <c r="AX26" i="213"/>
  <c r="AX30" i="213"/>
  <c r="AO30" i="213"/>
  <c r="AO26" i="213"/>
  <c r="AW30" i="213"/>
  <c r="AW26" i="213"/>
  <c r="AV26" i="213"/>
  <c r="AV30" i="213"/>
  <c r="AN26" i="213"/>
  <c r="AN30" i="213"/>
  <c r="AU30" i="213"/>
  <c r="AU26" i="213"/>
  <c r="AM30" i="213"/>
  <c r="AM26" i="213"/>
  <c r="AP26" i="213"/>
  <c r="AP30" i="213"/>
  <c r="AS30" i="213"/>
  <c r="AS26" i="213"/>
  <c r="AT26" i="213"/>
  <c r="AT30" i="213"/>
  <c r="AY30" i="213"/>
  <c r="AY26" i="213"/>
  <c r="BA30" i="213"/>
  <c r="BA26" i="213"/>
  <c r="Y30" i="213"/>
  <c r="Y26" i="213"/>
  <c r="AL14" i="209"/>
  <c r="AL25" i="213"/>
  <c r="AD30" i="213"/>
  <c r="AD26" i="213"/>
  <c r="AK30" i="213"/>
  <c r="AK26" i="213"/>
  <c r="AC30" i="213"/>
  <c r="AC26" i="213"/>
  <c r="AE26" i="213"/>
  <c r="AE30" i="213"/>
  <c r="AJ26" i="213"/>
  <c r="AJ30" i="213"/>
  <c r="AB26" i="213"/>
  <c r="AB30" i="213"/>
  <c r="AI26" i="213"/>
  <c r="AI30" i="213"/>
  <c r="AH30" i="213"/>
  <c r="AH26" i="213"/>
  <c r="Z30" i="213"/>
  <c r="Z26" i="213"/>
  <c r="AG30" i="213"/>
  <c r="AG26" i="213"/>
  <c r="W26" i="213"/>
  <c r="W30" i="213"/>
  <c r="AF26" i="213"/>
  <c r="AF30" i="213"/>
  <c r="X26" i="213"/>
  <c r="X30" i="213"/>
  <c r="AA26" i="213"/>
  <c r="AA30" i="213"/>
  <c r="U26" i="213"/>
  <c r="U30" i="213"/>
  <c r="M26" i="213"/>
  <c r="M30" i="213"/>
  <c r="T30" i="213"/>
  <c r="T26" i="213"/>
  <c r="L30" i="213"/>
  <c r="L26" i="213"/>
  <c r="O30" i="213"/>
  <c r="O26" i="213"/>
  <c r="R30" i="213"/>
  <c r="R26" i="213"/>
  <c r="J30" i="213"/>
  <c r="J26" i="213"/>
  <c r="Q26" i="213"/>
  <c r="Q30" i="213"/>
  <c r="I30" i="213"/>
  <c r="I26" i="213"/>
  <c r="P30" i="213"/>
  <c r="P26" i="213"/>
  <c r="H26" i="213"/>
  <c r="H30" i="213"/>
  <c r="S30" i="213"/>
  <c r="S26" i="213"/>
  <c r="K30" i="213"/>
  <c r="K26" i="213"/>
  <c r="N30" i="213"/>
  <c r="N26" i="213"/>
  <c r="AC49" i="241"/>
  <c r="AB49" i="241"/>
  <c r="AF78" i="240"/>
  <c r="AE78" i="240"/>
  <c r="V7" i="167"/>
  <c r="V25" i="213"/>
  <c r="BO8" i="209"/>
  <c r="BN43" i="167"/>
  <c r="BN42" i="167" s="1"/>
  <c r="BO44" i="167"/>
  <c r="BO43" i="167" s="1"/>
  <c r="BN25" i="209"/>
  <c r="BO25" i="209"/>
  <c r="AL7" i="167"/>
  <c r="L66" i="204"/>
  <c r="K66" i="204"/>
  <c r="J66" i="204"/>
  <c r="L62" i="204"/>
  <c r="K62" i="204"/>
  <c r="K70" i="204" s="1"/>
  <c r="J62" i="204"/>
  <c r="E57" i="206" l="1"/>
  <c r="E55" i="206" s="1"/>
  <c r="E53" i="206" s="1"/>
  <c r="E8" i="206" s="1"/>
  <c r="E7" i="206"/>
  <c r="AL15" i="209"/>
  <c r="BO7" i="209"/>
  <c r="BO13" i="209" s="1"/>
  <c r="BO17" i="209"/>
  <c r="BO42" i="167"/>
  <c r="H158" i="182" s="1"/>
  <c r="I161" i="182"/>
  <c r="K161" i="182"/>
  <c r="K160" i="182"/>
  <c r="I160" i="182"/>
  <c r="BD30" i="213"/>
  <c r="BD26" i="213"/>
  <c r="AL30" i="213"/>
  <c r="AL26" i="213"/>
  <c r="V30" i="213"/>
  <c r="V26" i="213"/>
  <c r="L70" i="204"/>
  <c r="O79" i="204"/>
  <c r="N79" i="204"/>
  <c r="O78" i="204"/>
  <c r="N78" i="204"/>
  <c r="O77" i="204"/>
  <c r="N77" i="204"/>
  <c r="L80" i="204"/>
  <c r="K80" i="204"/>
  <c r="I80" i="204"/>
  <c r="H80" i="204"/>
  <c r="F80" i="204"/>
  <c r="E80" i="204"/>
  <c r="M79" i="204"/>
  <c r="J79" i="204"/>
  <c r="G79" i="204"/>
  <c r="M78" i="204"/>
  <c r="J78" i="204"/>
  <c r="G78" i="204"/>
  <c r="M77" i="204"/>
  <c r="J77" i="204"/>
  <c r="G77" i="204"/>
  <c r="R48" i="204"/>
  <c r="Q48" i="204"/>
  <c r="R47" i="204"/>
  <c r="Q47" i="204"/>
  <c r="Q46" i="204"/>
  <c r="O49" i="204"/>
  <c r="N49" i="204"/>
  <c r="P48" i="204"/>
  <c r="P47" i="204"/>
  <c r="P46" i="204"/>
  <c r="L49" i="204"/>
  <c r="K49" i="204"/>
  <c r="M48" i="204"/>
  <c r="M47" i="204"/>
  <c r="M46" i="204"/>
  <c r="M34" i="204"/>
  <c r="M33" i="204"/>
  <c r="M32" i="204"/>
  <c r="M31" i="204"/>
  <c r="M30" i="204"/>
  <c r="M29" i="204" s="1"/>
  <c r="M28" i="204"/>
  <c r="M27" i="204"/>
  <c r="M26" i="204"/>
  <c r="M25" i="204"/>
  <c r="M21" i="204"/>
  <c r="M20" i="204"/>
  <c r="M19" i="204"/>
  <c r="M18" i="204"/>
  <c r="M17" i="204"/>
  <c r="M16" i="204"/>
  <c r="M15" i="204"/>
  <c r="M13" i="204"/>
  <c r="M12" i="204"/>
  <c r="M11" i="204"/>
  <c r="K29" i="204"/>
  <c r="J29" i="204"/>
  <c r="L24" i="204"/>
  <c r="K24" i="204"/>
  <c r="J24" i="204"/>
  <c r="L14" i="204"/>
  <c r="K14" i="204"/>
  <c r="J14" i="204"/>
  <c r="L10" i="204"/>
  <c r="K10" i="204"/>
  <c r="J22" i="204"/>
  <c r="I69" i="204"/>
  <c r="M69" i="204" s="1"/>
  <c r="I68" i="204"/>
  <c r="M68" i="204" s="1"/>
  <c r="I67" i="204"/>
  <c r="M67" i="204" s="1"/>
  <c r="I65" i="204"/>
  <c r="M65" i="204" s="1"/>
  <c r="I64" i="204"/>
  <c r="M64" i="204" s="1"/>
  <c r="I63" i="204"/>
  <c r="M63" i="204" s="1"/>
  <c r="I61" i="204"/>
  <c r="M61" i="204" s="1"/>
  <c r="I60" i="204"/>
  <c r="M60" i="204" s="1"/>
  <c r="I59" i="204"/>
  <c r="M59" i="204" s="1"/>
  <c r="I58" i="204"/>
  <c r="M58" i="204" s="1"/>
  <c r="H66" i="204"/>
  <c r="G66" i="204"/>
  <c r="F66" i="204"/>
  <c r="H62" i="204"/>
  <c r="G62" i="204"/>
  <c r="G70" i="204" s="1"/>
  <c r="F62" i="204"/>
  <c r="F70" i="204" s="1"/>
  <c r="E66" i="204"/>
  <c r="E62" i="204"/>
  <c r="I49" i="204"/>
  <c r="H49" i="204"/>
  <c r="J48" i="204"/>
  <c r="J47" i="204"/>
  <c r="G48" i="204"/>
  <c r="G47" i="204"/>
  <c r="F49" i="204"/>
  <c r="E49" i="204"/>
  <c r="I34" i="204"/>
  <c r="I33" i="204"/>
  <c r="I32" i="204"/>
  <c r="I31" i="204"/>
  <c r="I30" i="204"/>
  <c r="I28" i="204"/>
  <c r="I27" i="204"/>
  <c r="I26" i="204"/>
  <c r="I25" i="204"/>
  <c r="I21" i="204"/>
  <c r="I20" i="204"/>
  <c r="I19" i="204"/>
  <c r="I18" i="204"/>
  <c r="I17" i="204"/>
  <c r="I16" i="204"/>
  <c r="I15" i="204"/>
  <c r="I13" i="204"/>
  <c r="I12" i="204"/>
  <c r="I11" i="204"/>
  <c r="H29" i="204"/>
  <c r="G29" i="204"/>
  <c r="F29" i="204"/>
  <c r="H24" i="204"/>
  <c r="G24" i="204"/>
  <c r="F24" i="204"/>
  <c r="H14" i="204"/>
  <c r="G14" i="204"/>
  <c r="F14" i="204"/>
  <c r="H10" i="204"/>
  <c r="G10" i="204"/>
  <c r="E29" i="204"/>
  <c r="E24" i="204"/>
  <c r="E14" i="204"/>
  <c r="E10" i="204"/>
  <c r="L160" i="182" l="1"/>
  <c r="E59" i="206"/>
  <c r="E6" i="206"/>
  <c r="E10" i="206" s="1"/>
  <c r="H91" i="206" s="1"/>
  <c r="H133" i="206" s="1"/>
  <c r="H135" i="206" s="1"/>
  <c r="J80" i="204"/>
  <c r="M62" i="204"/>
  <c r="G80" i="204"/>
  <c r="O80" i="204"/>
  <c r="M66" i="204"/>
  <c r="M80" i="204"/>
  <c r="Q49" i="204"/>
  <c r="L22" i="204"/>
  <c r="R49" i="204"/>
  <c r="M49" i="204"/>
  <c r="P77" i="204"/>
  <c r="P79" i="204"/>
  <c r="I14" i="204"/>
  <c r="P78" i="204"/>
  <c r="N80" i="204"/>
  <c r="H35" i="204"/>
  <c r="G22" i="204"/>
  <c r="I62" i="204"/>
  <c r="J35" i="204"/>
  <c r="J36" i="204" s="1"/>
  <c r="J37" i="204" s="1"/>
  <c r="M24" i="204"/>
  <c r="M35" i="204" s="1"/>
  <c r="P49" i="204"/>
  <c r="H22" i="204"/>
  <c r="M14" i="204"/>
  <c r="E22" i="204"/>
  <c r="S48" i="204"/>
  <c r="M10" i="204"/>
  <c r="M22" i="204" s="1"/>
  <c r="H70" i="204"/>
  <c r="I66" i="204"/>
  <c r="E35" i="204"/>
  <c r="I10" i="204"/>
  <c r="I24" i="204"/>
  <c r="I29" i="204"/>
  <c r="F35" i="204"/>
  <c r="G35" i="204"/>
  <c r="E16" i="203"/>
  <c r="H268" i="202"/>
  <c r="F268" i="202"/>
  <c r="D268" i="202"/>
  <c r="H215" i="202"/>
  <c r="F215" i="202"/>
  <c r="D215" i="202"/>
  <c r="H162" i="202"/>
  <c r="F162" i="202"/>
  <c r="D162" i="202"/>
  <c r="H109" i="202"/>
  <c r="F109" i="202"/>
  <c r="D109" i="202"/>
  <c r="H56" i="202"/>
  <c r="F56" i="202"/>
  <c r="D56" i="202"/>
  <c r="F31" i="201"/>
  <c r="AD88" i="242" s="1"/>
  <c r="E31" i="201"/>
  <c r="G71" i="200"/>
  <c r="G70" i="200"/>
  <c r="G69" i="200"/>
  <c r="G68" i="200"/>
  <c r="G67" i="200"/>
  <c r="G66" i="200"/>
  <c r="G65" i="200"/>
  <c r="G64" i="200"/>
  <c r="G63" i="200"/>
  <c r="G62" i="200"/>
  <c r="G61" i="200"/>
  <c r="G60" i="200"/>
  <c r="G59" i="200"/>
  <c r="G58" i="200"/>
  <c r="G57" i="200"/>
  <c r="F56" i="200"/>
  <c r="F54" i="200" s="1"/>
  <c r="E56" i="200"/>
  <c r="E54" i="200" s="1"/>
  <c r="G55" i="200"/>
  <c r="G53" i="200"/>
  <c r="G52" i="200"/>
  <c r="G51" i="200"/>
  <c r="G50" i="200"/>
  <c r="G49" i="200"/>
  <c r="G48" i="200"/>
  <c r="G47" i="200"/>
  <c r="G46" i="200"/>
  <c r="G45" i="200"/>
  <c r="G44" i="200"/>
  <c r="F43" i="200"/>
  <c r="E43" i="200"/>
  <c r="G35" i="200"/>
  <c r="G34" i="200"/>
  <c r="G33" i="200"/>
  <c r="G32" i="200"/>
  <c r="G31" i="200"/>
  <c r="G30" i="200"/>
  <c r="G29" i="200"/>
  <c r="G28" i="200"/>
  <c r="G27" i="200"/>
  <c r="G26" i="200"/>
  <c r="G25" i="200"/>
  <c r="G24" i="200"/>
  <c r="G23" i="200"/>
  <c r="G22" i="200"/>
  <c r="G21" i="200"/>
  <c r="G19" i="200"/>
  <c r="G17" i="200"/>
  <c r="G16" i="200"/>
  <c r="G15" i="200"/>
  <c r="G14" i="200"/>
  <c r="G13" i="200"/>
  <c r="G12" i="200"/>
  <c r="G11" i="200"/>
  <c r="G10" i="200"/>
  <c r="G9" i="200"/>
  <c r="G8" i="200"/>
  <c r="F20" i="200"/>
  <c r="F18" i="200" s="1"/>
  <c r="F7" i="200"/>
  <c r="E20" i="200"/>
  <c r="E18" i="200" s="1"/>
  <c r="E7" i="200"/>
  <c r="H136" i="206" l="1"/>
  <c r="H137" i="206" s="1"/>
  <c r="G10" i="206"/>
  <c r="E72" i="200"/>
  <c r="AE88" i="242"/>
  <c r="AF88" i="242"/>
  <c r="AD87" i="242"/>
  <c r="H180" i="182"/>
  <c r="F36" i="204"/>
  <c r="F37" i="204" s="1"/>
  <c r="H36" i="204"/>
  <c r="H37" i="204" s="1"/>
  <c r="L36" i="204"/>
  <c r="M70" i="204"/>
  <c r="G36" i="204"/>
  <c r="G37" i="204" s="1"/>
  <c r="F72" i="200"/>
  <c r="G43" i="200"/>
  <c r="G56" i="200"/>
  <c r="G54" i="200" s="1"/>
  <c r="G72" i="200" s="1"/>
  <c r="I22" i="204"/>
  <c r="E36" i="204"/>
  <c r="E37" i="204" s="1"/>
  <c r="I70" i="204"/>
  <c r="P80" i="204"/>
  <c r="I35" i="204"/>
  <c r="I36" i="204" s="1"/>
  <c r="I37" i="204" s="1"/>
  <c r="M36" i="204"/>
  <c r="G20" i="200"/>
  <c r="G18" i="200" s="1"/>
  <c r="E36" i="200"/>
  <c r="G7" i="200"/>
  <c r="F36" i="200"/>
  <c r="L37" i="204" l="1"/>
  <c r="M37" i="204" s="1"/>
  <c r="AD81" i="242"/>
  <c r="H179" i="182"/>
  <c r="G36" i="200"/>
  <c r="AD79" i="242" s="1"/>
  <c r="I136" i="206"/>
  <c r="I180" i="182"/>
  <c r="K180" i="182"/>
  <c r="AF87" i="242"/>
  <c r="AE87" i="242"/>
  <c r="E22" i="199"/>
  <c r="E22" i="198"/>
  <c r="H176" i="182" s="1"/>
  <c r="F72" i="197"/>
  <c r="F69" i="197"/>
  <c r="F62" i="197"/>
  <c r="F55" i="197"/>
  <c r="E72" i="197"/>
  <c r="E69" i="197"/>
  <c r="E67" i="197" s="1"/>
  <c r="E62" i="197"/>
  <c r="E55" i="197"/>
  <c r="G46" i="197"/>
  <c r="G45" i="197"/>
  <c r="G44" i="197"/>
  <c r="H198" i="182" s="1"/>
  <c r="G43" i="197"/>
  <c r="G42" i="197"/>
  <c r="G41" i="197"/>
  <c r="G38" i="197"/>
  <c r="G37" i="197"/>
  <c r="G36" i="197"/>
  <c r="G34" i="197"/>
  <c r="G32" i="197"/>
  <c r="G31" i="197" s="1"/>
  <c r="G30" i="197"/>
  <c r="G29" i="197"/>
  <c r="G28" i="197"/>
  <c r="G26" i="197"/>
  <c r="G24" i="197" s="1"/>
  <c r="AD63" i="242" s="1"/>
  <c r="G22" i="197"/>
  <c r="G21" i="197"/>
  <c r="G19" i="197"/>
  <c r="G18" i="197"/>
  <c r="G15" i="197"/>
  <c r="G14" i="197"/>
  <c r="G12" i="197"/>
  <c r="G11" i="197"/>
  <c r="G10" i="197"/>
  <c r="G9" i="197"/>
  <c r="F35" i="197"/>
  <c r="F31" i="197"/>
  <c r="E31" i="197"/>
  <c r="F27" i="197"/>
  <c r="E27" i="197"/>
  <c r="F24" i="197"/>
  <c r="F20" i="197"/>
  <c r="F16" i="197" s="1"/>
  <c r="E20" i="197"/>
  <c r="F17" i="197"/>
  <c r="E17" i="197"/>
  <c r="F13" i="197"/>
  <c r="E13" i="197"/>
  <c r="F8" i="197"/>
  <c r="E8" i="197"/>
  <c r="F40" i="197"/>
  <c r="E13" i="196"/>
  <c r="H156" i="182" s="1"/>
  <c r="G8" i="195"/>
  <c r="E8" i="195"/>
  <c r="E13" i="194"/>
  <c r="E9" i="194"/>
  <c r="H12" i="193"/>
  <c r="H10" i="193"/>
  <c r="H9" i="193"/>
  <c r="H8" i="193"/>
  <c r="H7" i="193"/>
  <c r="G13" i="193"/>
  <c r="F13" i="193"/>
  <c r="E13" i="193"/>
  <c r="L49" i="41"/>
  <c r="L104" i="41"/>
  <c r="L110" i="41"/>
  <c r="L109" i="41"/>
  <c r="L108" i="41"/>
  <c r="L107" i="41"/>
  <c r="L106" i="41"/>
  <c r="L105" i="41"/>
  <c r="L103" i="41"/>
  <c r="L102" i="41"/>
  <c r="L101" i="41"/>
  <c r="L100" i="41"/>
  <c r="L99" i="41"/>
  <c r="L98" i="41"/>
  <c r="L97" i="41"/>
  <c r="L96" i="41"/>
  <c r="L95" i="41"/>
  <c r="L94" i="41"/>
  <c r="L93" i="41"/>
  <c r="L92" i="41"/>
  <c r="L91" i="41"/>
  <c r="L90" i="41"/>
  <c r="L89" i="41"/>
  <c r="L88" i="41"/>
  <c r="L87" i="41"/>
  <c r="L86" i="41"/>
  <c r="L85" i="41"/>
  <c r="L84" i="41"/>
  <c r="L83" i="41"/>
  <c r="L82" i="41"/>
  <c r="L81" i="41"/>
  <c r="L80" i="41"/>
  <c r="L79" i="41"/>
  <c r="L78" i="41"/>
  <c r="L77" i="41"/>
  <c r="L76" i="41"/>
  <c r="L75" i="41"/>
  <c r="L74" i="41"/>
  <c r="L73" i="41"/>
  <c r="L72" i="41"/>
  <c r="L71" i="41"/>
  <c r="L70" i="41"/>
  <c r="L69" i="41"/>
  <c r="L68" i="41"/>
  <c r="L67" i="41"/>
  <c r="L66" i="41"/>
  <c r="L65" i="41"/>
  <c r="L64" i="41"/>
  <c r="L63" i="41"/>
  <c r="L62" i="41"/>
  <c r="L61" i="41"/>
  <c r="L54" i="41"/>
  <c r="L53" i="41"/>
  <c r="L52" i="41"/>
  <c r="L51" i="41"/>
  <c r="L50" i="41"/>
  <c r="L48" i="41"/>
  <c r="L47" i="41"/>
  <c r="L46" i="41"/>
  <c r="L45" i="41"/>
  <c r="L44" i="41"/>
  <c r="L43" i="41"/>
  <c r="L42" i="41"/>
  <c r="L41" i="41"/>
  <c r="L40" i="41"/>
  <c r="L39" i="41"/>
  <c r="L38" i="41"/>
  <c r="L37" i="41"/>
  <c r="L36" i="41"/>
  <c r="L35" i="41"/>
  <c r="L34" i="41"/>
  <c r="L33" i="41"/>
  <c r="L32" i="41"/>
  <c r="L31" i="41"/>
  <c r="L30" i="41"/>
  <c r="L29" i="41"/>
  <c r="L28" i="41"/>
  <c r="L27" i="41"/>
  <c r="L26" i="41"/>
  <c r="L25" i="41"/>
  <c r="L24" i="41"/>
  <c r="L23" i="41"/>
  <c r="L22" i="41"/>
  <c r="L21" i="41"/>
  <c r="L20" i="41"/>
  <c r="L19" i="41"/>
  <c r="L18" i="41"/>
  <c r="L17" i="41"/>
  <c r="L16" i="41"/>
  <c r="L15" i="41"/>
  <c r="L14" i="41"/>
  <c r="L13" i="41"/>
  <c r="L12" i="41"/>
  <c r="L11" i="41"/>
  <c r="L10" i="41"/>
  <c r="L9" i="41"/>
  <c r="L8" i="41"/>
  <c r="L7" i="41"/>
  <c r="L6" i="41"/>
  <c r="L5" i="41"/>
  <c r="K55" i="41"/>
  <c r="I121" i="41" s="1"/>
  <c r="J55" i="41"/>
  <c r="H121" i="41" s="1"/>
  <c r="K111" i="41"/>
  <c r="I122" i="41" s="1"/>
  <c r="H122" i="41"/>
  <c r="E36" i="192"/>
  <c r="E25" i="192"/>
  <c r="I176" i="182" l="1"/>
  <c r="K176" i="182"/>
  <c r="I156" i="182"/>
  <c r="K156" i="182"/>
  <c r="F67" i="197"/>
  <c r="AD20" i="242"/>
  <c r="H124" i="182"/>
  <c r="AD19" i="242"/>
  <c r="H121" i="182"/>
  <c r="AD18" i="242"/>
  <c r="H118" i="182"/>
  <c r="AD28" i="242"/>
  <c r="H141" i="182"/>
  <c r="AD27" i="242"/>
  <c r="H139" i="182"/>
  <c r="H134" i="182"/>
  <c r="AD26" i="242"/>
  <c r="H137" i="182"/>
  <c r="H157" i="182"/>
  <c r="AD47" i="242"/>
  <c r="K179" i="182"/>
  <c r="I179" i="182"/>
  <c r="AF81" i="242"/>
  <c r="AE81" i="242"/>
  <c r="H178" i="182"/>
  <c r="K178" i="182" s="1"/>
  <c r="AE79" i="242"/>
  <c r="AF79" i="242"/>
  <c r="G27" i="197"/>
  <c r="AD64" i="242" s="1"/>
  <c r="AD65" i="242"/>
  <c r="I198" i="182"/>
  <c r="K198" i="182"/>
  <c r="H174" i="182"/>
  <c r="AD68" i="242"/>
  <c r="H102" i="182"/>
  <c r="AA51" i="241"/>
  <c r="H177" i="182"/>
  <c r="AD77" i="242"/>
  <c r="BB30" i="167"/>
  <c r="BB24" i="167"/>
  <c r="BB23" i="167"/>
  <c r="J122" i="41"/>
  <c r="H123" i="41"/>
  <c r="H115" i="182" s="1"/>
  <c r="F7" i="197"/>
  <c r="G13" i="197"/>
  <c r="G20" i="197"/>
  <c r="AD60" i="242" s="1"/>
  <c r="F54" i="197"/>
  <c r="F79" i="197" s="1"/>
  <c r="F80" i="197" s="1"/>
  <c r="G35" i="197"/>
  <c r="AD66" i="242" s="1"/>
  <c r="G40" i="197"/>
  <c r="E54" i="197"/>
  <c r="E79" i="197" s="1"/>
  <c r="E16" i="197"/>
  <c r="E7" i="197"/>
  <c r="F23" i="197"/>
  <c r="G17" i="197"/>
  <c r="G8" i="197"/>
  <c r="AD55" i="242" s="1"/>
  <c r="E23" i="197"/>
  <c r="H13" i="193"/>
  <c r="H116" i="182" s="1"/>
  <c r="I123" i="41"/>
  <c r="AD41" i="242" s="1"/>
  <c r="J121" i="41"/>
  <c r="L111" i="41"/>
  <c r="L57" i="41"/>
  <c r="L55" i="41"/>
  <c r="L58" i="41" s="1"/>
  <c r="L113" i="41"/>
  <c r="I177" i="182" l="1"/>
  <c r="K177" i="182"/>
  <c r="I102" i="182"/>
  <c r="K102" i="182"/>
  <c r="AD62" i="242"/>
  <c r="AF62" i="242" s="1"/>
  <c r="K124" i="182"/>
  <c r="I124" i="182"/>
  <c r="AE20" i="242"/>
  <c r="AF20" i="242"/>
  <c r="K121" i="182"/>
  <c r="I121" i="182"/>
  <c r="AF19" i="242"/>
  <c r="AE19" i="242"/>
  <c r="K118" i="182"/>
  <c r="I118" i="182"/>
  <c r="AE18" i="242"/>
  <c r="AF18" i="242"/>
  <c r="I141" i="182"/>
  <c r="K141" i="182"/>
  <c r="AE28" i="242"/>
  <c r="AF28" i="242"/>
  <c r="I139" i="182"/>
  <c r="K139" i="182"/>
  <c r="AF27" i="242"/>
  <c r="AE27" i="242"/>
  <c r="I137" i="182"/>
  <c r="K137" i="182"/>
  <c r="AE26" i="242"/>
  <c r="AF26" i="242"/>
  <c r="AE47" i="242"/>
  <c r="AF47" i="242"/>
  <c r="I178" i="182"/>
  <c r="H171" i="182"/>
  <c r="I171" i="182" s="1"/>
  <c r="AE55" i="242"/>
  <c r="AF55" i="242"/>
  <c r="H165" i="182"/>
  <c r="K165" i="182" s="1"/>
  <c r="AD56" i="242"/>
  <c r="AD59" i="242"/>
  <c r="H167" i="182"/>
  <c r="L114" i="41"/>
  <c r="I115" i="182"/>
  <c r="K115" i="182"/>
  <c r="E82" i="197"/>
  <c r="AD11" i="240"/>
  <c r="H172" i="182"/>
  <c r="I172" i="182" s="1"/>
  <c r="AD58" i="242"/>
  <c r="AF60" i="242"/>
  <c r="AE65" i="242"/>
  <c r="AF65" i="242"/>
  <c r="H175" i="182"/>
  <c r="AD70" i="242"/>
  <c r="AF68" i="242"/>
  <c r="AE68" i="242"/>
  <c r="I174" i="182"/>
  <c r="K174" i="182"/>
  <c r="H173" i="182"/>
  <c r="AE64" i="242"/>
  <c r="AF64" i="242"/>
  <c r="AF63" i="242"/>
  <c r="AE63" i="242"/>
  <c r="AE60" i="242"/>
  <c r="AB51" i="241"/>
  <c r="AC51" i="241"/>
  <c r="AE41" i="242"/>
  <c r="AF41" i="242"/>
  <c r="J123" i="41"/>
  <c r="G23" i="197"/>
  <c r="H169" i="182" s="1"/>
  <c r="H170" i="182"/>
  <c r="F47" i="197"/>
  <c r="G16" i="197"/>
  <c r="H166" i="182" s="1"/>
  <c r="H168" i="182"/>
  <c r="G7" i="197"/>
  <c r="H163" i="182" s="1"/>
  <c r="H164" i="182"/>
  <c r="AF77" i="242"/>
  <c r="AE77" i="242"/>
  <c r="BB21" i="167"/>
  <c r="E47" i="197"/>
  <c r="I165" i="182" l="1"/>
  <c r="K171" i="182"/>
  <c r="K167" i="182"/>
  <c r="I167" i="182"/>
  <c r="AE59" i="242"/>
  <c r="AF59" i="242"/>
  <c r="AE56" i="242"/>
  <c r="AF56" i="242"/>
  <c r="AD54" i="242"/>
  <c r="I164" i="182"/>
  <c r="K164" i="182"/>
  <c r="K172" i="182"/>
  <c r="G47" i="197"/>
  <c r="AE58" i="242"/>
  <c r="AF58" i="242"/>
  <c r="AE62" i="242"/>
  <c r="AE70" i="242"/>
  <c r="AF70" i="242"/>
  <c r="I175" i="182"/>
  <c r="K175" i="182"/>
  <c r="K173" i="182"/>
  <c r="I173" i="182"/>
  <c r="AE66" i="242"/>
  <c r="AF66" i="242"/>
  <c r="I170" i="182"/>
  <c r="K170" i="182"/>
  <c r="I168" i="182"/>
  <c r="K168" i="182"/>
  <c r="AE15" i="242"/>
  <c r="AF15" i="242"/>
  <c r="F25" i="192"/>
  <c r="F22" i="192"/>
  <c r="E22" i="192"/>
  <c r="E26" i="192" s="1"/>
  <c r="E10" i="192"/>
  <c r="E57" i="192"/>
  <c r="G24" i="192"/>
  <c r="G23" i="192"/>
  <c r="G21" i="192"/>
  <c r="G20" i="192"/>
  <c r="G19" i="192"/>
  <c r="G18" i="192"/>
  <c r="K27" i="191"/>
  <c r="K26" i="191"/>
  <c r="K25" i="191"/>
  <c r="K24" i="191"/>
  <c r="K23" i="191"/>
  <c r="K22" i="191"/>
  <c r="K21" i="191"/>
  <c r="K20" i="191"/>
  <c r="K19" i="191"/>
  <c r="K18" i="191"/>
  <c r="K17" i="191"/>
  <c r="K16" i="191"/>
  <c r="K15" i="191"/>
  <c r="K14" i="191"/>
  <c r="K13" i="191"/>
  <c r="K12" i="191"/>
  <c r="K11" i="191"/>
  <c r="K10" i="191"/>
  <c r="K9" i="191"/>
  <c r="K8" i="191"/>
  <c r="M28" i="191"/>
  <c r="L28" i="191"/>
  <c r="J28" i="191"/>
  <c r="I28" i="191"/>
  <c r="H28" i="191"/>
  <c r="G28" i="191"/>
  <c r="F28" i="191"/>
  <c r="E28" i="191"/>
  <c r="E36" i="185"/>
  <c r="P74" i="54"/>
  <c r="P72" i="54"/>
  <c r="P71" i="54"/>
  <c r="P70" i="54"/>
  <c r="P69" i="54"/>
  <c r="P68" i="54"/>
  <c r="P67" i="54"/>
  <c r="P66" i="54"/>
  <c r="P65" i="54"/>
  <c r="P64" i="54"/>
  <c r="P63" i="54"/>
  <c r="P62" i="54"/>
  <c r="P61" i="54"/>
  <c r="P60" i="54"/>
  <c r="P37" i="54"/>
  <c r="P35" i="54"/>
  <c r="P34" i="54"/>
  <c r="P33" i="54"/>
  <c r="P32" i="54"/>
  <c r="P31" i="54"/>
  <c r="P30" i="54"/>
  <c r="P29" i="54"/>
  <c r="P28" i="54"/>
  <c r="P27" i="54"/>
  <c r="P26" i="54"/>
  <c r="P25" i="54"/>
  <c r="P24" i="54"/>
  <c r="P23" i="54"/>
  <c r="E102" i="190"/>
  <c r="F81" i="190"/>
  <c r="E81" i="190"/>
  <c r="G83" i="190"/>
  <c r="G82" i="190"/>
  <c r="G80" i="190"/>
  <c r="G79" i="190"/>
  <c r="G81" i="190" s="1"/>
  <c r="N63" i="190"/>
  <c r="M63" i="190"/>
  <c r="L63" i="190"/>
  <c r="K63" i="190"/>
  <c r="J63" i="190"/>
  <c r="I63" i="190"/>
  <c r="H63" i="190"/>
  <c r="G63" i="190"/>
  <c r="F63" i="190"/>
  <c r="E63" i="190"/>
  <c r="O62" i="190"/>
  <c r="O61" i="190"/>
  <c r="O60" i="190"/>
  <c r="O59" i="190"/>
  <c r="O58" i="190"/>
  <c r="O57" i="190"/>
  <c r="O56" i="190"/>
  <c r="O55" i="190"/>
  <c r="O54" i="190"/>
  <c r="O53" i="190"/>
  <c r="O52" i="190"/>
  <c r="O35" i="190"/>
  <c r="O34" i="190"/>
  <c r="O33" i="190"/>
  <c r="O32" i="190"/>
  <c r="O31" i="190"/>
  <c r="O30" i="190"/>
  <c r="O29" i="190"/>
  <c r="O28" i="190"/>
  <c r="O27" i="190"/>
  <c r="O26" i="190"/>
  <c r="O25" i="190"/>
  <c r="N36" i="190"/>
  <c r="M36" i="190"/>
  <c r="L36" i="190"/>
  <c r="K36" i="190"/>
  <c r="J36" i="190"/>
  <c r="I36" i="190"/>
  <c r="H36" i="190"/>
  <c r="G36" i="190"/>
  <c r="F36" i="190"/>
  <c r="E36" i="190"/>
  <c r="G9" i="190"/>
  <c r="G8" i="190"/>
  <c r="G7" i="190"/>
  <c r="AA53" i="241" l="1"/>
  <c r="AB53" i="241" s="1"/>
  <c r="E60" i="192"/>
  <c r="AA33" i="241"/>
  <c r="H89" i="182"/>
  <c r="AE54" i="242"/>
  <c r="AF54" i="242"/>
  <c r="AA47" i="241"/>
  <c r="H99" i="182"/>
  <c r="H162" i="182"/>
  <c r="F83" i="197"/>
  <c r="AD52" i="242"/>
  <c r="AD80" i="240"/>
  <c r="H52" i="182"/>
  <c r="H93" i="182"/>
  <c r="H92" i="182"/>
  <c r="O63" i="190"/>
  <c r="E70" i="190" s="1"/>
  <c r="AF11" i="240"/>
  <c r="BB31" i="167"/>
  <c r="BB33" i="167"/>
  <c r="BB29" i="167"/>
  <c r="F26" i="192"/>
  <c r="G22" i="192"/>
  <c r="H101" i="182" s="1"/>
  <c r="G25" i="192"/>
  <c r="K28" i="191"/>
  <c r="O36" i="190"/>
  <c r="E69" i="190" s="1"/>
  <c r="AC53" i="241" l="1"/>
  <c r="I101" i="182"/>
  <c r="K101" i="182"/>
  <c r="I93" i="182"/>
  <c r="K93" i="182"/>
  <c r="I89" i="182"/>
  <c r="K89" i="182"/>
  <c r="AC33" i="241"/>
  <c r="AB33" i="241"/>
  <c r="AB47" i="241"/>
  <c r="AC47" i="241"/>
  <c r="I99" i="182"/>
  <c r="K99" i="182"/>
  <c r="AF52" i="242"/>
  <c r="AE52" i="242"/>
  <c r="I52" i="182"/>
  <c r="K52" i="182"/>
  <c r="AE80" i="240"/>
  <c r="AF80" i="240"/>
  <c r="H98" i="182"/>
  <c r="AA42" i="241"/>
  <c r="E71" i="190"/>
  <c r="H90" i="182" s="1"/>
  <c r="AE11" i="240"/>
  <c r="BB16" i="167"/>
  <c r="BB11" i="167"/>
  <c r="BB29" i="213" s="1"/>
  <c r="BB9" i="167"/>
  <c r="BB18" i="209" s="1"/>
  <c r="BB19" i="209" s="1"/>
  <c r="G26" i="192"/>
  <c r="I90" i="182" l="1"/>
  <c r="K90" i="182"/>
  <c r="I98" i="182"/>
  <c r="K98" i="182"/>
  <c r="AB42" i="241"/>
  <c r="AC42" i="241"/>
  <c r="BO30" i="167"/>
  <c r="H152" i="182" s="1"/>
  <c r="BB32" i="167"/>
  <c r="BB13" i="167"/>
  <c r="BB17" i="167"/>
  <c r="BB14" i="167"/>
  <c r="BO21" i="167"/>
  <c r="H142" i="182" s="1"/>
  <c r="H763" i="189"/>
  <c r="G763" i="189"/>
  <c r="F763" i="189"/>
  <c r="E763" i="189"/>
  <c r="H353" i="189"/>
  <c r="G353" i="189"/>
  <c r="F353" i="189"/>
  <c r="E353" i="189"/>
  <c r="P346" i="189"/>
  <c r="O346" i="189"/>
  <c r="N346" i="189"/>
  <c r="M346" i="189"/>
  <c r="L346" i="189"/>
  <c r="K346" i="189"/>
  <c r="J346" i="189"/>
  <c r="I346" i="189"/>
  <c r="H346" i="189"/>
  <c r="G346" i="189"/>
  <c r="F346" i="189"/>
  <c r="E346" i="189"/>
  <c r="E328" i="189"/>
  <c r="E311" i="189"/>
  <c r="E294" i="189"/>
  <c r="E277" i="189"/>
  <c r="E260" i="189"/>
  <c r="F241" i="189"/>
  <c r="E241" i="189"/>
  <c r="F237" i="189"/>
  <c r="E237" i="189"/>
  <c r="F233" i="189"/>
  <c r="E233" i="189"/>
  <c r="J204" i="189"/>
  <c r="K204" i="189" s="1"/>
  <c r="J203" i="189"/>
  <c r="K203" i="189" s="1"/>
  <c r="J202" i="189"/>
  <c r="J200" i="189"/>
  <c r="K200" i="189" s="1"/>
  <c r="K199" i="189"/>
  <c r="I205" i="189"/>
  <c r="H205" i="189"/>
  <c r="G205" i="189"/>
  <c r="F205" i="189"/>
  <c r="E205" i="189"/>
  <c r="E192" i="189"/>
  <c r="H76" i="182" s="1"/>
  <c r="F73" i="189"/>
  <c r="E73" i="189"/>
  <c r="E62" i="189"/>
  <c r="H68" i="182" s="1"/>
  <c r="E24" i="189"/>
  <c r="E30" i="189" s="1"/>
  <c r="H62" i="182" s="1"/>
  <c r="E9" i="189"/>
  <c r="E13" i="189" s="1"/>
  <c r="G9" i="188"/>
  <c r="F9" i="188"/>
  <c r="E9" i="188"/>
  <c r="N80" i="187"/>
  <c r="M80" i="187"/>
  <c r="J80" i="187"/>
  <c r="F80" i="187"/>
  <c r="H11" i="187"/>
  <c r="G11" i="187"/>
  <c r="F11" i="187"/>
  <c r="E11" i="187"/>
  <c r="G11" i="185"/>
  <c r="G10" i="185"/>
  <c r="G9" i="185"/>
  <c r="G8" i="185"/>
  <c r="F12" i="185"/>
  <c r="E12" i="185"/>
  <c r="G14" i="185"/>
  <c r="G13" i="185"/>
  <c r="G7" i="185"/>
  <c r="G49" i="184"/>
  <c r="G48" i="184"/>
  <c r="G47" i="184"/>
  <c r="G46" i="184"/>
  <c r="G45" i="184"/>
  <c r="G44" i="184"/>
  <c r="G43" i="184"/>
  <c r="G42" i="184"/>
  <c r="G41" i="184"/>
  <c r="G40" i="184"/>
  <c r="G39" i="184"/>
  <c r="G38" i="184"/>
  <c r="G37" i="184"/>
  <c r="G36" i="184"/>
  <c r="G35" i="184"/>
  <c r="G34" i="184"/>
  <c r="G33" i="184"/>
  <c r="G32" i="184"/>
  <c r="G31" i="184"/>
  <c r="G30" i="184"/>
  <c r="G29" i="184"/>
  <c r="G28" i="184"/>
  <c r="G27" i="184"/>
  <c r="G26" i="184"/>
  <c r="G24" i="184"/>
  <c r="G23" i="184"/>
  <c r="G22" i="184"/>
  <c r="F25" i="184"/>
  <c r="E25" i="184"/>
  <c r="F50" i="184"/>
  <c r="E50" i="184"/>
  <c r="K202" i="189" l="1"/>
  <c r="J201" i="189"/>
  <c r="I76" i="182"/>
  <c r="K76" i="182"/>
  <c r="K68" i="182"/>
  <c r="I68" i="182"/>
  <c r="I62" i="182"/>
  <c r="K62" i="182"/>
  <c r="AA18" i="241"/>
  <c r="H57" i="182"/>
  <c r="G50" i="184"/>
  <c r="AD73" i="240" s="1"/>
  <c r="AE73" i="240" s="1"/>
  <c r="AF73" i="240"/>
  <c r="G25" i="184"/>
  <c r="H53" i="182" s="1"/>
  <c r="K152" i="182"/>
  <c r="I152" i="182"/>
  <c r="I142" i="182"/>
  <c r="K142" i="182"/>
  <c r="BB28" i="167"/>
  <c r="BB27" i="167"/>
  <c r="BO29" i="167"/>
  <c r="H151" i="182" s="1"/>
  <c r="BO31" i="167"/>
  <c r="H153" i="182" s="1"/>
  <c r="BO11" i="167"/>
  <c r="G12" i="185"/>
  <c r="G237" i="189"/>
  <c r="G233" i="189"/>
  <c r="G241" i="189"/>
  <c r="J205" i="189"/>
  <c r="K201" i="189"/>
  <c r="K205" i="189" s="1"/>
  <c r="H79" i="182" s="1"/>
  <c r="H73" i="189"/>
  <c r="H188" i="182" s="1"/>
  <c r="G73" i="189"/>
  <c r="H72" i="182" s="1"/>
  <c r="E45" i="189"/>
  <c r="H65" i="182" s="1"/>
  <c r="E14" i="184"/>
  <c r="K79" i="182" l="1"/>
  <c r="I79" i="182"/>
  <c r="K72" i="182"/>
  <c r="I72" i="182"/>
  <c r="I65" i="182"/>
  <c r="K65" i="182"/>
  <c r="K57" i="182"/>
  <c r="I57" i="182"/>
  <c r="AC18" i="241"/>
  <c r="AB18" i="241"/>
  <c r="I53" i="182"/>
  <c r="K53" i="182"/>
  <c r="AD72" i="240"/>
  <c r="H49" i="182"/>
  <c r="K153" i="182"/>
  <c r="I153" i="182"/>
  <c r="I151" i="182"/>
  <c r="K151" i="182"/>
  <c r="BO29" i="213"/>
  <c r="H113" i="182"/>
  <c r="H50" i="182"/>
  <c r="AD77" i="240"/>
  <c r="BO24" i="167"/>
  <c r="H146" i="182" s="1"/>
  <c r="BB19" i="167"/>
  <c r="BO33" i="167"/>
  <c r="H155" i="182" s="1"/>
  <c r="BO16" i="167"/>
  <c r="BB25" i="167"/>
  <c r="BB15" i="167"/>
  <c r="BB26" i="167"/>
  <c r="J22" i="68"/>
  <c r="H47" i="182" s="1"/>
  <c r="J21" i="68"/>
  <c r="J20" i="68"/>
  <c r="J19" i="68"/>
  <c r="J18" i="68"/>
  <c r="J16" i="68"/>
  <c r="AD61" i="240"/>
  <c r="J13" i="68"/>
  <c r="J12" i="68"/>
  <c r="J11" i="68"/>
  <c r="J10" i="68"/>
  <c r="J8" i="68"/>
  <c r="H17" i="68"/>
  <c r="H14" i="68" s="1"/>
  <c r="H123" i="54" s="1"/>
  <c r="P123" i="54" s="1"/>
  <c r="F127" i="54" s="1"/>
  <c r="I17" i="68"/>
  <c r="I14" i="68" s="1"/>
  <c r="I9" i="68"/>
  <c r="J9" i="68" s="1"/>
  <c r="G23" i="68"/>
  <c r="H71" i="182" s="1"/>
  <c r="G22" i="68"/>
  <c r="H86" i="182" s="1"/>
  <c r="G21" i="68"/>
  <c r="H83" i="182" s="1"/>
  <c r="G20" i="68"/>
  <c r="L20" i="68" s="1"/>
  <c r="G19" i="68"/>
  <c r="L19" i="68" s="1"/>
  <c r="G18" i="68"/>
  <c r="G16" i="68"/>
  <c r="AA28" i="241" s="1"/>
  <c r="G15" i="68"/>
  <c r="G13" i="68"/>
  <c r="G12" i="68"/>
  <c r="G11" i="68"/>
  <c r="G10" i="68"/>
  <c r="F17" i="68"/>
  <c r="F14" i="68" s="1"/>
  <c r="E17" i="68"/>
  <c r="F9" i="68"/>
  <c r="E9" i="68"/>
  <c r="G8" i="68"/>
  <c r="G26" i="64"/>
  <c r="G25" i="64"/>
  <c r="G24" i="64"/>
  <c r="G23" i="64"/>
  <c r="F27" i="64"/>
  <c r="E27" i="64"/>
  <c r="G22" i="64"/>
  <c r="G27" i="64" s="1"/>
  <c r="F8" i="64"/>
  <c r="F12" i="64" s="1"/>
  <c r="E8" i="64"/>
  <c r="E12" i="64" s="1"/>
  <c r="G14" i="64"/>
  <c r="G13" i="64"/>
  <c r="G11" i="64"/>
  <c r="G7" i="64"/>
  <c r="F173" i="54"/>
  <c r="P170" i="54"/>
  <c r="F174" i="54" s="1"/>
  <c r="P150" i="54"/>
  <c r="I47" i="182" l="1"/>
  <c r="K47" i="182"/>
  <c r="AC28" i="241"/>
  <c r="AB28" i="241"/>
  <c r="G17" i="68"/>
  <c r="E14" i="68"/>
  <c r="E24" i="68" s="1"/>
  <c r="I86" i="182"/>
  <c r="K86" i="182"/>
  <c r="I24" i="68"/>
  <c r="G9" i="68"/>
  <c r="AA21" i="241" s="1"/>
  <c r="AA27" i="241"/>
  <c r="AB27" i="241" s="1"/>
  <c r="H129" i="182"/>
  <c r="H201" i="182"/>
  <c r="H200" i="182"/>
  <c r="I200" i="182" s="1"/>
  <c r="I50" i="182"/>
  <c r="K50" i="182"/>
  <c r="AD62" i="240"/>
  <c r="H45" i="182"/>
  <c r="AE61" i="240"/>
  <c r="AF61" i="240"/>
  <c r="AD55" i="240"/>
  <c r="H34" i="182"/>
  <c r="AD59" i="240"/>
  <c r="H41" i="182"/>
  <c r="AD56" i="240"/>
  <c r="H35" i="182"/>
  <c r="AD58" i="240"/>
  <c r="H39" i="182"/>
  <c r="AD57" i="240"/>
  <c r="H37" i="182"/>
  <c r="AD54" i="240"/>
  <c r="H32" i="182"/>
  <c r="I71" i="182"/>
  <c r="K71" i="182"/>
  <c r="K83" i="182"/>
  <c r="I83" i="182"/>
  <c r="AA24" i="241"/>
  <c r="H67" i="182"/>
  <c r="AA25" i="241"/>
  <c r="H75" i="182"/>
  <c r="AA22" i="241"/>
  <c r="H61" i="182"/>
  <c r="AA23" i="241"/>
  <c r="H66" i="182"/>
  <c r="AA20" i="241"/>
  <c r="H56" i="182"/>
  <c r="I49" i="182"/>
  <c r="K49" i="182"/>
  <c r="AE72" i="240"/>
  <c r="AF72" i="240"/>
  <c r="I155" i="182"/>
  <c r="K155" i="182"/>
  <c r="I146" i="182"/>
  <c r="K146" i="182"/>
  <c r="I129" i="182"/>
  <c r="K129" i="182"/>
  <c r="I113" i="182"/>
  <c r="K113" i="182"/>
  <c r="AF77" i="240"/>
  <c r="AE77" i="240"/>
  <c r="F175" i="54"/>
  <c r="AD65" i="240" s="1"/>
  <c r="BB22" i="167"/>
  <c r="BB12" i="167"/>
  <c r="BB10" i="167"/>
  <c r="BB20" i="167"/>
  <c r="BO17" i="167"/>
  <c r="H132" i="182" s="1"/>
  <c r="BO14" i="167"/>
  <c r="H122" i="182" s="1"/>
  <c r="F24" i="68"/>
  <c r="J17" i="68"/>
  <c r="J14" i="68"/>
  <c r="J24" i="68" s="1"/>
  <c r="H24" i="68"/>
  <c r="G8" i="64"/>
  <c r="G12" i="64" s="1"/>
  <c r="H30" i="182" s="1"/>
  <c r="H60" i="182" l="1"/>
  <c r="AC27" i="241"/>
  <c r="AA29" i="241"/>
  <c r="L17" i="68"/>
  <c r="I45" i="182"/>
  <c r="K45" i="182"/>
  <c r="AD60" i="240"/>
  <c r="H43" i="182"/>
  <c r="H31" i="182"/>
  <c r="I39" i="182"/>
  <c r="K39" i="182"/>
  <c r="I41" i="182"/>
  <c r="K41" i="182"/>
  <c r="AE58" i="240"/>
  <c r="AF58" i="240"/>
  <c r="AF59" i="240"/>
  <c r="AE59" i="240"/>
  <c r="I37" i="182"/>
  <c r="K37" i="182"/>
  <c r="I35" i="182"/>
  <c r="K35" i="182"/>
  <c r="AE57" i="240"/>
  <c r="AF57" i="240"/>
  <c r="AF56" i="240"/>
  <c r="AE56" i="240"/>
  <c r="AE55" i="240"/>
  <c r="AF55" i="240"/>
  <c r="I32" i="182"/>
  <c r="K32" i="182"/>
  <c r="AE65" i="240"/>
  <c r="AF65" i="240"/>
  <c r="AE54" i="240"/>
  <c r="AF54" i="240"/>
  <c r="G14" i="68"/>
  <c r="L14" i="68" s="1"/>
  <c r="AB24" i="241"/>
  <c r="AC24" i="241"/>
  <c r="K75" i="182"/>
  <c r="I75" i="182"/>
  <c r="AB25" i="241"/>
  <c r="AC25" i="241"/>
  <c r="I67" i="182"/>
  <c r="K67" i="182"/>
  <c r="I66" i="182"/>
  <c r="K66" i="182"/>
  <c r="K61" i="182"/>
  <c r="I61" i="182"/>
  <c r="AB21" i="241"/>
  <c r="AC21" i="241"/>
  <c r="AC23" i="241"/>
  <c r="AB23" i="241"/>
  <c r="AC22" i="241"/>
  <c r="AB22" i="241"/>
  <c r="AB20" i="241"/>
  <c r="AC20" i="241"/>
  <c r="I56" i="182"/>
  <c r="K56" i="182"/>
  <c r="I132" i="182"/>
  <c r="K132" i="182"/>
  <c r="I122" i="182"/>
  <c r="K122" i="182"/>
  <c r="BB8" i="167"/>
  <c r="BB18" i="167"/>
  <c r="P103" i="54"/>
  <c r="F126" i="54" s="1"/>
  <c r="F128" i="54" s="1"/>
  <c r="AD64" i="240" s="1"/>
  <c r="P73" i="54"/>
  <c r="P75" i="54" s="1"/>
  <c r="F80" i="54" s="1"/>
  <c r="O73" i="54"/>
  <c r="O75" i="54" s="1"/>
  <c r="N73" i="54"/>
  <c r="N75" i="54" s="1"/>
  <c r="M73" i="54"/>
  <c r="M75" i="54" s="1"/>
  <c r="L73" i="54"/>
  <c r="L75" i="54" s="1"/>
  <c r="K73" i="54"/>
  <c r="K75" i="54" s="1"/>
  <c r="J73" i="54"/>
  <c r="J75" i="54" s="1"/>
  <c r="I73" i="54"/>
  <c r="I75" i="54" s="1"/>
  <c r="H73" i="54"/>
  <c r="H75" i="54" s="1"/>
  <c r="G73" i="54"/>
  <c r="G75" i="54" s="1"/>
  <c r="F73" i="54"/>
  <c r="F75" i="54" s="1"/>
  <c r="P36" i="54"/>
  <c r="P38" i="54" s="1"/>
  <c r="F79" i="54" s="1"/>
  <c r="O36" i="54"/>
  <c r="O38" i="54" s="1"/>
  <c r="N36" i="54"/>
  <c r="N38" i="54" s="1"/>
  <c r="M36" i="54"/>
  <c r="M38" i="54" s="1"/>
  <c r="L36" i="54"/>
  <c r="L38" i="54" s="1"/>
  <c r="K36" i="54"/>
  <c r="K38" i="54" s="1"/>
  <c r="J36" i="54"/>
  <c r="J38" i="54" s="1"/>
  <c r="I36" i="54"/>
  <c r="I38" i="54" s="1"/>
  <c r="H36" i="54"/>
  <c r="H38" i="54" s="1"/>
  <c r="G36" i="54"/>
  <c r="G38" i="54" s="1"/>
  <c r="F38" i="54"/>
  <c r="F30" i="52"/>
  <c r="G30" i="52"/>
  <c r="H30" i="52"/>
  <c r="E30" i="52"/>
  <c r="G16" i="52"/>
  <c r="G15" i="52"/>
  <c r="G17" i="52" s="1"/>
  <c r="G14" i="52"/>
  <c r="G12" i="52"/>
  <c r="I30" i="52" s="1"/>
  <c r="G11" i="52"/>
  <c r="G10" i="52"/>
  <c r="G9" i="52"/>
  <c r="G8" i="52"/>
  <c r="F17" i="52"/>
  <c r="E17" i="52"/>
  <c r="F13" i="52"/>
  <c r="E13" i="52"/>
  <c r="E19" i="48"/>
  <c r="E24" i="48" s="1"/>
  <c r="F19" i="48"/>
  <c r="F24" i="48" s="1"/>
  <c r="H193" i="182" s="1"/>
  <c r="D24" i="48"/>
  <c r="F44" i="49"/>
  <c r="AD43" i="240" s="1"/>
  <c r="G34" i="49"/>
  <c r="H34" i="49"/>
  <c r="I34" i="49"/>
  <c r="J34" i="49"/>
  <c r="K34" i="49"/>
  <c r="L34" i="49"/>
  <c r="M34" i="49"/>
  <c r="N34" i="49"/>
  <c r="F34" i="49"/>
  <c r="G26" i="49"/>
  <c r="H26" i="49"/>
  <c r="I26" i="49"/>
  <c r="J26" i="49"/>
  <c r="K26" i="49"/>
  <c r="L26" i="49"/>
  <c r="M26" i="49"/>
  <c r="N26" i="49"/>
  <c r="F26" i="49"/>
  <c r="G21" i="49"/>
  <c r="H21" i="49"/>
  <c r="I21" i="49"/>
  <c r="J21" i="49"/>
  <c r="K21" i="49"/>
  <c r="L21" i="49"/>
  <c r="M21" i="49"/>
  <c r="N21" i="49"/>
  <c r="F21" i="49"/>
  <c r="G16" i="49"/>
  <c r="H16" i="49"/>
  <c r="I16" i="49"/>
  <c r="J16" i="49"/>
  <c r="K16" i="49"/>
  <c r="L16" i="49"/>
  <c r="M16" i="49"/>
  <c r="N16" i="49"/>
  <c r="F16" i="49"/>
  <c r="G10" i="49"/>
  <c r="G20" i="49" s="1"/>
  <c r="H10" i="49"/>
  <c r="I10" i="49"/>
  <c r="J10" i="49"/>
  <c r="K10" i="49"/>
  <c r="L10" i="49"/>
  <c r="M10" i="49"/>
  <c r="N10" i="49"/>
  <c r="F10" i="49"/>
  <c r="F20" i="49" s="1"/>
  <c r="F11" i="48"/>
  <c r="F10" i="48"/>
  <c r="F8" i="48"/>
  <c r="D193" i="182" s="1"/>
  <c r="F7" i="48"/>
  <c r="F6" i="48"/>
  <c r="E9" i="48"/>
  <c r="F9" i="48" s="1"/>
  <c r="D9" i="48"/>
  <c r="D8" i="183"/>
  <c r="E8" i="183"/>
  <c r="L31" i="42"/>
  <c r="K31" i="42"/>
  <c r="J31" i="42"/>
  <c r="I31" i="42"/>
  <c r="H31" i="42"/>
  <c r="G31" i="42"/>
  <c r="F31" i="42"/>
  <c r="E31" i="42"/>
  <c r="G57" i="42"/>
  <c r="F57" i="42"/>
  <c r="H56" i="42"/>
  <c r="H57" i="42" s="1"/>
  <c r="H55" i="42"/>
  <c r="E54" i="42"/>
  <c r="E57" i="42" s="1"/>
  <c r="H53" i="42"/>
  <c r="H52" i="42"/>
  <c r="H51" i="42"/>
  <c r="H50" i="42"/>
  <c r="H49" i="42"/>
  <c r="H48" i="42"/>
  <c r="G19" i="42"/>
  <c r="G21" i="42" s="1"/>
  <c r="F19" i="42"/>
  <c r="F21" i="42" s="1"/>
  <c r="E21" i="42"/>
  <c r="G16" i="42"/>
  <c r="G20" i="42" s="1"/>
  <c r="F16" i="42"/>
  <c r="F20" i="42" s="1"/>
  <c r="H18" i="42"/>
  <c r="H19" i="42"/>
  <c r="H15" i="42"/>
  <c r="H14" i="42"/>
  <c r="H12" i="42"/>
  <c r="H11" i="42"/>
  <c r="H10" i="42"/>
  <c r="H9" i="42"/>
  <c r="H8" i="42"/>
  <c r="H7" i="42"/>
  <c r="E13" i="42"/>
  <c r="E16" i="42" s="1"/>
  <c r="E20" i="42" s="1"/>
  <c r="U16" i="40"/>
  <c r="R16" i="40"/>
  <c r="O16" i="40"/>
  <c r="K16" i="40"/>
  <c r="I16" i="40"/>
  <c r="H16" i="40"/>
  <c r="G16" i="40"/>
  <c r="F16" i="40"/>
  <c r="E16" i="40"/>
  <c r="D16" i="40"/>
  <c r="H23" i="39"/>
  <c r="G103" i="35"/>
  <c r="G104" i="35" s="1"/>
  <c r="G102" i="35"/>
  <c r="G101" i="35"/>
  <c r="G100" i="35"/>
  <c r="G98" i="35"/>
  <c r="G97" i="35"/>
  <c r="G96" i="35"/>
  <c r="F104" i="35"/>
  <c r="F107" i="35" s="1"/>
  <c r="E104" i="35"/>
  <c r="H195" i="182" s="1"/>
  <c r="N86" i="35"/>
  <c r="M86" i="35"/>
  <c r="L86" i="35"/>
  <c r="J86" i="35"/>
  <c r="I86" i="35"/>
  <c r="H86" i="35"/>
  <c r="N28" i="35"/>
  <c r="AD26" i="240" s="1"/>
  <c r="M28" i="35"/>
  <c r="L28" i="35"/>
  <c r="K28" i="35"/>
  <c r="I28" i="35"/>
  <c r="V40" i="34"/>
  <c r="V39" i="34"/>
  <c r="V38" i="34"/>
  <c r="V37" i="34"/>
  <c r="V36" i="34"/>
  <c r="V35" i="34"/>
  <c r="V34" i="34"/>
  <c r="V33" i="34"/>
  <c r="V32" i="34"/>
  <c r="V31" i="34"/>
  <c r="V30" i="34"/>
  <c r="V29" i="34"/>
  <c r="V28" i="34"/>
  <c r="V27" i="34"/>
  <c r="V24" i="34"/>
  <c r="V23" i="34"/>
  <c r="V22" i="34"/>
  <c r="V21" i="34"/>
  <c r="V20" i="34"/>
  <c r="V19" i="34"/>
  <c r="V17" i="34"/>
  <c r="V16" i="34"/>
  <c r="G31" i="34"/>
  <c r="H31" i="34"/>
  <c r="I31" i="34"/>
  <c r="J31" i="34"/>
  <c r="K31" i="34"/>
  <c r="L31" i="34"/>
  <c r="M31" i="34"/>
  <c r="N31" i="34"/>
  <c r="O31" i="34"/>
  <c r="P31" i="34"/>
  <c r="Q31" i="34"/>
  <c r="R31" i="34"/>
  <c r="S31" i="34"/>
  <c r="T31" i="34"/>
  <c r="U31" i="34"/>
  <c r="G26" i="34"/>
  <c r="G25" i="34" s="1"/>
  <c r="H26" i="34"/>
  <c r="H25" i="34" s="1"/>
  <c r="I26" i="34"/>
  <c r="I25" i="34" s="1"/>
  <c r="J26" i="34"/>
  <c r="K26" i="34"/>
  <c r="K25" i="34" s="1"/>
  <c r="L26" i="34"/>
  <c r="L25" i="34" s="1"/>
  <c r="M26" i="34"/>
  <c r="M25" i="34" s="1"/>
  <c r="N26" i="34"/>
  <c r="O26" i="34"/>
  <c r="P26" i="34"/>
  <c r="P25" i="34" s="1"/>
  <c r="Q26" i="34"/>
  <c r="R26" i="34"/>
  <c r="S26" i="34"/>
  <c r="S25" i="34" s="1"/>
  <c r="T26" i="34"/>
  <c r="T25" i="34" s="1"/>
  <c r="U26" i="34"/>
  <c r="U25" i="34" s="1"/>
  <c r="V25" i="34" s="1"/>
  <c r="F31" i="34"/>
  <c r="F26" i="34"/>
  <c r="F25" i="34" s="1"/>
  <c r="G18" i="34"/>
  <c r="H18" i="34"/>
  <c r="I18" i="34"/>
  <c r="J18" i="34"/>
  <c r="K18" i="34"/>
  <c r="L18" i="34"/>
  <c r="M18" i="34"/>
  <c r="N18" i="34"/>
  <c r="O18" i="34"/>
  <c r="P18" i="34"/>
  <c r="Q18" i="34"/>
  <c r="R18" i="34"/>
  <c r="R11" i="34" s="1"/>
  <c r="S18" i="34"/>
  <c r="T18" i="34"/>
  <c r="U18" i="34"/>
  <c r="G12" i="34"/>
  <c r="G11" i="34" s="1"/>
  <c r="H12" i="34"/>
  <c r="I12" i="34"/>
  <c r="J12" i="34"/>
  <c r="K12" i="34"/>
  <c r="K11" i="34" s="1"/>
  <c r="L12" i="34"/>
  <c r="L11" i="34" s="1"/>
  <c r="M12" i="34"/>
  <c r="N12" i="34"/>
  <c r="O12" i="34"/>
  <c r="O11" i="34" s="1"/>
  <c r="P12" i="34"/>
  <c r="P11" i="34" s="1"/>
  <c r="Q12" i="34"/>
  <c r="R12" i="34"/>
  <c r="S12" i="34"/>
  <c r="T12" i="34"/>
  <c r="U12" i="34"/>
  <c r="V12" i="34" s="1"/>
  <c r="F18" i="34"/>
  <c r="F12" i="34"/>
  <c r="H11" i="34"/>
  <c r="I11" i="34"/>
  <c r="E19" i="32"/>
  <c r="H196" i="182" s="1"/>
  <c r="R79" i="30"/>
  <c r="U11" i="34" l="1"/>
  <c r="U41" i="34" s="1"/>
  <c r="Q11" i="34"/>
  <c r="AC29" i="241"/>
  <c r="AB29" i="241"/>
  <c r="I196" i="182"/>
  <c r="K196" i="182"/>
  <c r="AF43" i="240"/>
  <c r="AE43" i="240"/>
  <c r="K193" i="182"/>
  <c r="I193" i="182"/>
  <c r="AD42" i="240"/>
  <c r="H27" i="182"/>
  <c r="D194" i="182"/>
  <c r="I43" i="182"/>
  <c r="K43" i="182"/>
  <c r="AE60" i="240"/>
  <c r="AF60" i="240"/>
  <c r="AE64" i="240"/>
  <c r="AF64" i="240"/>
  <c r="AA26" i="241"/>
  <c r="H78" i="182"/>
  <c r="G24" i="68"/>
  <c r="L24" i="68" s="1"/>
  <c r="BB14" i="209"/>
  <c r="BB15" i="209" s="1"/>
  <c r="BB25" i="213"/>
  <c r="H21" i="182"/>
  <c r="AD27" i="240"/>
  <c r="AD17" i="240"/>
  <c r="AE17" i="240" s="1"/>
  <c r="I23" i="39"/>
  <c r="AD16" i="240"/>
  <c r="H21" i="42"/>
  <c r="AD31" i="240"/>
  <c r="F22" i="42"/>
  <c r="G22" i="42"/>
  <c r="H13" i="42"/>
  <c r="AE31" i="240" s="1"/>
  <c r="E22" i="42"/>
  <c r="AF26" i="240"/>
  <c r="AE26" i="240"/>
  <c r="AF45" i="240"/>
  <c r="AE45" i="240"/>
  <c r="H23" i="182"/>
  <c r="O25" i="34"/>
  <c r="O41" i="34" s="1"/>
  <c r="M11" i="34"/>
  <c r="M41" i="34" s="1"/>
  <c r="J11" i="34"/>
  <c r="D195" i="182"/>
  <c r="I195" i="182" s="1"/>
  <c r="H20" i="182"/>
  <c r="BO28" i="167"/>
  <c r="BO20" i="167"/>
  <c r="BB7" i="167"/>
  <c r="BO32" i="167"/>
  <c r="H154" i="182" s="1"/>
  <c r="R25" i="34"/>
  <c r="N25" i="34"/>
  <c r="J25" i="34"/>
  <c r="T11" i="34"/>
  <c r="T41" i="34" s="1"/>
  <c r="N11" i="34"/>
  <c r="S11" i="34"/>
  <c r="S41" i="34" s="1"/>
  <c r="V18" i="34"/>
  <c r="V26" i="34"/>
  <c r="H19" i="182"/>
  <c r="G13" i="52"/>
  <c r="H28" i="182" s="1"/>
  <c r="I20" i="49"/>
  <c r="J29" i="49"/>
  <c r="J37" i="49" s="1"/>
  <c r="G29" i="49"/>
  <c r="K35" i="49"/>
  <c r="L20" i="49"/>
  <c r="K20" i="49"/>
  <c r="H35" i="49"/>
  <c r="L29" i="49"/>
  <c r="L37" i="49" s="1"/>
  <c r="J20" i="49"/>
  <c r="M20" i="49"/>
  <c r="J35" i="49"/>
  <c r="H29" i="49"/>
  <c r="H37" i="49" s="1"/>
  <c r="K29" i="49"/>
  <c r="K37" i="49" s="1"/>
  <c r="I29" i="49"/>
  <c r="I37" i="49" s="1"/>
  <c r="I35" i="49"/>
  <c r="F29" i="49"/>
  <c r="F37" i="49" s="1"/>
  <c r="L35" i="49"/>
  <c r="M29" i="49"/>
  <c r="M37" i="49" s="1"/>
  <c r="M35" i="49"/>
  <c r="F35" i="49"/>
  <c r="N29" i="49"/>
  <c r="N37" i="49" s="1"/>
  <c r="N35" i="49"/>
  <c r="N20" i="49"/>
  <c r="Q25" i="34"/>
  <c r="Q41" i="34" s="1"/>
  <c r="K41" i="34"/>
  <c r="R41" i="34"/>
  <c r="H41" i="34"/>
  <c r="G41" i="34"/>
  <c r="P41" i="34"/>
  <c r="I41" i="34"/>
  <c r="L41" i="34"/>
  <c r="F11" i="34"/>
  <c r="F41" i="34" s="1"/>
  <c r="V11" i="34" l="1"/>
  <c r="I23" i="182"/>
  <c r="K23" i="182"/>
  <c r="I28" i="182"/>
  <c r="K28" i="182"/>
  <c r="I27" i="182"/>
  <c r="K27" i="182"/>
  <c r="AE42" i="240"/>
  <c r="AF42" i="240"/>
  <c r="I194" i="182"/>
  <c r="K194" i="182"/>
  <c r="AA19" i="241"/>
  <c r="H55" i="182"/>
  <c r="I78" i="182"/>
  <c r="K78" i="182"/>
  <c r="AB26" i="241"/>
  <c r="AC26" i="241"/>
  <c r="K195" i="182"/>
  <c r="I20" i="182"/>
  <c r="K20" i="182"/>
  <c r="H13" i="182"/>
  <c r="H150" i="182"/>
  <c r="K150" i="182" s="1"/>
  <c r="H140" i="182"/>
  <c r="I140" i="182" s="1"/>
  <c r="I154" i="182"/>
  <c r="K154" i="182"/>
  <c r="BB26" i="213"/>
  <c r="BB30" i="213"/>
  <c r="AE27" i="240"/>
  <c r="AF27" i="240"/>
  <c r="I21" i="182"/>
  <c r="K21" i="182"/>
  <c r="AF17" i="240"/>
  <c r="AE16" i="240"/>
  <c r="AF16" i="240"/>
  <c r="H16" i="42"/>
  <c r="H20" i="42" s="1"/>
  <c r="H22" i="42" s="1"/>
  <c r="AF31" i="240"/>
  <c r="AF32" i="240"/>
  <c r="AE32" i="240"/>
  <c r="N41" i="34"/>
  <c r="J41" i="34"/>
  <c r="V41" i="34"/>
  <c r="F32" i="27"/>
  <c r="H197" i="182" s="1"/>
  <c r="H8" i="27"/>
  <c r="H9" i="27"/>
  <c r="H10" i="27"/>
  <c r="H11" i="27"/>
  <c r="H12" i="27"/>
  <c r="H13" i="27"/>
  <c r="H14" i="27"/>
  <c r="H16" i="27"/>
  <c r="H17" i="27"/>
  <c r="H18" i="27"/>
  <c r="H19" i="27"/>
  <c r="H20" i="27"/>
  <c r="H21" i="27"/>
  <c r="G15" i="27"/>
  <c r="I15" i="27"/>
  <c r="F15" i="27"/>
  <c r="H15" i="27" s="1"/>
  <c r="G7" i="27"/>
  <c r="I7" i="27"/>
  <c r="F7" i="27"/>
  <c r="X306" i="24"/>
  <c r="W306" i="24"/>
  <c r="V306" i="24"/>
  <c r="R306" i="24"/>
  <c r="S206" i="21"/>
  <c r="O206" i="21"/>
  <c r="J206" i="21"/>
  <c r="H18" i="182" l="1"/>
  <c r="I18" i="182" s="1"/>
  <c r="AD23" i="240"/>
  <c r="K140" i="182"/>
  <c r="AB19" i="241"/>
  <c r="AC19" i="241"/>
  <c r="I150" i="182"/>
  <c r="H22" i="182"/>
  <c r="H7" i="27"/>
  <c r="BO23" i="167"/>
  <c r="I22" i="27"/>
  <c r="G22" i="27"/>
  <c r="D197" i="182" s="1"/>
  <c r="I197" i="182" s="1"/>
  <c r="F22" i="27"/>
  <c r="K18" i="182" l="1"/>
  <c r="AF23" i="240"/>
  <c r="AE23" i="240"/>
  <c r="I22" i="182"/>
  <c r="K22" i="182"/>
  <c r="K197" i="182"/>
  <c r="H145" i="182"/>
  <c r="I145" i="182" s="1"/>
  <c r="H22" i="27"/>
  <c r="H14" i="182" s="1"/>
  <c r="K55" i="14"/>
  <c r="K54" i="14"/>
  <c r="K52" i="14"/>
  <c r="K51" i="14"/>
  <c r="K49" i="14"/>
  <c r="K48" i="14"/>
  <c r="H53" i="14"/>
  <c r="I53" i="14"/>
  <c r="J53" i="14"/>
  <c r="L53" i="14"/>
  <c r="M53" i="14"/>
  <c r="N53" i="14"/>
  <c r="O53" i="14"/>
  <c r="G53" i="14"/>
  <c r="H50" i="14"/>
  <c r="I50" i="14"/>
  <c r="K50" i="14" s="1"/>
  <c r="J50" i="14"/>
  <c r="L50" i="14"/>
  <c r="M50" i="14"/>
  <c r="N50" i="14"/>
  <c r="N56" i="14" s="1"/>
  <c r="O50" i="14"/>
  <c r="G50" i="14"/>
  <c r="J56" i="14"/>
  <c r="L56" i="14"/>
  <c r="M56" i="14"/>
  <c r="M34" i="14"/>
  <c r="L34" i="14"/>
  <c r="K34" i="14"/>
  <c r="I34" i="14"/>
  <c r="H34" i="14"/>
  <c r="G34" i="14"/>
  <c r="M27" i="14"/>
  <c r="L27" i="14"/>
  <c r="K27" i="14"/>
  <c r="I27" i="14"/>
  <c r="H27" i="14"/>
  <c r="G27" i="14"/>
  <c r="M23" i="14"/>
  <c r="L23" i="14"/>
  <c r="K23" i="14"/>
  <c r="I23" i="14"/>
  <c r="H23" i="14"/>
  <c r="G23" i="14"/>
  <c r="H22" i="14"/>
  <c r="M16" i="14"/>
  <c r="L16" i="14"/>
  <c r="K16" i="14"/>
  <c r="H16" i="14"/>
  <c r="I16" i="14"/>
  <c r="G16" i="14"/>
  <c r="L9" i="14"/>
  <c r="M9" i="14"/>
  <c r="K9" i="14"/>
  <c r="H9" i="14"/>
  <c r="I9" i="14"/>
  <c r="G9" i="14"/>
  <c r="J37" i="14"/>
  <c r="J36" i="14"/>
  <c r="J35" i="14"/>
  <c r="J33" i="14"/>
  <c r="J32" i="14"/>
  <c r="J31" i="14"/>
  <c r="J30" i="14"/>
  <c r="J29" i="14"/>
  <c r="J28" i="14"/>
  <c r="J26" i="14"/>
  <c r="J25" i="14"/>
  <c r="J24" i="14"/>
  <c r="J21" i="14"/>
  <c r="J20" i="14"/>
  <c r="J15" i="14"/>
  <c r="J14" i="14"/>
  <c r="J13" i="14"/>
  <c r="J12" i="14"/>
  <c r="J11" i="14"/>
  <c r="J10" i="14"/>
  <c r="D10" i="1"/>
  <c r="D6" i="1"/>
  <c r="D7" i="1"/>
  <c r="P11" i="5"/>
  <c r="Q11" i="5"/>
  <c r="R11" i="5"/>
  <c r="O11" i="5"/>
  <c r="M11" i="5"/>
  <c r="G11" i="5"/>
  <c r="H11" i="5"/>
  <c r="I11" i="5"/>
  <c r="J11" i="5"/>
  <c r="F11" i="5"/>
  <c r="P10" i="5"/>
  <c r="Q10" i="5"/>
  <c r="R10" i="5"/>
  <c r="O10" i="5"/>
  <c r="M10" i="5"/>
  <c r="L10" i="5"/>
  <c r="G10" i="5"/>
  <c r="H10" i="5"/>
  <c r="I10" i="5"/>
  <c r="J10" i="5"/>
  <c r="F10" i="5"/>
  <c r="P16" i="5"/>
  <c r="Q16" i="5"/>
  <c r="R16" i="5"/>
  <c r="O16" i="5"/>
  <c r="M16" i="5"/>
  <c r="L16" i="5"/>
  <c r="G16" i="5"/>
  <c r="H16" i="5"/>
  <c r="I16" i="5"/>
  <c r="J16" i="5"/>
  <c r="F16" i="5"/>
  <c r="S8" i="5"/>
  <c r="S9" i="5"/>
  <c r="S12" i="5"/>
  <c r="S13" i="5"/>
  <c r="S14" i="5"/>
  <c r="S15" i="5"/>
  <c r="S17" i="5"/>
  <c r="S18" i="5"/>
  <c r="S19" i="5"/>
  <c r="S20" i="5"/>
  <c r="S21" i="5"/>
  <c r="S22" i="5"/>
  <c r="S7" i="5"/>
  <c r="N8" i="5"/>
  <c r="N9" i="5"/>
  <c r="N12" i="5"/>
  <c r="N13" i="5"/>
  <c r="N14" i="5"/>
  <c r="N15" i="5"/>
  <c r="N17" i="5"/>
  <c r="N18" i="5"/>
  <c r="T18" i="5" s="1"/>
  <c r="N19" i="5"/>
  <c r="N20" i="5"/>
  <c r="N21" i="5"/>
  <c r="N22" i="5"/>
  <c r="N7" i="5"/>
  <c r="K8" i="5"/>
  <c r="K9" i="5"/>
  <c r="K12" i="5"/>
  <c r="K13" i="5"/>
  <c r="K14" i="5"/>
  <c r="K15" i="5"/>
  <c r="K17" i="5"/>
  <c r="K18" i="5"/>
  <c r="K19" i="5"/>
  <c r="K21" i="5"/>
  <c r="K22" i="5"/>
  <c r="K10" i="5"/>
  <c r="G4" i="4"/>
  <c r="H4" i="4"/>
  <c r="F4" i="4"/>
  <c r="G71" i="4"/>
  <c r="F71" i="4"/>
  <c r="H11" i="182" s="1"/>
  <c r="G65" i="4"/>
  <c r="F65" i="4"/>
  <c r="G58" i="4"/>
  <c r="F58" i="4"/>
  <c r="G49" i="4"/>
  <c r="F49" i="4"/>
  <c r="G41" i="4"/>
  <c r="F41" i="4"/>
  <c r="G31" i="4"/>
  <c r="F31" i="4"/>
  <c r="F32" i="4" s="1"/>
  <c r="G19" i="4"/>
  <c r="F19" i="4"/>
  <c r="H35" i="3"/>
  <c r="G35" i="3"/>
  <c r="H45" i="3"/>
  <c r="G45" i="3"/>
  <c r="D169" i="182" s="1"/>
  <c r="H42" i="3"/>
  <c r="G42" i="3"/>
  <c r="D166" i="182" s="1"/>
  <c r="H39" i="3"/>
  <c r="G39" i="3"/>
  <c r="H27" i="3"/>
  <c r="D148" i="182"/>
  <c r="H23" i="3"/>
  <c r="H19" i="3"/>
  <c r="H12" i="3"/>
  <c r="H8" i="3"/>
  <c r="J98" i="2"/>
  <c r="J95" i="2" s="1"/>
  <c r="I98" i="2"/>
  <c r="J87" i="2"/>
  <c r="J86" i="2" s="1"/>
  <c r="J84" i="2" s="1"/>
  <c r="I86" i="2"/>
  <c r="I84" i="2" s="1"/>
  <c r="J80" i="2"/>
  <c r="J77" i="2" s="1"/>
  <c r="I80" i="2"/>
  <c r="J67" i="2"/>
  <c r="J65" i="2" s="1"/>
  <c r="J54" i="2"/>
  <c r="I54" i="2"/>
  <c r="J51" i="2"/>
  <c r="I51" i="2"/>
  <c r="J48" i="2"/>
  <c r="I48" i="2"/>
  <c r="J39" i="2"/>
  <c r="J37" i="2" s="1"/>
  <c r="J33" i="2"/>
  <c r="I33" i="2"/>
  <c r="D30" i="182" s="1"/>
  <c r="J30" i="182" s="1"/>
  <c r="J21" i="2"/>
  <c r="J18" i="2" s="1"/>
  <c r="I21" i="2"/>
  <c r="I18" i="2" s="1"/>
  <c r="J15" i="2"/>
  <c r="I15" i="2"/>
  <c r="J11" i="2"/>
  <c r="I11" i="2"/>
  <c r="D15" i="182" s="1"/>
  <c r="I14" i="182" l="1"/>
  <c r="K14" i="182"/>
  <c r="I11" i="182"/>
  <c r="K11" i="182"/>
  <c r="K145" i="182"/>
  <c r="M23" i="5"/>
  <c r="I30" i="182"/>
  <c r="K30" i="182"/>
  <c r="I166" i="182"/>
  <c r="K166" i="182"/>
  <c r="I169" i="182"/>
  <c r="K169" i="182"/>
  <c r="I15" i="182"/>
  <c r="K15" i="182"/>
  <c r="J16" i="14"/>
  <c r="G38" i="3"/>
  <c r="G52" i="3" s="1"/>
  <c r="D163" i="182"/>
  <c r="F66" i="4"/>
  <c r="F50" i="4"/>
  <c r="D136" i="182"/>
  <c r="D134" i="182"/>
  <c r="D135" i="182"/>
  <c r="D116" i="182"/>
  <c r="D117" i="182"/>
  <c r="D144" i="182"/>
  <c r="D143" i="182"/>
  <c r="D158" i="182"/>
  <c r="D157" i="182"/>
  <c r="D107" i="182"/>
  <c r="D106" i="182"/>
  <c r="I37" i="2"/>
  <c r="D31" i="182" s="1"/>
  <c r="D34" i="182"/>
  <c r="I65" i="2"/>
  <c r="D55" i="182" s="1"/>
  <c r="D60" i="182"/>
  <c r="I77" i="2"/>
  <c r="D92" i="182"/>
  <c r="I95" i="2"/>
  <c r="D7" i="182"/>
  <c r="D13" i="182"/>
  <c r="D19" i="182"/>
  <c r="T9" i="5"/>
  <c r="F23" i="5"/>
  <c r="H5" i="182" s="1"/>
  <c r="R23" i="5"/>
  <c r="T12" i="5"/>
  <c r="H182" i="182" s="1"/>
  <c r="H8" i="182"/>
  <c r="H9" i="182"/>
  <c r="T15" i="5"/>
  <c r="O23" i="5"/>
  <c r="G32" i="4"/>
  <c r="T14" i="5"/>
  <c r="P23" i="5"/>
  <c r="K22" i="14"/>
  <c r="H56" i="14"/>
  <c r="I22" i="14"/>
  <c r="J27" i="14"/>
  <c r="L22" i="14"/>
  <c r="G56" i="14"/>
  <c r="I7" i="2"/>
  <c r="G66" i="4"/>
  <c r="T22" i="5"/>
  <c r="I47" i="2"/>
  <c r="G23" i="5"/>
  <c r="J23" i="5"/>
  <c r="M8" i="14"/>
  <c r="K53" i="14"/>
  <c r="I56" i="14"/>
  <c r="O56" i="14"/>
  <c r="G8" i="14"/>
  <c r="G38" i="14" s="1"/>
  <c r="G22" i="14"/>
  <c r="J9" i="14"/>
  <c r="L8" i="14"/>
  <c r="L38" i="14" s="1"/>
  <c r="J34" i="14"/>
  <c r="M22" i="14"/>
  <c r="M38" i="14" s="1"/>
  <c r="I8" i="14"/>
  <c r="J23" i="14"/>
  <c r="J22" i="14"/>
  <c r="K8" i="14"/>
  <c r="K38" i="14" s="1"/>
  <c r="H8" i="14"/>
  <c r="T17" i="5"/>
  <c r="T13" i="5"/>
  <c r="K16" i="5"/>
  <c r="S10" i="5"/>
  <c r="N11" i="5"/>
  <c r="Q23" i="5"/>
  <c r="K11" i="5"/>
  <c r="T19" i="5"/>
  <c r="T8" i="5"/>
  <c r="N16" i="5"/>
  <c r="S11" i="5"/>
  <c r="N10" i="5"/>
  <c r="T10" i="5" s="1"/>
  <c r="S16" i="5"/>
  <c r="T21" i="5"/>
  <c r="T7" i="5"/>
  <c r="G50" i="4"/>
  <c r="H38" i="3"/>
  <c r="J64" i="2"/>
  <c r="J61" i="2" s="1"/>
  <c r="J60" i="2" s="1"/>
  <c r="J47" i="2"/>
  <c r="J26" i="2"/>
  <c r="J25" i="2" s="1"/>
  <c r="I26" i="2"/>
  <c r="J7" i="2"/>
  <c r="I5" i="182" l="1"/>
  <c r="K5" i="182"/>
  <c r="E12" i="206"/>
  <c r="E11" i="206" s="1"/>
  <c r="E16" i="206" s="1"/>
  <c r="C57" i="235"/>
  <c r="C60" i="235" s="1"/>
  <c r="I8" i="182"/>
  <c r="K8" i="182"/>
  <c r="K9" i="182"/>
  <c r="I9" i="182"/>
  <c r="I60" i="182"/>
  <c r="K60" i="182"/>
  <c r="I31" i="182"/>
  <c r="K31" i="182"/>
  <c r="I158" i="182"/>
  <c r="K158" i="182"/>
  <c r="I116" i="182"/>
  <c r="K116" i="182"/>
  <c r="I55" i="182"/>
  <c r="K55" i="182"/>
  <c r="I19" i="182"/>
  <c r="K19" i="182"/>
  <c r="I92" i="182"/>
  <c r="K92" i="182"/>
  <c r="I34" i="182"/>
  <c r="K34" i="182"/>
  <c r="I107" i="182"/>
  <c r="K107" i="182"/>
  <c r="I144" i="182"/>
  <c r="K144" i="182"/>
  <c r="I134" i="182"/>
  <c r="K134" i="182"/>
  <c r="I163" i="182"/>
  <c r="K163" i="182"/>
  <c r="I33" i="182"/>
  <c r="K33" i="182"/>
  <c r="I157" i="182"/>
  <c r="K157" i="182"/>
  <c r="I136" i="182"/>
  <c r="K136" i="182"/>
  <c r="I13" i="182"/>
  <c r="K13" i="182"/>
  <c r="D188" i="182"/>
  <c r="K56" i="14"/>
  <c r="F68" i="4"/>
  <c r="F70" i="4" s="1"/>
  <c r="AD14" i="240" s="1"/>
  <c r="G68" i="4"/>
  <c r="G70" i="4" s="1"/>
  <c r="G58" i="3"/>
  <c r="D105" i="182"/>
  <c r="I38" i="14"/>
  <c r="J8" i="14"/>
  <c r="J38" i="14" s="1"/>
  <c r="D162" i="182"/>
  <c r="H52" i="3"/>
  <c r="H58" i="3" s="1"/>
  <c r="H61" i="3" s="1"/>
  <c r="H69" i="3" s="1"/>
  <c r="I64" i="2"/>
  <c r="I25" i="2"/>
  <c r="I6" i="2" s="1"/>
  <c r="D104" i="182"/>
  <c r="D103" i="182"/>
  <c r="J103" i="182" s="1"/>
  <c r="J6" i="2"/>
  <c r="T11" i="5"/>
  <c r="H38" i="14"/>
  <c r="S23" i="5"/>
  <c r="T16" i="5"/>
  <c r="H6" i="182"/>
  <c r="N23" i="5"/>
  <c r="H7" i="182" s="1"/>
  <c r="I7" i="182" s="1"/>
  <c r="G27" i="235" l="1"/>
  <c r="G28" i="235" s="1"/>
  <c r="E15" i="206" s="1"/>
  <c r="I61" i="2"/>
  <c r="I60" i="2" s="1"/>
  <c r="O60" i="2" s="1"/>
  <c r="D4" i="182"/>
  <c r="T23" i="5"/>
  <c r="H103" i="182" s="1"/>
  <c r="I103" i="182" s="1"/>
  <c r="I6" i="182"/>
  <c r="K6" i="182"/>
  <c r="K7" i="182"/>
  <c r="I188" i="182"/>
  <c r="K188" i="182"/>
  <c r="I162" i="182"/>
  <c r="K162" i="182"/>
  <c r="I74" i="182"/>
  <c r="K74" i="182"/>
  <c r="AE14" i="240"/>
  <c r="AF14" i="240"/>
  <c r="H12" i="182"/>
  <c r="AD15" i="240"/>
  <c r="G61" i="3"/>
  <c r="H104" i="182"/>
  <c r="BO9" i="167"/>
  <c r="O5" i="2" l="1"/>
  <c r="I12" i="182"/>
  <c r="K12" i="182"/>
  <c r="BO18" i="209"/>
  <c r="BO19" i="209" s="1"/>
  <c r="H108" i="182"/>
  <c r="K103" i="182"/>
  <c r="I104" i="182"/>
  <c r="K104" i="182"/>
  <c r="AF15" i="240"/>
  <c r="AE15" i="240"/>
  <c r="H4" i="182"/>
  <c r="J4" i="182" s="1"/>
  <c r="BO13" i="167"/>
  <c r="H119" i="182" s="1"/>
  <c r="D181" i="182" l="1"/>
  <c r="I181" i="182" s="1"/>
  <c r="D182" i="182"/>
  <c r="I119" i="182"/>
  <c r="K119" i="182"/>
  <c r="I108" i="182"/>
  <c r="K108" i="182"/>
  <c r="I4" i="182"/>
  <c r="K4" i="182"/>
  <c r="G69" i="3"/>
  <c r="BO27" i="167"/>
  <c r="K181" i="182" l="1"/>
  <c r="K182" i="182"/>
  <c r="I182" i="182"/>
  <c r="H149" i="182"/>
  <c r="I149" i="182" s="1"/>
  <c r="BO25" i="167"/>
  <c r="H147" i="182" s="1"/>
  <c r="BN26" i="167"/>
  <c r="BO26" i="167" s="1"/>
  <c r="BO15" i="167"/>
  <c r="H125" i="182" s="1"/>
  <c r="BO19" i="167"/>
  <c r="H138" i="182" s="1"/>
  <c r="K149" i="182" l="1"/>
  <c r="H148" i="182"/>
  <c r="I148" i="182" s="1"/>
  <c r="I147" i="182"/>
  <c r="K147" i="182"/>
  <c r="K138" i="182"/>
  <c r="I138" i="182"/>
  <c r="I125" i="182"/>
  <c r="K125" i="182"/>
  <c r="BN18" i="167"/>
  <c r="BN22" i="167"/>
  <c r="BO22" i="167" s="1"/>
  <c r="BN12" i="167"/>
  <c r="BO10" i="167"/>
  <c r="H111" i="182" s="1"/>
  <c r="K148" i="182" l="1"/>
  <c r="BO12" i="167"/>
  <c r="H117" i="182" s="1"/>
  <c r="I117" i="182" s="1"/>
  <c r="BO18" i="167"/>
  <c r="H143" i="182"/>
  <c r="I143" i="182" s="1"/>
  <c r="I111" i="182"/>
  <c r="K111" i="182"/>
  <c r="BN8" i="167"/>
  <c r="BN7" i="167" s="1"/>
  <c r="K143" i="182" l="1"/>
  <c r="K117" i="182"/>
  <c r="H135" i="182"/>
  <c r="BN14" i="209"/>
  <c r="BN15" i="209" s="1"/>
  <c r="BN25" i="213"/>
  <c r="BO7" i="167"/>
  <c r="BO8" i="167"/>
  <c r="H106" i="182" s="1"/>
  <c r="I135" i="182" l="1"/>
  <c r="K135" i="182"/>
  <c r="H105" i="182"/>
  <c r="I105" i="182" s="1"/>
  <c r="BN30" i="213"/>
  <c r="BN26" i="213"/>
  <c r="I106" i="182"/>
  <c r="K106" i="182"/>
  <c r="BO25" i="213"/>
  <c r="BO30" i="213" s="1"/>
  <c r="BO14" i="209"/>
  <c r="BO15" i="209" s="1"/>
  <c r="K105" i="182" l="1"/>
  <c r="BO26" i="213"/>
  <c r="E731" i="189" l="1"/>
  <c r="F731" i="189"/>
  <c r="K731" i="189"/>
  <c r="I731" i="189"/>
  <c r="J731" i="189"/>
  <c r="G731" i="189"/>
  <c r="H731" i="189"/>
  <c r="I711" i="189"/>
  <c r="H711" i="189"/>
  <c r="K711" i="189"/>
  <c r="F711" i="189"/>
  <c r="G711" i="189"/>
  <c r="E711" i="189"/>
  <c r="J711" i="189"/>
  <c r="E691" i="189"/>
  <c r="J691" i="189"/>
  <c r="I691" i="189"/>
  <c r="G691" i="189"/>
  <c r="F691" i="189"/>
  <c r="H691" i="189"/>
  <c r="K691" i="189"/>
  <c r="I670" i="189"/>
  <c r="G670" i="189"/>
  <c r="E670" i="189"/>
  <c r="K670" i="189"/>
  <c r="H670" i="189"/>
  <c r="F670" i="189"/>
  <c r="J670" i="189"/>
  <c r="F751" i="189"/>
  <c r="I751" i="189"/>
  <c r="H751" i="189"/>
  <c r="J751" i="189"/>
  <c r="K751" i="189"/>
  <c r="E751" i="189"/>
  <c r="G751" i="189"/>
  <c r="I201" i="182" l="1"/>
</calcChain>
</file>

<file path=xl/comments1.xml><?xml version="1.0" encoding="utf-8"?>
<comments xmlns="http://schemas.openxmlformats.org/spreadsheetml/2006/main">
  <authors>
    <author>Patrizia Starke</author>
  </authors>
  <commentList>
    <comment ref="E108" authorId="0">
      <text>
        <r>
          <rPr>
            <b/>
            <sz val="9"/>
            <color indexed="81"/>
            <rFont val="Tahoma"/>
            <family val="2"/>
          </rPr>
          <t>Patrizia Starke:</t>
        </r>
        <r>
          <rPr>
            <sz val="9"/>
            <color indexed="81"/>
            <rFont val="Tahoma"/>
            <family val="2"/>
          </rPr>
          <t xml:space="preserve">
Se cambia desde 5213231
</t>
        </r>
      </text>
    </comment>
    <comment ref="E110" authorId="0">
      <text>
        <r>
          <rPr>
            <b/>
            <sz val="9"/>
            <color indexed="81"/>
            <rFont val="Tahoma"/>
            <family val="2"/>
          </rPr>
          <t>Patrizia Starke:</t>
        </r>
        <r>
          <rPr>
            <sz val="9"/>
            <color indexed="81"/>
            <rFont val="Tahoma"/>
            <family val="2"/>
          </rPr>
          <t xml:space="preserve">
Se cambia desde 5141320
</t>
        </r>
      </text>
    </comment>
  </commentList>
</comments>
</file>

<file path=xl/comments2.xml><?xml version="1.0" encoding="utf-8"?>
<comments xmlns="http://schemas.openxmlformats.org/spreadsheetml/2006/main">
  <authors>
    <author>Cristian Marquez Baeza</author>
    <author>Jorge Gonzalez Contreras</author>
  </authors>
  <commentList>
    <comment ref="K13" authorId="0">
      <text>
        <r>
          <rPr>
            <b/>
            <sz val="9"/>
            <color indexed="81"/>
            <rFont val="Tahoma"/>
            <family val="2"/>
          </rPr>
          <t>Cristian Marquez Baeza:</t>
        </r>
        <r>
          <rPr>
            <sz val="9"/>
            <color indexed="81"/>
            <rFont val="Tahoma"/>
            <family val="2"/>
          </rPr>
          <t xml:space="preserve">
Ajuste Reserva Siniestros</t>
        </r>
      </text>
    </comment>
    <comment ref="J23" authorId="1">
      <text>
        <r>
          <rPr>
            <b/>
            <sz val="9"/>
            <color indexed="81"/>
            <rFont val="Tahoma"/>
            <family val="2"/>
          </rPr>
          <t>Jorge Gonzalez Contreras:</t>
        </r>
        <r>
          <rPr>
            <sz val="9"/>
            <color indexed="81"/>
            <rFont val="Tahoma"/>
            <family val="2"/>
          </rPr>
          <t xml:space="preserve">
reclasif. Leasing Morosos CUI Leasing Bermat</t>
        </r>
      </text>
    </comment>
    <comment ref="L27" authorId="0">
      <text>
        <r>
          <rPr>
            <b/>
            <sz val="9"/>
            <color indexed="81"/>
            <rFont val="Tahoma"/>
            <family val="2"/>
          </rPr>
          <t>Cristian Marquez Baeza:</t>
        </r>
        <r>
          <rPr>
            <sz val="9"/>
            <color indexed="81"/>
            <rFont val="Tahoma"/>
            <family val="2"/>
          </rPr>
          <t xml:space="preserve">
Falta contabilizar Inv. En GI</t>
        </r>
      </text>
    </comment>
    <comment ref="O27" authorId="0">
      <text>
        <r>
          <rPr>
            <b/>
            <sz val="9"/>
            <color indexed="81"/>
            <rFont val="Tahoma"/>
            <family val="2"/>
          </rPr>
          <t>Cristian Marquez Baeza:</t>
        </r>
        <r>
          <rPr>
            <sz val="9"/>
            <color indexed="81"/>
            <rFont val="Tahoma"/>
            <family val="2"/>
          </rPr>
          <t xml:space="preserve">
Falta contabilizar Inv. En GI</t>
        </r>
      </text>
    </comment>
  </commentList>
</comments>
</file>

<file path=xl/comments3.xml><?xml version="1.0" encoding="utf-8"?>
<comments xmlns="http://schemas.openxmlformats.org/spreadsheetml/2006/main">
  <authors>
    <author>Jorge Gonzalez Contreras</author>
    <author>Patrizia Starke</author>
  </authors>
  <commentList>
    <comment ref="M45" authorId="0">
      <text>
        <r>
          <rPr>
            <b/>
            <sz val="9"/>
            <color indexed="81"/>
            <rFont val="Tahoma"/>
            <family val="2"/>
          </rPr>
          <t>Jorge Gonzalez Contreras:</t>
        </r>
        <r>
          <rPr>
            <sz val="9"/>
            <color indexed="81"/>
            <rFont val="Tahoma"/>
            <family val="2"/>
          </rPr>
          <t xml:space="preserve">
Prov. Incobrables RV Ptmos</t>
        </r>
      </text>
    </comment>
    <comment ref="J56" authorId="0">
      <text>
        <r>
          <rPr>
            <b/>
            <sz val="9"/>
            <color indexed="81"/>
            <rFont val="Tahoma"/>
            <family val="2"/>
          </rPr>
          <t>Jorge Gonzalez Contreras:</t>
        </r>
        <r>
          <rPr>
            <sz val="9"/>
            <color indexed="81"/>
            <rFont val="Tahoma"/>
            <family val="2"/>
          </rPr>
          <t xml:space="preserve">
Resultado Realizado Efec. 14361*</t>
        </r>
      </text>
    </comment>
    <comment ref="K56" authorId="0">
      <text>
        <r>
          <rPr>
            <b/>
            <sz val="9"/>
            <color indexed="81"/>
            <rFont val="Tahoma"/>
            <family val="2"/>
          </rPr>
          <t>Jorge Gonzalez Contreras:</t>
        </r>
        <r>
          <rPr>
            <sz val="9"/>
            <color indexed="81"/>
            <rFont val="Tahoma"/>
            <family val="2"/>
          </rPr>
          <t xml:space="preserve">
Reclasif. Prov. MHResultado CUI RF + Prov. CUI MH
</t>
        </r>
      </text>
    </comment>
    <comment ref="L56" authorId="0">
      <text>
        <r>
          <rPr>
            <b/>
            <sz val="9"/>
            <color indexed="81"/>
            <rFont val="Tahoma"/>
            <family val="2"/>
          </rPr>
          <t>Jorge Gonzalez Contreras:</t>
        </r>
        <r>
          <rPr>
            <sz val="9"/>
            <color indexed="81"/>
            <rFont val="Tahoma"/>
            <family val="2"/>
          </rPr>
          <t xml:space="preserve">
Prov. Renta Variable 09,2017</t>
        </r>
      </text>
    </comment>
    <comment ref="L60" authorId="0">
      <text>
        <r>
          <rPr>
            <b/>
            <sz val="9"/>
            <color indexed="81"/>
            <rFont val="Tahoma"/>
            <family val="2"/>
          </rPr>
          <t xml:space="preserve">Jorge Gonzalez Contreras.
</t>
        </r>
        <r>
          <rPr>
            <sz val="9"/>
            <color indexed="81"/>
            <rFont val="Tahoma"/>
            <family val="2"/>
          </rPr>
          <t>Provision Renta Variable 09,2017</t>
        </r>
      </text>
    </comment>
    <comment ref="N60" authorId="0">
      <text>
        <r>
          <rPr>
            <b/>
            <sz val="9"/>
            <color indexed="81"/>
            <rFont val="Tahoma"/>
            <family val="2"/>
          </rPr>
          <t>Jorge Gonzalez Contreras:</t>
        </r>
        <r>
          <rPr>
            <sz val="9"/>
            <color indexed="81"/>
            <rFont val="Tahoma"/>
            <family val="2"/>
          </rPr>
          <t xml:space="preserve">
Interes Fondo Mutuo Propio</t>
        </r>
      </text>
    </comment>
    <comment ref="L63" authorId="0">
      <text>
        <r>
          <rPr>
            <b/>
            <sz val="9"/>
            <color indexed="81"/>
            <rFont val="Tahoma"/>
            <family val="2"/>
          </rPr>
          <t>Jorge Gonzalez Contreras:</t>
        </r>
        <r>
          <rPr>
            <sz val="9"/>
            <color indexed="81"/>
            <rFont val="Tahoma"/>
            <family val="2"/>
          </rPr>
          <t xml:space="preserve">
Interes Leasing CUI + Prov. Leasing CUI+Morosos CUI</t>
        </r>
      </text>
    </comment>
    <comment ref="M63" authorId="0">
      <text>
        <r>
          <rPr>
            <b/>
            <sz val="9"/>
            <color indexed="81"/>
            <rFont val="Tahoma"/>
            <family val="2"/>
          </rPr>
          <t>Jorge Gonzalez Contreras:</t>
        </r>
        <r>
          <rPr>
            <sz val="9"/>
            <color indexed="81"/>
            <rFont val="Tahoma"/>
            <family val="2"/>
          </rPr>
          <t xml:space="preserve">
Reclasifica Prov de Leasing y Morosos
</t>
        </r>
      </text>
    </comment>
    <comment ref="J64" authorId="0">
      <text>
        <r>
          <rPr>
            <b/>
            <sz val="9"/>
            <color indexed="81"/>
            <rFont val="Tahoma"/>
            <family val="2"/>
          </rPr>
          <t>Jorge Gonzalez Contreras:</t>
        </r>
        <r>
          <rPr>
            <sz val="9"/>
            <color indexed="81"/>
            <rFont val="Tahoma"/>
            <family val="2"/>
          </rPr>
          <t xml:space="preserve">
resultado realizado 14361*</t>
        </r>
      </text>
    </comment>
    <comment ref="M64" authorId="0">
      <text>
        <r>
          <rPr>
            <b/>
            <sz val="9"/>
            <color indexed="81"/>
            <rFont val="Tahoma"/>
            <family val="2"/>
          </rPr>
          <t>Div. RV Ext CUI</t>
        </r>
      </text>
    </comment>
    <comment ref="K68" authorId="0">
      <text>
        <r>
          <rPr>
            <b/>
            <sz val="9"/>
            <color indexed="81"/>
            <rFont val="Tahoma"/>
            <family val="2"/>
          </rPr>
          <t>Jorge Gonzalez Contreras:</t>
        </r>
        <r>
          <rPr>
            <sz val="9"/>
            <color indexed="81"/>
            <rFont val="Tahoma"/>
            <family val="2"/>
          </rPr>
          <t xml:space="preserve">
Resultado RF CUI + Prov. MH CUI</t>
        </r>
      </text>
    </comment>
    <comment ref="M68" authorId="0">
      <text>
        <r>
          <rPr>
            <b/>
            <sz val="9"/>
            <color indexed="81"/>
            <rFont val="Tahoma"/>
            <family val="2"/>
          </rPr>
          <t>Jorge Gonzalez Contreras:</t>
        </r>
        <r>
          <rPr>
            <sz val="9"/>
            <color indexed="81"/>
            <rFont val="Tahoma"/>
            <family val="2"/>
          </rPr>
          <t xml:space="preserve">
DV RV Cui EXT</t>
        </r>
      </text>
    </comment>
    <comment ref="N68" authorId="1">
      <text>
        <r>
          <rPr>
            <b/>
            <sz val="9"/>
            <color indexed="81"/>
            <rFont val="Tahoma"/>
            <family val="2"/>
          </rPr>
          <t>Interes Fondo Mutuo Propio</t>
        </r>
      </text>
    </comment>
    <comment ref="K70" authorId="0">
      <text>
        <r>
          <rPr>
            <b/>
            <sz val="9"/>
            <color indexed="81"/>
            <rFont val="Tahoma"/>
            <family val="2"/>
          </rPr>
          <t>Jorge Gonzalez Contreras:</t>
        </r>
        <r>
          <rPr>
            <sz val="9"/>
            <color indexed="81"/>
            <rFont val="Tahoma"/>
            <family val="2"/>
          </rPr>
          <t xml:space="preserve">
Provision MH CUI  + Prov. Leasing CUI</t>
        </r>
      </text>
    </comment>
    <comment ref="M70" authorId="0">
      <text>
        <r>
          <rPr>
            <b/>
            <sz val="9"/>
            <color indexed="81"/>
            <rFont val="Tahoma"/>
            <family val="2"/>
          </rPr>
          <t>Jorge Gonzalez Contreras:</t>
        </r>
        <r>
          <rPr>
            <sz val="9"/>
            <color indexed="81"/>
            <rFont val="Tahoma"/>
            <family val="2"/>
          </rPr>
          <t xml:space="preserve">
Reclasif. Incobrables Ptmos RV</t>
        </r>
      </text>
    </comment>
    <comment ref="N70" authorId="0">
      <text>
        <r>
          <rPr>
            <b/>
            <sz val="9"/>
            <color indexed="81"/>
            <rFont val="Tahoma"/>
            <family val="2"/>
          </rPr>
          <t>Jorge Gonzalez Contreras:</t>
        </r>
        <r>
          <rPr>
            <sz val="9"/>
            <color indexed="81"/>
            <rFont val="Tahoma"/>
            <family val="2"/>
          </rPr>
          <t xml:space="preserve">
Prov. Leasing CUI</t>
        </r>
      </text>
    </comment>
  </commentList>
</comments>
</file>

<file path=xl/sharedStrings.xml><?xml version="1.0" encoding="utf-8"?>
<sst xmlns="http://schemas.openxmlformats.org/spreadsheetml/2006/main" count="14537" uniqueCount="4149">
  <si>
    <t>Razón social de la entidad que informa</t>
  </si>
  <si>
    <t>RUT de entidad que informa</t>
  </si>
  <si>
    <t>Grupo asegurador</t>
  </si>
  <si>
    <t>Tipo de estado financiero</t>
  </si>
  <si>
    <t>Fecha de cierre del periodo sobre el que se informa</t>
  </si>
  <si>
    <t>Descripción de la moneda de presentación</t>
  </si>
  <si>
    <t>5.10.00.00 Total activo</t>
  </si>
  <si>
    <t>5.11.00.00 Total inversiones financieras</t>
  </si>
  <si>
    <t>5.11.10.00 Efectivo y efectivo equivalente</t>
  </si>
  <si>
    <t>5.11.20.00 Activos financieros a valor razonable</t>
  </si>
  <si>
    <t>5.11.30.00 Activos financieros a costo amortizado</t>
  </si>
  <si>
    <t>5.11.40.00 Préstamos</t>
  </si>
  <si>
    <t>5.11.41.00 Avance tenedores de pólizas</t>
  </si>
  <si>
    <t>5.11.42.00 Préstamos otorgados</t>
  </si>
  <si>
    <t>5.11.50.00 Inversiones seguros cuenta única de inversión (CUI)</t>
  </si>
  <si>
    <t>5.11.60.00 Participaciones en entidades del grupo</t>
  </si>
  <si>
    <t>5.11.61.00 Participaciones en empresas subsidiarias (filiales)</t>
  </si>
  <si>
    <t>5.11.62.00 Participaciones en empresas asociadas (coligadas)</t>
  </si>
  <si>
    <t>5.12.00.00 Total inversiones inmobiliarias</t>
  </si>
  <si>
    <t>5.12.10.00 Propiedades de inversión</t>
  </si>
  <si>
    <t>5.12.20.00 Cuentas por cobrar leasing</t>
  </si>
  <si>
    <t>5.12.30.00 Propiedades, muebles y equipos de uso propio</t>
  </si>
  <si>
    <t>5.12.31.00 Propiedades de uso propio</t>
  </si>
  <si>
    <t>5.12.32.00 Muebles y equipos de uso propio</t>
  </si>
  <si>
    <t>5.13.00.00 Activos no corrientes mantenidos para la venta</t>
  </si>
  <si>
    <t>5.14.00.00 Total cuentas de seguros</t>
  </si>
  <si>
    <t>5.14.10.00 Cuentas por cobrar de seguros</t>
  </si>
  <si>
    <t>5.14.11.00 Cuentas por cobrar asegurados</t>
  </si>
  <si>
    <t>5.14.12.00 Deudores por operaciones de reaseguro</t>
  </si>
  <si>
    <t>5.14.12.10 Siniestros por cobrar a reaseguradores</t>
  </si>
  <si>
    <t>5.14.12.20 Primas por cobrar reaseguro aceptado</t>
  </si>
  <si>
    <t>5.14.12.30 Activo por reaseguro no proporcional</t>
  </si>
  <si>
    <t>5.14.12.40 Otros deudores por operaciones de reaseguro</t>
  </si>
  <si>
    <t>5.14.13.00 Deudores por operaciones de coaseguro</t>
  </si>
  <si>
    <t>5.14.13.10 Primas por cobrar por operaciones de coaseguro</t>
  </si>
  <si>
    <t>5.14.13.20 Siniestros por cobrar por operaciones de coaseguro</t>
  </si>
  <si>
    <t>5.14.14.00 Otras cuentas por cobrar</t>
  </si>
  <si>
    <t>5.14.20.00 Participación del reaseguro en las reservas técnicas</t>
  </si>
  <si>
    <t>5.14.21.00 Participación del reaseguro en la reserva riesgos en curso</t>
  </si>
  <si>
    <t>5.14.22.00 Participación del reaseguro en las reservas seguros previsionales</t>
  </si>
  <si>
    <t>5.14.22.10 Participación del reaseguro en la reserva de rentas vitalicias</t>
  </si>
  <si>
    <t>5.14.22.20 Participación del reaseguro en la reserva seguro invalidez y sobrevivencia</t>
  </si>
  <si>
    <t>5.14.23.00 Participación del reaseguro en la reserva matemática</t>
  </si>
  <si>
    <t>5.14.24.00 Participación del reaseguro en la reserva de rentas privadas</t>
  </si>
  <si>
    <t>5.14.25.00 Participación del reaseguro en la reserva de siniestros</t>
  </si>
  <si>
    <t>5.14.27.00 Participación del reaseguro en la reserva de insuficiencia de primas</t>
  </si>
  <si>
    <t>5.14.28.00 Participación del reaseguro en otras reservas técnicas</t>
  </si>
  <si>
    <t>5.15.00.00 Otros activos</t>
  </si>
  <si>
    <t>5.15.10.00 Intangibles</t>
  </si>
  <si>
    <t>5.15.11.00 Goodwill</t>
  </si>
  <si>
    <t>5.15.12.00 Activos intangibles distintos a goodwill</t>
  </si>
  <si>
    <t>5.15.20.00 Impuestos por cobrar</t>
  </si>
  <si>
    <t>5.15.21.00 Cuenta por cobrar por impuesto</t>
  </si>
  <si>
    <t>5.15.22.00 Activo por impuesto diferido</t>
  </si>
  <si>
    <t>5.15.30.00 Otros activos</t>
  </si>
  <si>
    <t>5.15.31.00 Deudas del personal</t>
  </si>
  <si>
    <t>5.15.32.00 Cuentas por cobrar intermediarios</t>
  </si>
  <si>
    <t>5.15.33.00 Deudores relacionados</t>
  </si>
  <si>
    <t>5.15.34.00 Gastos anticipados</t>
  </si>
  <si>
    <t>5.15.35.00 Otros activos</t>
  </si>
  <si>
    <t>5.20.00.00 Total pasivo y patrimonio</t>
  </si>
  <si>
    <t>5.21.00.00 Total pasivo</t>
  </si>
  <si>
    <t>5.21.10.00 Pasivos financieros</t>
  </si>
  <si>
    <t>5.21.20.00 Pasivos no corrientes mantenidos para la venta</t>
  </si>
  <si>
    <t>5.21.30.00 Total cuentas de seguros</t>
  </si>
  <si>
    <t>5.21.31.00 Reservas técnicas</t>
  </si>
  <si>
    <t>5.21.31.10 Reserva riesgos en curso</t>
  </si>
  <si>
    <t>5.21.31.20 Reservas seguros previsionales</t>
  </si>
  <si>
    <t>5.21.31.21 Reserva rentas vitalicias</t>
  </si>
  <si>
    <t>5.21.31.22 Reserva seguro invalidez y sobrevivencia</t>
  </si>
  <si>
    <t>5.21.31.30 Reserva matemática</t>
  </si>
  <si>
    <t>5.21.31.40 Reserva valor del fondo</t>
  </si>
  <si>
    <t>5.21.31.50 Reserva rentas privadas</t>
  </si>
  <si>
    <t>5.21.31.60 Reserva de siniestros</t>
  </si>
  <si>
    <t>5.21.31.70 Reserva catastrófica de terremoto</t>
  </si>
  <si>
    <t>5.21.31.80 Reserva de insuficiencia de primas</t>
  </si>
  <si>
    <t>5.21.31.90 Otras reservas técnicas</t>
  </si>
  <si>
    <t>5.21.32.00 Deudas por operaciones de seguro</t>
  </si>
  <si>
    <t>5.21.32.10 Deudas con asegurados</t>
  </si>
  <si>
    <t>5.21.32.20 Deudas por operaciones reaseguro</t>
  </si>
  <si>
    <t>5.21.32.30 Deudas por operaciones por coaseguro</t>
  </si>
  <si>
    <t>5.21.32.31 Primas por pagar por operaciones de coaseguro</t>
  </si>
  <si>
    <t>5.21.32.32 Siniestros por pagar por operaciones de coaseguro</t>
  </si>
  <si>
    <t>5.21.32.40 Ingresos anticipados por operaciones de seguros</t>
  </si>
  <si>
    <t>5.21.40.00 Otros pasivos</t>
  </si>
  <si>
    <t>5.21.41.00 Provisiones</t>
  </si>
  <si>
    <t>5.21.42.00 Otros pasivos</t>
  </si>
  <si>
    <t>5.21.42.10 Impuestos por pagar</t>
  </si>
  <si>
    <t>5.21.42.11 Cuenta por pagar por impuesto</t>
  </si>
  <si>
    <t>5.21.42.12 Pasivo por impuesto diferido</t>
  </si>
  <si>
    <t>5.21.42.20 Deudas con relacionados</t>
  </si>
  <si>
    <t>5.21.42.30 Deudas con intermediarios</t>
  </si>
  <si>
    <t>5.21.42.40 Deudas con el personal</t>
  </si>
  <si>
    <t>5.21.42.50 Ingresos anticipados</t>
  </si>
  <si>
    <t>5.21.42.60 Otros pasivos no financieros</t>
  </si>
  <si>
    <t>5.22.00.00 Total patrimonio</t>
  </si>
  <si>
    <t>5.22.10.00 Capital pagado</t>
  </si>
  <si>
    <t>5.22.20.00 Reservas</t>
  </si>
  <si>
    <t>5.22.30.00 Resultados acumulados</t>
  </si>
  <si>
    <t>5.22.31.00 Resultados acumulados periodos anteriores</t>
  </si>
  <si>
    <t>5.22.32.00 Resultado del ejercicio</t>
  </si>
  <si>
    <t>5.22.33.00 Dividendos</t>
  </si>
  <si>
    <t>5.22.40.00 Otros ajustes</t>
  </si>
  <si>
    <t>5.31.10.00 Margen de contribución</t>
  </si>
  <si>
    <t>5.31.11.00 Prima retenida</t>
  </si>
  <si>
    <t>5.31.11.10 Prima directa</t>
  </si>
  <si>
    <t>5.31.11.20 Prima aceptada</t>
  </si>
  <si>
    <t>5.31.11.30 Prima cedida (menos)</t>
  </si>
  <si>
    <t>5.31.12.00 Variación de reservas técnicas</t>
  </si>
  <si>
    <t>5.31.12.10 Variación reserva de riesgo en curso</t>
  </si>
  <si>
    <t>5.31.12.20 Variación reserva matemática</t>
  </si>
  <si>
    <t>5.31.12.30 Variación reserva valor del fondo</t>
  </si>
  <si>
    <t>5.31.12.40 Variación reserva catastrófica de terremoto</t>
  </si>
  <si>
    <t>5.31.12.50 Variación reserva insuficiencia de prima</t>
  </si>
  <si>
    <t>5.31.12.60 Variación otras reservas técnicas</t>
  </si>
  <si>
    <t>5.31.13.00 Costo de siniestros</t>
  </si>
  <si>
    <t>5.31.13.10 Siniestros directos</t>
  </si>
  <si>
    <t>5.31.13.20 Siniestros cedidos (más)</t>
  </si>
  <si>
    <t>5.31.13.30 Siniestros aceptados</t>
  </si>
  <si>
    <t>5.31.14.00 Costo de rentas</t>
  </si>
  <si>
    <t>5.31.14.10 Rentas directas</t>
  </si>
  <si>
    <t>5.31.14.20 Rentas cedidas (más)</t>
  </si>
  <si>
    <t>5.31.14.30 Rentas aceptadas</t>
  </si>
  <si>
    <t>5.31.15.00 Resultado de intermediación</t>
  </si>
  <si>
    <t>5.31.15.10 Comisión agentes directos</t>
  </si>
  <si>
    <t>5.31.15.20 Comisión corredores y retribución asesores previsionales</t>
  </si>
  <si>
    <t>5.31.15.30 Comisiones de reaseguro aceptado</t>
  </si>
  <si>
    <t>5.31.15.40 Comisiones de reaseguro cedido (más)</t>
  </si>
  <si>
    <t>5.31.16.00 Gastos por reaseguro no proporcional</t>
  </si>
  <si>
    <t>5.31.17.00 Gastos médicos</t>
  </si>
  <si>
    <t>5.31.18.00 Deterioro de seguros</t>
  </si>
  <si>
    <t>5.31.20.00 Costos de administración</t>
  </si>
  <si>
    <t>5.31.21.00 Remuneraciones</t>
  </si>
  <si>
    <t>5.31.22.00 Otros</t>
  </si>
  <si>
    <t>5.31.30.00 Resultado de inversiones</t>
  </si>
  <si>
    <t>5.31.31.00 Resultado neto inversiones realizadas</t>
  </si>
  <si>
    <t>5.31.31.10 Inversiones inmobiliarias</t>
  </si>
  <si>
    <t>5.31.31.20 Inversiones financieras</t>
  </si>
  <si>
    <t>5.31.32.00 Resultado neto inversiones no realizadas</t>
  </si>
  <si>
    <t>5.31.32.10 Inversiones inmobiliarias</t>
  </si>
  <si>
    <t>5.31.32.20 Inversiones financieras</t>
  </si>
  <si>
    <t>5.31.33.00 Resultado neto inversiones devengadas</t>
  </si>
  <si>
    <t>5.31.33.10 Inversiones inmobiliarias</t>
  </si>
  <si>
    <t>5.31.33.20 Inversiones financieras</t>
  </si>
  <si>
    <t>5.31.33.30 Depreciación</t>
  </si>
  <si>
    <t>5.31.33.40 Gastos de gestión</t>
  </si>
  <si>
    <t>5.31.34.00 Resultado neto inversiones por seguros con cuenta única de inversiones</t>
  </si>
  <si>
    <t>5.31.35.00 Deterioro de inversiones</t>
  </si>
  <si>
    <t>5.31.40.00 Resultado técnico de seguros</t>
  </si>
  <si>
    <t>5.31.50.00 Otros ingresos y egresos</t>
  </si>
  <si>
    <t>5.31.51.00 Otros ingresos</t>
  </si>
  <si>
    <t>5.31.52.00 Otros egresos</t>
  </si>
  <si>
    <t>5.31.61.00 Diferencia de cambio</t>
  </si>
  <si>
    <t>5.31.62.00 Utilidad (pérdida) por unidades reajustables</t>
  </si>
  <si>
    <t>5.31.70.00 Resultado de operaciones continuas antes de impuesto renta</t>
  </si>
  <si>
    <t>5.31.80.00 Utilidad (pérdida) por operaciones discontinuas y disponibles para la venta (netas de impuesto)</t>
  </si>
  <si>
    <t>5.31.90.00 Impuesto renta</t>
  </si>
  <si>
    <t>5.31.00.00 Total resultado del periodo</t>
  </si>
  <si>
    <t>5.32.10.00 Resultado en la evaluación propiedades, muebles y equipos</t>
  </si>
  <si>
    <t>5.32.20.00 Resultado en activos financieros</t>
  </si>
  <si>
    <t>5.32.30.00 Resultado en coberturas de flujo de caja</t>
  </si>
  <si>
    <t>5.32.40.00 Otros resultados con ajuste en patrimonio</t>
  </si>
  <si>
    <t>5.32.50.00 Impuesto diferido</t>
  </si>
  <si>
    <t>5.32.00.00 Total otro resultado integral</t>
  </si>
  <si>
    <t>5.30.00.00 Total del resultado integral</t>
  </si>
  <si>
    <t>7.31.11.00 Ingreso por prima de seguro y coaseguro</t>
  </si>
  <si>
    <t>7.31.12.00 Ingreso por prima reaseguro aceptado</t>
  </si>
  <si>
    <t>7.31.13.00 Devolución por rentas y siniestros</t>
  </si>
  <si>
    <t>7.31.14.00 Ingreso por rentas y siniestros reasegurados</t>
  </si>
  <si>
    <t>7.31.15.00 Ingreso por comisiones reaseguro cedido</t>
  </si>
  <si>
    <t>7.31.16.00 Ingreso por activos financieros a valor razonable</t>
  </si>
  <si>
    <t>7.31.17.00 Ingreso por activos financieros a costo amortizado</t>
  </si>
  <si>
    <t>7.31.18.00 Ingreso por activos inmobiliarios</t>
  </si>
  <si>
    <t>7.31.19.00 Intereses y dividendos recibidos</t>
  </si>
  <si>
    <t>7.31.20.00 Préstamos y partidas por cobrar</t>
  </si>
  <si>
    <t>7.31.21.00 Otros ingresos de la actividad aseguradora</t>
  </si>
  <si>
    <t>7.31.00.00 Total ingresos de efectivo de la actividad aseguradora</t>
  </si>
  <si>
    <t>7.32.11.00 Egreso por prestaciones seguro directo y coaseguro</t>
  </si>
  <si>
    <t>7.32.12.00 Pago de rentas y siniestros</t>
  </si>
  <si>
    <t>7.32.13.00 Egreso por comisiones seguro directo</t>
  </si>
  <si>
    <t>7.32.14.00 Egreso por comisiones reaseguro aceptado</t>
  </si>
  <si>
    <t>7.32.15.00 Egreso por activos financieros a valor razonable</t>
  </si>
  <si>
    <t>7.32.16.00 Egreso por activos financieros a costo amortizado</t>
  </si>
  <si>
    <t>7.32.17.00 Egreso por activos inmobiliarios</t>
  </si>
  <si>
    <t>7.32.18.00 Gasto por impuestos</t>
  </si>
  <si>
    <t>7.32.19.00 Gasto de administración</t>
  </si>
  <si>
    <t>7.32.20.00 Otros egresos de la actividad aseguradora</t>
  </si>
  <si>
    <t>7.32.00.00 Total egresos de efectivo de la actividad aseguradora</t>
  </si>
  <si>
    <t>7.30.00.00 Total flujo de efectivo neto de actividades de la operación</t>
  </si>
  <si>
    <t>7.41.11.00 Ingresos por propiedades, muebles y equipos</t>
  </si>
  <si>
    <t>7.41.12.00 Ingresos por propiedades de inversión</t>
  </si>
  <si>
    <t>7.41.13.00 Ingresos por activos intangibles</t>
  </si>
  <si>
    <t>7.41.14.00 Ingresos por activos mantenidos para la venta</t>
  </si>
  <si>
    <t>7.41.15.00 Ingresos por participaciones en entidades del grupo y filiales</t>
  </si>
  <si>
    <t>7.41.16.00 Otros ingresos relacionados con actividades de inversión</t>
  </si>
  <si>
    <t>7.41.00.00 Total ingresos de efectivo de las actividades de inversión</t>
  </si>
  <si>
    <t>7.42.11.00 Egresos por propiedades, muebles y equipos</t>
  </si>
  <si>
    <t>7.42.12.00 Egresos por propiedades de inversión</t>
  </si>
  <si>
    <t>7.42.13.00 Egresos por activos intangibles</t>
  </si>
  <si>
    <t>7.42.14.00 Egresos por activos mantenidos para la venta</t>
  </si>
  <si>
    <t>7.42.15.00 Egresos por participaciones en entidades del grupo y filiales</t>
  </si>
  <si>
    <t>7.42.16.00 Otros egresos relacionados con actividades de inversión</t>
  </si>
  <si>
    <t>7.42.00.00 Total egresos de efectivo de las actividades de inversión</t>
  </si>
  <si>
    <t>7.40.00.00 Total flujo de efectivo neto de actividades de inversión</t>
  </si>
  <si>
    <t>7.51.11.00 Ingresos por emisión de instrumentos de patrimonio</t>
  </si>
  <si>
    <t>7.51.12.00 Ingresos por préstamos a relacionados</t>
  </si>
  <si>
    <t>7.51.13.00 Ingresos por préstamos bancarios</t>
  </si>
  <si>
    <t>7.51.14.00 Aumentos de capital</t>
  </si>
  <si>
    <t>7.51.15.00 Otros ingresos relacionados con actividades de financiamiento</t>
  </si>
  <si>
    <t>7.51.00.00 Total ingresos de efectivo de las actividades de financiamiento</t>
  </si>
  <si>
    <t>7.52.11.00 Dividendos a los accionistas</t>
  </si>
  <si>
    <t>7.52.12.00 Intereses pagados</t>
  </si>
  <si>
    <t>7.52.13.00 Disminución de capital</t>
  </si>
  <si>
    <t>7.52.14.00 Egresos por préstamos con relacionados</t>
  </si>
  <si>
    <t>7.52.15.00 Otros egresos relacionados con actividades de financiamiento</t>
  </si>
  <si>
    <t>7.52.00.00 Total egresos de efectivo de las actividades de financiamiento</t>
  </si>
  <si>
    <t>7.50.00.00 Total flujo de efectivo neto de actividades de financiamiento</t>
  </si>
  <si>
    <t>7.60.00.00 Efecto de las variaciones de los tipo de cambio</t>
  </si>
  <si>
    <t>7.70.00.00 Total aumento (disminución) de efectivo y equivalentes</t>
  </si>
  <si>
    <t>7.71.00.00 Efectivo y efectivo equivalente al inicio del periodo</t>
  </si>
  <si>
    <t>7.72.00.00 Efectivo y efectivo equivalente al final del periodo</t>
  </si>
  <si>
    <t>Caja</t>
  </si>
  <si>
    <t>Bancos</t>
  </si>
  <si>
    <t>Equivalente al efectivo</t>
  </si>
  <si>
    <t>Patrimonio</t>
  </si>
  <si>
    <t>Razón social</t>
  </si>
  <si>
    <t>RUT</t>
  </si>
  <si>
    <t>Domicilio</t>
  </si>
  <si>
    <t>Principales cambios societarios de fusiones y adquisiciones</t>
  </si>
  <si>
    <t>Grupo económico</t>
  </si>
  <si>
    <t>Nombre de la entidad controladora</t>
  </si>
  <si>
    <t>Nombre de la controladora última del grupo</t>
  </si>
  <si>
    <t>Actividades principales</t>
  </si>
  <si>
    <t>Nº Resolución exenta</t>
  </si>
  <si>
    <t>Fecha de resolución exenta SVS</t>
  </si>
  <si>
    <t>Nº Registro de valores</t>
  </si>
  <si>
    <t>N° de trabajadores</t>
  </si>
  <si>
    <t>Rut y nombre de empresa de auditores externos</t>
  </si>
  <si>
    <t>Número registro auditores externos SVS</t>
  </si>
  <si>
    <t>Nombre del Socio que firma el informe con la opinión</t>
  </si>
  <si>
    <t>RUN del socio de la firma auditora</t>
  </si>
  <si>
    <t>Tipo de opinión a los estados financieros de diciembre</t>
  </si>
  <si>
    <t>Fecha de emisión del informe con la opinión de los estados financieros</t>
  </si>
  <si>
    <t>Fecha sesión directorio en que se aprobaron los estados  financieros</t>
  </si>
  <si>
    <t>Nombre accionista</t>
  </si>
  <si>
    <t>RUT accionista</t>
  </si>
  <si>
    <t>Tipo de persona</t>
  </si>
  <si>
    <t>Porcentaje de propiedad</t>
  </si>
  <si>
    <t>Nombre clasificadora de riesgo</t>
  </si>
  <si>
    <t>RUT clasificadora de riesgo</t>
  </si>
  <si>
    <t>Clasificación de riesgo</t>
  </si>
  <si>
    <t>N° de registro clasificadores de riesgo</t>
  </si>
  <si>
    <t>Fecha de clasificación</t>
  </si>
  <si>
    <t>Declaración de cumplimiento</t>
  </si>
  <si>
    <t>Período contable</t>
  </si>
  <si>
    <t>Bases de medición</t>
  </si>
  <si>
    <t>Moneda funcional y de presentación</t>
  </si>
  <si>
    <t>Nuevas normas e interpretaciones para fechas futuras</t>
  </si>
  <si>
    <t>Hipótesis de negocio en marcha</t>
  </si>
  <si>
    <t>Reclasificaciones (se exceptúa para el primer envío)</t>
  </si>
  <si>
    <t>Cuando una entidad no aplique un requerimiento establecido en NIIF</t>
  </si>
  <si>
    <t>Ajustes a períodos anteriores y otros cambios contables (considerar para estados financieros posteriores a la primera aplicación)</t>
  </si>
  <si>
    <t>1. Bases de consolidación</t>
  </si>
  <si>
    <t>2. Diferencia de cambio</t>
  </si>
  <si>
    <t>3. Combinación de negocios</t>
  </si>
  <si>
    <t>4. Efectivo y efectivo equivalente</t>
  </si>
  <si>
    <t>5. Inversiones financieras</t>
  </si>
  <si>
    <t>a. Activos financieros a valor razonable</t>
  </si>
  <si>
    <t>b. Activos financieros a costo amortizado</t>
  </si>
  <si>
    <t>6. Operaciones de cobertura</t>
  </si>
  <si>
    <t>7. Inversiones seguros cuenta única de inversión (CUI)</t>
  </si>
  <si>
    <t>8. Deterioro de activos</t>
  </si>
  <si>
    <t>9. Inversiones inmobiliarias</t>
  </si>
  <si>
    <t>a. Propiedades de inversión</t>
  </si>
  <si>
    <t>b. Cuentas por cobrar leasing</t>
  </si>
  <si>
    <t>c. Propiedades de uso propio</t>
  </si>
  <si>
    <t>d. Muebles y equipos de uso propio (ver NIC 16)</t>
  </si>
  <si>
    <t>10. Intangibles</t>
  </si>
  <si>
    <t>11. Activos no corrientes mantenidos para la venta</t>
  </si>
  <si>
    <t>12. Operaciones de seguros</t>
  </si>
  <si>
    <t>a. Primas</t>
  </si>
  <si>
    <t>b. Otros activos y pasivos derivados de los contratos de seguro y reaseguro</t>
  </si>
  <si>
    <t>i. Derivados implícitos en contratos de seguro</t>
  </si>
  <si>
    <t>ii. Contratos de seguro adquiridos en combinaciones de negocios o  cesiones de cartera</t>
  </si>
  <si>
    <t>iii. Gastos de adquisición</t>
  </si>
  <si>
    <t>c. Reservas técnicas</t>
  </si>
  <si>
    <t>i. Reserva de riesgos en curso</t>
  </si>
  <si>
    <t>ii. Reserva de rentas privadas</t>
  </si>
  <si>
    <t>iii. Reserva matemática</t>
  </si>
  <si>
    <t>iv. Reserva seguro invalidez y sobrevivencia (SIS)</t>
  </si>
  <si>
    <t>v. Reserva de rentas vitalicias</t>
  </si>
  <si>
    <t>vi. Reserva de siniestros</t>
  </si>
  <si>
    <t>vii. Reserva catastrófica de terremoto</t>
  </si>
  <si>
    <t>viii. Reserva de insuficiencia de prima</t>
  </si>
  <si>
    <t>ix. Reserva adicional por test de adecuación de pasivos</t>
  </si>
  <si>
    <t>x. Otras reservas técnicas</t>
  </si>
  <si>
    <t>xi. Participación del reaseguro en las reservas técnicas</t>
  </si>
  <si>
    <t>d. Calce</t>
  </si>
  <si>
    <t>13. Participación de empresas relacionadas</t>
  </si>
  <si>
    <t>14. Pasivos financieros</t>
  </si>
  <si>
    <t>15. Provisiones</t>
  </si>
  <si>
    <t>16. Ingresos y gastos de inversiones</t>
  </si>
  <si>
    <t>17. Costo por intereses</t>
  </si>
  <si>
    <t>18. Costo de siniestros</t>
  </si>
  <si>
    <t>19. Costos de intermediación</t>
  </si>
  <si>
    <t>20. Transacciones y saldos en moneda extranjera</t>
  </si>
  <si>
    <t>21. Impuesto a la renta e impuesto diferido</t>
  </si>
  <si>
    <t>22. Operaciones discontinuadas</t>
  </si>
  <si>
    <t>23. Otros</t>
  </si>
  <si>
    <t>a) Determinación de valores razonables de activos y pasivos</t>
  </si>
  <si>
    <t>b) Las pérdidas por deterioro de determinados activos</t>
  </si>
  <si>
    <t>c) Cálculo de provisiones para riesgos y gastos</t>
  </si>
  <si>
    <t>d) Cálculo actuarial de los pasivos</t>
  </si>
  <si>
    <t>f) Cualquier cambio material en el valor de los activos o pasivos dentro del año próximo</t>
  </si>
  <si>
    <t>Efectivo y efectivo equivalente</t>
  </si>
  <si>
    <t>Costo amortizado [miembro]</t>
  </si>
  <si>
    <t>Nivel 1 Cotización mercados [miembro]</t>
  </si>
  <si>
    <t>Nivel 2 Cotización mercados [miembro]</t>
  </si>
  <si>
    <t>Nivel 3 Cotización mercados [miembro]</t>
  </si>
  <si>
    <t>Acciones de sociedades anónimas abiertas</t>
  </si>
  <si>
    <t>Acciones de sociedades anónimas cerradas</t>
  </si>
  <si>
    <t>Fondos de inversión</t>
  </si>
  <si>
    <t>Fondos mutuos</t>
  </si>
  <si>
    <t>Acciones de sociedades extranjeras</t>
  </si>
  <si>
    <t>Cuotas de fondos de inversión extranjeros</t>
  </si>
  <si>
    <t>Cuotas de fondos de inversión constituidos en el país cuyos activos están invertidos en  valores extranjeros</t>
  </si>
  <si>
    <t>Cuotas de fondos mutuos extranjeros</t>
  </si>
  <si>
    <t>Cuotas de fondos mutuos constituidos en el país cuyos activos están invertidos en valores extranjero</t>
  </si>
  <si>
    <t>Derivados</t>
  </si>
  <si>
    <t>Derivados de cobertura</t>
  </si>
  <si>
    <t>Derivados de inversión</t>
  </si>
  <si>
    <t>Otros derivados</t>
  </si>
  <si>
    <t>Número de contratos</t>
  </si>
  <si>
    <t>Efecto en resultados del ejercicio</t>
  </si>
  <si>
    <t>Efecto en OCI (other comprensive income)</t>
  </si>
  <si>
    <t>Monto activos en margen</t>
  </si>
  <si>
    <t>Cobertura</t>
  </si>
  <si>
    <t>Cobertura 1512</t>
  </si>
  <si>
    <t>Folio operación</t>
  </si>
  <si>
    <t>Ítem operación</t>
  </si>
  <si>
    <t>Nombre contraparte</t>
  </si>
  <si>
    <t>Nacionalidad contraparte</t>
  </si>
  <si>
    <t>Clasificación de riesgo contraparte</t>
  </si>
  <si>
    <t>Activo objeto</t>
  </si>
  <si>
    <t>Nominales</t>
  </si>
  <si>
    <t>Fecha de la operación</t>
  </si>
  <si>
    <t>Fecha de vencimiento del contrato</t>
  </si>
  <si>
    <t>Moneda forward</t>
  </si>
  <si>
    <t>Precio forward</t>
  </si>
  <si>
    <t>Valor de mercado del activo objeto a la fecha de información</t>
  </si>
  <si>
    <t>Precio spot del forward a la fecha de información</t>
  </si>
  <si>
    <t>Precio forward cotizado en mercado a la fecha de información</t>
  </si>
  <si>
    <t>Tasa de descuento de flujos forward</t>
  </si>
  <si>
    <t>Valor de razonable del contrato forward a la fecha de información</t>
  </si>
  <si>
    <t>Origen de información de forward</t>
  </si>
  <si>
    <t>Nominales posición larga swap</t>
  </si>
  <si>
    <t>Nominales posición corta swap</t>
  </si>
  <si>
    <t>Moneda posición larga swap</t>
  </si>
  <si>
    <t>Moneda posición corta swap</t>
  </si>
  <si>
    <t>Tipo cambio contrato swap</t>
  </si>
  <si>
    <t>Tasa posición larga swap</t>
  </si>
  <si>
    <t>Tasa posición corta swap</t>
  </si>
  <si>
    <t>Tipo cambio mercado de swap</t>
  </si>
  <si>
    <t>Tasa mercado posición larga swap</t>
  </si>
  <si>
    <t>Tasa mercado posición corta swap</t>
  </si>
  <si>
    <t>Valor presente posición larga swap</t>
  </si>
  <si>
    <t>Valor presente posición corta swap</t>
  </si>
  <si>
    <t>Valor razonable del contrato swap a la fecha de información</t>
  </si>
  <si>
    <t>Origen de información de swap</t>
  </si>
  <si>
    <t>Créditos sindicados</t>
  </si>
  <si>
    <t>Folio operación pactos</t>
  </si>
  <si>
    <t>Ítem operación pactos</t>
  </si>
  <si>
    <t>Nombre contraparte pactos</t>
  </si>
  <si>
    <t>Nacionalidad contraparte pactos</t>
  </si>
  <si>
    <t>Activo objeto pactos</t>
  </si>
  <si>
    <t>Serie activo objeto pactos</t>
  </si>
  <si>
    <t>Nominales pactos</t>
  </si>
  <si>
    <t>Valor inicial de los pactos</t>
  </si>
  <si>
    <t>Valor pactado de los pactos</t>
  </si>
  <si>
    <t>Tasa de interés de los pactos</t>
  </si>
  <si>
    <t>Fecha de la operación pactos</t>
  </si>
  <si>
    <t>Fecha de vencimiento del contrato de los pactos</t>
  </si>
  <si>
    <t>Interés devengado de los pactos</t>
  </si>
  <si>
    <t>Valor razonable del activo objeto a la fecha de información de los pactos</t>
  </si>
  <si>
    <t>Valor de los pactos a la fecha de información</t>
  </si>
  <si>
    <t>Pactos de venta con retrocompra [miembro]</t>
  </si>
  <si>
    <t>Avance tenedores de pólizas</t>
  </si>
  <si>
    <t>Préstamos otorgados</t>
  </si>
  <si>
    <t>Préstamos</t>
  </si>
  <si>
    <t>Castigo de préstamos</t>
  </si>
  <si>
    <t>Total inversiones [miembro]</t>
  </si>
  <si>
    <t>Activos a valor razonable [miembro]</t>
  </si>
  <si>
    <t>Activos a costo amortizado [miembro]</t>
  </si>
  <si>
    <t>Deterioro inversiones a costo amortizado [miembro]</t>
  </si>
  <si>
    <t>Instrumentos del estado</t>
  </si>
  <si>
    <t>Instrumentos emitidos por el sistema financiero</t>
  </si>
  <si>
    <t>Instrumento de deuda o crédito</t>
  </si>
  <si>
    <t>Instrumentos de empresas nacionales transados en el extranjero</t>
  </si>
  <si>
    <t>Otras inversiones nacionales</t>
  </si>
  <si>
    <t>Inversiones en el extranjero</t>
  </si>
  <si>
    <t>Títulos emitidos por estados y bancos centrales extranjeros</t>
  </si>
  <si>
    <t>Títulos emitidos por bancos y financieras extranjeras</t>
  </si>
  <si>
    <t>Títulos emitidos por empresas extranjeras</t>
  </si>
  <si>
    <t>Cuotas de fondos mutuos constituidos en el país cuyos activos están invertidos en valores extranjeros</t>
  </si>
  <si>
    <t>Otras inversiones extranjeras</t>
  </si>
  <si>
    <t>Banco</t>
  </si>
  <si>
    <t>Inmobiliaria</t>
  </si>
  <si>
    <t>Deterioro inversiones financieras</t>
  </si>
  <si>
    <t>Valor contable propiedades de inversión</t>
  </si>
  <si>
    <t>Propiedades de inversión</t>
  </si>
  <si>
    <t>Valor contable propiedades de uso propio</t>
  </si>
  <si>
    <t>Propiedades de uso propio</t>
  </si>
  <si>
    <t>Cuentas por cobrar coaseguro (Líder)</t>
  </si>
  <si>
    <t>Cuentas por cobrar asegurados</t>
  </si>
  <si>
    <t>Meses anteriores</t>
  </si>
  <si>
    <t>Pagos vencidos</t>
  </si>
  <si>
    <t>Voluntarias</t>
  </si>
  <si>
    <t>Meses posteriores</t>
  </si>
  <si>
    <t>Recupero de cuentas por cobrar de seguros</t>
  </si>
  <si>
    <t>Deudores por operaciones de reaseguro</t>
  </si>
  <si>
    <t>Activos por reaseguro no proporcional revocables</t>
  </si>
  <si>
    <t>Activos por reaseguro no proporcional no revocables</t>
  </si>
  <si>
    <t>Recupero de cuentas por cobrar de reaseguros</t>
  </si>
  <si>
    <t>Código corredor reaseguros</t>
  </si>
  <si>
    <t>Tipo de relación</t>
  </si>
  <si>
    <t>País del corredor</t>
  </si>
  <si>
    <t>Rut reasegurador</t>
  </si>
  <si>
    <t>País del reasegurador</t>
  </si>
  <si>
    <t>Código de identificación reasegurador</t>
  </si>
  <si>
    <t>Siniestros por cobrar a reaseguradores</t>
  </si>
  <si>
    <t>Siniestros por cobrar reaseguradores nacionales cedidos</t>
  </si>
  <si>
    <t>Siniestros por cobrar reaseguradores extranjeros cedidos</t>
  </si>
  <si>
    <t>Total</t>
  </si>
  <si>
    <t>Saldo participación del reasegurador en la reserva riesgos en curso</t>
  </si>
  <si>
    <t>Participación del reasegurador en la reserva riesgos en curso extranjeros</t>
  </si>
  <si>
    <t>Participación del reasegurador en la reserva riesgos en curso nacionales</t>
  </si>
  <si>
    <t>Siniestros por cobrar por operaciones de coaseguros vencidos</t>
  </si>
  <si>
    <t>Siniestros por cobrar por operaciones de coaseguros no vencidos</t>
  </si>
  <si>
    <t>Deudores por operaciones de coaseguro</t>
  </si>
  <si>
    <t>Reserva riesgos en curso</t>
  </si>
  <si>
    <t>Reservas seguros previsionales</t>
  </si>
  <si>
    <t>Reserva rentas vitalicias</t>
  </si>
  <si>
    <t>Reserva seguro invalidez y sobrevivencia</t>
  </si>
  <si>
    <t>Reserva matemática</t>
  </si>
  <si>
    <t>Reserva rentas privadas</t>
  </si>
  <si>
    <t>Reserva de siniestros</t>
  </si>
  <si>
    <t>Liquidados y no pagados</t>
  </si>
  <si>
    <t>Liquidados y controvertidos por el asegurado</t>
  </si>
  <si>
    <t>En proceso de liquidación</t>
  </si>
  <si>
    <t>Siniestros reportados</t>
  </si>
  <si>
    <t>Siniestros detectados y no reportados</t>
  </si>
  <si>
    <t>Ocurridos y no reportados</t>
  </si>
  <si>
    <t>Reserva de insuficiencia de prima</t>
  </si>
  <si>
    <t>Otras reservas técnicas</t>
  </si>
  <si>
    <t>Reserva valor del fondo</t>
  </si>
  <si>
    <t>Pagos provisionales mensuales</t>
  </si>
  <si>
    <t>PPM por pérdidas acumuladas artículo N°31 inciso 3</t>
  </si>
  <si>
    <t>Crédito por gastos por capacitación</t>
  </si>
  <si>
    <t>Crédito por adquisición de activos fijos</t>
  </si>
  <si>
    <t>Inversiones financieras con efecto en patrimonio</t>
  </si>
  <si>
    <t>Deterioro cuentas incobrables</t>
  </si>
  <si>
    <t>Deterioro deudores por reaseguro</t>
  </si>
  <si>
    <t>Deterioro instrumentos de renta fija</t>
  </si>
  <si>
    <t>Deterioro mutuos hipotecarios</t>
  </si>
  <si>
    <t>Deterioro bienes raíces</t>
  </si>
  <si>
    <t>Deterioro intangibles</t>
  </si>
  <si>
    <t>Deterioro contratos de leasing</t>
  </si>
  <si>
    <t>Deterioro préstamos otorgados</t>
  </si>
  <si>
    <t>Valorización acciones</t>
  </si>
  <si>
    <t>Valorización fondos de inversión</t>
  </si>
  <si>
    <t>Valorización fondos mutuos</t>
  </si>
  <si>
    <t>Valorización inversión extranjera</t>
  </si>
  <si>
    <t>Valorización operaciones de cobertura de riesgo financiero</t>
  </si>
  <si>
    <t>Valorización pactos</t>
  </si>
  <si>
    <t>Provisión remuneraciones</t>
  </si>
  <si>
    <t>Provisión gratificaciones</t>
  </si>
  <si>
    <t>Provisión DEF</t>
  </si>
  <si>
    <t>Provisión vacaciones</t>
  </si>
  <si>
    <t>Provisión indemnización años de servicio</t>
  </si>
  <si>
    <t>Gastos anticipados</t>
  </si>
  <si>
    <t>Gastos activados</t>
  </si>
  <si>
    <t>Pérdidas tributarias</t>
  </si>
  <si>
    <t>Cuentas por cobrar asesores previsionales</t>
  </si>
  <si>
    <t>Otras cuentas por cobrar seguros</t>
  </si>
  <si>
    <t>Cuentas por cobrar intermediarios</t>
  </si>
  <si>
    <t>Explicación del concepto</t>
  </si>
  <si>
    <t>Valores representativos de deuda</t>
  </si>
  <si>
    <t>Derivados inversión</t>
  </si>
  <si>
    <t>Pasivos financieros a valor razonable</t>
  </si>
  <si>
    <t>Fecha de otorgamiento</t>
  </si>
  <si>
    <t>Moneda</t>
  </si>
  <si>
    <t>Liberación por fallecimiento</t>
  </si>
  <si>
    <t>Cheques caducados</t>
  </si>
  <si>
    <t>Cheques no cobrados</t>
  </si>
  <si>
    <t>Rentas garantizadas vencidas no canceladas</t>
  </si>
  <si>
    <t>Pago de pensiones transitorias invalidez parcial</t>
  </si>
  <si>
    <t>Primas</t>
  </si>
  <si>
    <t>Interés</t>
  </si>
  <si>
    <t>Reserva liberada por muerte</t>
  </si>
  <si>
    <t>Reserva liberada por otros términos</t>
  </si>
  <si>
    <t>Reserva descalce seguros CUI</t>
  </si>
  <si>
    <t>Nombre del fondo</t>
  </si>
  <si>
    <t>Distribución estratégica</t>
  </si>
  <si>
    <t>Flujo de activos nominales en UF Ak Tramo CPk-1</t>
  </si>
  <si>
    <t>Flujo de pasivos de seguros nominales en UF Bk Tramo CPk-1</t>
  </si>
  <si>
    <t>Flujo de pasivos financieros en UF Ck Tramo CPk-1</t>
  </si>
  <si>
    <t>Indice de cobertura de activos CAk Tramo CPk-1</t>
  </si>
  <si>
    <t>Indice de cobertura de pasivos CPk Tramo CPk-1</t>
  </si>
  <si>
    <t>Flujo de activos nominales en UF Ak Tramo CPk-2</t>
  </si>
  <si>
    <t>Flujo de pasivos de seguros nominales en UF Bk Tramo CPk-2</t>
  </si>
  <si>
    <t>Flujo de pasivos financieros en UF Ck Tramo CPk-2</t>
  </si>
  <si>
    <t>Indice de cobertura de activos CAk Tramo CPk-2</t>
  </si>
  <si>
    <t>Indice de cobertura de pasivos CPk Tramo CPk-2</t>
  </si>
  <si>
    <t>Flujo de activos nominales en UF Ak Tramo CPk-3</t>
  </si>
  <si>
    <t>Flujo de pasivos de seguros nominales en UF Bk Tramo CPk-3</t>
  </si>
  <si>
    <t>Flujo de pasivos financieros en UF Ck Tramo CPk-3</t>
  </si>
  <si>
    <t>Indice de cobertura de activos CAk Tramo CPk-3</t>
  </si>
  <si>
    <t>Indice de cobertura de pasivos CPk Tramo CPk-3</t>
  </si>
  <si>
    <t>Flujo de activos nominales en UF Ak Tramo CPk-4</t>
  </si>
  <si>
    <t>Flujo de pasivos de seguros nominales en UF Bk Tramo CPk-4</t>
  </si>
  <si>
    <t>Flujo de pasivos financieros en UF Ck Tramo CPk-4</t>
  </si>
  <si>
    <t>Indice de cobertura de activos CAk Tramo CPk-4</t>
  </si>
  <si>
    <t>Indice de cobertura de pasivos CPk Tramo CPk-4</t>
  </si>
  <si>
    <t>Flujo de activos nominales en UF Ak Tramo CPk-5</t>
  </si>
  <si>
    <t>Flujo de pasivos de seguros nominales en UF Bk Tramo CPk-5</t>
  </si>
  <si>
    <t>Flujo de pasivos financieros en UF Ck Tramo CPk-5</t>
  </si>
  <si>
    <t>Indice de cobertura de activos CAk Tramo CPk-5</t>
  </si>
  <si>
    <t>Indice de cobertura de pasivos CPk Tramo CPk-5</t>
  </si>
  <si>
    <t>Diferencia reconocida RV-2009 (9)</t>
  </si>
  <si>
    <t>RTF 2014 (10)</t>
  </si>
  <si>
    <t>RTFs 2014 (11)</t>
  </si>
  <si>
    <t>Diferencia por roconocer Tablas 2014 (12)</t>
  </si>
  <si>
    <t>RTB 2009-2006-2006 (14)</t>
  </si>
  <si>
    <t>RTB 2014 (15)</t>
  </si>
  <si>
    <t>RTBs 2014 (16)</t>
  </si>
  <si>
    <t>Diferencia por reconocer Tablas 2014 (17)</t>
  </si>
  <si>
    <t>Monto de la cuota anual a la que se refiere la letra c) de la C.1874</t>
  </si>
  <si>
    <t>Valor de la cuota trimestral</t>
  </si>
  <si>
    <t>Número de la cuota</t>
  </si>
  <si>
    <t>Valor de todas las cuotas reconocidas a la fecha de cierre de los estados financieros</t>
  </si>
  <si>
    <t>Tasa de costo equivalente promedio implícita en el cálculo de las reserva técnica base total de la cartera de rentas vitalicias de la compañía vigente al 31 de enero de 2008</t>
  </si>
  <si>
    <t>Valor de la cuota trimestral utilizada en el período junio 2008 a mayo 2012</t>
  </si>
  <si>
    <t>Valor de la cuota trimestral utilizada en el período junio 2012 a mayo 2017</t>
  </si>
  <si>
    <t>Valor de la cuota trimestral utilizada en el período junio 2017 a mayo 2022</t>
  </si>
  <si>
    <t>Costo invalidez parcial</t>
  </si>
  <si>
    <t>Contribución</t>
  </si>
  <si>
    <t>Inválidos transitorios fallecidos</t>
  </si>
  <si>
    <t>Sobrevivencia</t>
  </si>
  <si>
    <t>RIP Directo</t>
  </si>
  <si>
    <t>Participación del reasegurador en la RIP</t>
  </si>
  <si>
    <t>Total RIP neta</t>
  </si>
  <si>
    <t>Nombre</t>
  </si>
  <si>
    <t>País</t>
  </si>
  <si>
    <t>SOAP</t>
  </si>
  <si>
    <t>SOAPEX contratados en chile</t>
  </si>
  <si>
    <t>SOAPEX contratados en el extranjero</t>
  </si>
  <si>
    <t>Fallecidos</t>
  </si>
  <si>
    <t>Deudas con asegurados</t>
  </si>
  <si>
    <t>1. Saldos sin retención</t>
  </si>
  <si>
    <t>mes j</t>
  </si>
  <si>
    <t>Total (1+2)</t>
  </si>
  <si>
    <t>2. Fondos retenidos</t>
  </si>
  <si>
    <t>Deudas por operaciones reaseguro</t>
  </si>
  <si>
    <t>Siniestros por pagar por operaciones de coaseguro</t>
  </si>
  <si>
    <t>Concepto</t>
  </si>
  <si>
    <t>Provisión adicional efectuada en el periodo</t>
  </si>
  <si>
    <t>Incrementos en provisiones existentes</t>
  </si>
  <si>
    <t>Importes no utilizados durante el período</t>
  </si>
  <si>
    <t>Iva por pagar</t>
  </si>
  <si>
    <t>Impuesto de terceros</t>
  </si>
  <si>
    <t>Impuesto de reaseguro</t>
  </si>
  <si>
    <t>Asesores previsionales</t>
  </si>
  <si>
    <t>Corredores</t>
  </si>
  <si>
    <t>Otras deudas por seguro</t>
  </si>
  <si>
    <t>Deudas con intermediarios</t>
  </si>
  <si>
    <t>Indemnizaciones y otros</t>
  </si>
  <si>
    <t>Remuneraciones por pagar</t>
  </si>
  <si>
    <t>Deudas previsionales</t>
  </si>
  <si>
    <t>Deudas con el personal</t>
  </si>
  <si>
    <t>Monto</t>
  </si>
  <si>
    <t>Reaseguro nacional</t>
  </si>
  <si>
    <t>Reaseguro extranjero</t>
  </si>
  <si>
    <t>Siniestros directos</t>
  </si>
  <si>
    <t>Siniestros pagados directos</t>
  </si>
  <si>
    <t>Siniestros por pagar directos</t>
  </si>
  <si>
    <t>Siniestros por pagar directos período anterior</t>
  </si>
  <si>
    <t>Siniestros cedidos</t>
  </si>
  <si>
    <t>Siniestros pagados cedidos</t>
  </si>
  <si>
    <t>Siniestros por pagar cedidos</t>
  </si>
  <si>
    <t>Siniestros por pagar cedidos período anterior</t>
  </si>
  <si>
    <t>Siniestros aceptados</t>
  </si>
  <si>
    <t>Siniestros pagados aceptados</t>
  </si>
  <si>
    <t>Siniestros por pagar aceptados</t>
  </si>
  <si>
    <t>Siniestros por pagar aceptados período anterior</t>
  </si>
  <si>
    <t>Remuneraciones</t>
  </si>
  <si>
    <t>Gastos asociados al canal de distribución</t>
  </si>
  <si>
    <t>Primas por cobrar a asegurados</t>
  </si>
  <si>
    <t>Primas por cobrar reaseguro aceptado</t>
  </si>
  <si>
    <t>Primas por cobrar por operaciones de coaseguro</t>
  </si>
  <si>
    <t>Siniestros por cobrar por operaciones de coaseguro</t>
  </si>
  <si>
    <t>Participación de reaseguro en Reservas Técnicas</t>
  </si>
  <si>
    <t>Resultado en venta de propiedades de uso propio</t>
  </si>
  <si>
    <t>Resultado en venta de bienes entregados en leasing</t>
  </si>
  <si>
    <t>Resultado en venta de propiedades de inversión</t>
  </si>
  <si>
    <t>Otros</t>
  </si>
  <si>
    <t>Resultado en venta instrumentos financieros</t>
  </si>
  <si>
    <t>Variaciones en el valor de mercado respecto del valor costo corregido</t>
  </si>
  <si>
    <t>Ajuste a mercado de la cartera</t>
  </si>
  <si>
    <t>Intereses por bienes entregados en leasing</t>
  </si>
  <si>
    <t>Intereses</t>
  </si>
  <si>
    <t>Dividendos</t>
  </si>
  <si>
    <t>Depreciación de propiedades de uso propio</t>
  </si>
  <si>
    <t>Depreciación de propiedades de inversión</t>
  </si>
  <si>
    <t>Gastos asociados a la gestión de la cartera de inversiones</t>
  </si>
  <si>
    <t>Resultado neto inversiones por seguros con cuenta única de inversiones</t>
  </si>
  <si>
    <t>Bienes entregados en leasing</t>
  </si>
  <si>
    <t>Resultado de inversiones</t>
  </si>
  <si>
    <t>1. Inversiones nacionales</t>
  </si>
  <si>
    <t>1.1 Renta fija</t>
  </si>
  <si>
    <t>1.1.1 Estatales</t>
  </si>
  <si>
    <t>1.1.2 Bancarios</t>
  </si>
  <si>
    <t>1.1.3 Corporativo</t>
  </si>
  <si>
    <t>1.1.4 Securitizados</t>
  </si>
  <si>
    <t>1.1.5 Mutuos hipotecarios endosables</t>
  </si>
  <si>
    <t>1.1.6 Otros renta fija</t>
  </si>
  <si>
    <t>1.2 Renta variable</t>
  </si>
  <si>
    <t>1.2.1 Acciones</t>
  </si>
  <si>
    <t>1.2.2 Fondos de inversión</t>
  </si>
  <si>
    <t>1.2.3 Fondos mutuos</t>
  </si>
  <si>
    <t>1.2.4 Otros renta variable</t>
  </si>
  <si>
    <t>1.3 Bienes Raices</t>
  </si>
  <si>
    <t>1.3.1 Bienes raíces de uso propio</t>
  </si>
  <si>
    <t>1.3.2 Propiedad de inversión</t>
  </si>
  <si>
    <t>1.3.2.1 Bienes raíces en leasing</t>
  </si>
  <si>
    <t>1.3.2.2 Bienes raices de inversión</t>
  </si>
  <si>
    <t>2. Inversiones en el extranjero</t>
  </si>
  <si>
    <t>2.1 Renta fija</t>
  </si>
  <si>
    <t>2.2 Acciones</t>
  </si>
  <si>
    <t>2.3 Fondos mutuos o de inversión</t>
  </si>
  <si>
    <t>2.4 Otros extranjeros</t>
  </si>
  <si>
    <t>3. Derivados</t>
  </si>
  <si>
    <t>4. Otras inversiones</t>
  </si>
  <si>
    <t>Total (1+2+3+4)</t>
  </si>
  <si>
    <t>Reserva Rentas Vitalicias</t>
  </si>
  <si>
    <t>Reserva Riesgo en Curso</t>
  </si>
  <si>
    <t>Reserva Matemática</t>
  </si>
  <si>
    <t>Reserva Valor del Fondo</t>
  </si>
  <si>
    <t>Reserva Rentas Privadas</t>
  </si>
  <si>
    <t>Reserva Seguro Invalidez y Sobrevivencia</t>
  </si>
  <si>
    <t>Reserva Catastrófica de Terremoto</t>
  </si>
  <si>
    <t>Reserva Insuficiencia de Prima</t>
  </si>
  <si>
    <t>Otras Reservas Técnicas</t>
  </si>
  <si>
    <t>Diferencia de cambio</t>
  </si>
  <si>
    <t>Reserva Siniestros</t>
  </si>
  <si>
    <t>Utilidad (pérdida) por unidades reajustables</t>
  </si>
  <si>
    <t>Impuesto año corriente</t>
  </si>
  <si>
    <t>Abono (cargo) por impuestos diferidos</t>
  </si>
  <si>
    <t>Originación y reverso de diferencias temporarias</t>
  </si>
  <si>
    <t>Cambio en diferencias temporales no reconocidas</t>
  </si>
  <si>
    <t>Beneficio y obligación fiscal ejercicios anteriores</t>
  </si>
  <si>
    <t>Reconocimientos de pérdidas tributarias no reconocidas previamente</t>
  </si>
  <si>
    <t>Total impuestos renta y diferido</t>
  </si>
  <si>
    <t>Impuesto por gastos rechazados artículo N°21</t>
  </si>
  <si>
    <t>Cargo (abono) neto a resultados por impuesto a la renta</t>
  </si>
  <si>
    <t>Tasa de impuesto</t>
  </si>
  <si>
    <t>Impuesto renta</t>
  </si>
  <si>
    <t>Tipo de activos comprometidos</t>
  </si>
  <si>
    <t>Valor contable activos comprometidos</t>
  </si>
  <si>
    <t>Monto liberación del compromiso</t>
  </si>
  <si>
    <t>Observaciones</t>
  </si>
  <si>
    <t>Entidad que sanciona</t>
  </si>
  <si>
    <t>Entidad o persona sancionada</t>
  </si>
  <si>
    <t>Fecha de la sanción</t>
  </si>
  <si>
    <t>Monto de la sanción</t>
  </si>
  <si>
    <t>Resumen de la infracción</t>
  </si>
  <si>
    <t>Instrumentos Renta Fija</t>
  </si>
  <si>
    <t>Instrumentos de Renta Variable</t>
  </si>
  <si>
    <t>Otras Inversiones</t>
  </si>
  <si>
    <t>Coaseguradores</t>
  </si>
  <si>
    <t>Participación del reaseguro en la reserva técnica</t>
  </si>
  <si>
    <t>Posición neta (moneda de origen)</t>
  </si>
  <si>
    <t>Tipos de cambios de cierre a la fecha de la información</t>
  </si>
  <si>
    <t>Unidades reajustables</t>
  </si>
  <si>
    <t>Inversiones</t>
  </si>
  <si>
    <t>Deudores por primas</t>
  </si>
  <si>
    <t>Asegurados</t>
  </si>
  <si>
    <t>Reaseguradores</t>
  </si>
  <si>
    <t>Deudores por siniestros</t>
  </si>
  <si>
    <t>Otros deudores</t>
  </si>
  <si>
    <t>Otros activos</t>
  </si>
  <si>
    <t>Total activos</t>
  </si>
  <si>
    <t>Reservas</t>
  </si>
  <si>
    <t>Reservas de primas</t>
  </si>
  <si>
    <t>Otras reservas (Sólo Mutuales)</t>
  </si>
  <si>
    <t>Primas por pagar</t>
  </si>
  <si>
    <t>Coaseguros</t>
  </si>
  <si>
    <t>Otros pasivos</t>
  </si>
  <si>
    <t>Total pasivos</t>
  </si>
  <si>
    <t>Posición neta</t>
  </si>
  <si>
    <t>Siniestros</t>
  </si>
  <si>
    <t>Movimiento neto</t>
  </si>
  <si>
    <t>Prima directa</t>
  </si>
  <si>
    <t>Prima cedida</t>
  </si>
  <si>
    <t>Prima aceptada</t>
  </si>
  <si>
    <t>Ajuste reserva técnica</t>
  </si>
  <si>
    <t>Total ingreso de explotación</t>
  </si>
  <si>
    <t>Costo de intermediación</t>
  </si>
  <si>
    <t>Costo de siniestros</t>
  </si>
  <si>
    <t>Costo de administración</t>
  </si>
  <si>
    <t>Total costo de explotación</t>
  </si>
  <si>
    <t>Producto de inversiones</t>
  </si>
  <si>
    <t>Otros ingresos y egresos</t>
  </si>
  <si>
    <t>Resultado antes de impuesto</t>
  </si>
  <si>
    <t>Accidentes</t>
  </si>
  <si>
    <t>Salud</t>
  </si>
  <si>
    <t>Adicionales</t>
  </si>
  <si>
    <t>Subtotal</t>
  </si>
  <si>
    <t>Sin res. matem.=RRC (sin adicionales)</t>
  </si>
  <si>
    <t>Con res. matem.=RRC (sin adicionales)</t>
  </si>
  <si>
    <t>Seg. AFP</t>
  </si>
  <si>
    <t>Inv. y sobr.</t>
  </si>
  <si>
    <t>Total margen de solvencia</t>
  </si>
  <si>
    <t>En función de las primas</t>
  </si>
  <si>
    <t>En función de los siniestros</t>
  </si>
  <si>
    <t>F.P.</t>
  </si>
  <si>
    <t>F.R.</t>
  </si>
  <si>
    <t>F.S.</t>
  </si>
  <si>
    <t>CÍA.</t>
  </si>
  <si>
    <t>SVS</t>
  </si>
  <si>
    <t>Factor</t>
  </si>
  <si>
    <t>Total margen de solvencia (columna ant./20)</t>
  </si>
  <si>
    <t>Pasivo indirecto</t>
  </si>
  <si>
    <t>Reserva de seguros letra A.</t>
  </si>
  <si>
    <t>Reserva seguros letra B.</t>
  </si>
  <si>
    <t>Oblig. cia. menos res. A y B</t>
  </si>
  <si>
    <t>Obligación de invertir las reservas técnicas y patrimonio de riesgo</t>
  </si>
  <si>
    <t>Patrimonio de riesgo (patrimonio neto mutuales)</t>
  </si>
  <si>
    <t>Inversiones representativas de reservas técnicas y patrimonio de riesgo</t>
  </si>
  <si>
    <t>Superávit (déficit) de inversiones representativas de reservas técnicas y patrimonio de riesgo</t>
  </si>
  <si>
    <t>Patrimonio neto</t>
  </si>
  <si>
    <t>Activo no efectivo</t>
  </si>
  <si>
    <t>Endeudamiento</t>
  </si>
  <si>
    <t>Reserva de rentas vitalicias</t>
  </si>
  <si>
    <t>Reserva de rentas privadas</t>
  </si>
  <si>
    <t>Reserva catastrófica de terremoto</t>
  </si>
  <si>
    <t>Reserva de insuficiencia de primas</t>
  </si>
  <si>
    <t>Patrimonio de riesgo</t>
  </si>
  <si>
    <t>Margen de solvencia</t>
  </si>
  <si>
    <t>Patrimonio de endeudamiento</t>
  </si>
  <si>
    <t>Pasivo exigible + pasivo indirecto - reservas técnicas</t>
  </si>
  <si>
    <t>Patrimonio mínimo UF 90.000 ( UF 120.000 si es reaseguradora)</t>
  </si>
  <si>
    <t>Prima cedida no ganada (PCNG)</t>
  </si>
  <si>
    <t>Descuento de cesión no ganado (DCNG)</t>
  </si>
  <si>
    <t>Primas por pagar a reaseguradores y coaseguradores PPR</t>
  </si>
  <si>
    <t>Prima cedida no ganada PCNG</t>
  </si>
  <si>
    <t>Descuento de cesión no ganado DCNG</t>
  </si>
  <si>
    <t>Reserva de siniestros por prima por pagar RSPP</t>
  </si>
  <si>
    <t>Reserva riesgo en curso por primas por pagar RRCPP</t>
  </si>
  <si>
    <t>Cuenta del estado financiero</t>
  </si>
  <si>
    <t>Amortización del período</t>
  </si>
  <si>
    <t>Plazo de amortización (meses)</t>
  </si>
  <si>
    <t>21) Crédito a asegurados por prima no vencida y no devengada.(1er.grupo)</t>
  </si>
  <si>
    <t>22) Siniestros por cobrar a reaseguradores (por siniestros) pagados a asegurados no vencido</t>
  </si>
  <si>
    <t>Entidad relacionada naturaleza de la operación</t>
  </si>
  <si>
    <t>Plazo</t>
  </si>
  <si>
    <t>Naturaleza de la relación</t>
  </si>
  <si>
    <t>Descripción de la transacción</t>
  </si>
  <si>
    <t>Monto de la transacción</t>
  </si>
  <si>
    <t>Efecto en resultado Ut (Perd)</t>
  </si>
  <si>
    <t>Totales</t>
  </si>
  <si>
    <t>Directores</t>
  </si>
  <si>
    <t>Consejeros</t>
  </si>
  <si>
    <t>Gerentes</t>
  </si>
  <si>
    <t>Remuneraciones pagadas</t>
  </si>
  <si>
    <t>Dieta de Directorio</t>
  </si>
  <si>
    <t>Dieta comité de directores</t>
  </si>
  <si>
    <t>Participación de utilidades</t>
  </si>
  <si>
    <t>102</t>
  </si>
  <si>
    <t>103</t>
  </si>
  <si>
    <t>104</t>
  </si>
  <si>
    <t>105</t>
  </si>
  <si>
    <t>106</t>
  </si>
  <si>
    <t>107</t>
  </si>
  <si>
    <t>108</t>
  </si>
  <si>
    <t>109</t>
  </si>
  <si>
    <t>110</t>
  </si>
  <si>
    <t>111</t>
  </si>
  <si>
    <t>112</t>
  </si>
  <si>
    <t>113</t>
  </si>
  <si>
    <t>114</t>
  </si>
  <si>
    <t>150</t>
  </si>
  <si>
    <t>201</t>
  </si>
  <si>
    <t>202</t>
  </si>
  <si>
    <t>203</t>
  </si>
  <si>
    <t>204</t>
  </si>
  <si>
    <t>205</t>
  </si>
  <si>
    <t>206</t>
  </si>
  <si>
    <t>207</t>
  </si>
  <si>
    <t>208</t>
  </si>
  <si>
    <t>209</t>
  </si>
  <si>
    <t>210</t>
  </si>
  <si>
    <t>211</t>
  </si>
  <si>
    <t>212</t>
  </si>
  <si>
    <t>213</t>
  </si>
  <si>
    <t>214</t>
  </si>
  <si>
    <t>250</t>
  </si>
  <si>
    <t>301</t>
  </si>
  <si>
    <t>302</t>
  </si>
  <si>
    <t>303</t>
  </si>
  <si>
    <t>304</t>
  </si>
  <si>
    <t>305</t>
  </si>
  <si>
    <t>306</t>
  </si>
  <si>
    <t>307</t>
  </si>
  <si>
    <t>308</t>
  </si>
  <si>
    <t>309</t>
  </si>
  <si>
    <t>310</t>
  </si>
  <si>
    <t>311</t>
  </si>
  <si>
    <t>312</t>
  </si>
  <si>
    <t>313</t>
  </si>
  <si>
    <t>314</t>
  </si>
  <si>
    <t>350</t>
  </si>
  <si>
    <t>420</t>
  </si>
  <si>
    <t>421</t>
  </si>
  <si>
    <t>421.1</t>
  </si>
  <si>
    <t>421.2</t>
  </si>
  <si>
    <t>422</t>
  </si>
  <si>
    <t>422.1</t>
  </si>
  <si>
    <t>422.2</t>
  </si>
  <si>
    <t>423</t>
  </si>
  <si>
    <t>424</t>
  </si>
  <si>
    <t>425</t>
  </si>
  <si>
    <t>426</t>
  </si>
  <si>
    <t>Vencimientos</t>
  </si>
  <si>
    <t>Número de siniestros</t>
  </si>
  <si>
    <t>NOTA</t>
  </si>
  <si>
    <t>Estado de situación financiera</t>
  </si>
  <si>
    <t>31.12.2016</t>
  </si>
  <si>
    <t>Estado del resultado integral</t>
  </si>
  <si>
    <t>Estado de resultados</t>
  </si>
  <si>
    <t>Estado otro resultado integral</t>
  </si>
  <si>
    <t>Componentes del efectivo y equivalentes al final del periodo</t>
  </si>
  <si>
    <t>Egresos de actividades de financiamiento</t>
  </si>
  <si>
    <t>Ingresos de actividades de financiamiento</t>
  </si>
  <si>
    <t>Flujo de efectivo de las actividades de financiamiento</t>
  </si>
  <si>
    <t>Egresos de actividades de inversión</t>
  </si>
  <si>
    <t>Ingresos de actividades de inversión</t>
  </si>
  <si>
    <t>Flujo de efectivo de las actividades de inversión</t>
  </si>
  <si>
    <t>Egresos de las actividades de la operación</t>
  </si>
  <si>
    <t>Ingresos de las actividades de la operación</t>
  </si>
  <si>
    <t>Estado de flujos de efectivo</t>
  </si>
  <si>
    <t>Flujo de efectivo de las actividades de la operación</t>
  </si>
  <si>
    <t>8.11.00.00 Patrimonio inicial antes de ajuste</t>
  </si>
  <si>
    <t>8.12.00.00 Ajustes periodos anteriores</t>
  </si>
  <si>
    <t>8.13.00.00 Ajuste por correcciones de errores o cambios contables</t>
  </si>
  <si>
    <t>8.10.00.00 Patrimonio al inicio del periodo</t>
  </si>
  <si>
    <t>8.20.00.00 Resultado integral</t>
  </si>
  <si>
    <t>8.21.00.00 Resultado del periodo</t>
  </si>
  <si>
    <t>8.22.00.00 Total de ingresos (gastos) registrados con abono (cargo) a patrimonio</t>
  </si>
  <si>
    <t>8.23.00.00 Impuesto diferido</t>
  </si>
  <si>
    <t>8.30.00.00 Transferencias a resultados acumulados</t>
  </si>
  <si>
    <t>8.40.00.00 Operaciones con los accionistas</t>
  </si>
  <si>
    <t>8.41.00.00 Aumento (disminución) de capital</t>
  </si>
  <si>
    <t>8.42.00.00 Distribución de dividendos</t>
  </si>
  <si>
    <t>8.43.00.00 Otras operaciones con los accionistas</t>
  </si>
  <si>
    <t>8.50.00.00 Reservas</t>
  </si>
  <si>
    <t>8.60.00.00 Transferencia de patrimonio a resultado</t>
  </si>
  <si>
    <t>8.80.00.00 Otros ajustes</t>
  </si>
  <si>
    <t>9.00.00.00 Patrimonio al final del periodo</t>
  </si>
  <si>
    <t>Estado de cambios en el patrimonio</t>
  </si>
  <si>
    <t>Información a revelar sobre entidad que reporta</t>
  </si>
  <si>
    <t>CLP</t>
  </si>
  <si>
    <t xml:space="preserve">Auditores Externos </t>
  </si>
  <si>
    <t>[80276200-3]  DELOITTE AUDITORES Y CONSULTORES LIMITADA</t>
  </si>
  <si>
    <t>[77802430-6]  ERNST &amp; YOUNG SERVICIOS PROFESIONALES DE AUDITORIA Y ASESORIAS LIMITADA</t>
  </si>
  <si>
    <t>[89907300-2]  KPMG AUDITORES CONSULTORES LIMITADA</t>
  </si>
  <si>
    <t>[81513400-1]  PRICEWATERHOUSECOOPERS CONSULTORES, AUDITORES Y COMPAÑIA LIMITADA</t>
  </si>
  <si>
    <t>Opinión sin salvedades</t>
  </si>
  <si>
    <t>Opinion sin salvedades, con párrafos explicativos</t>
  </si>
  <si>
    <t>Opinión con salvedades</t>
  </si>
  <si>
    <t>Opinión adversa</t>
  </si>
  <si>
    <t>Abstención de opinión</t>
  </si>
  <si>
    <t>Jurídica Nacional</t>
  </si>
  <si>
    <t>Información sobre diez mayores accionistas</t>
  </si>
  <si>
    <t>Accionista uno</t>
  </si>
  <si>
    <t>Accionista dos</t>
  </si>
  <si>
    <t>Accionista tres</t>
  </si>
  <si>
    <t>Accionista cuatro</t>
  </si>
  <si>
    <t>Accionista cinco</t>
  </si>
  <si>
    <t>AA+</t>
  </si>
  <si>
    <t>76.188.980-K</t>
  </si>
  <si>
    <t>Información sobre clasificadores de riesgo</t>
  </si>
  <si>
    <t>Clasificadora de riesgo uno</t>
  </si>
  <si>
    <t>Clasificadora de riesgo dos</t>
  </si>
  <si>
    <t>Total Monedas</t>
  </si>
  <si>
    <t>USD</t>
  </si>
  <si>
    <t>EUR</t>
  </si>
  <si>
    <t>Otra moneda</t>
  </si>
  <si>
    <t>Total efectivo y efectivo equivalente</t>
  </si>
  <si>
    <t>8.1 Inversiones a valor razonable</t>
  </si>
  <si>
    <t>Inversiones nacionales</t>
  </si>
  <si>
    <t>Renta fija</t>
  </si>
  <si>
    <t>Mutuos hipotecarios</t>
  </si>
  <si>
    <t>Renta variable</t>
  </si>
  <si>
    <t>Total de activos financieros a valor razonable</t>
  </si>
  <si>
    <t>Nivel 1</t>
  </si>
  <si>
    <t>Nivel 2</t>
  </si>
  <si>
    <t>Nivel 3</t>
  </si>
  <si>
    <t>Costo amortizado</t>
  </si>
  <si>
    <t>Efecto en resultados</t>
  </si>
  <si>
    <t>Instrumentos financieros que respaldan inversiones</t>
  </si>
  <si>
    <t>8.2 Estrategia en el uso de derivados</t>
  </si>
  <si>
    <t>8.2.2.Posición en contratos de derivados (Forwards, Opciones y Swap)</t>
  </si>
  <si>
    <t>Información de derivados</t>
  </si>
  <si>
    <t>Forward compra</t>
  </si>
  <si>
    <t>Forward venta</t>
  </si>
  <si>
    <t>Forward</t>
  </si>
  <si>
    <t>Opciones compra</t>
  </si>
  <si>
    <t>Opciones venta</t>
  </si>
  <si>
    <t>Opciones</t>
  </si>
  <si>
    <t>Swap</t>
  </si>
  <si>
    <t>Cobertura de riesgo de crédito (CDS)</t>
  </si>
  <si>
    <t>Total posición en contratos derivados</t>
  </si>
  <si>
    <t>Total
Derivados</t>
  </si>
  <si>
    <t>8.2.6. Contrato de Forwards (Venta)</t>
  </si>
  <si>
    <t>Contrapartes de la operación forward venta</t>
  </si>
  <si>
    <t>Características de la operación forward venta</t>
  </si>
  <si>
    <t>Información de valorización forward venta</t>
  </si>
  <si>
    <t>Objetivo del
Contrato</t>
  </si>
  <si>
    <t>Item1</t>
  </si>
  <si>
    <t>Item2</t>
  </si>
  <si>
    <t>Item3</t>
  </si>
  <si>
    <t>Item4</t>
  </si>
  <si>
    <t>Item5</t>
  </si>
  <si>
    <t>Item6</t>
  </si>
  <si>
    <t>Item7</t>
  </si>
  <si>
    <t>Item8</t>
  </si>
  <si>
    <t>Item9</t>
  </si>
  <si>
    <t>Item10</t>
  </si>
  <si>
    <t>Item11</t>
  </si>
  <si>
    <t>Item12</t>
  </si>
  <si>
    <t>Item13</t>
  </si>
  <si>
    <t>Item14</t>
  </si>
  <si>
    <t>Item15</t>
  </si>
  <si>
    <t>Item16</t>
  </si>
  <si>
    <t>Item17</t>
  </si>
  <si>
    <t>Item18</t>
  </si>
  <si>
    <t>Item19</t>
  </si>
  <si>
    <t>Item20</t>
  </si>
  <si>
    <t>Item21</t>
  </si>
  <si>
    <t>Item22</t>
  </si>
  <si>
    <t>Item23</t>
  </si>
  <si>
    <t>Item24</t>
  </si>
  <si>
    <t>Item25</t>
  </si>
  <si>
    <t>Item26</t>
  </si>
  <si>
    <t>Item27</t>
  </si>
  <si>
    <t>Item28</t>
  </si>
  <si>
    <t>Item29</t>
  </si>
  <si>
    <t>Item30</t>
  </si>
  <si>
    <t>Item31</t>
  </si>
  <si>
    <t>Item32</t>
  </si>
  <si>
    <t>Item33</t>
  </si>
  <si>
    <t>Item34</t>
  </si>
  <si>
    <t>Item35</t>
  </si>
  <si>
    <t>Item36</t>
  </si>
  <si>
    <t>Item37</t>
  </si>
  <si>
    <t>Item38</t>
  </si>
  <si>
    <t>Item39</t>
  </si>
  <si>
    <t>Item40</t>
  </si>
  <si>
    <t>Item41</t>
  </si>
  <si>
    <t>Item42</t>
  </si>
  <si>
    <t>Item43</t>
  </si>
  <si>
    <t>Item44</t>
  </si>
  <si>
    <t>Item45</t>
  </si>
  <si>
    <t>Item46</t>
  </si>
  <si>
    <t>Item47</t>
  </si>
  <si>
    <t>Item48</t>
  </si>
  <si>
    <t>Item49</t>
  </si>
  <si>
    <t>Item50</t>
  </si>
  <si>
    <t>Item51</t>
  </si>
  <si>
    <t>Item52</t>
  </si>
  <si>
    <t>Item53</t>
  </si>
  <si>
    <t>Item54</t>
  </si>
  <si>
    <t>Item55</t>
  </si>
  <si>
    <t>Item56</t>
  </si>
  <si>
    <t>Item57</t>
  </si>
  <si>
    <t>Item58</t>
  </si>
  <si>
    <t>Item59</t>
  </si>
  <si>
    <t>Item60</t>
  </si>
  <si>
    <t>Item61</t>
  </si>
  <si>
    <t>Item62</t>
  </si>
  <si>
    <t>Item63</t>
  </si>
  <si>
    <t>Item64</t>
  </si>
  <si>
    <t>Item65</t>
  </si>
  <si>
    <t>Item66</t>
  </si>
  <si>
    <t>Item67</t>
  </si>
  <si>
    <t>Item68</t>
  </si>
  <si>
    <t>Item69</t>
  </si>
  <si>
    <t>Item70</t>
  </si>
  <si>
    <t>Item71</t>
  </si>
  <si>
    <t>Item72</t>
  </si>
  <si>
    <t>Item73</t>
  </si>
  <si>
    <t>Item74</t>
  </si>
  <si>
    <t>Item75</t>
  </si>
  <si>
    <t>Item76</t>
  </si>
  <si>
    <t>Item77</t>
  </si>
  <si>
    <t>Item78</t>
  </si>
  <si>
    <t>Item79</t>
  </si>
  <si>
    <t>Item80</t>
  </si>
  <si>
    <t>Item81</t>
  </si>
  <si>
    <t>Item82</t>
  </si>
  <si>
    <t>Item83</t>
  </si>
  <si>
    <t>Item84</t>
  </si>
  <si>
    <t>Item85</t>
  </si>
  <si>
    <t>Item86</t>
  </si>
  <si>
    <t>Item87</t>
  </si>
  <si>
    <t>Item88</t>
  </si>
  <si>
    <t>Item89</t>
  </si>
  <si>
    <t>Item90</t>
  </si>
  <si>
    <t>Item91</t>
  </si>
  <si>
    <t>Item92</t>
  </si>
  <si>
    <t>Item93</t>
  </si>
  <si>
    <t>Item94</t>
  </si>
  <si>
    <t>Item95</t>
  </si>
  <si>
    <t>Item96</t>
  </si>
  <si>
    <t>Item97</t>
  </si>
  <si>
    <t>Item98</t>
  </si>
  <si>
    <t>Item99</t>
  </si>
  <si>
    <t>Item100</t>
  </si>
  <si>
    <t>Item101</t>
  </si>
  <si>
    <t>Item102</t>
  </si>
  <si>
    <t>Item103</t>
  </si>
  <si>
    <t>Item104</t>
  </si>
  <si>
    <t>Item105</t>
  </si>
  <si>
    <t>Item106</t>
  </si>
  <si>
    <t>Item107</t>
  </si>
  <si>
    <t>Item108</t>
  </si>
  <si>
    <t>Item109</t>
  </si>
  <si>
    <t>Item110</t>
  </si>
  <si>
    <t>Item111</t>
  </si>
  <si>
    <t>Item112</t>
  </si>
  <si>
    <t>Item113</t>
  </si>
  <si>
    <t>Item114</t>
  </si>
  <si>
    <t>Item115</t>
  </si>
  <si>
    <t>Item116</t>
  </si>
  <si>
    <t>Item117</t>
  </si>
  <si>
    <t>Item118</t>
  </si>
  <si>
    <t>Item119</t>
  </si>
  <si>
    <t>Item120</t>
  </si>
  <si>
    <t>Item121</t>
  </si>
  <si>
    <t>Item122</t>
  </si>
  <si>
    <t>Item123</t>
  </si>
  <si>
    <t>Item124</t>
  </si>
  <si>
    <t>Item125</t>
  </si>
  <si>
    <t>Item126</t>
  </si>
  <si>
    <t>Item127</t>
  </si>
  <si>
    <t>Item128</t>
  </si>
  <si>
    <t>Item129</t>
  </si>
  <si>
    <t>Item130</t>
  </si>
  <si>
    <t>Item131</t>
  </si>
  <si>
    <t>Item132</t>
  </si>
  <si>
    <t>Item133</t>
  </si>
  <si>
    <t>Item134</t>
  </si>
  <si>
    <t>Item135</t>
  </si>
  <si>
    <t>Item136</t>
  </si>
  <si>
    <t>Item137</t>
  </si>
  <si>
    <t>Item138</t>
  </si>
  <si>
    <t>Item139</t>
  </si>
  <si>
    <t>Item140</t>
  </si>
  <si>
    <t>Item141</t>
  </si>
  <si>
    <t>Item142</t>
  </si>
  <si>
    <t>Item143</t>
  </si>
  <si>
    <t>Item144</t>
  </si>
  <si>
    <t>Item145</t>
  </si>
  <si>
    <t>Item146</t>
  </si>
  <si>
    <t>Item147</t>
  </si>
  <si>
    <t>Item148</t>
  </si>
  <si>
    <t>Item149</t>
  </si>
  <si>
    <t>Item150</t>
  </si>
  <si>
    <t>Item151</t>
  </si>
  <si>
    <t>Item152</t>
  </si>
  <si>
    <t>Item153</t>
  </si>
  <si>
    <t>Item154</t>
  </si>
  <si>
    <t>Item155</t>
  </si>
  <si>
    <t>Item156</t>
  </si>
  <si>
    <t>Item157</t>
  </si>
  <si>
    <t>Item158</t>
  </si>
  <si>
    <t>Item159</t>
  </si>
  <si>
    <t>Item160</t>
  </si>
  <si>
    <t>Item161</t>
  </si>
  <si>
    <t>Item162</t>
  </si>
  <si>
    <t>Item163</t>
  </si>
  <si>
    <t>Item164</t>
  </si>
  <si>
    <t>Item165</t>
  </si>
  <si>
    <t>Item166</t>
  </si>
  <si>
    <t>Item167</t>
  </si>
  <si>
    <t>Item168</t>
  </si>
  <si>
    <t>Item169</t>
  </si>
  <si>
    <t>Item170</t>
  </si>
  <si>
    <t>Item171</t>
  </si>
  <si>
    <t>Item172</t>
  </si>
  <si>
    <t>Item173</t>
  </si>
  <si>
    <t>Item174</t>
  </si>
  <si>
    <t>Item175</t>
  </si>
  <si>
    <t>Item176</t>
  </si>
  <si>
    <t>Item177</t>
  </si>
  <si>
    <t>Item178</t>
  </si>
  <si>
    <t>Item179</t>
  </si>
  <si>
    <t>Item180</t>
  </si>
  <si>
    <t>Item181</t>
  </si>
  <si>
    <t>Item182</t>
  </si>
  <si>
    <t>Item183</t>
  </si>
  <si>
    <t>Item184</t>
  </si>
  <si>
    <t>Item185</t>
  </si>
  <si>
    <t>Item186</t>
  </si>
  <si>
    <t>Item187</t>
  </si>
  <si>
    <t>Item188</t>
  </si>
  <si>
    <t>Item189</t>
  </si>
  <si>
    <t>Item190</t>
  </si>
  <si>
    <t>Item191</t>
  </si>
  <si>
    <t>Item192</t>
  </si>
  <si>
    <t>Item193</t>
  </si>
  <si>
    <t>Item194</t>
  </si>
  <si>
    <t>Item195</t>
  </si>
  <si>
    <t>Item196</t>
  </si>
  <si>
    <t>Item197</t>
  </si>
  <si>
    <t>Item198</t>
  </si>
  <si>
    <t>Item199</t>
  </si>
  <si>
    <t>Item200</t>
  </si>
  <si>
    <t>8.2.8. Contratos Swaps (Venta)</t>
  </si>
  <si>
    <t>Item201</t>
  </si>
  <si>
    <t>Item202</t>
  </si>
  <si>
    <t>Item203</t>
  </si>
  <si>
    <t>Item204</t>
  </si>
  <si>
    <t>Item205</t>
  </si>
  <si>
    <t>Item206</t>
  </si>
  <si>
    <t>Item207</t>
  </si>
  <si>
    <t>Item208</t>
  </si>
  <si>
    <t>Item209</t>
  </si>
  <si>
    <t>Item210</t>
  </si>
  <si>
    <t>Item211</t>
  </si>
  <si>
    <t>Item212</t>
  </si>
  <si>
    <t>Item213</t>
  </si>
  <si>
    <t>Item214</t>
  </si>
  <si>
    <t>Item215</t>
  </si>
  <si>
    <t>Item216</t>
  </si>
  <si>
    <t>Item217</t>
  </si>
  <si>
    <t>Item218</t>
  </si>
  <si>
    <t>Item219</t>
  </si>
  <si>
    <t>Item220</t>
  </si>
  <si>
    <t>Item221</t>
  </si>
  <si>
    <t>Item222</t>
  </si>
  <si>
    <t>Item223</t>
  </si>
  <si>
    <t>Item224</t>
  </si>
  <si>
    <t>Item225</t>
  </si>
  <si>
    <t>Item226</t>
  </si>
  <si>
    <t>Item227</t>
  </si>
  <si>
    <t>Item228</t>
  </si>
  <si>
    <t>Item229</t>
  </si>
  <si>
    <t>Item230</t>
  </si>
  <si>
    <t>Item231</t>
  </si>
  <si>
    <t>Item232</t>
  </si>
  <si>
    <t>Item233</t>
  </si>
  <si>
    <t>Item234</t>
  </si>
  <si>
    <t>Item235</t>
  </si>
  <si>
    <t>Item236</t>
  </si>
  <si>
    <t>Item237</t>
  </si>
  <si>
    <t>Item238</t>
  </si>
  <si>
    <t>Item239</t>
  </si>
  <si>
    <t>Item240</t>
  </si>
  <si>
    <t>Item241</t>
  </si>
  <si>
    <t>Item242</t>
  </si>
  <si>
    <t>Item243</t>
  </si>
  <si>
    <t>Item244</t>
  </si>
  <si>
    <t>Item245</t>
  </si>
  <si>
    <t>Item246</t>
  </si>
  <si>
    <t>Item247</t>
  </si>
  <si>
    <t>Item248</t>
  </si>
  <si>
    <t>Item249</t>
  </si>
  <si>
    <t>Item250</t>
  </si>
  <si>
    <t>Item251</t>
  </si>
  <si>
    <t>Item252</t>
  </si>
  <si>
    <t>Item253</t>
  </si>
  <si>
    <t>Item254</t>
  </si>
  <si>
    <t>Item255</t>
  </si>
  <si>
    <t>Item256</t>
  </si>
  <si>
    <t>Item257</t>
  </si>
  <si>
    <t>Item258</t>
  </si>
  <si>
    <t>Item259</t>
  </si>
  <si>
    <t>Item260</t>
  </si>
  <si>
    <t>Item261</t>
  </si>
  <si>
    <t>Item262</t>
  </si>
  <si>
    <t>Item263</t>
  </si>
  <si>
    <t>Item264</t>
  </si>
  <si>
    <t>Item265</t>
  </si>
  <si>
    <t>Item266</t>
  </si>
  <si>
    <t>Item267</t>
  </si>
  <si>
    <t>Item268</t>
  </si>
  <si>
    <t>Item269</t>
  </si>
  <si>
    <t>Item270</t>
  </si>
  <si>
    <t>Item271</t>
  </si>
  <si>
    <t>Item272</t>
  </si>
  <si>
    <t>Item273</t>
  </si>
  <si>
    <t>Item274</t>
  </si>
  <si>
    <t>Item275</t>
  </si>
  <si>
    <t>Item276</t>
  </si>
  <si>
    <t>Item277</t>
  </si>
  <si>
    <t>Item278</t>
  </si>
  <si>
    <t>Item279</t>
  </si>
  <si>
    <t>Item280</t>
  </si>
  <si>
    <t>Item281</t>
  </si>
  <si>
    <t>Item282</t>
  </si>
  <si>
    <t>Item283</t>
  </si>
  <si>
    <t>Item284</t>
  </si>
  <si>
    <t>Item285</t>
  </si>
  <si>
    <t>Item286</t>
  </si>
  <si>
    <t>Item287</t>
  </si>
  <si>
    <t>Item288</t>
  </si>
  <si>
    <t>Item289</t>
  </si>
  <si>
    <t>Item290</t>
  </si>
  <si>
    <t>Item291</t>
  </si>
  <si>
    <t>Item292</t>
  </si>
  <si>
    <t>Item293</t>
  </si>
  <si>
    <t>Item294</t>
  </si>
  <si>
    <t>Item295</t>
  </si>
  <si>
    <t>Item296</t>
  </si>
  <si>
    <t>Item297</t>
  </si>
  <si>
    <t>Item298</t>
  </si>
  <si>
    <t>Item299</t>
  </si>
  <si>
    <t>Item300</t>
  </si>
  <si>
    <t>Contrapartes de la operación swap</t>
  </si>
  <si>
    <t>Características de la operación swap</t>
  </si>
  <si>
    <t>Información de valorización swap</t>
  </si>
  <si>
    <t>La entidad ha agrupado los instrumentos financieros a costo amortizado, por clases de instrumentos, indicando el deterioro y el valor razonable; de acuerdo al siguiente cuadro:</t>
  </si>
  <si>
    <t>Valor
razonable</t>
  </si>
  <si>
    <t>Costo amortizado
neto</t>
  </si>
  <si>
    <t>Deterioro</t>
  </si>
  <si>
    <t>Inversiones a costo amortizado</t>
  </si>
  <si>
    <t>Inversiones nacionales renta fija</t>
  </si>
  <si>
    <t>Inversiones en renta fija extranjera</t>
  </si>
  <si>
    <t>Total, activos financieros a costo amortizado</t>
  </si>
  <si>
    <t>Tasa efectiva
promedio</t>
  </si>
  <si>
    <t>Evolución deterioro inversiones</t>
  </si>
  <si>
    <t>Saldo inicial al 1 de enero</t>
  </si>
  <si>
    <t>Aumento (disminución) de la provisión por deterioro</t>
  </si>
  <si>
    <t>Castigo de inversiones</t>
  </si>
  <si>
    <t>Variación por efecto de tipo de cambio</t>
  </si>
  <si>
    <t>9.2 Operaciones de compromisos efectuados sobre instrumentos financieros</t>
  </si>
  <si>
    <t>Contrapartes de la operación pactos</t>
  </si>
  <si>
    <t>Características de la operación pactos</t>
  </si>
  <si>
    <t>Información de valorización pactos</t>
  </si>
  <si>
    <t>Moneda de
los pactos</t>
  </si>
  <si>
    <t>Pactos de compra</t>
  </si>
  <si>
    <t>Pactos de compra con retroventa</t>
  </si>
  <si>
    <t>Pactos de venta</t>
  </si>
  <si>
    <t>10.1 El presente cuadro muestra la composición de los préstamos otorgados al 31 de marzo 2017.</t>
  </si>
  <si>
    <t>Total préstamos</t>
  </si>
  <si>
    <t>10.2 Evolución deterioro</t>
  </si>
  <si>
    <t>Saldo inicial</t>
  </si>
  <si>
    <t>Total deterioro</t>
  </si>
  <si>
    <t>Costo
amortizado</t>
  </si>
  <si>
    <t>Costo
amortizado
neto</t>
  </si>
  <si>
    <t>Total activos a costo amortizado</t>
  </si>
  <si>
    <t>Total activos a valor razonable</t>
  </si>
  <si>
    <t>Total
inversiones</t>
  </si>
  <si>
    <t>Inversiones que respaldan reservas del fondo de seguros en que la compañía asume el riesgo de valor póliza</t>
  </si>
  <si>
    <t>Inversiones que respaldan reservas del fondo de seguros en que los asegurados asumen el riesgo de valor póliza</t>
  </si>
  <si>
    <t>Total Inversión por seguros con cuenta única de inversión</t>
  </si>
  <si>
    <t>En el presente cuadro se detallan las inversiones que respaldan CUI al 31 de Marzo de 2017</t>
  </si>
  <si>
    <t>Nivel 1: Instrumentos cotizados con mercados activos, donde el valor razonable está determinado por el precio observado de dichos mercados</t>
  </si>
  <si>
    <t>Nivel 2: Instrumentos cotizados con mercados no activos, donde el valor razonable se determina utilizando una técnica o modelos de valoración, sobre la base de información de mercado</t>
  </si>
  <si>
    <t>Nivel 3: Instrumentos no cotizados, donde también el valor razonable se determina utilizando técnicas ó modelos de valoración, salvo que con la información disponible no sea posible determinar un valor razonable de manera fiable, en cuyo caso la inversión se valoriza a costo histórico. Adicionalmente, se debe revelar el modelo utilizado</t>
  </si>
  <si>
    <t>(1) informar el valor razonable de las inversiones</t>
  </si>
  <si>
    <t>Nota 12.1.- Participación en empresas subsidiarias (filiales)</t>
  </si>
  <si>
    <t>A la fecha de cierre de los presentes Estados Financieros, la Compañía posee este tipo de operación:</t>
  </si>
  <si>
    <t>Nombre de Sociedad</t>
  </si>
  <si>
    <t>País de destino</t>
  </si>
  <si>
    <t>Naturaleza de la inversión</t>
  </si>
  <si>
    <t>Moneda de control de inversión</t>
  </si>
  <si>
    <t>Número de acciones</t>
  </si>
  <si>
    <t>Porcentaje de participación</t>
  </si>
  <si>
    <t>Patrimonio sociedad</t>
  </si>
  <si>
    <t>Valor costo de la inversión</t>
  </si>
  <si>
    <t>Deterioro de la inversión</t>
  </si>
  <si>
    <t>Valor final inversión (VP)</t>
  </si>
  <si>
    <t>Resultado
ejercicio</t>
  </si>
  <si>
    <t>Nota 12.2.- Participación en empresas asociadas (coligadas)</t>
  </si>
  <si>
    <t>A la fecha de cierre de los presentes Estados Financieros, la Compañía no posee este tipo de operación.</t>
  </si>
  <si>
    <t>País de
origen</t>
  </si>
  <si>
    <t>Nota 12.3.- Cambios en inversiones en empresas relacionadas</t>
  </si>
  <si>
    <t>Filiales</t>
  </si>
  <si>
    <t>Coligadas</t>
  </si>
  <si>
    <t>Adquisiciones</t>
  </si>
  <si>
    <t>Ventas/Transferencias</t>
  </si>
  <si>
    <t>Reconocimiento en resultado</t>
  </si>
  <si>
    <t>Dividendos recibidos</t>
  </si>
  <si>
    <t>Saldo final</t>
  </si>
  <si>
    <t>Inversiones
Seguros
CUI</t>
  </si>
  <si>
    <t>13.1. Movimiento de la cartera de inversiones</t>
  </si>
  <si>
    <t>Adiciones</t>
  </si>
  <si>
    <t>Ventas</t>
  </si>
  <si>
    <t>Devengo de interés</t>
  </si>
  <si>
    <t>Prepagos</t>
  </si>
  <si>
    <t>Sorteo</t>
  </si>
  <si>
    <t>Valor razonable inversiones financieras utilidad/pérdida reconocida en</t>
  </si>
  <si>
    <t>Resultados</t>
  </si>
  <si>
    <t>Diferencia de tipo de cambio</t>
  </si>
  <si>
    <t>Utilidad o pérdida por unidad reajustable</t>
  </si>
  <si>
    <t>Reclasificación (1)</t>
  </si>
  <si>
    <t>Otros (2)</t>
  </si>
  <si>
    <t>13.4 Tasa de reinversión TSA - NCG No 209</t>
  </si>
  <si>
    <t>Según lo establecido en la Norma de Carácter General N° 209,  se informa la tasa de reinversión:</t>
  </si>
  <si>
    <t>Suficiencia (Insuficiencia)
(UF) (1)</t>
  </si>
  <si>
    <t>Tasa de reinversión aplicando 100% las tablas
(%) (2)</t>
  </si>
  <si>
    <t>(1) Corresponde al valor presente de los flujos de pasivos no cubiertos con flujos de activos (insuficiencia), o de los flujos de activos que exceden los flujos de pasivos (suficiencia), asumiendo un escenario de tasa de reinversión y de descuento, de acuerdo a lo señalado NCG 209</t>
  </si>
  <si>
    <t>(2) Corresponde a la TIR de reinversión que hace que el valor presente neto de los flujos de activos y pasivos de la compañía. sea igual a cero.</t>
  </si>
  <si>
    <t>13.5. Información de la cartera de inversiones</t>
  </si>
  <si>
    <t>Instrumentos del sistema bancario</t>
  </si>
  <si>
    <t>Bonos de empresa</t>
  </si>
  <si>
    <t>Acciones SA abiertas</t>
  </si>
  <si>
    <t>Acciones SA cerradas</t>
  </si>
  <si>
    <t>Costo amortizado (1)</t>
  </si>
  <si>
    <t>Valor razonable (1)</t>
  </si>
  <si>
    <t>Total (1)</t>
  </si>
  <si>
    <t>Monto por tipo de instrumento (Seguros CUI) (2)</t>
  </si>
  <si>
    <t>Total Inversiones (3)</t>
  </si>
  <si>
    <t>Inversiones custodiables (4)</t>
  </si>
  <si>
    <t>% inversiones custodiables (5)</t>
  </si>
  <si>
    <t>Detalle de Custodia de Inversiones (Columna 3)</t>
  </si>
  <si>
    <t>Empresa de depósito y custodia de valores</t>
  </si>
  <si>
    <t>Monto (6)</t>
  </si>
  <si>
    <t>% c/r Total Inv (7)</t>
  </si>
  <si>
    <t>% c/r inversiones custodiables (8)</t>
  </si>
  <si>
    <t>Nombre de la empresa custodia de valores (9)</t>
  </si>
  <si>
    <t>Monto (10)</t>
  </si>
  <si>
    <t>% c/r Total Inv (11)</t>
  </si>
  <si>
    <t>Nombre del banco custodio (12)</t>
  </si>
  <si>
    <t>Otro</t>
  </si>
  <si>
    <t>Monto (13)</t>
  </si>
  <si>
    <t>Porcentaje
(14)</t>
  </si>
  <si>
    <t>Nombre del custodio (15)</t>
  </si>
  <si>
    <t>Compañía</t>
  </si>
  <si>
    <t>Monto (16)</t>
  </si>
  <si>
    <t>Porcentaje (17)</t>
  </si>
  <si>
    <t>La apertura anterior deberá efectuarse por cuenta mantenida en Empresa de Depósito y Custodia de Valores en la calidad de Depositante , por cada Banco u otra entidad que proporcione servicios de custodia de inversiones.</t>
  </si>
  <si>
    <t>(1)</t>
  </si>
  <si>
    <t>Monto por Tipo de Inversión informado en Estado de Situación Financiera del periodo que se informa</t>
  </si>
  <si>
    <t>(2)</t>
  </si>
  <si>
    <t>Monto por Tipo de Inversión informado en Estado de Situación Financiera del periodo que se informa, correspondiente al detalle de la cuenta Inversiones de Seguros CUI.</t>
  </si>
  <si>
    <t>Este campo solamente debe ser llenado por la Aseguradoras del Segundo Grupo que presenten Seguros con Cuenta Única de Inversión.</t>
  </si>
  <si>
    <t>(3)</t>
  </si>
  <si>
    <t>Total de Inversiones, corresponde a la suma de las columnas (1) y (2). El total de la Columna N°(6) + (10) + (13) + (16) debe corresponder al total de la columna N°(3).</t>
  </si>
  <si>
    <t>(4)</t>
  </si>
  <si>
    <t>Monto expresado en M$ del total de inversiones por tipo de instrumento, factibles de ser custodiadas por Empresa de Depósito y Custodia de Valores (Ley 18.876).</t>
  </si>
  <si>
    <t>(5)</t>
  </si>
  <si>
    <t>% que representan las Inversiones Custodiables del total de inversiones informadas en Estado de Situación Financiera.</t>
  </si>
  <si>
    <t>(6)</t>
  </si>
  <si>
    <t>Monto en M$ de inversiones que se encuentran custodiadas en Empresa de Depósito y Custodia de Valores, solo en calidad de Depositante</t>
  </si>
  <si>
    <t>(7)</t>
  </si>
  <si>
    <t>% que representan las inversiones en Empresa de Depósito y Custodia de Valores respecto del total de inversiones (columna N°3).</t>
  </si>
  <si>
    <t>(8)</t>
  </si>
  <si>
    <t>% que representan las inversiones en Empresa de Depósito y Custodia de Valores respecto del Total de Inversiones Custodiables (columna N°4).</t>
  </si>
  <si>
    <t>(9)</t>
  </si>
  <si>
    <t>Deberá indicar el nombre de la Empresa de Depósito y Custodia de Valores.</t>
  </si>
  <si>
    <t>(10)</t>
  </si>
  <si>
    <t>Monto en M$ de inversiones que se encuentran custodiadas en Bancos o Instituciones Financieras.</t>
  </si>
  <si>
    <t>(11)</t>
  </si>
  <si>
    <t>% que representan las inversiones en Bancos respecto del total de inversiones (columna N°3).</t>
  </si>
  <si>
    <t>(12)</t>
  </si>
  <si>
    <t>Deberá indicar el nombre del Banco o Institución Financiera que ejerce como custodio de las inversiones de la aseguradora.</t>
  </si>
  <si>
    <t>(13)</t>
  </si>
  <si>
    <t>Monto en M$ de inversiones que se encuentran custodiadas en Otros Custodios distintos de la Empresa de Depósito y Custodia de Valores y de Bancos.</t>
  </si>
  <si>
    <t>Deberá incluirse en este campo aquellas inversiones de Empresas Chilenas o del Estado Chileno que fueron emitidas en el exterior.</t>
  </si>
  <si>
    <t>(14)</t>
  </si>
  <si>
    <t>% que representan las inversiones en Otros Custodios respecto del total de inversiones (columna N°3).</t>
  </si>
  <si>
    <t>(15)</t>
  </si>
  <si>
    <t>Deberá indicar el nombre del Custodio.</t>
  </si>
  <si>
    <t>(16)</t>
  </si>
  <si>
    <t>Monto en M$ de inversiones que se encuentran custodiadas por la propia aseguradora.</t>
  </si>
  <si>
    <t>(17)</t>
  </si>
  <si>
    <t>% que representan las inversiones que se encuentran en la compañía respecto del total de inversiones (columna N°3).</t>
  </si>
  <si>
    <t>Terrenos</t>
  </si>
  <si>
    <t>Edificios</t>
  </si>
  <si>
    <t>14.1 Propiedades de inversión (NIC 40)</t>
  </si>
  <si>
    <t>Adiciones, mejoras y transferencias</t>
  </si>
  <si>
    <t>Ventas, bajas y transferencias</t>
  </si>
  <si>
    <t>Depreciación del ejercicio</t>
  </si>
  <si>
    <t>Ajustes por revalorización</t>
  </si>
  <si>
    <t>Valor razonable a la fecha de cierre (1)</t>
  </si>
  <si>
    <t>Deterioro (provisión)</t>
  </si>
  <si>
    <t>Valor final a la fecha de cierre</t>
  </si>
  <si>
    <t>Valor final bienes raices nacionales</t>
  </si>
  <si>
    <t>Valor final bienes raices extranjeros</t>
  </si>
  <si>
    <t>14.2 Cuentas por cobrar leasing</t>
  </si>
  <si>
    <t>Valor final del contrato</t>
  </si>
  <si>
    <t>Capital insoluto</t>
  </si>
  <si>
    <t>Intereses por recibir</t>
  </si>
  <si>
    <t>Valor presente</t>
  </si>
  <si>
    <t>Valor de costo</t>
  </si>
  <si>
    <t>Valor de tasación</t>
  </si>
  <si>
    <t>Valor
final
Leasing</t>
  </si>
  <si>
    <t>Valor contrato leasing</t>
  </si>
  <si>
    <t>Leasing hasta 1 año</t>
  </si>
  <si>
    <t>Leasing entre 1 y 5 años</t>
  </si>
  <si>
    <t>Leasing superior a 5 años</t>
  </si>
  <si>
    <t>a) Los contratos consideran tasa fija, plazo fijo, cuotas periódicas mensuales, trimestrales o semestrales, y en algunos la opción de adelantar el ejercicio de la opción de compra.</t>
  </si>
  <si>
    <t>b) Las provisiones se realizarán de acuerdo a la NCG N°316: ajuste de menor valor entre valor residual del contrato, menor de las tasaciones y costo corregido por inflación</t>
  </si>
  <si>
    <t>Adicionalmente se realizará una provisión por la totalidad del monto de la cuotas atrasadas</t>
  </si>
  <si>
    <t>c) Los ingresos financieros no devengados se reflejan en la tabla siguiente, bajo la columna Intereses por recibir</t>
  </si>
  <si>
    <t>d) No tenemos cuotas contingentes reconocidas en los ingresos del ejercicio.</t>
  </si>
  <si>
    <t>e) La compañía no registra valores residuales no garantizados al cierre de estos estados financieros</t>
  </si>
  <si>
    <t>f) La compañía no presenta arriendos concluidos por su parte al cierre de estos estados financieros</t>
  </si>
  <si>
    <t>g) El monto de las provisiones correspondientes a cubrir insolvencias en los pagos mínimo es de M$ 1.687.267 al cierre de Marzo 2017</t>
  </si>
  <si>
    <t>h) Los contratos de leasing más importantes en la compañía son los siguientes: PASEO LA REINA 890.836,65 UF; INMOBILIARIA VITACURA 1.239.230,70 UF; AURUS RENTA INMOBILIARIA 885.800 UF;</t>
  </si>
  <si>
    <t xml:space="preserve"> FUNDACIÓN IBAÑEZ 1.212.643,89 UF e INMOBILIARIA LA PORTADA SA 932.341,71 UF</t>
  </si>
  <si>
    <t>14.3 Propiedades, Muebles y Equipos de Uso Propio</t>
  </si>
  <si>
    <t>(1) Corresponde a la tasación de menor valor.</t>
  </si>
  <si>
    <t>Valor
activo</t>
  </si>
  <si>
    <t>Reconocimiento en resultado utilidad</t>
  </si>
  <si>
    <t>Reconocimiento en resultado pérdida</t>
  </si>
  <si>
    <t>Saldos con empresas relacionadas</t>
  </si>
  <si>
    <t>Saldos con terceros</t>
  </si>
  <si>
    <t>16.1 Saldos adeudados por asegurados</t>
  </si>
  <si>
    <t>Total cuentas por cobrar asegurados</t>
  </si>
  <si>
    <t>Activos corrientes (corto plazo)</t>
  </si>
  <si>
    <t>Activos no corrientes (largo plazo)</t>
  </si>
  <si>
    <t>Primas documentadas</t>
  </si>
  <si>
    <t>Primas seguro inv y sob DL 3500</t>
  </si>
  <si>
    <t>16.2 Deudores por primas por vencimiento</t>
  </si>
  <si>
    <t>Vencimientos primas de seguros</t>
  </si>
  <si>
    <t>1. Vencimientos anteriores a la fecha de los estados financieros</t>
  </si>
  <si>
    <t>Mes j-3</t>
  </si>
  <si>
    <t>Mes j-2</t>
  </si>
  <si>
    <t>Mes j-1</t>
  </si>
  <si>
    <t>Mes j</t>
  </si>
  <si>
    <t>2. Deterioro</t>
  </si>
  <si>
    <t>3. Ajustes por no identificación</t>
  </si>
  <si>
    <t>4. Subtotal (1-2-3)</t>
  </si>
  <si>
    <t>5. Vencimientos posteriores a la fecha de los estados financieros</t>
  </si>
  <si>
    <t>Mes j+1</t>
  </si>
  <si>
    <t>Mes j+2</t>
  </si>
  <si>
    <t>Mes j+3</t>
  </si>
  <si>
    <t>6. Deterioro</t>
  </si>
  <si>
    <t>7. Subtotal (5-6)</t>
  </si>
  <si>
    <t>Seguros no revocables</t>
  </si>
  <si>
    <t>8. Vencimientos anteriores a la fecha de los estados financieros</t>
  </si>
  <si>
    <t>9. Vencimientos posteriores a la fecha de los estados financieros</t>
  </si>
  <si>
    <t>10. Deterioro</t>
  </si>
  <si>
    <t>11. Subtotal (8+9-10)</t>
  </si>
  <si>
    <t>12. Total (4+7+11)</t>
  </si>
  <si>
    <t>13. Crédito no exigible de fila 4</t>
  </si>
  <si>
    <t>14. Crédito no vencido seguros revocables (7+13)</t>
  </si>
  <si>
    <t>Primas asegurados</t>
  </si>
  <si>
    <t>Con especificación de forma de pago</t>
  </si>
  <si>
    <t>Plan pago PAC</t>
  </si>
  <si>
    <t>Plan pago PAT</t>
  </si>
  <si>
    <t>Plan pago CUP</t>
  </si>
  <si>
    <t>Plan pago cía</t>
  </si>
  <si>
    <t>Sin especificar forma de pago</t>
  </si>
  <si>
    <t>Cuentas por cobrar coaseguro (No Líder)</t>
  </si>
  <si>
    <t>Seguros revocables</t>
  </si>
  <si>
    <t>Moneda nacional</t>
  </si>
  <si>
    <t>Moneda extranjera</t>
  </si>
  <si>
    <t>16.3 Evolución del deterioro asegurados</t>
  </si>
  <si>
    <t>Cuentas por cobrar de seguros</t>
  </si>
  <si>
    <t>Deterioro cuentas por cobrar coaseguro (Líder)</t>
  </si>
  <si>
    <t>Total movimientos deterioro cuentas por cobrar asegurados</t>
  </si>
  <si>
    <t>Castigo de cuentas por cobrar</t>
  </si>
  <si>
    <t>17.1 Saldos adeudados por reaseguro</t>
  </si>
  <si>
    <t>Activos por reaseguro no proporcional</t>
  </si>
  <si>
    <t>Otras deudas por cobrar de reaseguros</t>
  </si>
  <si>
    <t>Total activo por reaseguro no proporcional</t>
  </si>
  <si>
    <t>17.2 Evolución del deterioro por reaseguro</t>
  </si>
  <si>
    <t>Primas por cobrar de reaseguros</t>
  </si>
  <si>
    <t>Siniestros por cobrar reaseguradores</t>
  </si>
  <si>
    <t>Activos por reaseguro no proporcionales</t>
  </si>
  <si>
    <t>17.3 Siniestros por cobrar a reaseguradores</t>
  </si>
  <si>
    <t>Reaseguradores
nacionales</t>
  </si>
  <si>
    <t>Antecedentes reasegurador nacional</t>
  </si>
  <si>
    <t>Nombre corredor reaseguros</t>
  </si>
  <si>
    <t>Nombre reasegurador</t>
  </si>
  <si>
    <t>Tipo de relación (R o NR)</t>
  </si>
  <si>
    <t>Clasificación de riesgo reasegurador nacional</t>
  </si>
  <si>
    <t>Código clasificador de riesgo C1</t>
  </si>
  <si>
    <t>Código clasificador de riesgo C2</t>
  </si>
  <si>
    <t>Clasificación de riesgo C1</t>
  </si>
  <si>
    <t>Clasificación de riesgo C2</t>
  </si>
  <si>
    <t>Fecha clasificación C1</t>
  </si>
  <si>
    <t>Fecha clasificación C2</t>
  </si>
  <si>
    <t>Saldos adeudados</t>
  </si>
  <si>
    <t>mes j-5</t>
  </si>
  <si>
    <t>mes j-4</t>
  </si>
  <si>
    <t>mes j-3</t>
  </si>
  <si>
    <t>mes j-2</t>
  </si>
  <si>
    <t>mes j-1</t>
  </si>
  <si>
    <t>mes j+1</t>
  </si>
  <si>
    <t>mes j+2</t>
  </si>
  <si>
    <t>mes j+3</t>
  </si>
  <si>
    <t>mes j+4</t>
  </si>
  <si>
    <t>mes j+5</t>
  </si>
  <si>
    <t>Total saldos adeudados</t>
  </si>
  <si>
    <t>Reaseguradores
extranjeros</t>
  </si>
  <si>
    <t>Antecedentes reasegurador extranjero</t>
  </si>
  <si>
    <t>Clasificación de riesgo reasegurador extranjero</t>
  </si>
  <si>
    <t>Total general</t>
  </si>
  <si>
    <t>17.4 Siniestros por cobrar reaseguradores</t>
  </si>
  <si>
    <t>Nombre del corredor</t>
  </si>
  <si>
    <t>Nombre del reasegurador</t>
  </si>
  <si>
    <t>Saldo siniestros por cobrar reaseguradores</t>
  </si>
  <si>
    <t>Reaseguradores
Extranjeros</t>
  </si>
  <si>
    <t>17.5 Participación del reasegurador en la reserva riesgos en curso</t>
  </si>
  <si>
    <t>Participación del reasegurador en la reserva riesgos en curso</t>
  </si>
  <si>
    <t>18.1 Saldo adeudado por coaseguro</t>
  </si>
  <si>
    <t>Primas por cobrar de coaseguros</t>
  </si>
  <si>
    <t>Siniestros por cobrar por operaciones de coaseguros</t>
  </si>
  <si>
    <t>18.2 Evolución del deterioro por coaseguro</t>
  </si>
  <si>
    <t>Total
deterioro</t>
  </si>
  <si>
    <t>Siniestros por cobrar  por operaciones de coaseguros</t>
  </si>
  <si>
    <t>Evolución del deterioro por coaseguro</t>
  </si>
  <si>
    <t>Disminución y aumento de la provisión por deterioro</t>
  </si>
  <si>
    <t>Recupero de cuentas por cobrar de coaseguros</t>
  </si>
  <si>
    <t>Castigo de cuentas por cobrar de coaseguro</t>
  </si>
  <si>
    <t>Total pasivo
por reserva</t>
  </si>
  <si>
    <t>Directo</t>
  </si>
  <si>
    <t>Aceptado</t>
  </si>
  <si>
    <t>Detalle reservas técnicas</t>
  </si>
  <si>
    <t>Otras reservas</t>
  </si>
  <si>
    <t>Total participación del reaseguro en las reservas técnicas</t>
  </si>
  <si>
    <t>Participación del reasegurador en la reserva</t>
  </si>
  <si>
    <t>19.1 Participación del reaseguro en las reservas técnicas (activo) y reservas técnicas (pasivo)</t>
  </si>
  <si>
    <t>21.1 Cuentas por cobrar por impuestos corrientes</t>
  </si>
  <si>
    <t>El detalle de los impuestos por recuperar al cierre del período es el siguiente:</t>
  </si>
  <si>
    <t>Cuentas por cobrar por impuestos</t>
  </si>
  <si>
    <t>Impuesto por pagar</t>
  </si>
  <si>
    <t>21.3 Impuestos diferidos en patrimonio y en resultados</t>
  </si>
  <si>
    <t>Neto</t>
  </si>
  <si>
    <t>Activos</t>
  </si>
  <si>
    <t>Pasivos</t>
  </si>
  <si>
    <t>Impuestos diferidos en patrimonio</t>
  </si>
  <si>
    <t>Coberturas</t>
  </si>
  <si>
    <t>Total cargo (abono) en patrimonio</t>
  </si>
  <si>
    <t>Impuestos diferidos en resultados</t>
  </si>
  <si>
    <t>22.2 Cuentas por cobrar intermediarios</t>
  </si>
  <si>
    <t>22.4 Otros Activos</t>
  </si>
  <si>
    <t>23.1 Pasivos Financieros a valor razonable con cambios en resultado</t>
  </si>
  <si>
    <t>Pasivo financiero a valor razonable</t>
  </si>
  <si>
    <t>Valor libro del pasivo</t>
  </si>
  <si>
    <t>Efecto en resultado</t>
  </si>
  <si>
    <t>Efecto en OCI</t>
  </si>
  <si>
    <t>(1) Efecto en OCI (Other comprensive income), se debe informar el impacto que tendría si el efecto fuera patrimonio.</t>
  </si>
  <si>
    <t>23.2. Pasivos Financieros a costo amortizado</t>
  </si>
  <si>
    <t>23.2.1. Deudas con entidades financieras</t>
  </si>
  <si>
    <t>Nombre banco
o institución financiera</t>
  </si>
  <si>
    <t>Tasa de interés</t>
  </si>
  <si>
    <t>Ultimo vencimiento</t>
  </si>
  <si>
    <t>Saldo insoluto</t>
  </si>
  <si>
    <t>Corto plazo</t>
  </si>
  <si>
    <t>Largo plazo</t>
  </si>
  <si>
    <t>24.1 Pasivos no corrientes mantenidos para la venta</t>
  </si>
  <si>
    <t>Valor pasivo</t>
  </si>
  <si>
    <t>Valor
pasivo</t>
  </si>
  <si>
    <t>25.1 Reserva para seguros de vida</t>
  </si>
  <si>
    <t>25.1.1 Reserva riesgos en curso</t>
  </si>
  <si>
    <t>Saldo inicial al 1ero de enero</t>
  </si>
  <si>
    <t>Reserva por venta nueva</t>
  </si>
  <si>
    <t>Liberación de reserva</t>
  </si>
  <si>
    <t>Liberación de reserva stock (1)</t>
  </si>
  <si>
    <t>Liberación de reserva venta nueva</t>
  </si>
  <si>
    <t>Total reserva riesgos en curso</t>
  </si>
  <si>
    <t>25.1.2 Reservas seguros previsionales</t>
  </si>
  <si>
    <t>Reserva dic anterior</t>
  </si>
  <si>
    <t>Reserva por rentas contratadas en el período</t>
  </si>
  <si>
    <t>Pensiones pagadas</t>
  </si>
  <si>
    <t>Interés del período</t>
  </si>
  <si>
    <t>Sub total reservas de rentas vitalicias del ejercicio</t>
  </si>
  <si>
    <t>Pensiones no cobradas</t>
  </si>
  <si>
    <t>Total reserva de rentas vitalicias</t>
  </si>
  <si>
    <t>Reservas seguro invalidez y sobrevivencia</t>
  </si>
  <si>
    <t>Saldo inicial al 01.01.XX</t>
  </si>
  <si>
    <t>Incremento de siniestros</t>
  </si>
  <si>
    <t>Invalidez total</t>
  </si>
  <si>
    <t>Invalidez parcial</t>
  </si>
  <si>
    <t>Liberación por pago de aportes adicionales</t>
  </si>
  <si>
    <t>Ajuste por tasa de interés</t>
  </si>
  <si>
    <t>Total reserva seguro de invalidez y sobrevivencia</t>
  </si>
  <si>
    <t>Tasa de descuento</t>
  </si>
  <si>
    <t>mesi-2</t>
  </si>
  <si>
    <t>mesi-1</t>
  </si>
  <si>
    <t>mesi</t>
  </si>
  <si>
    <t>Total reserva matemática</t>
  </si>
  <si>
    <t>25.1.3 Reserva matemática</t>
  </si>
  <si>
    <t>25.1.4 Reserva valor del fondo</t>
  </si>
  <si>
    <t>Seguros de vida ahorro previsional voluntario APV (la Cia.asume el riesgo del valor póliza)</t>
  </si>
  <si>
    <t>Reserva de riesgo en curso</t>
  </si>
  <si>
    <t>Cobertura de riesgo</t>
  </si>
  <si>
    <t>Otros seguros de vida con cuenta única de inversión (la Cia. asume el riesgo del valor póliza)</t>
  </si>
  <si>
    <t>Seguros de vida ahorro previsional voluntario APV (el asegurado asume el riesgo del valor póliza)</t>
  </si>
  <si>
    <t>Otros seguros de vida con cuenta única de inversión (el asegurado asume el riesgo del valor póliza)</t>
  </si>
  <si>
    <t>25.1.5 Reserva de descalce seguros con cuenta única de inversión (CUI)</t>
  </si>
  <si>
    <t xml:space="preserve">Tipo valor del fondo
</t>
  </si>
  <si>
    <t>Inversión</t>
  </si>
  <si>
    <t>Tipo
inversión</t>
  </si>
  <si>
    <t>Reserva de descalce</t>
  </si>
  <si>
    <t>Total fondos</t>
  </si>
  <si>
    <t>25.1.6 Reserva rentas privadas</t>
  </si>
  <si>
    <t>Reserva Dic anterior</t>
  </si>
  <si>
    <t>Liberación por conceptos distintos  de pensiones</t>
  </si>
  <si>
    <t>Total reserva rentas privadas del ejercicio</t>
  </si>
  <si>
    <t>25.1.7 Reserva de siniestros</t>
  </si>
  <si>
    <t>Incremento</t>
  </si>
  <si>
    <t>Disminuciones</t>
  </si>
  <si>
    <t>Ajuste por diferencia de cambio</t>
  </si>
  <si>
    <t>Total variación reserva de siniestros</t>
  </si>
  <si>
    <t>Saldo
final</t>
  </si>
  <si>
    <t>Reserva siniestros</t>
  </si>
  <si>
    <t>Siniestos reportados</t>
  </si>
  <si>
    <t>Siniestros detectados y no repotados</t>
  </si>
  <si>
    <t>25.2 Calce</t>
  </si>
  <si>
    <t>25.2.1 Ajuste reserva por calce</t>
  </si>
  <si>
    <t>Reserva técnica base</t>
  </si>
  <si>
    <t>Reserva técnica financiera</t>
  </si>
  <si>
    <t>Ajuste reserva por calce</t>
  </si>
  <si>
    <t>Ajuste reserva por calce seguros no previsionales</t>
  </si>
  <si>
    <t>Monto inicial</t>
  </si>
  <si>
    <t>Monto final</t>
  </si>
  <si>
    <t>Variación</t>
  </si>
  <si>
    <t>Ajuste reserva por calce seguros previsionales</t>
  </si>
  <si>
    <t>Total ajuste reserva por calce</t>
  </si>
  <si>
    <t>25.2.2 Indices de coberturas</t>
  </si>
  <si>
    <t>CPK-1</t>
  </si>
  <si>
    <t>Total tramos</t>
  </si>
  <si>
    <t>Tramo 1</t>
  </si>
  <si>
    <t>Tramo 2</t>
  </si>
  <si>
    <t>Tramo 3</t>
  </si>
  <si>
    <t>Tramo 4</t>
  </si>
  <si>
    <t>Tramo 5</t>
  </si>
  <si>
    <t>Tramo 6</t>
  </si>
  <si>
    <t>Tramo 7</t>
  </si>
  <si>
    <t>Tramo 8</t>
  </si>
  <si>
    <t>Tramo 9</t>
  </si>
  <si>
    <t>Tramo 10</t>
  </si>
  <si>
    <t>CPK-2</t>
  </si>
  <si>
    <t>CPK-3</t>
  </si>
  <si>
    <t>CPK-4</t>
  </si>
  <si>
    <t>CPK-5</t>
  </si>
  <si>
    <t>25.2.3 Tasa de costo de emisión equivalente</t>
  </si>
  <si>
    <t>25.2.4 Aplicación de tablas de mortalidad rentas vitalicias</t>
  </si>
  <si>
    <t>RTF 85-85-85 (1)</t>
  </si>
  <si>
    <t>RTF 2004-85-85 (2)</t>
  </si>
  <si>
    <t>RTFs 2004-85-85 (3)</t>
  </si>
  <si>
    <t>Diferencia por reconocer RV-2004 (4)</t>
  </si>
  <si>
    <t>RTF 2004-2006-2006 (5)</t>
  </si>
  <si>
    <t>RTFs 2004-2006-2006 (6)</t>
  </si>
  <si>
    <t>Diferencia por reconocer B-2006 y MI-2006 (7)</t>
  </si>
  <si>
    <t>RTF 2009-2006-2006 (8)</t>
  </si>
  <si>
    <t>Pólizas con inicio de vigencia anterior al 9/03/2005</t>
  </si>
  <si>
    <t xml:space="preserve">Pólizas con inicio de vigencia a contar del 9/03/2005 y hasta 31/01/2008 </t>
  </si>
  <si>
    <t>Pólizas con inicio de vigencia a contar del 1/02/2008 y hasta 31/12/2011</t>
  </si>
  <si>
    <t>Total aplicación tablas de mortalidad rentas vitalicias</t>
  </si>
  <si>
    <t>Aplicación de las tablas RV-2009, B-2006 y M-2006</t>
  </si>
  <si>
    <t>Aplicación de las tablas RTB 2009-2006-2006 y 2014</t>
  </si>
  <si>
    <t xml:space="preserve">Pólizas con inicio de vigencia a contar del 1/01/2012 y hasta 30/06/2016 </t>
  </si>
  <si>
    <t>Pólizas con inicio de vigencia a contar del 1/07/2016</t>
  </si>
  <si>
    <t>Total aplicación tablas de mortalidad rentas vitalicias 2014</t>
  </si>
  <si>
    <t>25.2.5 Reconocimiento tablas MI-2006 y B-2006</t>
  </si>
  <si>
    <t>Reconocimiento tablas MI-2006 y B-2006</t>
  </si>
  <si>
    <t>25.3 Reserva SIS</t>
  </si>
  <si>
    <t>Grupo</t>
  </si>
  <si>
    <t>Grupo:</t>
  </si>
  <si>
    <t>Contrato:</t>
  </si>
  <si>
    <t>Costo invalidez total</t>
  </si>
  <si>
    <t>Prob pago</t>
  </si>
  <si>
    <t>Reserva total mínima</t>
  </si>
  <si>
    <t>Porcentaje participación</t>
  </si>
  <si>
    <t>Reserva compañía</t>
  </si>
  <si>
    <t>Reserva compañía $</t>
  </si>
  <si>
    <t>I1 Sin dictamen</t>
  </si>
  <si>
    <t>I2t Total aprobadas en análisis Cía</t>
  </si>
  <si>
    <t>I2p Parcial aprobadas en análisis Cía</t>
  </si>
  <si>
    <t>I3t Total aprobadas, reclamadas en Cía</t>
  </si>
  <si>
    <t>I3pc Parcial aprobadas reclamadas en Cía</t>
  </si>
  <si>
    <t xml:space="preserve">I3a Parcial aprobadas reclamadas afiliada </t>
  </si>
  <si>
    <t>I4 Rechazadas, dentro del plazo de reclamación</t>
  </si>
  <si>
    <t>I5 Rechazadas, en proceso de reclamación</t>
  </si>
  <si>
    <t>I6t Total definitivo, por el primer dictamen</t>
  </si>
  <si>
    <t>I6p Parcial definitivo, por el primer dictamen</t>
  </si>
  <si>
    <t>H</t>
  </si>
  <si>
    <t>M</t>
  </si>
  <si>
    <t>A. 1  Invalidez sin primer dictamen ejecutoriado o con primer dictamen ejecutoriado pero sin antecedentes para la determinación de su costo</t>
  </si>
  <si>
    <t>A. Invalidez</t>
  </si>
  <si>
    <t>A.2.1 Inválidos transitorios sin solicitud de clasificación por el segundo dictamen</t>
  </si>
  <si>
    <t>I6p Parcial definitivo por el primer dictamen</t>
  </si>
  <si>
    <t>Reserva mínima</t>
  </si>
  <si>
    <t>Reserva compañías</t>
  </si>
  <si>
    <t xml:space="preserve">Reserva compañías $
</t>
  </si>
  <si>
    <t>A.2.2 Inválidos parciales transitorios con solicitud por el segundo dictamen</t>
  </si>
  <si>
    <t>K1 Sin dictamen</t>
  </si>
  <si>
    <t>K2t Total aprobadas en análisis Cía</t>
  </si>
  <si>
    <t>K2p Parcial aprobadas en análisis Cía</t>
  </si>
  <si>
    <t>K3t Total aprobadas, reclamadas en Cía</t>
  </si>
  <si>
    <t>K3pc Parcial aprobadas reclamadas en Cía</t>
  </si>
  <si>
    <t>K3 Parcial aprobadas reclamadas afiliado</t>
  </si>
  <si>
    <t>K4 Rechazadas, dentro del plazo de reclamación</t>
  </si>
  <si>
    <t>K5 Rechazadas, en proceso de reclamación</t>
  </si>
  <si>
    <t>K6t Total definitivo, por el primer dictamen</t>
  </si>
  <si>
    <t>K6p Parcial definitivo, por el primer dictamen</t>
  </si>
  <si>
    <t>K6n No inválidos</t>
  </si>
  <si>
    <t>Reserva
mínima</t>
  </si>
  <si>
    <t>A. 2.3 Inválidos transitorios fallecidos</t>
  </si>
  <si>
    <t>Aporte adicional</t>
  </si>
  <si>
    <t>Aporte adicional compañía</t>
  </si>
  <si>
    <t>B. Sobrevivencia</t>
  </si>
  <si>
    <t>Costo total</t>
  </si>
  <si>
    <t>B.1 Costo estimado</t>
  </si>
  <si>
    <t>B.1 Costo real</t>
  </si>
  <si>
    <t>25.3.1 Reserva de siniestros en proceso por grupo</t>
  </si>
  <si>
    <t>25.3.2. Reservas de invalidez y sobrevivencia</t>
  </si>
  <si>
    <t>2. Reservas de invalidez y sobrevivencia</t>
  </si>
  <si>
    <t>Reserva técnica</t>
  </si>
  <si>
    <t>Reserva adicional</t>
  </si>
  <si>
    <t>Reserva total compañía</t>
  </si>
  <si>
    <t>Reaseguro</t>
  </si>
  <si>
    <t>Reserva neta de reaseguro</t>
  </si>
  <si>
    <t>1. Invalidez</t>
  </si>
  <si>
    <t>1.a. Inválidos</t>
  </si>
  <si>
    <t>1.a.1 Liquidados</t>
  </si>
  <si>
    <t>1.a.2 En proceso de liquidación</t>
  </si>
  <si>
    <t>1.a.3 Ocurridos y no reportados</t>
  </si>
  <si>
    <t>1.b. Inváildos transitorios fallecidos</t>
  </si>
  <si>
    <t>1.b.1 Liquidados</t>
  </si>
  <si>
    <t>1.b.2 En proceso de liquidación</t>
  </si>
  <si>
    <t>2. Sobrevivencia</t>
  </si>
  <si>
    <t>2.1 Liquidados</t>
  </si>
  <si>
    <t>2.2 En proceso de liquidación</t>
  </si>
  <si>
    <t>2.3 Ocurridos y no reportados</t>
  </si>
  <si>
    <t>25.3.3. Reserva de insuficiencia de primas (RIP) del seguro de invalidez y sobrevivencia (SIS)</t>
  </si>
  <si>
    <t>Contrato</t>
  </si>
  <si>
    <t>Grupo 1</t>
  </si>
  <si>
    <t>Grupo 2</t>
  </si>
  <si>
    <t>Grupo 3</t>
  </si>
  <si>
    <t>Grupo 4</t>
  </si>
  <si>
    <t>25.4 SOAP</t>
  </si>
  <si>
    <t>Compañía en convenio</t>
  </si>
  <si>
    <t>Siniestros rechazados (1)</t>
  </si>
  <si>
    <t>Siniestros en revisión (2)</t>
  </si>
  <si>
    <t>Siniestros aceptados (3)</t>
  </si>
  <si>
    <t>Total siniestros del período (1+2+3)</t>
  </si>
  <si>
    <t>26.1 Deudas con asegurados</t>
  </si>
  <si>
    <t>Deudas con asegurados corrientes y no corrientes</t>
  </si>
  <si>
    <t>Pasivos corrientes (corto plazo)</t>
  </si>
  <si>
    <t>Pasivos no corrientes (largo plazo)</t>
  </si>
  <si>
    <t>26.2 Deudas por operaciones reaseguro nacional</t>
  </si>
  <si>
    <t>Vencimiento de saldos</t>
  </si>
  <si>
    <t>26.3 Deudas por operaciones reaseguro extranjero</t>
  </si>
  <si>
    <t>26.3 Deudas por operaciones de reaseguro</t>
  </si>
  <si>
    <t>26.4 Deudas por operaciones coaseguro</t>
  </si>
  <si>
    <t>Deudas por operaciones coaseguro</t>
  </si>
  <si>
    <t>26.5 Ingresos anticipados por operaciones de seguros</t>
  </si>
  <si>
    <t>Ingresos anticipados</t>
  </si>
  <si>
    <t>Total ingresos anticipados por operaciones de seguros</t>
  </si>
  <si>
    <t>27.1 Provisiones</t>
  </si>
  <si>
    <t>Al 31 de marzo 2017 el detalle de la provisiones de la Compañía es el siguiente:</t>
  </si>
  <si>
    <t>Valor
Saldo inicial</t>
  </si>
  <si>
    <t xml:space="preserve">Importes usados durante el período
</t>
  </si>
  <si>
    <t>Corriente</t>
  </si>
  <si>
    <t>No corriente</t>
  </si>
  <si>
    <t>28.1 Cuentas por pagar por impuestos</t>
  </si>
  <si>
    <t>Cuentas por pagar por impuestos</t>
  </si>
  <si>
    <t>28.2 Deudas con intermediarios</t>
  </si>
  <si>
    <t>Pasivos no corrientes (largo Plazo)</t>
  </si>
  <si>
    <t>Validación</t>
  </si>
  <si>
    <t>28.3 Deudas con el personal</t>
  </si>
  <si>
    <t>Otras</t>
  </si>
  <si>
    <t>Total deudas con el personal</t>
  </si>
  <si>
    <t>28.5 Otros pasivos no financieros</t>
  </si>
  <si>
    <t>Total otros pasivos no financieros</t>
  </si>
  <si>
    <t>AFP</t>
  </si>
  <si>
    <t>Caja de compensación</t>
  </si>
  <si>
    <t>30.1 Prima cedida reaseguradores nacionales</t>
  </si>
  <si>
    <t>Nombre corredor
reaseguros nacional</t>
  </si>
  <si>
    <t>País del
corredor</t>
  </si>
  <si>
    <t>Tipo
de relación</t>
  </si>
  <si>
    <t>Prima
cedida</t>
  </si>
  <si>
    <t>Costo de reaseguro no proporcional</t>
  </si>
  <si>
    <t>Total
reaseguro</t>
  </si>
  <si>
    <t xml:space="preserve">Nombre corredor
reaseguros extranjero
</t>
  </si>
  <si>
    <t>Nombre
reasegurador
extranjero</t>
  </si>
  <si>
    <t>Nombre
reasegurador
nacional</t>
  </si>
  <si>
    <t>30.2 Prima cedida reaseguradores extranjeros</t>
  </si>
  <si>
    <t>30.3 Reaseguradores y corredores de reaseguros vigentes</t>
  </si>
  <si>
    <t>31.1 Variación de reservas técnicas</t>
  </si>
  <si>
    <t>Cedido</t>
  </si>
  <si>
    <t>Reserva insuficiencia de prima</t>
  </si>
  <si>
    <t>Total variación de reservas técnicas</t>
  </si>
  <si>
    <t>32.1 Costo de siniestros</t>
  </si>
  <si>
    <t>Conceptos</t>
  </si>
  <si>
    <t>Total costo de siniestros</t>
  </si>
  <si>
    <t>33.1 Costo de administración</t>
  </si>
  <si>
    <t>Total costos de administración</t>
  </si>
  <si>
    <t>XX.XX.2016</t>
  </si>
  <si>
    <t>34.1 Deterioro de seguros</t>
  </si>
  <si>
    <t>Activo por reaseguro</t>
  </si>
  <si>
    <t>Inversiones a valor razonable</t>
  </si>
  <si>
    <t>35.1 Resultado de inversiones</t>
  </si>
  <si>
    <t>Total resultado neto inversiones realizadas</t>
  </si>
  <si>
    <t>Total inversiones inmobiliarias realizadas</t>
  </si>
  <si>
    <t>Total inversiones financieras realizadas</t>
  </si>
  <si>
    <t>Total resultado neto inversiones no realizadas</t>
  </si>
  <si>
    <t>Total inversiones no realizadas inmobiliarias</t>
  </si>
  <si>
    <t>Total inversiones no realizadas financieras</t>
  </si>
  <si>
    <t>Total resultado neto inversiones devengadas</t>
  </si>
  <si>
    <t>Total inversiones devengadas inmobiliarias</t>
  </si>
  <si>
    <t>Total inversiones devengadas financieras</t>
  </si>
  <si>
    <t>Total depreciación</t>
  </si>
  <si>
    <t>Total gastos de gestión</t>
  </si>
  <si>
    <t>Total deterioro de inversiones</t>
  </si>
  <si>
    <t>Inversiones financieras</t>
  </si>
  <si>
    <t>Total resultado de inversiones</t>
  </si>
  <si>
    <t>35.2 Cuadro resumen</t>
  </si>
  <si>
    <t>Monto inversiones</t>
  </si>
  <si>
    <t>Concepto resultado
de inversiones</t>
  </si>
  <si>
    <t>36.1 Otros ingresos</t>
  </si>
  <si>
    <t>Intereses por primas</t>
  </si>
  <si>
    <t>37.1 Otros egresos</t>
  </si>
  <si>
    <t>Gastos Bancarios</t>
  </si>
  <si>
    <t>38.1 Diferencia de cambio</t>
  </si>
  <si>
    <t>Cargo</t>
  </si>
  <si>
    <t>Abono</t>
  </si>
  <si>
    <t>Total diferencia de cambio</t>
  </si>
  <si>
    <t>Activos financieros a valor razonable</t>
  </si>
  <si>
    <t>Activos financieros a costo amortizado</t>
  </si>
  <si>
    <t>Inversiones seguros cuenta única de inversión (CUI)</t>
  </si>
  <si>
    <t>Inversiones inmobiliarias</t>
  </si>
  <si>
    <t>Participación del reaseguro en las reservas técnicas</t>
  </si>
  <si>
    <t>Pasivos financieros</t>
  </si>
  <si>
    <t>Reservas técnicas</t>
  </si>
  <si>
    <t>Deudas por operaciones por coaseguro</t>
  </si>
  <si>
    <t>38.2 Utilidad (pérdida) por unidades reajustables</t>
  </si>
  <si>
    <t>Total utilidad (pérdida) por unidades reajustables</t>
  </si>
  <si>
    <t>40.1 Resultado por impuesto</t>
  </si>
  <si>
    <t>Gastos por impuesto a la renta</t>
  </si>
  <si>
    <t>40.2 Reconciliación de la tasa de impuesto efectiva</t>
  </si>
  <si>
    <t>Utilidad antes de impuesto</t>
  </si>
  <si>
    <t>Diferencias permanentes</t>
  </si>
  <si>
    <t>Agregados o deducciones</t>
  </si>
  <si>
    <t>Impuesto único (gastos rechazados)</t>
  </si>
  <si>
    <t>Gastos no deducibles (gastos financieros y no tributarios)</t>
  </si>
  <si>
    <t>Incentivos de impuestos no reconocidos en el estado de resultados</t>
  </si>
  <si>
    <t>Tasa efectiva y gasto por impuesto a la renta</t>
  </si>
  <si>
    <t>42.1 Contingencias y compromisos</t>
  </si>
  <si>
    <t xml:space="preserve">Persona o entidad relacionada con la contingencia
</t>
  </si>
  <si>
    <t xml:space="preserve">Saldo pendiente de pago a la fecha de cierre de los EEFF
</t>
  </si>
  <si>
    <t xml:space="preserve">Fecha liberación compromiso
</t>
  </si>
  <si>
    <t>Acciones legales</t>
  </si>
  <si>
    <t>Juicios</t>
  </si>
  <si>
    <t>Activos en garantía</t>
  </si>
  <si>
    <t>42.2 Sanciones</t>
  </si>
  <si>
    <t>Sanciones</t>
  </si>
  <si>
    <t>44.1 Posición en activos y pasivos en moneda extranjera</t>
  </si>
  <si>
    <t>Moneda 1</t>
  </si>
  <si>
    <t>Moneda 2</t>
  </si>
  <si>
    <t>Moneda 3</t>
  </si>
  <si>
    <t>Moneda 4</t>
  </si>
  <si>
    <t>Total Consolidado</t>
  </si>
  <si>
    <t>Reserva Matematica</t>
  </si>
  <si>
    <t>Reserva de Siniestros</t>
  </si>
  <si>
    <t>Deudas con Inst. Financieras</t>
  </si>
  <si>
    <t>44.2 Movimiento de divisas por concepto de reaseguros</t>
  </si>
  <si>
    <t>Movimiento
neto</t>
  </si>
  <si>
    <t>Entradas</t>
  </si>
  <si>
    <t>Salidas</t>
  </si>
  <si>
    <t>44.3 Margen de contribución de las operaciones de seguros en moneda extranjera</t>
  </si>
  <si>
    <t>Unidad de Fomento</t>
  </si>
  <si>
    <t>Unidad Seguro Reajustable</t>
  </si>
  <si>
    <t>Otras Unidades Reajustables</t>
  </si>
  <si>
    <t>44.4 Movimiento de unidades reajustables por concepto de reaseguros</t>
  </si>
  <si>
    <t>46.1 Información general margen de solvencia</t>
  </si>
  <si>
    <t>Prima</t>
  </si>
  <si>
    <t>Monto asegurado</t>
  </si>
  <si>
    <t>Reserva</t>
  </si>
  <si>
    <t>Capital de riesgo</t>
  </si>
  <si>
    <t xml:space="preserve">R.V.
</t>
  </si>
  <si>
    <t>Del DL 3500</t>
  </si>
  <si>
    <t>46.2 Información general costo de siniestros últimos 3 años</t>
  </si>
  <si>
    <t>Año i</t>
  </si>
  <si>
    <t>Año i-1</t>
  </si>
  <si>
    <t>Año i-2</t>
  </si>
  <si>
    <t>46.4 Seg. que no generan reservas matemáticas</t>
  </si>
  <si>
    <t>Seg. que no generan reservas matemáticas</t>
  </si>
  <si>
    <t>Capital en
Riesgo</t>
  </si>
  <si>
    <t>Coef. R. (%)</t>
  </si>
  <si>
    <t>46.5 Seg. con reservas matemáticas</t>
  </si>
  <si>
    <t>Seg. con reservas matemáticas</t>
  </si>
  <si>
    <t>Pasivo
total</t>
  </si>
  <si>
    <t>Pasivo
indirecto</t>
  </si>
  <si>
    <t>46.3 A. Seg. accidentes, salud y adicionales</t>
  </si>
  <si>
    <t>48.1 Cumplimiento regimen de inversiones y endeudamiento</t>
  </si>
  <si>
    <t>Patrimonio contable</t>
  </si>
  <si>
    <t>Financiero</t>
  </si>
  <si>
    <t>Obligación de invertir</t>
  </si>
  <si>
    <t>Total reserva seguros previsionales</t>
  </si>
  <si>
    <t>5.21.31.21 Reserva de rentas vitalicias</t>
  </si>
  <si>
    <t>Total reservas seguros no previsionales</t>
  </si>
  <si>
    <t>5.21.31.10 Reserva de riesgo en curso</t>
  </si>
  <si>
    <t>5.14.21.00 Participación del reaseguro en la reserva de riesgo en curso</t>
  </si>
  <si>
    <t>5.21.31.50 Reserva de rentas privadas</t>
  </si>
  <si>
    <t>Total reservas adicionales</t>
  </si>
  <si>
    <t>Total obligación de invertir reservas técnicas</t>
  </si>
  <si>
    <t>((PE+PI)/5)  Cías. seg. generales    ((PE+PI-RVF)/20)+(RVF/140) Cías. seg. Vida</t>
  </si>
  <si>
    <t>Total obligación de invertir (reservas técnicas + patrimonio de riesgo)</t>
  </si>
  <si>
    <t>Primas por pagar (sólo seguros generales)</t>
  </si>
  <si>
    <t>1.1  Deudores por reaseguro</t>
  </si>
  <si>
    <t>1.1.1 Primas por pagar reaseguradores</t>
  </si>
  <si>
    <t>1.1.2 Primas por pagar coaseguro</t>
  </si>
  <si>
    <t>1.1.3 Otras</t>
  </si>
  <si>
    <t>1.2  PCNG - DCNG</t>
  </si>
  <si>
    <t>1.3  RRCPP</t>
  </si>
  <si>
    <t>1.4  RSPP</t>
  </si>
  <si>
    <t>48.5 Activo no efectivo</t>
  </si>
  <si>
    <t>Activo
inicial</t>
  </si>
  <si>
    <t>Fecha
inicial</t>
  </si>
  <si>
    <t>Saldo
activo</t>
  </si>
  <si>
    <t>Gastos organización y puesta en marcha</t>
  </si>
  <si>
    <t>Programas computacionales</t>
  </si>
  <si>
    <t>Derechos, marcas, patentes</t>
  </si>
  <si>
    <t>Menor valor de inversiones</t>
  </si>
  <si>
    <t>Reaseguro no proporcional</t>
  </si>
  <si>
    <t>Total inversiones no efectivas</t>
  </si>
  <si>
    <t>48.6 Inventario de inversiones</t>
  </si>
  <si>
    <t>INV. NO REPRESENT DE R.T. Y P.R.</t>
  </si>
  <si>
    <t>INV. REPRESENT DE R.T. Y P.R.</t>
  </si>
  <si>
    <t>TOTAL INVERSIONES</t>
  </si>
  <si>
    <t>SUPERAVIT DE INVERSIONES</t>
  </si>
  <si>
    <t>1) Instrumentos emitidos por el estado o banco central</t>
  </si>
  <si>
    <t>2) Depósitos a plazo</t>
  </si>
  <si>
    <t>3) Bonos y pagarés bancarios</t>
  </si>
  <si>
    <t>4) Letras de crédito emitidas por bancos e instituciones financieras</t>
  </si>
  <si>
    <t>5) Bonos, pagarés y debentures emitidos por empresas públicas o privadas</t>
  </si>
  <si>
    <t>6) Participación en convenios de créditos (Creditos sindicados)</t>
  </si>
  <si>
    <t>7) Mutuos hipotecarios</t>
  </si>
  <si>
    <t>8) Préstamos otorgados a personas naturales o jurídicas</t>
  </si>
  <si>
    <t>9) Acciones de sociedades anónimas abiertas admitidas</t>
  </si>
  <si>
    <t>10) Cuotas de Fondos Mutuos Nacionales</t>
  </si>
  <si>
    <t>11) Cuotas de fondos de inversión nacionales</t>
  </si>
  <si>
    <t>12) Instrumentos de deuda o crédito emitidos por Estados o Bancos Centrales Extranjeros</t>
  </si>
  <si>
    <t>13) Títulos emitidos por instituciones financieras o empresas extranjeras</t>
  </si>
  <si>
    <t>14) Acciones de sociedades anónimas extranjeras</t>
  </si>
  <si>
    <t>15) Cuotas de fondos mutuos o de inversion extranjeros</t>
  </si>
  <si>
    <t>16) Cuotas de fondos mutuos o de inversion constituidos en el pais cuyos activos estan invertidos en el extranjero</t>
  </si>
  <si>
    <t>17) Notas estructuradas</t>
  </si>
  <si>
    <t>18)  Bienes raíces no habitacionales situados en el extranjero</t>
  </si>
  <si>
    <t>19)  Cuenta corriente en el extranjero</t>
  </si>
  <si>
    <t>20) Bienes raíces nacionales</t>
  </si>
  <si>
    <t>20.1) Bienes raíces no habitacionales para uso propio o de renta</t>
  </si>
  <si>
    <t>20.2) Bienes raíces no habitacionales entregados en leasing</t>
  </si>
  <si>
    <t>20.3) Bienes raíces habitacionales para uso propio o de renta</t>
  </si>
  <si>
    <t>20.4) Bienes raíces habitacionales entregados en leasing</t>
  </si>
  <si>
    <t>23) Crédito no vencido seguro de invalidez y sobrevivencia  D.L. Nº 3500 y crédito por saldo cuenta individual.(2do.grupo)</t>
  </si>
  <si>
    <t>24) Avance a tenedores de pólizas de seguros de vida (2do.grupo)</t>
  </si>
  <si>
    <t>25) Crédito a cedentes por prima no vencida y no devengada.(1er.grupo)</t>
  </si>
  <si>
    <t>26) Crédito a cedentes por prima no vencida devengada.(1er.grupo)</t>
  </si>
  <si>
    <t>27) Préstamos otorgados a asegurados por pólizas de seguros de crédito</t>
  </si>
  <si>
    <t>28) Derivados</t>
  </si>
  <si>
    <t>29) Inversiones del N°7 del Art. 21 del DFL N°251</t>
  </si>
  <si>
    <t>29.1) AFR</t>
  </si>
  <si>
    <t>29.2) Fondos de Inversión Privados Nacionales</t>
  </si>
  <si>
    <t>29.3) Fondos de Inversión Privados Extranjeros</t>
  </si>
  <si>
    <t>29.4) Otras inversiones del N°7 del Art.21 del DFL 251</t>
  </si>
  <si>
    <t>30) Bancos</t>
  </si>
  <si>
    <t>31) Caja</t>
  </si>
  <si>
    <t>32) Muebles y Equipo para su propio uso</t>
  </si>
  <si>
    <t>33) Acciones de sociedades anónimas cerradas</t>
  </si>
  <si>
    <t>34) Otros</t>
  </si>
  <si>
    <t>Total activos representativos</t>
  </si>
  <si>
    <t>Sociedad</t>
  </si>
  <si>
    <t>Tipo
de garantía</t>
  </si>
  <si>
    <t>Deudas de empresas relacionadas</t>
  </si>
  <si>
    <t>49.1 Saldos por cobrar a entidades relacionadas</t>
  </si>
  <si>
    <t>49.2 Saldos por pagar a entidades relacionadas</t>
  </si>
  <si>
    <t>Deudas con empresas relacionadas</t>
  </si>
  <si>
    <t>49.3 Transacciones con partes relacionadas</t>
  </si>
  <si>
    <t>Entidad relacionada</t>
  </si>
  <si>
    <t>49.4 Remuneraciones a directores, consejeros, administradores y personal clave</t>
  </si>
  <si>
    <t>48.4 Cuadro primas por pagar a reaseguradores para el cálculo de reservas técnicas (aplicable solo a las compañías del primer grupo)</t>
  </si>
  <si>
    <t>AND: Andorra</t>
  </si>
  <si>
    <t>ARE: United Arab Emirates (the)</t>
  </si>
  <si>
    <t>AFG: Afghanistan</t>
  </si>
  <si>
    <t>ATG: Antigua and Barbuda</t>
  </si>
  <si>
    <t>AIA: Anguilla</t>
  </si>
  <si>
    <t>ALB: Albania</t>
  </si>
  <si>
    <t>ARM: Armenia</t>
  </si>
  <si>
    <t>AGO: Angola</t>
  </si>
  <si>
    <t>ATA: Antarctica</t>
  </si>
  <si>
    <t>ARG: Argentina</t>
  </si>
  <si>
    <t>ASM: American Samoa</t>
  </si>
  <si>
    <t>AUT: Austria</t>
  </si>
  <si>
    <t>AUS: Australia</t>
  </si>
  <si>
    <t>ABW: Aruba</t>
  </si>
  <si>
    <t>ALA: Aland Islands</t>
  </si>
  <si>
    <t>AZE: Azerbaijan</t>
  </si>
  <si>
    <t>BIH: Bosnia and Herzegovina</t>
  </si>
  <si>
    <t>BRB: Barbados</t>
  </si>
  <si>
    <t>BGD: Bangladesh</t>
  </si>
  <si>
    <t>BEL: Belgium</t>
  </si>
  <si>
    <t>BFA: Burkina Faso</t>
  </si>
  <si>
    <t>BGR: Bulgaria</t>
  </si>
  <si>
    <t>BHR: Bahrain</t>
  </si>
  <si>
    <t>BDI: Burundi</t>
  </si>
  <si>
    <t>BEN: Benin</t>
  </si>
  <si>
    <t>BLM: Saint Barthelemy</t>
  </si>
  <si>
    <t>BMU: Bermuda</t>
  </si>
  <si>
    <t>BRN: Brunei Darussalam</t>
  </si>
  <si>
    <t>BOL: Bolivia, Plurinational State of</t>
  </si>
  <si>
    <t>BES: Bonaire, Sint Eustatius and Saba</t>
  </si>
  <si>
    <t>BRA: Brazil</t>
  </si>
  <si>
    <t>BHS: Bahamas (the)</t>
  </si>
  <si>
    <t>BTN: Bhutan</t>
  </si>
  <si>
    <t>BVT: Bouvet Island</t>
  </si>
  <si>
    <t>BWA: Botswana</t>
  </si>
  <si>
    <t>BLR: Belarus</t>
  </si>
  <si>
    <t>BLZ: Belize</t>
  </si>
  <si>
    <t>CAN: Canada</t>
  </si>
  <si>
    <t>CCK: Cocos (Keeling) Islands (the)</t>
  </si>
  <si>
    <t>COD: Congo (the Democratic Republic of the)</t>
  </si>
  <si>
    <t>CAF: Central African Republic (the)</t>
  </si>
  <si>
    <t>COG: Congo</t>
  </si>
  <si>
    <t>CHE: Switzerland</t>
  </si>
  <si>
    <t>CIV: Cote d'Ivoire</t>
  </si>
  <si>
    <t>COK: Cook Islands (the)</t>
  </si>
  <si>
    <t>CHL: Chile</t>
  </si>
  <si>
    <t>CMR: Cameroon</t>
  </si>
  <si>
    <t>CHN: China</t>
  </si>
  <si>
    <t>COL: Colombia</t>
  </si>
  <si>
    <t>CRI: Costa Rica</t>
  </si>
  <si>
    <t>CUB: Cuba</t>
  </si>
  <si>
    <t>CPV: Cabo Verde</t>
  </si>
  <si>
    <t>CUW: Curazao</t>
  </si>
  <si>
    <t>CXR: Christmas Island</t>
  </si>
  <si>
    <t>CYP: Cyprus</t>
  </si>
  <si>
    <t>CZE: Czech Republic (the)</t>
  </si>
  <si>
    <t>DEU: Germany</t>
  </si>
  <si>
    <t>DJI: Djibouti</t>
  </si>
  <si>
    <t>DNK: Denmark</t>
  </si>
  <si>
    <t>DMA: Dominica</t>
  </si>
  <si>
    <t>DOM: Dominican Republic (the)</t>
  </si>
  <si>
    <t>DZA: Algeria</t>
  </si>
  <si>
    <t>ECU: Ecuador</t>
  </si>
  <si>
    <t>EST: Estonia</t>
  </si>
  <si>
    <t>EGY: Egypt</t>
  </si>
  <si>
    <t>ESH: Western Sahara*</t>
  </si>
  <si>
    <t>ERI: Eritrea</t>
  </si>
  <si>
    <t>ESP: Spain</t>
  </si>
  <si>
    <t>ETH: Ethiopia</t>
  </si>
  <si>
    <t>FIN: Finland</t>
  </si>
  <si>
    <t>FJI: Fiji</t>
  </si>
  <si>
    <t>FLK: Falkland Islands (the) [Malvinas]</t>
  </si>
  <si>
    <t>FSM: Micronesia (the Federated States of)</t>
  </si>
  <si>
    <t>FRO: Faroe Islands (the)</t>
  </si>
  <si>
    <t>FRA: France</t>
  </si>
  <si>
    <t>GAB: Gabon</t>
  </si>
  <si>
    <t>GBR: United Kingdom (the)</t>
  </si>
  <si>
    <t>GRD: Grenada</t>
  </si>
  <si>
    <t>GEO: Georgia</t>
  </si>
  <si>
    <t>GUF: French Guiana</t>
  </si>
  <si>
    <t>GGY: Guernsey</t>
  </si>
  <si>
    <t>GHA: Ghana</t>
  </si>
  <si>
    <t>GIB: Gibraltar</t>
  </si>
  <si>
    <t>GRL: Greenland</t>
  </si>
  <si>
    <t>GMB: Gambia (The)</t>
  </si>
  <si>
    <t>GIN: Guinea</t>
  </si>
  <si>
    <t>GLP: Guadeloupe</t>
  </si>
  <si>
    <t>GNQ: Equatorial Guinea</t>
  </si>
  <si>
    <t>GRC: Greece</t>
  </si>
  <si>
    <t>SGS: South Georgia and the South Sandwich Islands</t>
  </si>
  <si>
    <t>GTM: Guatemala</t>
  </si>
  <si>
    <t>GUM: Guam</t>
  </si>
  <si>
    <t>GNB: Guinea-Bissau</t>
  </si>
  <si>
    <t>GUY: Guyana</t>
  </si>
  <si>
    <t>HKG: Hong Kong</t>
  </si>
  <si>
    <t>HMD: Heard Island and McDonald Islands</t>
  </si>
  <si>
    <t>HND: Honduras</t>
  </si>
  <si>
    <t>HRV: Croatia</t>
  </si>
  <si>
    <t>HTI: Haiti</t>
  </si>
  <si>
    <t>HUN: Hungary</t>
  </si>
  <si>
    <t>IDN: Indonesia</t>
  </si>
  <si>
    <t>IRL: Ireland</t>
  </si>
  <si>
    <t>ISR: Israel</t>
  </si>
  <si>
    <t>IMN: Isle of Man</t>
  </si>
  <si>
    <t>IND: India</t>
  </si>
  <si>
    <t>IOT: British Indian Ocean Territory (the)</t>
  </si>
  <si>
    <t>IRQ: Iraq</t>
  </si>
  <si>
    <t>IRN: Iran (the Islamic Republic of)</t>
  </si>
  <si>
    <t>ISL: Iceland</t>
  </si>
  <si>
    <t>ITA: Italy</t>
  </si>
  <si>
    <t>JEY: Jersey</t>
  </si>
  <si>
    <t>JAM: Jamaica</t>
  </si>
  <si>
    <t>JOR: Jordan</t>
  </si>
  <si>
    <t>JPN: Japan</t>
  </si>
  <si>
    <t>KEN: Kenya</t>
  </si>
  <si>
    <t>KGZ: Kyrgyzstan</t>
  </si>
  <si>
    <t>KHM: Cambodia</t>
  </si>
  <si>
    <t>KIR: Kiribati</t>
  </si>
  <si>
    <t>COM: Comoros</t>
  </si>
  <si>
    <t>KNA: Saint Kitts and Nevis</t>
  </si>
  <si>
    <t>PRK: Korea (the Democratic People's Republic of)</t>
  </si>
  <si>
    <t>KOR: Korea (the Republic of)</t>
  </si>
  <si>
    <t>KWT: Kuwait</t>
  </si>
  <si>
    <t>CYM: Cayman Islands (the)</t>
  </si>
  <si>
    <t>KAZ: Kazakhstan</t>
  </si>
  <si>
    <t>LAO: Lao People's Democratic Republic (the)</t>
  </si>
  <si>
    <t>LBN: Lebanon</t>
  </si>
  <si>
    <t>LCA: Saint Lucia</t>
  </si>
  <si>
    <t>LIE: Liechtenstein</t>
  </si>
  <si>
    <t>LKA: Sri Lanka</t>
  </si>
  <si>
    <t>LBR: Liberia</t>
  </si>
  <si>
    <t>LSO: Lesotho</t>
  </si>
  <si>
    <t>LTU: Lithuania</t>
  </si>
  <si>
    <t>LUX: Luxembourg</t>
  </si>
  <si>
    <t>LVA: Latvia</t>
  </si>
  <si>
    <t>LBY: Libya</t>
  </si>
  <si>
    <t>MAR: Morocco</t>
  </si>
  <si>
    <t>MCO: Monaco</t>
  </si>
  <si>
    <t>MDA: Moldova (the Republic of)</t>
  </si>
  <si>
    <t>MNE: Montenegro</t>
  </si>
  <si>
    <t>MAF: Saint Martin (French part)</t>
  </si>
  <si>
    <t>MDG: Madagascar</t>
  </si>
  <si>
    <t>MHL: Marshall Islands (the)</t>
  </si>
  <si>
    <t>MKD: Macedonia (the former Yugoslav Republic of)</t>
  </si>
  <si>
    <t>MLI: Mali</t>
  </si>
  <si>
    <t>MMR: Myanmar</t>
  </si>
  <si>
    <t>MNG: Mongolia</t>
  </si>
  <si>
    <t>MAC: Macao</t>
  </si>
  <si>
    <t>MNP: Northern Mariana Islands (the)</t>
  </si>
  <si>
    <t>MTQ: Martinique</t>
  </si>
  <si>
    <t>MRT: Mauritania</t>
  </si>
  <si>
    <t>MSR: Montserrat</t>
  </si>
  <si>
    <t>MLT: Malta</t>
  </si>
  <si>
    <t>MUS: Mauritius</t>
  </si>
  <si>
    <t>MDV: Maldives</t>
  </si>
  <si>
    <t>MWI: Malawi</t>
  </si>
  <si>
    <t>MEX: Mexico</t>
  </si>
  <si>
    <t>MYS: Malaysia</t>
  </si>
  <si>
    <t>MOZ: Mozambique</t>
  </si>
  <si>
    <t>NAM: Namibia</t>
  </si>
  <si>
    <t>NCL: New Caledonia</t>
  </si>
  <si>
    <t>NER: Niger (the)</t>
  </si>
  <si>
    <t>NFK: Norfolk Island</t>
  </si>
  <si>
    <t>NGA: Nigeria</t>
  </si>
  <si>
    <t>NIC: Nicaragua</t>
  </si>
  <si>
    <t>NLD: Netherlands (the)</t>
  </si>
  <si>
    <t>NOR: Norway</t>
  </si>
  <si>
    <t>NPL: Nepal</t>
  </si>
  <si>
    <t>NRU: Nauru</t>
  </si>
  <si>
    <t>NIU: Niue</t>
  </si>
  <si>
    <t>NZL: New Zealand</t>
  </si>
  <si>
    <t>OMN: Oman</t>
  </si>
  <si>
    <t>PAN: Panama</t>
  </si>
  <si>
    <t>PER: Peru</t>
  </si>
  <si>
    <t>PYF: French Polynesia</t>
  </si>
  <si>
    <t>PNG: Papua New Guinea</t>
  </si>
  <si>
    <t>PHL: Philippines (the)</t>
  </si>
  <si>
    <t>PAK: Pakistan</t>
  </si>
  <si>
    <t>POL: Poland</t>
  </si>
  <si>
    <t>SPM: Saint Pierre and Miquelon</t>
  </si>
  <si>
    <t>PCN: Pitcairn</t>
  </si>
  <si>
    <t>PRI: Puerto Rico</t>
  </si>
  <si>
    <t>PSE: Palestine, State of</t>
  </si>
  <si>
    <t>PRT: Portugal</t>
  </si>
  <si>
    <t>PLW: Palau</t>
  </si>
  <si>
    <t>PRY: Paraguay</t>
  </si>
  <si>
    <t>QAT: Qatar</t>
  </si>
  <si>
    <t>REU: Reunion</t>
  </si>
  <si>
    <t>ROU: Romania</t>
  </si>
  <si>
    <t>SRB: Serbia</t>
  </si>
  <si>
    <t>RUS: Russian Federation (the)</t>
  </si>
  <si>
    <t>RWA: Rwanda</t>
  </si>
  <si>
    <t>SAU: Saudi Arabia</t>
  </si>
  <si>
    <t>SLB: Solomon Islands (the)</t>
  </si>
  <si>
    <t>SYC: Seychelles</t>
  </si>
  <si>
    <t>SDN: Sudan (the)</t>
  </si>
  <si>
    <t>SWE: Sweden</t>
  </si>
  <si>
    <t>SGP: Singapore</t>
  </si>
  <si>
    <t>SHN: Saint Helena, Ascension and Tristan da Cunha</t>
  </si>
  <si>
    <t>SVN: Slovenia</t>
  </si>
  <si>
    <t>SJM: Svalbard and Jan Mayen</t>
  </si>
  <si>
    <t>SVK: Slovakia</t>
  </si>
  <si>
    <t>SLE: Sierra Leone</t>
  </si>
  <si>
    <t>SMR: San Marino</t>
  </si>
  <si>
    <t>SEN: Senegal</t>
  </si>
  <si>
    <t>SOM: Somalia</t>
  </si>
  <si>
    <t>SUR: Suriname</t>
  </si>
  <si>
    <t>SSD: South Sudan</t>
  </si>
  <si>
    <t>STP: Sao Tome and Principe</t>
  </si>
  <si>
    <t>SLV: El Salvador</t>
  </si>
  <si>
    <t>SXM: Sint Maarten (Dutch part)</t>
  </si>
  <si>
    <t>SYR: Syrian Arab Republic (the)</t>
  </si>
  <si>
    <t>SWZ: Swaziland</t>
  </si>
  <si>
    <t>TCA: Turks and Caicos Islands (the)</t>
  </si>
  <si>
    <t>TCD: Chad</t>
  </si>
  <si>
    <t>ATF: French Southern Territories (the)</t>
  </si>
  <si>
    <t>TGO: Togo</t>
  </si>
  <si>
    <t>THA: Thailand</t>
  </si>
  <si>
    <t>TJK: Tajikistan</t>
  </si>
  <si>
    <t>TKL: Tokelau</t>
  </si>
  <si>
    <t>TLS: Timor-Leste</t>
  </si>
  <si>
    <t>TKM: Turkmenistan</t>
  </si>
  <si>
    <t>TUN: Tunisia</t>
  </si>
  <si>
    <t>TON: Tonga</t>
  </si>
  <si>
    <t>TUR: Turkey</t>
  </si>
  <si>
    <t>TTO: Trinidad and Tobago</t>
  </si>
  <si>
    <t>TUV: Tuvalu</t>
  </si>
  <si>
    <t>TWN: Taiwan (Province of China)</t>
  </si>
  <si>
    <t>TZA: Tanzania, United Republic of</t>
  </si>
  <si>
    <t>UKR: Ukraine</t>
  </si>
  <si>
    <t>UGA: Uganda</t>
  </si>
  <si>
    <t>UMI: United States Minor Outlying Islands (the)</t>
  </si>
  <si>
    <t>USA: United States (the)</t>
  </si>
  <si>
    <t>URY: Uruguay</t>
  </si>
  <si>
    <t>UZB: Uzbekistan</t>
  </si>
  <si>
    <t>VAT: Holy See (the) [Vatican City State]</t>
  </si>
  <si>
    <t>VCT: Saint Vincent and the Grenadines</t>
  </si>
  <si>
    <t>VEN: Venezuela, Bolivarian Republic of</t>
  </si>
  <si>
    <t>VGB: Virgin Islands (British)</t>
  </si>
  <si>
    <t>VIR: Virgin Islands (U.S.)</t>
  </si>
  <si>
    <t>VNM: Viet Nam</t>
  </si>
  <si>
    <t>VUT: Vanuatu</t>
  </si>
  <si>
    <t>WLF: Wallis and Futuna</t>
  </si>
  <si>
    <t>WSM: Samoa</t>
  </si>
  <si>
    <t>YEM: Yemen</t>
  </si>
  <si>
    <t>MYT: Mayotte</t>
  </si>
  <si>
    <t>ZAF: South Africa</t>
  </si>
  <si>
    <t>ZMB: Zambia</t>
  </si>
  <si>
    <t>ZWE: Zimbabwe</t>
  </si>
  <si>
    <t>ARS: Argentine Peso</t>
  </si>
  <si>
    <t>BOB: Boliviano</t>
  </si>
  <si>
    <t>BRL: Brazilian Real</t>
  </si>
  <si>
    <t>CLF: Unidad de Fomento</t>
  </si>
  <si>
    <t>CLP: Chilean Peso</t>
  </si>
  <si>
    <t>COP: Colombian Peso</t>
  </si>
  <si>
    <t>EUR: Euro</t>
  </si>
  <si>
    <t>GBP: Pound Sterling</t>
  </si>
  <si>
    <t>HKD: Hong Kong Dollar</t>
  </si>
  <si>
    <t>KRW: Won</t>
  </si>
  <si>
    <t>JPY: Yen</t>
  </si>
  <si>
    <t>MXN: Mexican Peso</t>
  </si>
  <si>
    <t>PEN: Nuevo Sol</t>
  </si>
  <si>
    <t>PYG: Guarani</t>
  </si>
  <si>
    <t>SGD: Singapore Dollar</t>
  </si>
  <si>
    <t>TWD: New Taiwan Dollar</t>
  </si>
  <si>
    <t>USD: US Dollar</t>
  </si>
  <si>
    <t>UYU: Peso Uruguayo</t>
  </si>
  <si>
    <t>VEF: Bolivar</t>
  </si>
  <si>
    <t>XSU: Sucre</t>
  </si>
  <si>
    <t>AED: UAE Dirham</t>
  </si>
  <si>
    <t>AFN: Afghani</t>
  </si>
  <si>
    <t>ALL: Lek</t>
  </si>
  <si>
    <t>AMD: Armenian Dram</t>
  </si>
  <si>
    <t>ANG: Netherlands Antillean Guilder</t>
  </si>
  <si>
    <t>AOA: Kwanza</t>
  </si>
  <si>
    <t>AUD: Australian Dollar</t>
  </si>
  <si>
    <t>AWG: Aruban Florin</t>
  </si>
  <si>
    <t>AZN: Azerbaijanian Manat</t>
  </si>
  <si>
    <t>BAM: Convertible Mark</t>
  </si>
  <si>
    <t>BBD: Barbados Dollar</t>
  </si>
  <si>
    <t>BDT: Taka</t>
  </si>
  <si>
    <t>BGN: Bulgarian Lev</t>
  </si>
  <si>
    <t>BHD: Bahraini Dinar</t>
  </si>
  <si>
    <t>BIF: Burundi Franc</t>
  </si>
  <si>
    <t>BMD: Bermudian Dollar</t>
  </si>
  <si>
    <t>BND: Brunei Dollar</t>
  </si>
  <si>
    <t>BOV: Mvdol</t>
  </si>
  <si>
    <t>BSD: Bahamian Dollar</t>
  </si>
  <si>
    <t>BTN: Ngultrum</t>
  </si>
  <si>
    <t>BWP: Pula</t>
  </si>
  <si>
    <t>BYR: Belarussian Ruble</t>
  </si>
  <si>
    <t>BZD: Belize Dollar</t>
  </si>
  <si>
    <t>CAD: Canadian Dollar</t>
  </si>
  <si>
    <t>CDF: Congolese Franc</t>
  </si>
  <si>
    <t>CHE: WIR Euro</t>
  </si>
  <si>
    <t>CHF: Swiss Franc</t>
  </si>
  <si>
    <t>CHW: WIR Franc</t>
  </si>
  <si>
    <t>CNY: Yuan Renminbi</t>
  </si>
  <si>
    <t>COU: Unidad de Valor Real</t>
  </si>
  <si>
    <t>CRC: Costa Rican Colon</t>
  </si>
  <si>
    <t>CUC: Peso Convertible</t>
  </si>
  <si>
    <t>CUP: Cuban Peso</t>
  </si>
  <si>
    <t>CVE: Cabo Verde Escudo</t>
  </si>
  <si>
    <t>CZK: Czech Koruna</t>
  </si>
  <si>
    <t>DJF: Djibouti Franc</t>
  </si>
  <si>
    <t>DKK: Danish Krone</t>
  </si>
  <si>
    <t>DOP: Dominican Peso</t>
  </si>
  <si>
    <t>DZD: Algerian Dinar</t>
  </si>
  <si>
    <t>EGP: Egyptian Pound</t>
  </si>
  <si>
    <t>ERN: Nakfa</t>
  </si>
  <si>
    <t>ETB: Ethiopian Birr</t>
  </si>
  <si>
    <t>FJD: Fiji Dollar</t>
  </si>
  <si>
    <t>FKP: Falkland Islands Pound</t>
  </si>
  <si>
    <t>GEL: Lari</t>
  </si>
  <si>
    <t>GHS: Ghana Cedi</t>
  </si>
  <si>
    <t>GIP: Gibraltar Pound</t>
  </si>
  <si>
    <t>GMD: Dalasi</t>
  </si>
  <si>
    <t>GNF: Guinea Franc</t>
  </si>
  <si>
    <t>GTQ: Quetzal</t>
  </si>
  <si>
    <t>GYD: Guyana Dollar</t>
  </si>
  <si>
    <t>HNL: Lempira</t>
  </si>
  <si>
    <t>HRK: Croatian Kuna</t>
  </si>
  <si>
    <t>HTG: Gourde</t>
  </si>
  <si>
    <t>HUF: Forint</t>
  </si>
  <si>
    <t>IDR: Rupiah</t>
  </si>
  <si>
    <t>ILS: New Israeli Sheqel</t>
  </si>
  <si>
    <t>INR: Indian Rupee</t>
  </si>
  <si>
    <t>IQD: Iraqi Dinar</t>
  </si>
  <si>
    <t>IRR: Iranian Rial</t>
  </si>
  <si>
    <t>ISK: Iceland Krona</t>
  </si>
  <si>
    <t>JMD: Jamaican Dollar</t>
  </si>
  <si>
    <t>JOD: Jordanian Dinar</t>
  </si>
  <si>
    <t>KES: Kenyan Shilling</t>
  </si>
  <si>
    <t>KGS: Som</t>
  </si>
  <si>
    <t>KHR: Riel</t>
  </si>
  <si>
    <t>KMF: Comoro Franc</t>
  </si>
  <si>
    <t>KPW: North Korean Won</t>
  </si>
  <si>
    <t>KWD: Kuwaiti Dinar</t>
  </si>
  <si>
    <t>KYD: Cayman Islands Dollar</t>
  </si>
  <si>
    <t>KZT: Tenge</t>
  </si>
  <si>
    <t>LAK: Kip</t>
  </si>
  <si>
    <t>LBP: Lebanese Pound</t>
  </si>
  <si>
    <t>LKR: Sri Lanka Rupee</t>
  </si>
  <si>
    <t>LRD: Liberian Dollar</t>
  </si>
  <si>
    <t>LSL: Loti</t>
  </si>
  <si>
    <t>LTL: Lithuanian Litas</t>
  </si>
  <si>
    <t>LYD: Libyan Dinar</t>
  </si>
  <si>
    <t>MAD: Moroccan Dirham</t>
  </si>
  <si>
    <t>MDL: Moldovan Leu</t>
  </si>
  <si>
    <t>MGA: Malagasy Ariary</t>
  </si>
  <si>
    <t>MKD: Denar</t>
  </si>
  <si>
    <t>MMK: Kyat</t>
  </si>
  <si>
    <t>MNT: Tugrik</t>
  </si>
  <si>
    <t>MOP: Pataca</t>
  </si>
  <si>
    <t>MRO: Ouguiya</t>
  </si>
  <si>
    <t>MUR: Mauritius Rupee</t>
  </si>
  <si>
    <t>MVR: Rufiyaa</t>
  </si>
  <si>
    <t>MWK: Kwacha</t>
  </si>
  <si>
    <t>MXV: Mexican Unidad de Inversion (UDI)</t>
  </si>
  <si>
    <t>MYR: Malaysian Ringgit</t>
  </si>
  <si>
    <t>MZN: Mozambique Metical</t>
  </si>
  <si>
    <t>NAD: Namibia Dollar</t>
  </si>
  <si>
    <t>NGN: Naira</t>
  </si>
  <si>
    <t>NIO: Cordoba Oro</t>
  </si>
  <si>
    <t>NOK: Norwegian Krone</t>
  </si>
  <si>
    <t>NPR: Nepalese Rupee</t>
  </si>
  <si>
    <t>NZD: New Zealand Dollar</t>
  </si>
  <si>
    <t>OMR: Rial Omani</t>
  </si>
  <si>
    <t>PAB: Balboa</t>
  </si>
  <si>
    <t>PGK: Kina</t>
  </si>
  <si>
    <t>PHP: Philippine Peso</t>
  </si>
  <si>
    <t>PKR: Pakistan Rupee</t>
  </si>
  <si>
    <t>PLN: Zloty</t>
  </si>
  <si>
    <t>QAR: Qatari Rial</t>
  </si>
  <si>
    <t>RSD: Serbian Dinar</t>
  </si>
  <si>
    <t>RUB: Russian Ruble</t>
  </si>
  <si>
    <t>RWF: Rwanda Franc</t>
  </si>
  <si>
    <t>SAR: Saudi Riyal</t>
  </si>
  <si>
    <t>SBD: Solomon Islands Dollar</t>
  </si>
  <si>
    <t>SCR: Seychelles Rupee</t>
  </si>
  <si>
    <t>SDG: Sudanese Pound</t>
  </si>
  <si>
    <t>SEK: Swedish Krona</t>
  </si>
  <si>
    <t>SHP: Saint Helena Pound</t>
  </si>
  <si>
    <t>SLL: Leone</t>
  </si>
  <si>
    <t>SOS: Somali Shilling</t>
  </si>
  <si>
    <t>SRD: Surinam Dollar</t>
  </si>
  <si>
    <t>SSP: South Sudanese Pound</t>
  </si>
  <si>
    <t>STD: Dobra</t>
  </si>
  <si>
    <t>SVC: El Salvador Colon</t>
  </si>
  <si>
    <t>SYP: Syrian Pound</t>
  </si>
  <si>
    <t>SZL: Lilangeni</t>
  </si>
  <si>
    <t>THB: Baht</t>
  </si>
  <si>
    <t>TJS: Somoni</t>
  </si>
  <si>
    <t>TMT: Turkmenistan New Manat</t>
  </si>
  <si>
    <t>TND: Tunisian Dinar</t>
  </si>
  <si>
    <t>TOP: Pa anga</t>
  </si>
  <si>
    <t>TRY: Turkish Lira</t>
  </si>
  <si>
    <t>TTD: Trinidad and Tobago Dollar</t>
  </si>
  <si>
    <t>TZS: Tanzanian Shilling</t>
  </si>
  <si>
    <t>UAH: Hryvnia</t>
  </si>
  <si>
    <t>UGX: Uganda Shilling</t>
  </si>
  <si>
    <t>USN: US Dollar (Next day)</t>
  </si>
  <si>
    <t>UYI: Uruguay Peso en Unidades Indexadas (URUIURUI)</t>
  </si>
  <si>
    <t>UZS: Uzbekistan Sum</t>
  </si>
  <si>
    <t>VND: Dong</t>
  </si>
  <si>
    <t>VUV: Vatu</t>
  </si>
  <si>
    <t>WST: Tala</t>
  </si>
  <si>
    <t>XAF: CFA Franc BEAC</t>
  </si>
  <si>
    <t>XAG: Silver</t>
  </si>
  <si>
    <t>XAU: Gold</t>
  </si>
  <si>
    <t>XBA: Bond Markets Unit European Composite Unit (EURCO)</t>
  </si>
  <si>
    <t>XBB: Bond Markets Unit European Monetary Unit (E.M.U.-6)</t>
  </si>
  <si>
    <t>XBC: Bond Markets Unit European Unit of Account 9 (E.U.A.-9)</t>
  </si>
  <si>
    <t>XBD: Bond Markets Unit European Unit of Account 17 (E.U.A.-17)</t>
  </si>
  <si>
    <t>XCD: East Caribbean Dollar</t>
  </si>
  <si>
    <t>XDR: SDR (Special Drawing Right)</t>
  </si>
  <si>
    <t>XOF: CFA Franc BCEAO</t>
  </si>
  <si>
    <t>XPD: Palladium</t>
  </si>
  <si>
    <t>XPF: CFP Franc</t>
  </si>
  <si>
    <t>XPT: Platinum</t>
  </si>
  <si>
    <t>XTS: Codes specifically reserved for testing purposes</t>
  </si>
  <si>
    <t>XUA: ADB Unit of Account</t>
  </si>
  <si>
    <t>XXX: The codes assigned for transactions where no currency is involved</t>
  </si>
  <si>
    <t>YER: Yemeni Rial</t>
  </si>
  <si>
    <t>ZAR: Rand</t>
  </si>
  <si>
    <t>ZMW: Zambian Kwacha</t>
  </si>
  <si>
    <t>ZWL: Zimbabwe Dollar</t>
  </si>
  <si>
    <t>Individuales</t>
  </si>
  <si>
    <t>Previsionales</t>
  </si>
  <si>
    <t>Colectivos</t>
  </si>
  <si>
    <t>Masivo</t>
  </si>
  <si>
    <t>6.31.10.00 Margen de contribución</t>
  </si>
  <si>
    <t>6.31.11.00 Prima retenida</t>
  </si>
  <si>
    <t>6.31.11.10 Prima directa</t>
  </si>
  <si>
    <t>6.31.11.20 Prima aceptada</t>
  </si>
  <si>
    <t>6.31.11.30 Prima cedida</t>
  </si>
  <si>
    <t>6.31.12.00 Variación de reservas técnicas</t>
  </si>
  <si>
    <t>6.31.12.10 Variación reserva de riesgo en curso</t>
  </si>
  <si>
    <t>6.31.12.20 Variación reserva matemática</t>
  </si>
  <si>
    <t>6.31.12.30 Variación reserva valor del fondo</t>
  </si>
  <si>
    <t>6.31.12.40 Variación reserva insuficiencia de prima</t>
  </si>
  <si>
    <t>6.31.12.50 Variación otras reservas técnicas</t>
  </si>
  <si>
    <t>6.31.13.00 Costo de siniestros</t>
  </si>
  <si>
    <t>6.31.13.10 Siniestros directos</t>
  </si>
  <si>
    <t>6.31.13.20 Siniestros cedidos</t>
  </si>
  <si>
    <t>6.31.13.30 Siniestros aceptados</t>
  </si>
  <si>
    <t>6.31.14.00 Costo de rentas</t>
  </si>
  <si>
    <t>6.31.14.10 Rentas directas</t>
  </si>
  <si>
    <t>6.31.14.20 Rentas cedidas</t>
  </si>
  <si>
    <t>6.31.14.30 Rentas aceptadas</t>
  </si>
  <si>
    <t>6.31.15.00 Resultado de intermediación</t>
  </si>
  <si>
    <t>6.31.15.10 Comisión agentes directos</t>
  </si>
  <si>
    <t>6.31.15.20 Comisión corredores</t>
  </si>
  <si>
    <t>6.31.15.30 Comisiones de reaseguro aceptado</t>
  </si>
  <si>
    <t>6.31.15.40 Comisiones de reaseguro cedido</t>
  </si>
  <si>
    <t>6.31.16.00 Gastos por reaseguro no proporcional</t>
  </si>
  <si>
    <t>6.31.17.00 Gastos médicos</t>
  </si>
  <si>
    <t>6.31.18.00 Deterioro de seguros</t>
  </si>
  <si>
    <t>6.01.01 Cuadro margen de contribución</t>
  </si>
  <si>
    <t>6.01.02 Cuadro de costo de administración</t>
  </si>
  <si>
    <t>6.31.20.00 Costo de administración</t>
  </si>
  <si>
    <t>6.31.21.00 Costo de administración directo</t>
  </si>
  <si>
    <t>6.31.21.10 Remuneración</t>
  </si>
  <si>
    <t>6.31.21.20 Gastos asociados al canal de distribución</t>
  </si>
  <si>
    <t>6.31.21.30 Otros</t>
  </si>
  <si>
    <t>6.31.22.00 Costo de administración indirecto</t>
  </si>
  <si>
    <t>6.31.22.10 Remuneración</t>
  </si>
  <si>
    <t>6.31.22.20 Gastos asociados al canal de distribución</t>
  </si>
  <si>
    <t>6.31.22.30 Otros</t>
  </si>
  <si>
    <t>6.02 Cuadro de apertura de reservas de primas</t>
  </si>
  <si>
    <t>6.20.10.00 Prima retenida neta</t>
  </si>
  <si>
    <t>6.20.11.00 Prima directa</t>
  </si>
  <si>
    <t>6.20.11.10 Prima directa total</t>
  </si>
  <si>
    <t>6.20.11.20 Ajuste por contrato</t>
  </si>
  <si>
    <t>6.20.12.00 Prima aceptada</t>
  </si>
  <si>
    <t>6.20.13.00 Prima cedida</t>
  </si>
  <si>
    <t>6.02.02 Reserva de riesgo en curso</t>
  </si>
  <si>
    <t>6.20.20.00 Prima retenida neta</t>
  </si>
  <si>
    <t>6.20.21.00 Prima directa</t>
  </si>
  <si>
    <t>6.20.22.00 Prima aceptada</t>
  </si>
  <si>
    <t>6.20.23.00 Prima cedida</t>
  </si>
  <si>
    <t>6.21.00.00 Reserva de riesgo en curso</t>
  </si>
  <si>
    <t>6.02.03 Cuadro de reserva matemática</t>
  </si>
  <si>
    <t>6.20.31.00 Reserva matemática del ejercicio anterior</t>
  </si>
  <si>
    <t>6.20.31.10 Primas</t>
  </si>
  <si>
    <t>6.20.31.20 Interés</t>
  </si>
  <si>
    <t>6.20.31.30 Reserva liberada por muerte</t>
  </si>
  <si>
    <t>6.20.31.40 Reserva liberada por otros términos</t>
  </si>
  <si>
    <t>6.20.32.00 Reserva matemática del ejercicio</t>
  </si>
  <si>
    <t>6.02.04 Cuadro de reservas brutas</t>
  </si>
  <si>
    <t>6.20.41.00 Reserva de riesgo en curso bruta</t>
  </si>
  <si>
    <t>6.20.42.00 Reserva matemática del ejercicio bruta</t>
  </si>
  <si>
    <t>6.20.43.00 Reserva insuficiencia de primas bruta</t>
  </si>
  <si>
    <t>6.20.44.00 Otras reservas técnicas brutas</t>
  </si>
  <si>
    <t>6.35.01.00 Costo de siniestros</t>
  </si>
  <si>
    <t>6.03 Cuadro costo de siniestro</t>
  </si>
  <si>
    <t>6.35.01.10 Siniestros pagados</t>
  </si>
  <si>
    <t>6.35.01.20 Variación reserva de siniestros</t>
  </si>
  <si>
    <t>6.35.02.00 Siniestros por pagar bruto</t>
  </si>
  <si>
    <t>6.35.00.00 Costo de siniestros</t>
  </si>
  <si>
    <t>6.35.10.00 Siniestros pagados</t>
  </si>
  <si>
    <t>6.35.11.00 Directos</t>
  </si>
  <si>
    <t>6.35.11.10 Siniestros del plan</t>
  </si>
  <si>
    <t>6.35.11.20 Rescates</t>
  </si>
  <si>
    <t>6.35.11.30 Vencimientos</t>
  </si>
  <si>
    <t>6.35.11.40 Indemnización por invalidez accidental</t>
  </si>
  <si>
    <t>6.35.11.50 Indemnización por muerte accidental</t>
  </si>
  <si>
    <t>6.35.12.00 Reaseguro cedido</t>
  </si>
  <si>
    <t>6.35.12.10 Siniestros del plan</t>
  </si>
  <si>
    <t>6.35.12.20 Indemnización por invalidez accidental</t>
  </si>
  <si>
    <t>6.35.12.30 Indemnización por muerte accidental</t>
  </si>
  <si>
    <t>6.35.13.00 Reaseguro aceptado</t>
  </si>
  <si>
    <t>6.35.13.10 Siniestros del plan</t>
  </si>
  <si>
    <t>6.35.13.20 Indemnización por invalidez accidental</t>
  </si>
  <si>
    <t>6.35.13.30 Indemnización por muerte accidental</t>
  </si>
  <si>
    <t>6.35.20.00 Siniestros por pagar</t>
  </si>
  <si>
    <t>6.35.21.00 Liquidados</t>
  </si>
  <si>
    <t>6.35.21.20 Cedidos</t>
  </si>
  <si>
    <t>6.35.21.10 Directos</t>
  </si>
  <si>
    <t>6.35.21.30 Aceptados</t>
  </si>
  <si>
    <t>6.35.22.00 En proceso de liquidación</t>
  </si>
  <si>
    <t>6.35.22.40 Siniestros reportados</t>
  </si>
  <si>
    <t>6.35.22.41 Directos</t>
  </si>
  <si>
    <t>6.35.22.42 Cedidos</t>
  </si>
  <si>
    <t>6.35.22.43 Aceptados</t>
  </si>
  <si>
    <t>6.35.22.50 Siniestros detectados y no reportados</t>
  </si>
  <si>
    <t>6.35.22.51 Directos</t>
  </si>
  <si>
    <t>6.35.22.52 Cedidos</t>
  </si>
  <si>
    <t>6.35.22.53 Aceptados</t>
  </si>
  <si>
    <t>6.35.23.00 Ocurridos y no reportados</t>
  </si>
  <si>
    <t>6.35.30.00 Siniestros por pagar periodo anterior</t>
  </si>
  <si>
    <t>6.04 Cuadro costo de rentas</t>
  </si>
  <si>
    <t>Anticipada</t>
  </si>
  <si>
    <t>Normal</t>
  </si>
  <si>
    <t>Vejez</t>
  </si>
  <si>
    <t>Parcial</t>
  </si>
  <si>
    <t>Invalidez</t>
  </si>
  <si>
    <t>Subtotal rentas vitalicias previsionales</t>
  </si>
  <si>
    <t>Circular 528 - Invalidez y sobrevivencia</t>
  </si>
  <si>
    <t>Rentas vitalicias previsionales</t>
  </si>
  <si>
    <t>Rentas
vitalicias
SIS</t>
  </si>
  <si>
    <t>Rentas
privadas</t>
  </si>
  <si>
    <t>Total rentas vitalicias</t>
  </si>
  <si>
    <t>6.40.01.00 Costo de rentas</t>
  </si>
  <si>
    <t>6.40.01.10 Rentas pagadas</t>
  </si>
  <si>
    <t>6.40.01.20 Variación reservas rentas</t>
  </si>
  <si>
    <t>6.40.00.00 Costo de rentas</t>
  </si>
  <si>
    <t>6.40.10.00 Rentas pagadas</t>
  </si>
  <si>
    <t>6.40.11.00 Rentas pagadas directas</t>
  </si>
  <si>
    <t>6.40.12.00 Rentas pagadas cedidas</t>
  </si>
  <si>
    <t>6.40.13.00 Rentas pagadas aceptadas</t>
  </si>
  <si>
    <t>6.40.20.00 Rentas por pagar</t>
  </si>
  <si>
    <t>6.40.21.00 Rentas por pagar directas</t>
  </si>
  <si>
    <t>6.40.22.00 Rentas por pagar cedidas</t>
  </si>
  <si>
    <t>6.40.23.00 Rentas por pagar aceptadas</t>
  </si>
  <si>
    <t>6.40.30.00 Rentas por pagar periodo anterior</t>
  </si>
  <si>
    <t>6.05.01 Cuadro de reservas de primas</t>
  </si>
  <si>
    <t>6.51.10.00 Variación reserva de riesgo en curso</t>
  </si>
  <si>
    <t>6.51.11.00 Reserva de riesgo en curso ejercicio anterior</t>
  </si>
  <si>
    <t>6.51.12.00 Reserva de riesgo en curso del ejercicio</t>
  </si>
  <si>
    <t>6.51.20.00 Variación reserva matemática</t>
  </si>
  <si>
    <t>6.51.21.00 Reserva matemática del ejercicio anterior</t>
  </si>
  <si>
    <t>6.51.22.00 Reserva matemática del ejercicio</t>
  </si>
  <si>
    <t>6.51.30.00 Variación reserva valor del fondo</t>
  </si>
  <si>
    <t>6.51.31.00 Reserva valor del fondo del ejercicio anterior</t>
  </si>
  <si>
    <t>6.51.32.00 Reserva valor del fondo del ejercicio</t>
  </si>
  <si>
    <t>6.51.40.00 Variación reserva insuficiencia de primas</t>
  </si>
  <si>
    <t>6.51.41.00 Reserva insuficiencia de primas del ejercicio anterior</t>
  </si>
  <si>
    <t>6.51.42.00 Reserva insuficiencia de primas del ejercicio</t>
  </si>
  <si>
    <t>6.05.02 Cuadro de otras reservas técnicas</t>
  </si>
  <si>
    <t>6.52.00.00 Variación otras reservas</t>
  </si>
  <si>
    <t>6.52.10.00 Variación reserva desviación siniestralidad</t>
  </si>
  <si>
    <t>6.52.11.00 Reserva desviación siniestralidad ejercicio anterior</t>
  </si>
  <si>
    <t>6.52.12.00 Reserva desviación siniestralidad del ejercicio</t>
  </si>
  <si>
    <t>6.52.20.00 Variación por test de adecuación de pasivos</t>
  </si>
  <si>
    <t>6.52.30.00 Variación otras reservas voluntarias</t>
  </si>
  <si>
    <t>6.52.31.00 Otras reservas voluntarias ejercicio anterior</t>
  </si>
  <si>
    <t>6.52.32.00 Otras reservas voluntarias del ejercicio</t>
  </si>
  <si>
    <t>6.07 Cuadro de primas</t>
  </si>
  <si>
    <t>6.70.00.00 Total prima directa</t>
  </si>
  <si>
    <t>6.71.10.00 Directa</t>
  </si>
  <si>
    <t>6.71.20.00 Aceptada</t>
  </si>
  <si>
    <t>6.71.30.00 Cedida</t>
  </si>
  <si>
    <t>6.71.00.00 Neta</t>
  </si>
  <si>
    <t>6.72.10.00 Directa</t>
  </si>
  <si>
    <t>6.72.20.00 Aceptada</t>
  </si>
  <si>
    <t>6.72.30.00 Cedida</t>
  </si>
  <si>
    <t>6.72.00.00 Neta</t>
  </si>
  <si>
    <t>6.73.10.00 Directa</t>
  </si>
  <si>
    <t>6.73.20.00 Aceptada</t>
  </si>
  <si>
    <t>6.73.30.00 Cedida</t>
  </si>
  <si>
    <t>6.73.00.00 Neta</t>
  </si>
  <si>
    <t>Prima de primer año</t>
  </si>
  <si>
    <t>Prima unica</t>
  </si>
  <si>
    <t>Prima de renovación</t>
  </si>
  <si>
    <t>6.08.01 Cuadro de datos estadísticos por ramo</t>
  </si>
  <si>
    <t>6.08.01.01 Número de siniestros por ramo</t>
  </si>
  <si>
    <t>6.08.01.02 Número de rentas por ramo</t>
  </si>
  <si>
    <t>6.08.01.03 Número de rescates totales por ramo</t>
  </si>
  <si>
    <t>6.08.01.04 Número de rescates parciales por ramo</t>
  </si>
  <si>
    <t>6.08.01.05 Número de  vencimientos por ramo</t>
  </si>
  <si>
    <t>6.08.01.06 Número de pólizas por ramo contratadas en el periodo</t>
  </si>
  <si>
    <t>6.08.01.07 Total de pólizas vigentes por ramo</t>
  </si>
  <si>
    <t>6.08.01.08 Número de ítems por ramo contratados en el periodo</t>
  </si>
  <si>
    <t>6.08.01.09 Número de ítems vigentes por ramo</t>
  </si>
  <si>
    <t>6.08.01.10 Número de pólizas no vigentes por ramo</t>
  </si>
  <si>
    <t>6.08.01.11 Número de asegurados en el período por ramo</t>
  </si>
  <si>
    <t>6.08.01.12 Número de asegurados por ramo</t>
  </si>
  <si>
    <t>6.08.01.13 Beneficiarios de asegurados no fallecidos</t>
  </si>
  <si>
    <t>6.08.01.14 Beneficiarios de asegurados fallecidos</t>
  </si>
  <si>
    <t>6.08.02.01 Capitales asegurados en el periodo</t>
  </si>
  <si>
    <t>6.08.02.02 Total capitales asegurados</t>
  </si>
  <si>
    <t>6.08.03 Cuadro de datos estadisticos agrupado por subdivisión de ramos</t>
  </si>
  <si>
    <t>6.08.02 Cuadro de datos varios por ramo</t>
  </si>
  <si>
    <t>6.08.03.01 Número de siniestros</t>
  </si>
  <si>
    <t>6.08.03.02 Número de rescates totales por subdivisión</t>
  </si>
  <si>
    <t>6.08.03.03 Número de rescates parciales por subdivisión</t>
  </si>
  <si>
    <t>6.08.03.04 Número de pólizas contratadas en el periodo por subdivisión</t>
  </si>
  <si>
    <t>6.08.03.05 Total de pólizas vigentes por subdivisión</t>
  </si>
  <si>
    <t>6.08.03.06 Número de ítems contratados en el periodo</t>
  </si>
  <si>
    <t>6.08.03.07 Número de ítems vigentes</t>
  </si>
  <si>
    <t>6.08.03.08 Número pólizas no vigentes</t>
  </si>
  <si>
    <t>6.08.03.09 Número de asegurados en el período</t>
  </si>
  <si>
    <t>6.08.03.10 Número de asegurados</t>
  </si>
  <si>
    <t>6.08.03.11 Beneficiarios de asegurados no fallecidos</t>
  </si>
  <si>
    <t>6.08.03.12 Beneficiarios de asegurados fallecidos</t>
  </si>
  <si>
    <t>6.08.04 Cuadro de datos estadísticos total</t>
  </si>
  <si>
    <t>6.08.04.01 Número de asegurados totales</t>
  </si>
  <si>
    <t>6.08.04.02 Número de asegurados en el periodo</t>
  </si>
  <si>
    <t>6.08.04.03 Beneficiarios de asegurados no fallecidos</t>
  </si>
  <si>
    <t>6.08.04.04 Beneficiarios de asegurados fallecidos</t>
  </si>
  <si>
    <t>Cumplimiento regimen de inversiones y endeudamiento</t>
  </si>
  <si>
    <t>Superávit (déficit) de inversiones</t>
  </si>
  <si>
    <t>Nota 7</t>
  </si>
  <si>
    <t xml:space="preserve">5.11.20.00 Activos financieros a valor razonable
</t>
  </si>
  <si>
    <t>Nota 8</t>
  </si>
  <si>
    <t>Nota 9</t>
  </si>
  <si>
    <t>Nota 10</t>
  </si>
  <si>
    <t>25.1.7 Reserva de insuficiencia de primas</t>
  </si>
  <si>
    <t xml:space="preserve">Saldo al 31 de Marzo de 2017 es: </t>
  </si>
  <si>
    <t>Reserva de insuficiencia de primas (M$)</t>
  </si>
  <si>
    <t>25.1.7 Otras reservas técnicas</t>
  </si>
  <si>
    <t xml:space="preserve">La compañía no tiene otras reservas al 31 de Marzo 2017. </t>
  </si>
  <si>
    <t>Cuadro A. N° de siniestros denunciados del período</t>
  </si>
  <si>
    <t>Cuadro B. N° de siniestros pagados o por pagar del período referido sólo a los siniestros denunciados y aceptados del período</t>
  </si>
  <si>
    <t>Siniestros pagados (4)</t>
  </si>
  <si>
    <t>Siniestros parcialmente pagados (5)</t>
  </si>
  <si>
    <t>Siniestros por pagar (6)</t>
  </si>
  <si>
    <t>Total siniestros del período (4+5+6)</t>
  </si>
  <si>
    <t>Cuadro C. N° de personas siniestradas del período referido a los siniestros denunciados aceptados y en revisión del período</t>
  </si>
  <si>
    <t>Fallecidos (7)</t>
  </si>
  <si>
    <t>Personas con incapacidad permanente total (8)</t>
  </si>
  <si>
    <t>Personas con incapacidad permanente parcial (9)</t>
  </si>
  <si>
    <t>Personas a las que se les pagó o pagará sólo gastos de hospital y otros (10)</t>
  </si>
  <si>
    <t>Personas de siniestros en revisión (11)</t>
  </si>
  <si>
    <t>Total de personas siniestradas del período (7+8+9+10+11)</t>
  </si>
  <si>
    <t>Inválidos parcial</t>
  </si>
  <si>
    <t>Inválidos total</t>
  </si>
  <si>
    <t>Total indemnizaciones</t>
  </si>
  <si>
    <t>Indemnizaciones (sin gastos de hospital) (12)</t>
  </si>
  <si>
    <t>Gastos de hospital y otros (13)</t>
  </si>
  <si>
    <t>Costo de liquidación (14)</t>
  </si>
  <si>
    <t>Total de siniestros pagados directos (12+13+14)</t>
  </si>
  <si>
    <t>Cuadro D. Siniestros pagados directos en el período referido a los siniestros denunciados ya sea en revisión o aceptados, del período y del período anterior</t>
  </si>
  <si>
    <t>Cuadro E. Costo de siniestros directos del período referido a los siniestros denunciados ya sea en revisión o aceptados, del período y del período anterior</t>
  </si>
  <si>
    <t>Siniestros pagados directos (15)</t>
  </si>
  <si>
    <t>Siniestros por pagar directos (16)</t>
  </si>
  <si>
    <t>Ocurridos y no reportados (17)</t>
  </si>
  <si>
    <t>Siniestros por pagar directos período anterior (18)</t>
  </si>
  <si>
    <t>Costo de siniestros directos del período (15+16+17-18)</t>
  </si>
  <si>
    <t>Preimpreso</t>
  </si>
  <si>
    <t>Internet</t>
  </si>
  <si>
    <t>POS (Points of sale)</t>
  </si>
  <si>
    <t>Número vehiculos asegurados</t>
  </si>
  <si>
    <t>Prima promedio por vehículo</t>
  </si>
  <si>
    <t>1.  Automóviles</t>
  </si>
  <si>
    <t>2.  Camionetas y furgones</t>
  </si>
  <si>
    <t>3.  Camiones</t>
  </si>
  <si>
    <t>4.  Buses</t>
  </si>
  <si>
    <t>5.  Motocicletas y similares</t>
  </si>
  <si>
    <t>6.  Taxis</t>
  </si>
  <si>
    <t>7.  Otros</t>
  </si>
  <si>
    <t>I</t>
  </si>
  <si>
    <t>II</t>
  </si>
  <si>
    <t>III</t>
  </si>
  <si>
    <t>IV</t>
  </si>
  <si>
    <t>V</t>
  </si>
  <si>
    <t>VI</t>
  </si>
  <si>
    <t>VII</t>
  </si>
  <si>
    <t>VIII</t>
  </si>
  <si>
    <t>IX</t>
  </si>
  <si>
    <t>X</t>
  </si>
  <si>
    <t>XI</t>
  </si>
  <si>
    <t>XII</t>
  </si>
  <si>
    <t>XIV</t>
  </si>
  <si>
    <t>XV</t>
  </si>
  <si>
    <t>Metrop.</t>
  </si>
  <si>
    <t>Incendio</t>
  </si>
  <si>
    <t>Pérdida beneficios</t>
  </si>
  <si>
    <t>Terremoto</t>
  </si>
  <si>
    <t>Vehículos</t>
  </si>
  <si>
    <t>Transportes</t>
  </si>
  <si>
    <t>Robo</t>
  </si>
  <si>
    <t>Cascos</t>
  </si>
  <si>
    <t>45.1 Cuadro de ventas por regiones (seguros generales)</t>
  </si>
  <si>
    <t>Nota 11</t>
  </si>
  <si>
    <t>Nota 12</t>
  </si>
  <si>
    <t>Nota 14</t>
  </si>
  <si>
    <t>Nota 48</t>
  </si>
  <si>
    <t>Valor activo</t>
  </si>
  <si>
    <t>Nota 15</t>
  </si>
  <si>
    <t>Nota 16</t>
  </si>
  <si>
    <t>Nota 17</t>
  </si>
  <si>
    <t>Nota 18</t>
  </si>
  <si>
    <t>Nota 19</t>
  </si>
  <si>
    <t>Nota 21</t>
  </si>
  <si>
    <t>Nota 22</t>
  </si>
  <si>
    <t>Nota 49</t>
  </si>
  <si>
    <t>Nota 25</t>
  </si>
  <si>
    <t>Cuadro 6.03</t>
  </si>
  <si>
    <t>Nota 26</t>
  </si>
  <si>
    <t>Primas por pagar por operaciones de coaseguro</t>
  </si>
  <si>
    <t>Nota 48 (Seguros Generales)</t>
  </si>
  <si>
    <t>Nota 27</t>
  </si>
  <si>
    <t>Nota 28</t>
  </si>
  <si>
    <t>Cambios en el patrimonio</t>
  </si>
  <si>
    <t>Capital pagado</t>
  </si>
  <si>
    <t>Sobre precio de acciones</t>
  </si>
  <si>
    <t>Reserva ajuste por calce</t>
  </si>
  <si>
    <t>Resultados acumulados periodos anteriores</t>
  </si>
  <si>
    <t>Resultado del ejercicio</t>
  </si>
  <si>
    <t>Resultados acumulados</t>
  </si>
  <si>
    <t>Resultado en la evaluación de propiedades, muebles y equipos</t>
  </si>
  <si>
    <t>Resultados en activos financieros</t>
  </si>
  <si>
    <t>Resultado en coberturas de flujo de caja</t>
  </si>
  <si>
    <t>Otros resultados con ajuste en patrimonio</t>
  </si>
  <si>
    <t>Otros ajustes</t>
  </si>
  <si>
    <t>Cuadro 6.02</t>
  </si>
  <si>
    <t>Saldo final Capital pagado</t>
  </si>
  <si>
    <t>Saldo final Reservas</t>
  </si>
  <si>
    <t>Saldo final Resultados acumulados</t>
  </si>
  <si>
    <t>Saldo final Resultados acumulados periodos anteriores</t>
  </si>
  <si>
    <t>Saldo final Resultado del ejercicio</t>
  </si>
  <si>
    <t>Cuadro 6.01</t>
  </si>
  <si>
    <t>Cuadro 6.07</t>
  </si>
  <si>
    <t>Nota 31</t>
  </si>
  <si>
    <t>Cuadro 6.05</t>
  </si>
  <si>
    <t>Nota 32</t>
  </si>
  <si>
    <t>Cuadro 6.04</t>
  </si>
  <si>
    <t>Nota 34</t>
  </si>
  <si>
    <t>Nota 33</t>
  </si>
  <si>
    <t>Nota 35</t>
  </si>
  <si>
    <t>Nota 36</t>
  </si>
  <si>
    <t>Nota 37</t>
  </si>
  <si>
    <t>Nota 38</t>
  </si>
  <si>
    <t>Nota 40</t>
  </si>
  <si>
    <t>Saldo activo</t>
  </si>
  <si>
    <t>Prima cedida; Total reaseguros</t>
  </si>
  <si>
    <t>Nota 30</t>
  </si>
  <si>
    <t>6.31.21.10 Remuneración + 6.31.22.10 Remuneración</t>
  </si>
  <si>
    <t>6.31.21.20 + 6.31.21.30 + 6.31.22.20 + 6.31.22.30</t>
  </si>
  <si>
    <t>Cuadro 6.01 Costo de administración</t>
  </si>
  <si>
    <t>Cuadro 6.02 - Costo de siniestro</t>
  </si>
  <si>
    <t>5.21.31.60 - 5.14.25.00</t>
  </si>
  <si>
    <t>Siniestros por pagar neto reaseguro (Seguros Generales)</t>
  </si>
  <si>
    <t>Cuadro 6.04 - Cuadro costo de rentas</t>
  </si>
  <si>
    <t xml:space="preserve">6.31.14.00 Costo de rentas; </t>
  </si>
  <si>
    <t>Cuadro 6.01; Ramo 424</t>
  </si>
  <si>
    <t>5.11.20.00 + 5.11.30.00 + 5.11.50.00 + 5.11.60.00 + 5.12.20.00</t>
  </si>
  <si>
    <t>Nota 13</t>
  </si>
  <si>
    <t>Movimiento Carteras de Inversión</t>
  </si>
  <si>
    <t>Impuestos diferidos en patrimonio y en resultados</t>
  </si>
  <si>
    <t>Deterioro; cuentas por cobrar asegurados</t>
  </si>
  <si>
    <t>Total Deterioro cuentas por cobrar asegurados</t>
  </si>
  <si>
    <t>Saldo final; Filiales</t>
  </si>
  <si>
    <t>Total préstamos; Deterioro</t>
  </si>
  <si>
    <t>Totales; Deterioro</t>
  </si>
  <si>
    <t>Total, Evolución del deterioro</t>
  </si>
  <si>
    <t>Nota 23</t>
  </si>
  <si>
    <t>23.2.1 Otros pasivos a costo amortizado</t>
  </si>
  <si>
    <t>Monto
(M$)</t>
  </si>
  <si>
    <t>Las tasas utilizadas para el cáculo de este pasivo se muestran en detalle en la nota 8.2.8</t>
  </si>
  <si>
    <t>Total + Total + Total</t>
  </si>
  <si>
    <t>Totales, Reserva descalce seguros CUI</t>
  </si>
  <si>
    <t>25.4.1 Cuadro N° 1 Siniestros</t>
  </si>
  <si>
    <t>25.4.2 Cuadro N° 2 Antecedentes de la venta</t>
  </si>
  <si>
    <t>Operaciones de compromisos efectuados sobre instrumentos financieros</t>
  </si>
  <si>
    <t>e) Vida útil de los activos intangibles y de los elementos de las propiedades, muebles y equipos de uso propio</t>
  </si>
  <si>
    <t>Chilena Consolidada Seguros de Vida S.A.</t>
  </si>
  <si>
    <t>99185000-7</t>
  </si>
  <si>
    <t>Av. Apoquindo 5550, Piso 21, Las Condes</t>
  </si>
  <si>
    <t>Individual</t>
  </si>
  <si>
    <t>Inversiones Suizo_Chilena S.A.</t>
  </si>
  <si>
    <t>Inversiones Cristobal Colón S. A.</t>
  </si>
  <si>
    <t>Inversiones Alonso de Ercilla</t>
  </si>
  <si>
    <t>Sanfuentes del Rio Sofia</t>
  </si>
  <si>
    <t>Sanfuentes del Rio Teresa</t>
  </si>
  <si>
    <t>96609000-6</t>
  </si>
  <si>
    <t>96504420-5</t>
  </si>
  <si>
    <t>96502680-0</t>
  </si>
  <si>
    <t>06029390-2</t>
  </si>
  <si>
    <t>06375843-4</t>
  </si>
  <si>
    <t>Natural</t>
  </si>
  <si>
    <t>Feller Rate Clasificadora de Riesgo Ltda.</t>
  </si>
  <si>
    <t>ICR Compañía Clasificadora de Riesgo Ltda.</t>
  </si>
  <si>
    <t>79.844.680-0</t>
  </si>
  <si>
    <t>31.12.2017</t>
  </si>
  <si>
    <t>"+" o "-"</t>
  </si>
  <si>
    <t>CHILENA CONSOLIDADA SEGUROS DE VIDA S.A.</t>
  </si>
  <si>
    <t>RUT: 99.185.000-7</t>
  </si>
  <si>
    <t>FECHA CIERRE EEFF</t>
  </si>
  <si>
    <t>TIPO DE CAMBIO</t>
  </si>
  <si>
    <t>$</t>
  </si>
  <si>
    <t>MONEDA</t>
  </si>
  <si>
    <t>UF</t>
  </si>
  <si>
    <t>US$</t>
  </si>
  <si>
    <t>UTM</t>
  </si>
  <si>
    <t>USRM</t>
  </si>
  <si>
    <t>USRT</t>
  </si>
  <si>
    <t>Formula:</t>
  </si>
  <si>
    <t>((PE+PI-RVF)/PN+(RVF/PN)*1/7)</t>
  </si>
  <si>
    <t>DETERMINACION PASIVO EXIGIBLE</t>
  </si>
  <si>
    <t>MONTO M$</t>
  </si>
  <si>
    <t>CONCEPTO</t>
  </si>
  <si>
    <t>PASIVO EXIGIBLE</t>
  </si>
  <si>
    <t xml:space="preserve">TOTAL PASIVO </t>
  </si>
  <si>
    <t>PASIVO INDIRECTO</t>
  </si>
  <si>
    <t>AJUSTES</t>
  </si>
  <si>
    <t>RESERVA VALOR DEL FONDO</t>
  </si>
  <si>
    <t>REASEGURO RT</t>
  </si>
  <si>
    <t>PATRIMONIO NETO</t>
  </si>
  <si>
    <t>PE DEPURADO</t>
  </si>
  <si>
    <t>ENDEUDAMIENTO FINANCIERO   (%)</t>
  </si>
  <si>
    <t>DERIVADOS</t>
  </si>
  <si>
    <t>solo se debe ingresar cuando los derivados presentan saldo acreedor</t>
  </si>
  <si>
    <t>TOTAL</t>
  </si>
  <si>
    <t>ACTIVO NO EFECTIVO</t>
  </si>
  <si>
    <t>ACTIVO NO EFECTIVO - RESUMEN PARA NOTA 48</t>
  </si>
  <si>
    <t>Software - Acquired - Cost Value Gross</t>
  </si>
  <si>
    <t>Software</t>
  </si>
  <si>
    <t>Software - Acquired - Amortisation/ Impairment</t>
  </si>
  <si>
    <t>Mejoras Bs Rcs</t>
  </si>
  <si>
    <t>Leasehold Improvement - Cost Value Gross</t>
  </si>
  <si>
    <t>Chq.Restorant</t>
  </si>
  <si>
    <t>Leasehold Improvement - Cost Value Gross-non AA</t>
  </si>
  <si>
    <t>otros</t>
  </si>
  <si>
    <t>Leasehold Improvement - AccAmorti/Impairm</t>
  </si>
  <si>
    <t>MEJORAS BS RAICES ( ARRIENDO )</t>
  </si>
  <si>
    <t>Leasehold Improvement - AccAmorti/Impairm -non AA</t>
  </si>
  <si>
    <t>Amortización Acum. mejoras Bien Raiz badajoz</t>
  </si>
  <si>
    <t>Other Prepaid Expenses</t>
  </si>
  <si>
    <t>Mejoras Bien Raiz Badajoz</t>
  </si>
  <si>
    <t>Work in progress, unfinished services</t>
  </si>
  <si>
    <t>TOTAL ACTIVO NO EFECTIVO</t>
  </si>
  <si>
    <t>PATRIMONIO</t>
  </si>
  <si>
    <t>ACTIVOS NO EFECTIVOS</t>
  </si>
  <si>
    <t>TOTAL PATRIMONIO NETO</t>
  </si>
  <si>
    <t>Santiago                   Ledger U0                                                           RFBILA00/CLJGONZALEZ Page           1</t>
  </si>
  <si>
    <t>Company code  CLLS Business area    ****                                                          Amounts in CLP</t>
  </si>
  <si>
    <t>Comp</t>
  </si>
  <si>
    <t>Texts</t>
  </si>
  <si>
    <t>Reporting period</t>
  </si>
  <si>
    <t>Comparison period</t>
  </si>
  <si>
    <t>Soc</t>
  </si>
  <si>
    <t>Cuenta</t>
  </si>
  <si>
    <t>CLLS</t>
  </si>
  <si>
    <t>Cash - Unrestr. - 3rd (Investment)</t>
  </si>
  <si>
    <t>Petty Cash</t>
  </si>
  <si>
    <t>Etiquetas de fila</t>
  </si>
  <si>
    <t>Settlement Account Agents Prepayments</t>
  </si>
  <si>
    <t>Bank BCI  CLP - 10165771</t>
  </si>
  <si>
    <t>Bank BCI  CLP - 10664831</t>
  </si>
  <si>
    <t>Bank BCI  CLP - 10628797</t>
  </si>
  <si>
    <t>Bank BCI  CLP - 10631755</t>
  </si>
  <si>
    <t>Bank BICE  CLP - 01-25129-5</t>
  </si>
  <si>
    <t>Bank BBVA  CLP - 504-0089-01-00016953</t>
  </si>
  <si>
    <t>Bank of Chile  CLP - 2326906</t>
  </si>
  <si>
    <t>Bank of Chile  CLP - 800 - 16894 - 01</t>
  </si>
  <si>
    <t>Bank Citibank  USD - 400221-502</t>
  </si>
  <si>
    <t>Bank Corpbanca  CLP - 1218572</t>
  </si>
  <si>
    <t>Bank State of Chile  CLP - 17994-09</t>
  </si>
  <si>
    <t>Bank International  CLP - 01-01-82818-0</t>
  </si>
  <si>
    <t>Bank ITAU  CLP - 0202507210</t>
  </si>
  <si>
    <t>Bank Santander  CLP - 66494276</t>
  </si>
  <si>
    <t>Bank Santander  CLP - 0-082-2003312-1</t>
  </si>
  <si>
    <t>Bank Santander  CLP - 0-000-01-04564-4</t>
  </si>
  <si>
    <t>Bank Scotiabank  CLP - 71-28472-01</t>
  </si>
  <si>
    <t>Bank State of Chile  CLP - 288730</t>
  </si>
  <si>
    <t>Cash in local currency CLP</t>
  </si>
  <si>
    <t>Common Stock - AfS - Public Utilities</t>
  </si>
  <si>
    <t>Common Stock - AfS - Banks, Insurances</t>
  </si>
  <si>
    <t>Common Stock - AfS - Industries &amp; Misce</t>
  </si>
  <si>
    <t>Holdings in affiliated companies - voti</t>
  </si>
  <si>
    <t>Unit Trusts - Stock - AfS</t>
  </si>
  <si>
    <t>Unit Trusts - Buildings - AfS</t>
  </si>
  <si>
    <t>Bonds-Available for Sale-Other Governme</t>
  </si>
  <si>
    <t>Bonds - AfS - Other govern - restricted</t>
  </si>
  <si>
    <t>Bonds - AfS - Other Corporate Debt Secu</t>
  </si>
  <si>
    <t>Bonds - AfS - Oth Corp Debt Sec -resric</t>
  </si>
  <si>
    <t>Asset Backed Securities (ABS) - AfS</t>
  </si>
  <si>
    <t>Land Held for Investment at Fair Value</t>
  </si>
  <si>
    <t>Building Devaluation Provision</t>
  </si>
  <si>
    <t>Buiding Depreciation</t>
  </si>
  <si>
    <t>Buildings Held for Investment at Fair V</t>
  </si>
  <si>
    <t>Mortgage Loans Receivable</t>
  </si>
  <si>
    <t>Mortgage Loans Receivable - restricted</t>
  </si>
  <si>
    <t>Mortgage Loans Receivable - Impairment</t>
  </si>
  <si>
    <t>Policy Loans Receivable</t>
  </si>
  <si>
    <t>Policy Loan - Repaid By Cash</t>
  </si>
  <si>
    <t>Policy Loan - Repaid By Death Claims</t>
  </si>
  <si>
    <t>Policy Loan - Repaid By Maturity</t>
  </si>
  <si>
    <t>Accum Allowance for Receivables under F</t>
  </si>
  <si>
    <t>Receivables under finance lease</t>
  </si>
  <si>
    <t>Receivables under finance lease - Other</t>
  </si>
  <si>
    <t>Forwards - Trading</t>
  </si>
  <si>
    <t>Cross Currency Swaps - cash flow hedgin</t>
  </si>
  <si>
    <t>UL Unit Trusts - Bonds - FV P&amp;L</t>
  </si>
  <si>
    <t>UL Unit Trusts - Stock - FV P&amp;L</t>
  </si>
  <si>
    <t>Bank BCI  CLP - 10165771  -  In</t>
  </si>
  <si>
    <t>Bank BCI  CLP - 10664831  -  In</t>
  </si>
  <si>
    <t>Bank BCI  CLP - 10628797  -  In</t>
  </si>
  <si>
    <t>Bank BICE  CLP - 01-25129-5  -  In</t>
  </si>
  <si>
    <t>Bank of Chile  CLP - 2326906  -  In</t>
  </si>
  <si>
    <t>Bank Citibank  USD - 400221-502  -  In</t>
  </si>
  <si>
    <t>Bank Corpbanca  CLP - 1218572  -  In</t>
  </si>
  <si>
    <t>Bank State of Chile  CLP - 17994-09  -</t>
  </si>
  <si>
    <t>Bank ITAU  CLP - 0202507210  -  In</t>
  </si>
  <si>
    <t>Bank BCI  CLP - 10165771  -  Out</t>
  </si>
  <si>
    <t>Bank BCI  CLP - 10664831  -  Out</t>
  </si>
  <si>
    <t>Bank BICE  CLP - 01-25129-5  -  Out</t>
  </si>
  <si>
    <t>Bank of Chile  CLP - 2326906  -  Out</t>
  </si>
  <si>
    <t>Bank of Chile  CLP - 800 - 16894 - 01 -</t>
  </si>
  <si>
    <t>Bank Citibank  USD - 400221-502  -  Out</t>
  </si>
  <si>
    <t>Bank Corpbanca  CLP - 1218572  -  Out</t>
  </si>
  <si>
    <t>Bank Santander  CLP - 66494276  -  Out</t>
  </si>
  <si>
    <t>Bank Santander  CLP - 00-082-2003312-1</t>
  </si>
  <si>
    <t>Open item FX reval. Adjust 14401</t>
  </si>
  <si>
    <t>Receivables from Policyholders</t>
  </si>
  <si>
    <t>Recv fr Policyholders - Single Premium</t>
  </si>
  <si>
    <t>Receivables from Surety paid - 3rd part</t>
  </si>
  <si>
    <t>Receivables from Agents and Intermed</t>
  </si>
  <si>
    <t>Receivables from Other Insurances - Rev</t>
  </si>
  <si>
    <t>AR from Co-insurance Outward Leading</t>
  </si>
  <si>
    <t>AR  from Co-insurance Inward Following</t>
  </si>
  <si>
    <t>Receivables from Policyholders General</t>
  </si>
  <si>
    <t>RE Recs on Paid Claims &amp; LAE -AR</t>
  </si>
  <si>
    <t>Open item FX reval. Adjust 15701</t>
  </si>
  <si>
    <t>Interest Receivables Policy Loans</t>
  </si>
  <si>
    <t>Investment Receivables - Mortgages - De</t>
  </si>
  <si>
    <t>Other receivables-HR Alimony, Garnish</t>
  </si>
  <si>
    <t>Other receivables-variable Salary HR-OI</t>
  </si>
  <si>
    <t>Loans Human Resources / employees</t>
  </si>
  <si>
    <t>Suspense Account HR Salary Refunds</t>
  </si>
  <si>
    <t>Other receivables - 3rd Otherers</t>
  </si>
  <si>
    <t>Other receivables - 3rd Returned Checks</t>
  </si>
  <si>
    <t>Other Recv - 3rd Rental Recv</t>
  </si>
  <si>
    <t>Sundry Debtors - Investments</t>
  </si>
  <si>
    <t>Other  Receivables - Affiliate/Linked</t>
  </si>
  <si>
    <t>FX Reval adj. 16402</t>
  </si>
  <si>
    <t>Other Receivables -Domestic</t>
  </si>
  <si>
    <t>Other Receivables-Staff Advances AP</t>
  </si>
  <si>
    <t>Other receivables -  AR/AP Regroup Aff</t>
  </si>
  <si>
    <t>Open Item FX reval. Adjust 16401</t>
  </si>
  <si>
    <t>Other receivables-HR Staff Advances</t>
  </si>
  <si>
    <t>Investment Control Account OI</t>
  </si>
  <si>
    <t>OI Other Receivables</t>
  </si>
  <si>
    <t>Collection OTHER</t>
  </si>
  <si>
    <t>Undue Premium Advance Pmt FS04</t>
  </si>
  <si>
    <t>Claim paid in advance for Broker</t>
  </si>
  <si>
    <t>Collectionsystem-Suspense account inter</t>
  </si>
  <si>
    <t>Other Commission Payable</t>
  </si>
  <si>
    <t>Policy Loans Receivable - Prepayments G</t>
  </si>
  <si>
    <t>Other receiv.-impairm allow -General OI</t>
  </si>
  <si>
    <t>Other receiv.-impairm allow -Specific</t>
  </si>
  <si>
    <t>VAT/GST Recoverable - Input</t>
  </si>
  <si>
    <t>Value Added Taxes Recoverable - Input -</t>
  </si>
  <si>
    <t>VAT/GST Recoverable - Input - Apportion</t>
  </si>
  <si>
    <t>Other Taxes Receivable and prepaid</t>
  </si>
  <si>
    <t>Current Income Tax Receivable</t>
  </si>
  <si>
    <t>Credit expenses for training</t>
  </si>
  <si>
    <t>Fixed assets tax credit - 4%</t>
  </si>
  <si>
    <t>Other Receivables - Leasing</t>
  </si>
  <si>
    <t>Corporate Income Tax Receivable</t>
  </si>
  <si>
    <t>Software - Acquired - Amortisation/ Imp</t>
  </si>
  <si>
    <t>Furniture - Cost Value Gross</t>
  </si>
  <si>
    <t>Furniture - Accumulated Amortisation/Im</t>
  </si>
  <si>
    <t>Furniture-Acc Amortisation/Impairment n</t>
  </si>
  <si>
    <t>Fixtures and Fittings - Cost Value Gros</t>
  </si>
  <si>
    <t>Fixtures and Fittings - AccAmorti/Impai</t>
  </si>
  <si>
    <t>Office Equipment - Cost Value Gross</t>
  </si>
  <si>
    <t>Office Equipment - AccAmorti/Impairm</t>
  </si>
  <si>
    <t>Data Processing Equipment - Cost Value</t>
  </si>
  <si>
    <t>Data Processing Equipment -AccAmorti/Im</t>
  </si>
  <si>
    <t>Leasehold Improvement - Cost Value Gros</t>
  </si>
  <si>
    <t>Leasehold Improvement - AccAmorti/Impai</t>
  </si>
  <si>
    <t>Other Fixed Assets - Cost Value Gross -</t>
  </si>
  <si>
    <t>Art, Antiques - Cost Value Gross</t>
  </si>
  <si>
    <t>Deferred Income Tax Assets</t>
  </si>
  <si>
    <t>Accrued Premiums - Ceded</t>
  </si>
  <si>
    <t>Future Life PH Benefit Liab- Regular -</t>
  </si>
  <si>
    <t>Future Life Policy Benefit Liab - Off B</t>
  </si>
  <si>
    <t>Reserve for Losses Pec montly Payments</t>
  </si>
  <si>
    <t>Reserve for Losses Monthly Payments</t>
  </si>
  <si>
    <t>Reserve Life Unearned Premiums(short du</t>
  </si>
  <si>
    <t>Res. Future Life Policy Benefit Liab. -</t>
  </si>
  <si>
    <t>Reserve for Life UPR (short duration) C</t>
  </si>
  <si>
    <t>PHs' Contract Deposit Liabilities - Dir</t>
  </si>
  <si>
    <t>Reserve for Premium Rebates - Direct</t>
  </si>
  <si>
    <t>Reserve for Suspensions</t>
  </si>
  <si>
    <t>Reserve long-term Life Premium Def. - D</t>
  </si>
  <si>
    <t>ReserveforLongTermLifePremiumDeficienci</t>
  </si>
  <si>
    <t>Reserve for life short term claims - di</t>
  </si>
  <si>
    <t>Res Life Losses IBNR-Direct-Dir Insuran</t>
  </si>
  <si>
    <t>Reserve for life short term claims - Ce</t>
  </si>
  <si>
    <t>Reserve for ST Life Losses IBNR - All R</t>
  </si>
  <si>
    <t>UL rel TBR UL Funds (ins contract) - Di</t>
  </si>
  <si>
    <t>UL rel PHDivUL Funds (ins contract) - D</t>
  </si>
  <si>
    <t>Reserves for Unit Linked Insurance - Di</t>
  </si>
  <si>
    <t>Redemptions Payment / Other Values - VG</t>
  </si>
  <si>
    <t>Amounts Due to Policyholders</t>
  </si>
  <si>
    <t>Pension Payments control</t>
  </si>
  <si>
    <t>Amounts Due to Agents &amp; Intermed O/S Co</t>
  </si>
  <si>
    <t>Amounts Due to Agents and Intermed.  Em</t>
  </si>
  <si>
    <t>Amounts Due to Brokers/Entrepreneurs OI</t>
  </si>
  <si>
    <t>AP from Co-insurance Outward Leading</t>
  </si>
  <si>
    <t>OI Rev 25351</t>
  </si>
  <si>
    <t>Amounts Due to Reinsurers -AP</t>
  </si>
  <si>
    <t>Amounts Due to Reinsurers</t>
  </si>
  <si>
    <t>Cash Dividends Payable to Shareholders</t>
  </si>
  <si>
    <t>Other Non Tech Payables - Stamp Duty</t>
  </si>
  <si>
    <t>Other Payables - OI</t>
  </si>
  <si>
    <t>OthP for legal assistance - due in less</t>
  </si>
  <si>
    <t>Human Resources Expenses</t>
  </si>
  <si>
    <t>Collective Insurance Life</t>
  </si>
  <si>
    <t>Other Judicial payable</t>
  </si>
  <si>
    <t>Other provisions</t>
  </si>
  <si>
    <t>Transitory account - Released Manuals</t>
  </si>
  <si>
    <t>Other Payables - Banking</t>
  </si>
  <si>
    <t>Other Payables - policy loans - prepaym</t>
  </si>
  <si>
    <t>Other Payables - Real Estate - payables</t>
  </si>
  <si>
    <t>Open Item fx reval adj 25402</t>
  </si>
  <si>
    <t>Other Non Tech Payab Affiliate/Linked A</t>
  </si>
  <si>
    <t>Other Payables - AP</t>
  </si>
  <si>
    <t>Other Payables</t>
  </si>
  <si>
    <t>Other Payables Social Security Institut</t>
  </si>
  <si>
    <t>Other payables - AR/AP Regroup 3rd &gt;12m</t>
  </si>
  <si>
    <t>Staff - deductions</t>
  </si>
  <si>
    <t>Staff- deductions-AP</t>
  </si>
  <si>
    <t>Salary in Transit HR</t>
  </si>
  <si>
    <t>Expense Office / HR Suspense Account</t>
  </si>
  <si>
    <t>Stale Cheques-OI-IoM</t>
  </si>
  <si>
    <t>Collection: Clear Account Policy Loans</t>
  </si>
  <si>
    <t>Settlement Account Dividends</t>
  </si>
  <si>
    <t>Amts Due to Polhlders - Premiums Paidin</t>
  </si>
  <si>
    <t>Suspense account automat. booking of Pr</t>
  </si>
  <si>
    <t>Payable to Pension Fund-OI</t>
  </si>
  <si>
    <t>FX Rev 25451</t>
  </si>
  <si>
    <t>VAT/GST Payable - Output</t>
  </si>
  <si>
    <t>Tax payable Tax at source on salaries</t>
  </si>
  <si>
    <t>Withholdig Taxes on Dividend Payout</t>
  </si>
  <si>
    <t>Tax at source on insurance benefits dom</t>
  </si>
  <si>
    <t>Other Taxes Payable - Agents Remunerati</t>
  </si>
  <si>
    <t>Oth Taxes Payable Inc Tax retained of e</t>
  </si>
  <si>
    <t>Withholding tax on professional activit</t>
  </si>
  <si>
    <t>Withholding tax for non resident</t>
  </si>
  <si>
    <t>Litigation Provisions</t>
  </si>
  <si>
    <t>Provision for vacation entitlement</t>
  </si>
  <si>
    <t>Provision for other staff related expen</t>
  </si>
  <si>
    <t>Other Expense Provisions</t>
  </si>
  <si>
    <t>Provision for VAT supplementary payment</t>
  </si>
  <si>
    <t>Provision for Current Income Taxes</t>
  </si>
  <si>
    <t>Open item FX reval. Adjust 25301</t>
  </si>
  <si>
    <t>Open item FX reval. Adjust 25401</t>
  </si>
  <si>
    <t>Collateral obligation from derivative t</t>
  </si>
  <si>
    <t>Accrued Commission - Ceded</t>
  </si>
  <si>
    <t>Other Accrued Expenses - Direct</t>
  </si>
  <si>
    <t>Accruals for audit fees</t>
  </si>
  <si>
    <t>Other Accrued Expenses</t>
  </si>
  <si>
    <t>Provision for Long Service Leave - GEMS</t>
  </si>
  <si>
    <t>Provision for Agent Convention Expense</t>
  </si>
  <si>
    <t>Accrued Local Short Term Incentive Plan</t>
  </si>
  <si>
    <t>Share Capital - Common (Voting) Stock</t>
  </si>
  <si>
    <t>URG - shadow LAT PH Dividend reserve</t>
  </si>
  <si>
    <t>Retained Earnings-Profits/Losses from P</t>
  </si>
  <si>
    <t>Statutory Reserve</t>
  </si>
  <si>
    <t>Free Statutory Reserve</t>
  </si>
  <si>
    <t>Current Y Dividen on Common Stock Decla</t>
  </si>
  <si>
    <t>Current Y Dividend on Prefer Stock Paid</t>
  </si>
  <si>
    <t>Written Premium Income - Direct - PP</t>
  </si>
  <si>
    <t>Estimated Premiums - RVNE</t>
  </si>
  <si>
    <t>Written Premium Income-Direct Annuities</t>
  </si>
  <si>
    <t>Premium Cancellations - Direct</t>
  </si>
  <si>
    <t>Written Premium Income - Ceded</t>
  </si>
  <si>
    <t>Reinstatement Premium ceded</t>
  </si>
  <si>
    <t>Bad Debt Exp premium related - General</t>
  </si>
  <si>
    <t>Bad Debt Exp premium related - Specific</t>
  </si>
  <si>
    <t>Change in Unearned Premium Reserve - Di</t>
  </si>
  <si>
    <t>Change in Unearned Premium Reserve - Ce</t>
  </si>
  <si>
    <t>Other Technical Income - Non-UL contrac</t>
  </si>
  <si>
    <t>Other techn Income: Related Services</t>
  </si>
  <si>
    <t>Rent Income Own Use</t>
  </si>
  <si>
    <t>Other Technical income-Other</t>
  </si>
  <si>
    <t>Other Income Insurance Operations</t>
  </si>
  <si>
    <t>Rental Income from Land/Buildings -Own</t>
  </si>
  <si>
    <t>Claims Paid - Assumed</t>
  </si>
  <si>
    <t>Life Ben Paid  (FLPHB) - Direct - Death</t>
  </si>
  <si>
    <t>Life Ben Paid(FLPHB) -Dir-Health Ben</t>
  </si>
  <si>
    <t>Life Ben Paid(FLPHB)-Dir-Surr.</t>
  </si>
  <si>
    <t>Life Ben Paid(FLPHB)-Dir-Maturities</t>
  </si>
  <si>
    <t>Life Ben Paid - Direct - Annuity Paymen</t>
  </si>
  <si>
    <t>Life Ben Paid (FLPHB)- Ceded - All Risk</t>
  </si>
  <si>
    <t>Life Ben Paid (FLPHB) - Ceded - Annuity</t>
  </si>
  <si>
    <t>Change Reserve Life PH Ben- Direct</t>
  </si>
  <si>
    <t>Chg Res - Ins Contr (UL) Financing TBR_</t>
  </si>
  <si>
    <t>Change Reserve for Unearned Premiums-Li</t>
  </si>
  <si>
    <t>Change Reserve for Life Loss- Case-Sett</t>
  </si>
  <si>
    <t>Change Reserve for Life Loss- IBNR - Di</t>
  </si>
  <si>
    <t>Change Reserve Life PH Ben - Ceded</t>
  </si>
  <si>
    <t>Change in Reserve for life short term c</t>
  </si>
  <si>
    <t>Change Reserve for Life Loss IBNR - Ced</t>
  </si>
  <si>
    <t>Chge Reserve for LT Life Prem. Deficien</t>
  </si>
  <si>
    <t>Chge Res LT Life Premium Deficiences -</t>
  </si>
  <si>
    <t>Chge in Reserve for life short term cla</t>
  </si>
  <si>
    <t>Commission on Premiums - Reinsurance Ce</t>
  </si>
  <si>
    <t>Underwriting &amp; Acquisition Cost-Commiss</t>
  </si>
  <si>
    <t>Underwr. &amp; Acqu. Costs Oth Direct Servi</t>
  </si>
  <si>
    <t>UW&amp;A. - Direct - Additional compensatio</t>
  </si>
  <si>
    <t>Underwriting &amp; Acquisition Costs - Othe</t>
  </si>
  <si>
    <t>Underwriting &amp; Acquisition Costs - Cede</t>
  </si>
  <si>
    <t>Underwriting &amp; Acqn Cost-Comm-Ceded-Pro</t>
  </si>
  <si>
    <t>Interest on Cash - 3rd  - (Investment)</t>
  </si>
  <si>
    <t>Dividend Income on Common Stock</t>
  </si>
  <si>
    <t>Interest Income on Bonds - Others</t>
  </si>
  <si>
    <t>Interest Income on Bonds AfS - Corp - s</t>
  </si>
  <si>
    <t>Amortisation of Premium/Discount - Swap</t>
  </si>
  <si>
    <t>Rent Income</t>
  </si>
  <si>
    <t>Interest Income on Mortgage Loans</t>
  </si>
  <si>
    <t>Interest Income on Policy Loans</t>
  </si>
  <si>
    <t>Interest Income - Temporary Loans &amp; Pre</t>
  </si>
  <si>
    <t>Interest income on receivables under fi</t>
  </si>
  <si>
    <t>Other Provisions</t>
  </si>
  <si>
    <t>Imp Interest income on receivables unde</t>
  </si>
  <si>
    <t>Gains on Common Stock - AfS</t>
  </si>
  <si>
    <t>Gains on Disposal of Equity Method Acco</t>
  </si>
  <si>
    <t>Gains on Unit Trust - Stock - AfS</t>
  </si>
  <si>
    <t>Gains on Bonds - AfS</t>
  </si>
  <si>
    <t>Gains on Land Held for Investment</t>
  </si>
  <si>
    <t>Gains on Mortgage Loans</t>
  </si>
  <si>
    <t>Gains on Other Loans</t>
  </si>
  <si>
    <t>UL Gains on Unit Trusts - Bonds - FV P&amp;</t>
  </si>
  <si>
    <t>UL Gains on Unit Trusts - Stock - FV P&amp;</t>
  </si>
  <si>
    <t>Losses on Common Stock - AfS</t>
  </si>
  <si>
    <t>Losses on Unit Trusts - Stock - AfS</t>
  </si>
  <si>
    <t>Losses on Unit Trusts - Buildings - AfS</t>
  </si>
  <si>
    <t>Losses on Bonds - AfS</t>
  </si>
  <si>
    <t>Losses on Buildings Held for Investment</t>
  </si>
  <si>
    <t>Losses on Mortgage Loans</t>
  </si>
  <si>
    <t>UL Losses on Unit Trusts - Bonds - FV P</t>
  </si>
  <si>
    <t>UL Losses on Unit Trusts - Stock - FV P</t>
  </si>
  <si>
    <t>Impairments on Mortgage Loans</t>
  </si>
  <si>
    <t>Unrealised FX Gains on Cash</t>
  </si>
  <si>
    <t>Unrealised FX Gains on Bonds</t>
  </si>
  <si>
    <t>Realised FX Gains on Cash</t>
  </si>
  <si>
    <t>Realised FX Gains on Bonds</t>
  </si>
  <si>
    <t>Unrealised FX Losses on Cash</t>
  </si>
  <si>
    <t>Realised FX Losses on Cash</t>
  </si>
  <si>
    <t>Realised FX Losses on Bonds</t>
  </si>
  <si>
    <t>Gains &amp; Losses on FX Forwards - Real FX</t>
  </si>
  <si>
    <t>Gains &amp; Losses on FX Forwards - non-FX</t>
  </si>
  <si>
    <t>Unrealised FX Gains on Accounts Receiva</t>
  </si>
  <si>
    <t>Unrealised FX Gains on Other Assets</t>
  </si>
  <si>
    <t>Unrealised FX Gains on Technical Reserv</t>
  </si>
  <si>
    <t>Unrealised FX Gains on Accounts Payable</t>
  </si>
  <si>
    <t>Unrealised FX Gains on Other Liabilitie</t>
  </si>
  <si>
    <t>Unrealized FX Gains - Other</t>
  </si>
  <si>
    <t>Realised FX Gains on Accounts Receivabl</t>
  </si>
  <si>
    <t>Realised FX Gains on Other Assets</t>
  </si>
  <si>
    <t>Realised FX Gains on Accounts Payables</t>
  </si>
  <si>
    <t>Realized FX Gains - Other</t>
  </si>
  <si>
    <t>Unrealised FX Losses on Accounts Receiv</t>
  </si>
  <si>
    <t>Unrealised FX Losses on Other Assets</t>
  </si>
  <si>
    <t>Unrealised FX Losses on Technical Reser</t>
  </si>
  <si>
    <t>Unrealised FX Losses on Accounts Payabl</t>
  </si>
  <si>
    <t>Unrealised FX Losses on Other Liabiliti</t>
  </si>
  <si>
    <t>Unrealized FX Losses - Other</t>
  </si>
  <si>
    <t>Realised FX Losses on Accounts Receivab</t>
  </si>
  <si>
    <t>Realised FX Losses on Technical Reserve</t>
  </si>
  <si>
    <t>Realised FX Losses on Accounts Payables</t>
  </si>
  <si>
    <t>Realized FX Losses - Other</t>
  </si>
  <si>
    <t>Gains on Disp/Ret of Furniture</t>
  </si>
  <si>
    <t>Gains on Disp/Ret of Fixtures and Fitti</t>
  </si>
  <si>
    <t>Gains on Disp/Ret of Data Processing Eq</t>
  </si>
  <si>
    <t>Income from unassigned payments / colle</t>
  </si>
  <si>
    <t>Losses on Disp/Ret of Data Processing E</t>
  </si>
  <si>
    <t>Current Income Tax Expenses - for Curre</t>
  </si>
  <si>
    <t>Current Income Tax Expenses - for Prior</t>
  </si>
  <si>
    <t>Deferred Income Tax Expenses - for Curr</t>
  </si>
  <si>
    <t>Indemnity costs agents</t>
  </si>
  <si>
    <t>Cashing expenses</t>
  </si>
  <si>
    <t>Xmas party costs</t>
  </si>
  <si>
    <t>Other commissions GI</t>
  </si>
  <si>
    <t>Base salaries</t>
  </si>
  <si>
    <t>Overtime</t>
  </si>
  <si>
    <t>Other fixed salary components</t>
  </si>
  <si>
    <t>Leave Allowance</t>
  </si>
  <si>
    <t>Gratifications to Employees / Operating</t>
  </si>
  <si>
    <t>Vacation Premium / OPERATING</t>
  </si>
  <si>
    <t>Compensation for Antiquity / OPERATING</t>
  </si>
  <si>
    <t>Staff Claims Adjusters Fees</t>
  </si>
  <si>
    <t>Other bonuses</t>
  </si>
  <si>
    <t>Officer' Bonuses</t>
  </si>
  <si>
    <t>Social Security Expenses</t>
  </si>
  <si>
    <t>Public transportation fee / ACQUISITION</t>
  </si>
  <si>
    <t>Insurance premiums employee / OPERATING</t>
  </si>
  <si>
    <t>Sport and social clubs and activities</t>
  </si>
  <si>
    <t>Special allowances: housing cost, reloc</t>
  </si>
  <si>
    <t>Miscellaneous employee expense</t>
  </si>
  <si>
    <t>Internal training</t>
  </si>
  <si>
    <t>External training</t>
  </si>
  <si>
    <t>External Training - Overseas</t>
  </si>
  <si>
    <t>Agency Training</t>
  </si>
  <si>
    <t>Maintenance expenses - PCs</t>
  </si>
  <si>
    <t>Software licenses</t>
  </si>
  <si>
    <t>SW Development 3rd Party</t>
  </si>
  <si>
    <t>Mobile Phone  Call charges</t>
  </si>
  <si>
    <t>External information services</t>
  </si>
  <si>
    <t>Phone Costs Third Party</t>
  </si>
  <si>
    <t>Telecom &amp; Network Expenses</t>
  </si>
  <si>
    <t>Insurance Market and Competitor Insight</t>
  </si>
  <si>
    <t>Brand management</t>
  </si>
  <si>
    <t>Brand Devel &amp; Production - TV advert</t>
  </si>
  <si>
    <t>Brand Media - radio advertising</t>
  </si>
  <si>
    <t>Brand Media - print advertising</t>
  </si>
  <si>
    <t>Tactical Media - print advertising</t>
  </si>
  <si>
    <t>Fairs, trade shows &amp; exhibitions</t>
  </si>
  <si>
    <t>3rd party events</t>
  </si>
  <si>
    <t>Business events</t>
  </si>
  <si>
    <t>Social events</t>
  </si>
  <si>
    <t>Hospitality events</t>
  </si>
  <si>
    <t>Sales force events - comp, prize &amp; ince</t>
  </si>
  <si>
    <t>Strategic Partnership agreements</t>
  </si>
  <si>
    <t>Social sponsoring</t>
  </si>
  <si>
    <t>Business and association sponsoring</t>
  </si>
  <si>
    <t>Agents/Brokers Promotional Co-Marketing</t>
  </si>
  <si>
    <t>Promotional gifts other costs</t>
  </si>
  <si>
    <t>Direct Marketing /Other</t>
  </si>
  <si>
    <t>Direct mailing customer acquisition</t>
  </si>
  <si>
    <t>Web Online display advertising</t>
  </si>
  <si>
    <t>Web Search engine marketing</t>
  </si>
  <si>
    <t>Web development</t>
  </si>
  <si>
    <t>Marketing PR</t>
  </si>
  <si>
    <t>Prizes to 3rd party</t>
  </si>
  <si>
    <t>Advertising other</t>
  </si>
  <si>
    <t>Rent to external parties</t>
  </si>
  <si>
    <t>Rental cost for parking space</t>
  </si>
  <si>
    <t>Rental Charge IN</t>
  </si>
  <si>
    <t>Service charge expense</t>
  </si>
  <si>
    <t>Dismantlement, Removal, Restoration cos</t>
  </si>
  <si>
    <t>Building expenses - other</t>
  </si>
  <si>
    <t>Other cleaning</t>
  </si>
  <si>
    <t>Other cleaning / OPERATING</t>
  </si>
  <si>
    <t>Gardening</t>
  </si>
  <si>
    <t>Airconditioning</t>
  </si>
  <si>
    <t>Security</t>
  </si>
  <si>
    <t>Electricity</t>
  </si>
  <si>
    <t>Water</t>
  </si>
  <si>
    <t>Gas and other fuels</t>
  </si>
  <si>
    <t>Gas and other fuels / ACQUISITION</t>
  </si>
  <si>
    <t>Other utilities</t>
  </si>
  <si>
    <t>Renovation &amp; Rebuilding (third parties)</t>
  </si>
  <si>
    <t>Other maintenance - building (own use)</t>
  </si>
  <si>
    <t>Office Maintenance</t>
  </si>
  <si>
    <t>Postage</t>
  </si>
  <si>
    <t>External courier services</t>
  </si>
  <si>
    <t>Other postal expense</t>
  </si>
  <si>
    <t>Printing costs</t>
  </si>
  <si>
    <t>Stationery &amp; Paper</t>
  </si>
  <si>
    <t>Books, Journals</t>
  </si>
  <si>
    <t>Repairs and Maintenance of Equipment an</t>
  </si>
  <si>
    <t>Rental Other</t>
  </si>
  <si>
    <t>Consumable Equipment and Materials / OP</t>
  </si>
  <si>
    <t>Expenses Parking</t>
  </si>
  <si>
    <t>Hired vehicles / ACQUISITION</t>
  </si>
  <si>
    <t>Other Travel expense Domestic</t>
  </si>
  <si>
    <t>Local Travel-MV</t>
  </si>
  <si>
    <t>Int Travel-MV</t>
  </si>
  <si>
    <t>Travel and Subsistence Expenses Not ded</t>
  </si>
  <si>
    <t>Entertainment Employees</t>
  </si>
  <si>
    <t>Staff Meal Ent=&gt;$300pp meals</t>
  </si>
  <si>
    <t>Staff Meal Entertainmt&lt;$300pp &amp; Freq</t>
  </si>
  <si>
    <t>Employee gifts, prizes &amp; incentives</t>
  </si>
  <si>
    <t>Internal communication</t>
  </si>
  <si>
    <t>Entertain Employees Special Events excl</t>
  </si>
  <si>
    <t>Company Car Repair &amp; maintenance</t>
  </si>
  <si>
    <t>Refunds Other travel and entertainment</t>
  </si>
  <si>
    <t>Recruitment agencies</t>
  </si>
  <si>
    <t>Other recruitment expenses</t>
  </si>
  <si>
    <t>Consultants Non IT BIZ</t>
  </si>
  <si>
    <t>Consultants BC</t>
  </si>
  <si>
    <t>Tax consultants</t>
  </si>
  <si>
    <t>Legal Prof Services</t>
  </si>
  <si>
    <t>Legal dispute costs claims</t>
  </si>
  <si>
    <t>Actuarial Services</t>
  </si>
  <si>
    <t>Other external Professional Service exp</t>
  </si>
  <si>
    <t>Professional Services - Payroll</t>
  </si>
  <si>
    <t>Outsourcing expense / ACQUISITION</t>
  </si>
  <si>
    <t>Outsourcing expense / OPERATING</t>
  </si>
  <si>
    <t>Client data collection ext.</t>
  </si>
  <si>
    <t>Telephone services ext.</t>
  </si>
  <si>
    <t>Medical Fees</t>
  </si>
  <si>
    <t>Medical fees - claims</t>
  </si>
  <si>
    <t>Medical fees - underwriting &amp; issue</t>
  </si>
  <si>
    <t>Other Third Party Services</t>
  </si>
  <si>
    <t>Facility management ext.</t>
  </si>
  <si>
    <t>Bank charges</t>
  </si>
  <si>
    <t>3rd Party Admin System Transaction Fees</t>
  </si>
  <si>
    <t>Credit card charges</t>
  </si>
  <si>
    <t>BankGuarantee</t>
  </si>
  <si>
    <t>Financing fees</t>
  </si>
  <si>
    <t>Asset Manager Fees</t>
  </si>
  <si>
    <t>Custody Account Fees</t>
  </si>
  <si>
    <t>Real Estate External Manangement (Inves</t>
  </si>
  <si>
    <t>Real Estate Maintenance / Repairs (Inve</t>
  </si>
  <si>
    <t>Real Estate - Other  (Investment Relate</t>
  </si>
  <si>
    <t>Insurance premiums</t>
  </si>
  <si>
    <t>Insurance premiums Revenue</t>
  </si>
  <si>
    <t>Business License</t>
  </si>
  <si>
    <t>Donations</t>
  </si>
  <si>
    <t>Donation-TaxExempt</t>
  </si>
  <si>
    <t>Other admin expenses</t>
  </si>
  <si>
    <t>Legal Publications - Financial Statemen</t>
  </si>
  <si>
    <t>Others Expenses Administratives - Penal</t>
  </si>
  <si>
    <t>Other Administration Expenses - Direct</t>
  </si>
  <si>
    <t>Chamber of industry and commerce fees</t>
  </si>
  <si>
    <t>Regulator fees</t>
  </si>
  <si>
    <t>Advisory board expenses</t>
  </si>
  <si>
    <t>Expense Assistance Conventions Not dedu</t>
  </si>
  <si>
    <t>Expenses of Collection - DPVAT</t>
  </si>
  <si>
    <t>Broker Payments (Non Transactional)</t>
  </si>
  <si>
    <t>Office Relocation expenses</t>
  </si>
  <si>
    <t>Other General expenses</t>
  </si>
  <si>
    <t>Professional fee</t>
  </si>
  <si>
    <t>Other fees and contributions</t>
  </si>
  <si>
    <t>Other Costs</t>
  </si>
  <si>
    <t>Other expenses, non tax deductible</t>
  </si>
  <si>
    <t>Technical Services - Evaluation</t>
  </si>
  <si>
    <t>Expenses Data Transmission</t>
  </si>
  <si>
    <t>Expense Young Apprentice Program</t>
  </si>
  <si>
    <t>Professional fee / OPERATING</t>
  </si>
  <si>
    <t>Legal Costs - Civel Lawsuits</t>
  </si>
  <si>
    <t>Provision - Other Deposits</t>
  </si>
  <si>
    <t>Expenses Operating Loss - Pension- Erro</t>
  </si>
  <si>
    <t>Expenses - Payment of Lawsuits - Labor</t>
  </si>
  <si>
    <t>Expenses Expedient - Legal Expenses-Not</t>
  </si>
  <si>
    <t>Others Expenses Administratives</t>
  </si>
  <si>
    <t>Costs of sales servic. (concern foreign</t>
  </si>
  <si>
    <t>VAT/GST as expense</t>
  </si>
  <si>
    <t>Property taxes / OPERATING</t>
  </si>
  <si>
    <t>BoP Excempt Other restructuring costs</t>
  </si>
  <si>
    <t>Other Charges received in</t>
  </si>
  <si>
    <t>Allocation of Services to Employees HR</t>
  </si>
  <si>
    <t>Investments Services</t>
  </si>
  <si>
    <t>Other Investment Expenses - Group Inv</t>
  </si>
  <si>
    <t>IT - Shared Service Charges</t>
  </si>
  <si>
    <t>Management fee charges IN</t>
  </si>
  <si>
    <t>D &amp; O insurance charges</t>
  </si>
  <si>
    <t>GSS Center Charges IN</t>
  </si>
  <si>
    <t>Licence Fee Accrued</t>
  </si>
  <si>
    <t>Management Fees</t>
  </si>
  <si>
    <t>Global long term incentive plan (LTIP)</t>
  </si>
  <si>
    <t>Local Short Term Variable Pay Current Y</t>
  </si>
  <si>
    <t>Local STIP Internat. Assignees Current</t>
  </si>
  <si>
    <t>Local STIP Internat. Assignees Previous</t>
  </si>
  <si>
    <t>Group auditor - Recurring audit fees, e</t>
  </si>
  <si>
    <t>Group auditor - Non-recurring audit fee</t>
  </si>
  <si>
    <t>Expenses Audit fees - MCEV Actuarial</t>
  </si>
  <si>
    <t>Build held for own use reg depn tech</t>
  </si>
  <si>
    <t>Amort of Building Held for Investiment</t>
  </si>
  <si>
    <t>Amort of Furniture Tech</t>
  </si>
  <si>
    <t>Amort of Fixtures and Fittings Tech</t>
  </si>
  <si>
    <t>Amort of Office Equipment - OtherTech</t>
  </si>
  <si>
    <t>Amort of PCs Tech</t>
  </si>
  <si>
    <t>Amort of other Gen Hardware Tech</t>
  </si>
  <si>
    <t>Amort of Leasehold Improvement Tech</t>
  </si>
  <si>
    <t>Amortis of software - acquired Tech</t>
  </si>
  <si>
    <t>Contra Acc Acquisition:18707</t>
  </si>
  <si>
    <t>Contra Acc Acquisition: Leasehold Impro</t>
  </si>
  <si>
    <t>Contra Acc Acquisition:General Hardware</t>
  </si>
  <si>
    <t>Contra Acc Acquisition:Acquired Softwar</t>
  </si>
  <si>
    <t>Contra Acc Acquisition:Leasehold Buildi</t>
  </si>
  <si>
    <t>Contra AccAcquisition Investment Buildi</t>
  </si>
  <si>
    <t>Document Split Clearing Accounts.</t>
  </si>
  <si>
    <t>BALANCE LOCAL SEGUROS DE VIDA</t>
  </si>
  <si>
    <t>G/L Account</t>
  </si>
  <si>
    <t>Gains on Buildings Held for Investment</t>
  </si>
  <si>
    <t>Validador</t>
  </si>
  <si>
    <t>Resultado</t>
  </si>
  <si>
    <t>N° CUENTA</t>
  </si>
  <si>
    <t>NOMBRE CUENTA</t>
  </si>
  <si>
    <t>MONTO</t>
  </si>
  <si>
    <t>CUENTA FECU IFRS</t>
  </si>
  <si>
    <t>DESCRIPCION</t>
  </si>
  <si>
    <t>VALOR</t>
  </si>
  <si>
    <t>Activos Financieros a Costo Amortizado</t>
  </si>
  <si>
    <t>Cash - Restr.-3rd (Operational)</t>
  </si>
  <si>
    <t>Efectivo y Efectivo Equivalente</t>
  </si>
  <si>
    <t>Deudas del Personal</t>
  </si>
  <si>
    <t>Bank Citibank  CLP - 00-016-51455-59</t>
  </si>
  <si>
    <t>Activos Financieros a Valor Razonable</t>
  </si>
  <si>
    <t>Participación en Empresas Subsidia</t>
  </si>
  <si>
    <t>Unit Trusts - Stock - FV</t>
  </si>
  <si>
    <t>ACTIVOS FINANCIEROS A COSTO AMORTIZADO</t>
  </si>
  <si>
    <t>INVERSIONES SEGUROS CUENTA ÚNICA DE INVERSIÓN (CUI)</t>
  </si>
  <si>
    <t>Propiedades de Inversión</t>
  </si>
  <si>
    <t>Avance Tenedores de Póliza</t>
  </si>
  <si>
    <t>Préstamos Otorgados</t>
  </si>
  <si>
    <t>Cuentas por Cobrar Leasing</t>
  </si>
  <si>
    <t>Inversiones Seguros Cta Única de</t>
  </si>
  <si>
    <t>Pasivos Financieros</t>
  </si>
  <si>
    <t>Bank Citibank  CLP - 00-016-51455-59  -</t>
  </si>
  <si>
    <t>Bank Santander  CLP - 66494276  -  In</t>
  </si>
  <si>
    <t>Bank Scotiabank  CLP - 71-28472-01  -</t>
  </si>
  <si>
    <t>Bank State of Chile  CLP - 288730   -</t>
  </si>
  <si>
    <t>Bank BCI  CLP - 10628797  -  Out</t>
  </si>
  <si>
    <t>Bank BCI  CLP - 10631755  -  Out</t>
  </si>
  <si>
    <t>Bank BCI  USD - 18563856  -  Out</t>
  </si>
  <si>
    <t>Cuentas por Cobrar Asegurados</t>
  </si>
  <si>
    <t>Receivables from PH - Profit Participat</t>
  </si>
  <si>
    <t>Cuentas por Cobrar Intermediarios</t>
  </si>
  <si>
    <t>Prima por Pagar Operaciones de Coaseguros</t>
  </si>
  <si>
    <t>Siniestros por Cobrar por Operaci</t>
  </si>
  <si>
    <t>Siniestros por Cobrar a Reaseguradores</t>
  </si>
  <si>
    <t>OTROS ACTIVOS</t>
  </si>
  <si>
    <t>Suspense Account HR  Employee Shares</t>
  </si>
  <si>
    <t>Suspense Account HR various deductions</t>
  </si>
  <si>
    <t>Deudores Relacionados</t>
  </si>
  <si>
    <t>Other Receivables - Non-EU</t>
  </si>
  <si>
    <t>Other Rec. Settlem. Bonus-LLK</t>
  </si>
  <si>
    <t>Cuenta por Cobrar por Impuestos Corriente</t>
  </si>
  <si>
    <t>Muebles y Equipos de Uso Propio</t>
  </si>
  <si>
    <t>Furniture - Cost Value Gross-nonAA</t>
  </si>
  <si>
    <t>Data Processing Equipment - non AA</t>
  </si>
  <si>
    <t>Data Processing Equipment Amort - non A</t>
  </si>
  <si>
    <t>Activo por Impuestos Diferidos</t>
  </si>
  <si>
    <t>Deudas por Operaciones Reaseguro</t>
  </si>
  <si>
    <t>Reservas Rentas Vitalicias</t>
  </si>
  <si>
    <t>Reservas Valor del Fondo</t>
  </si>
  <si>
    <t>Reserve for Life Losses Case - All Risk</t>
  </si>
  <si>
    <t>Participación del Reaseguro en Rv</t>
  </si>
  <si>
    <t>Reserve for Life Unearned Premiums (sho</t>
  </si>
  <si>
    <t>Participación del Reaseguro en la Reserva Riesgo en Curso</t>
  </si>
  <si>
    <t>Deudas con Asegurados</t>
  </si>
  <si>
    <t>Reserva Insuficiencia de Primas</t>
  </si>
  <si>
    <t>Participación del Reaseguro en la Reserva de Insuficiencia de Primas</t>
  </si>
  <si>
    <t>Participación del Reaseguro en Rva</t>
  </si>
  <si>
    <t>Otros Pasivos No Financieros</t>
  </si>
  <si>
    <t>Deudas con Intermediarios</t>
  </si>
  <si>
    <t>Impuestos por Pagar</t>
  </si>
  <si>
    <t>Deudas con el Personal</t>
  </si>
  <si>
    <t>Deudas con Relacionados</t>
  </si>
  <si>
    <t>Other Payables AP</t>
  </si>
  <si>
    <t>Claims Handling -CMGL -Ireland</t>
  </si>
  <si>
    <t>Withholding tax for Board Directors</t>
  </si>
  <si>
    <t>Provision for sales force commission</t>
  </si>
  <si>
    <t>Cuenta por Pagar por Impuestos Corrientes</t>
  </si>
  <si>
    <t>OTROS PASIVOS NO FINANCIEROS</t>
  </si>
  <si>
    <t>Capital Pagado</t>
  </si>
  <si>
    <t>Utilidad/Pérdida Acumulada</t>
  </si>
  <si>
    <t>(Dividendos)</t>
  </si>
  <si>
    <t>Prima Directa</t>
  </si>
  <si>
    <t>Prima Cedida</t>
  </si>
  <si>
    <t>Deterioro de Inversiones</t>
  </si>
  <si>
    <t>Deterioro de Seguros</t>
  </si>
  <si>
    <t>Variación de Reserva de Riesgo en Curso</t>
  </si>
  <si>
    <t>Otros Ingresos</t>
  </si>
  <si>
    <t>OTROS INGRESOS</t>
  </si>
  <si>
    <t>Inversiones Inmobiliarias</t>
  </si>
  <si>
    <t>Siniestros Directos</t>
  </si>
  <si>
    <t>LAE Paid - Unallocated - Direct - Crane</t>
  </si>
  <si>
    <t>Rentas Directas</t>
  </si>
  <si>
    <t>Siniestros Cedidos</t>
  </si>
  <si>
    <t>Rentas Cedidas</t>
  </si>
  <si>
    <t>Variación Reserva Matemática</t>
  </si>
  <si>
    <t>Variación Reserva Valor del Fondo</t>
  </si>
  <si>
    <t>Variación Reservas Insuficiencia de Primas</t>
  </si>
  <si>
    <t>Comisiones de Reaseguro Cedido</t>
  </si>
  <si>
    <t>Comisión Corredores y Retribución</t>
  </si>
  <si>
    <t>Comisión Agentes Directos</t>
  </si>
  <si>
    <t>Inversiones Financieras</t>
  </si>
  <si>
    <t>Interest on Cash + Cash Equivalents (op</t>
  </si>
  <si>
    <t>Interest Income on Bonds</t>
  </si>
  <si>
    <t>Resultado Neto Inversion por Seguros co</t>
  </si>
  <si>
    <t>Diferencia de Cambio</t>
  </si>
  <si>
    <t>Losses on Disp/Ret of Leasehold Improve</t>
  </si>
  <si>
    <t>FunctAlloc-Group auditor - Recurring au</t>
  </si>
  <si>
    <t>OTROS</t>
  </si>
  <si>
    <t>FunctAlloc-Group auditor - Non-recurrin</t>
  </si>
  <si>
    <t>FunctAlloc-Dep/Impairment of Land/Build</t>
  </si>
  <si>
    <t>Impuesto Renta</t>
  </si>
  <si>
    <t>Rental cost for premises</t>
  </si>
  <si>
    <t>Gastos de Gestión</t>
  </si>
  <si>
    <t>Gastos Médicos</t>
  </si>
  <si>
    <t>Alloc exp. Building / Intrastructure</t>
  </si>
  <si>
    <t>Depreciación</t>
  </si>
  <si>
    <t>Migration Clearing Account</t>
  </si>
  <si>
    <t>Migration Clearing AccountAR</t>
  </si>
  <si>
    <t>Migration Clearing AccountAP</t>
  </si>
  <si>
    <t>Migration Clearing Account GL open item</t>
  </si>
  <si>
    <t>Validador Balance Cuadrado =&gt; "0"</t>
  </si>
  <si>
    <t>ESTADOS FINANCIEROS INDIVIDUALES FECU</t>
  </si>
  <si>
    <t>Estado de Situación Financiera (Activos)</t>
  </si>
  <si>
    <t>Estado de Situación Financiera (Pasivo)</t>
  </si>
  <si>
    <t>Estado de Resultados Integral</t>
  </si>
  <si>
    <t>Estado de Cambio en el Patrimonio</t>
  </si>
  <si>
    <t>Estado de Flujo de Efectivo</t>
  </si>
  <si>
    <t>Solvencia</t>
  </si>
  <si>
    <t>Margen de Solvencia</t>
  </si>
  <si>
    <t>Inversiones Seguros Cuenta Única de Inversiones (CUI)</t>
  </si>
  <si>
    <t>Participaciones en Entidades del Grupo</t>
  </si>
  <si>
    <t>Participaciones en Empresas Subsidiarias (Filiales)</t>
  </si>
  <si>
    <t>Participaciones en Empresas Asociadas (Coligadas)</t>
  </si>
  <si>
    <t>TOTAL INVERSIONES INMOBILIARIAS</t>
  </si>
  <si>
    <t>Propiedades, Muebles y Equipos de Uso Propio</t>
  </si>
  <si>
    <t>Propiedades de Uso Propio</t>
  </si>
  <si>
    <t>ACTIVOS NO CORRIENTES MANTENIDOS PARA LA VENTA</t>
  </si>
  <si>
    <t>TOTAL CUENTAS DE SEGUROS</t>
  </si>
  <si>
    <t>Cuentas por Cobrar de Seguros</t>
  </si>
  <si>
    <t>Deudores por Operaciones de Reaseguro</t>
  </si>
  <si>
    <t>Primas por Cobrar Reaseguro Aceptado</t>
  </si>
  <si>
    <t>Activo por Reaseguro No Proporcional</t>
  </si>
  <si>
    <t>Otros Deudores por Operaciones de Reaseguro</t>
  </si>
  <si>
    <t>Deudores por Operaciones de Coaseguro</t>
  </si>
  <si>
    <t>Primas por Cobrar por Operaciones de Coaseguro</t>
  </si>
  <si>
    <t>Siniestros por Cobrar por Operaciones de Coaseguro</t>
  </si>
  <si>
    <t>Otras cuentas por cobrar</t>
  </si>
  <si>
    <t>Participación del Reaseguro en las Reservas Técnicas</t>
  </si>
  <si>
    <t>Participación del Reaseguro en las Reservas Seguros Previsionales</t>
  </si>
  <si>
    <t>Participación del Reaseguro en la Reserva Rentas Vitalicias</t>
  </si>
  <si>
    <t>Participación del Reaseguro en la Reserva Seguro Invalidez y Sobrevivencia</t>
  </si>
  <si>
    <t>Participacón del Reaseguro en la Reserva Matemática</t>
  </si>
  <si>
    <t>Participación del Reaseguro en la Reserva Rentas Privadas</t>
  </si>
  <si>
    <t>Participación del Reaseguro en la Reserva de Siniestros</t>
  </si>
  <si>
    <t>Participación del Reaseguro en las Otras Reservas Técnicas</t>
  </si>
  <si>
    <t>Intangibles</t>
  </si>
  <si>
    <t>Goodwill</t>
  </si>
  <si>
    <t>Activos Intangibles Distintos de Goodwill</t>
  </si>
  <si>
    <t>Impuestos por Cobrar</t>
  </si>
  <si>
    <t>Cuenta por Cobrar por Impuestos Corrientes</t>
  </si>
  <si>
    <t>Otros Activos</t>
  </si>
  <si>
    <t>Gastos Anticipados</t>
  </si>
  <si>
    <t>ESTADO DE SITUACIÓN FINANCIERA</t>
  </si>
  <si>
    <t>M$</t>
  </si>
  <si>
    <t>Aj. X Dif. Leasing Morosos</t>
  </si>
  <si>
    <t>Reclasif. Prov. Leasing Morosos</t>
  </si>
  <si>
    <t>Ajuste Impuesto Diferido</t>
  </si>
  <si>
    <t>Ajustes Rva.Cedida SIS</t>
  </si>
  <si>
    <t>Neteo Sin y Pri SIS V</t>
  </si>
  <si>
    <t>Reclas Prov. MH CUI y Div. Impagos CUI</t>
  </si>
  <si>
    <t>Ajuste Inv.Filial AGF</t>
  </si>
  <si>
    <t>Reclas Div por a Cobrar GI</t>
  </si>
  <si>
    <t>Ajustes Caja CUI</t>
  </si>
  <si>
    <t>Ajuste Rva.OYNR  Cedida</t>
  </si>
  <si>
    <t>Ajuste Reclasifica anticipos RV</t>
  </si>
  <si>
    <t>Diividendos MH</t>
  </si>
  <si>
    <t>Dif. MH</t>
  </si>
  <si>
    <t>Reclasifica Reserva Cedida Siniestros</t>
  </si>
  <si>
    <t>Nota</t>
  </si>
  <si>
    <t>Estado</t>
  </si>
  <si>
    <t>Dif.</t>
  </si>
  <si>
    <t>5.10.00.00  TOTAL ACTIVO</t>
  </si>
  <si>
    <t xml:space="preserve">5.11.00.00 </t>
  </si>
  <si>
    <t>TOTAL INVERSIONES FINANCIERAS</t>
  </si>
  <si>
    <t xml:space="preserve">RESULTADO DE INVERSIONES </t>
  </si>
  <si>
    <t xml:space="preserve">EFECTIVO Y EFECTIVO EQUIVALENTE </t>
  </si>
  <si>
    <t>ESTADO DE FLUJOS DE EFECTIVO</t>
  </si>
  <si>
    <t>8.1</t>
  </si>
  <si>
    <t>INVERSIONES A VALOR RAZONABLE</t>
  </si>
  <si>
    <t>13.1</t>
  </si>
  <si>
    <t>MOVIMIENTO DE LA CARTERA DE INVERSIONES</t>
  </si>
  <si>
    <t>AVANCE TENEDORES DE POLIZAS</t>
  </si>
  <si>
    <t>PRESTAMOS OTORGADOS</t>
  </si>
  <si>
    <t xml:space="preserve">INVERSIONES SEGUROS CON CUENTA ÚNICA DE INVERSIÓN (CUI) </t>
  </si>
  <si>
    <t>12.1</t>
  </si>
  <si>
    <t>PARTICIPACIÓN EN EMPRESAS SUBSIDIARIAS (FILIALES)</t>
  </si>
  <si>
    <t>12.2</t>
  </si>
  <si>
    <t>PARTICIPACIÓN EN EMPRESAS ASOCIADAS (COLIGADAS)</t>
  </si>
  <si>
    <t>5.12.00.00</t>
  </si>
  <si>
    <t>14.1</t>
  </si>
  <si>
    <t>PROPIEDADES DE INVERSION</t>
  </si>
  <si>
    <t>14.2</t>
  </si>
  <si>
    <t>14.3</t>
  </si>
  <si>
    <t>PROPIEDADES DE USO PROPIO</t>
  </si>
  <si>
    <t>5.13.00.00</t>
  </si>
  <si>
    <t xml:space="preserve">ACTIVOS NO CORRIENTES MANTENIDOS PARA LA VENTA </t>
  </si>
  <si>
    <t>5.14.00.00</t>
  </si>
  <si>
    <t>16.1</t>
  </si>
  <si>
    <t>SALDOS ADEUDADOS POR ASEGURADOS</t>
  </si>
  <si>
    <t>16.2</t>
  </si>
  <si>
    <t>DEUDORES POR PRIMAS POR VENCIMIENTO</t>
  </si>
  <si>
    <t>17.1</t>
  </si>
  <si>
    <t>SALDOS ADEUDADOS POR REASEGURO</t>
  </si>
  <si>
    <t>17.3</t>
  </si>
  <si>
    <t>SINIESTROS POR COBRAR A REASEGURADORES</t>
  </si>
  <si>
    <t>DEDORES POR OPERACIONES DE COASEGURO</t>
  </si>
  <si>
    <t>PARTICIPACIÓN DEL REASEGURADOR EN LAS RESERVAS TÉCNICAS (ACTIVO) Y RESERVAS TÉCNICAS (PASIVO)</t>
  </si>
  <si>
    <t>17.4</t>
  </si>
  <si>
    <t>SINIESTROS POR COBRAR REASEGURADORES</t>
  </si>
  <si>
    <t>5.15.00.00</t>
  </si>
  <si>
    <t>17.5</t>
  </si>
  <si>
    <t>RESERVAS RIESGO EN CURSO REASEGURADORES</t>
  </si>
  <si>
    <t>GOODWILL</t>
  </si>
  <si>
    <t>ACTIVOS INTANGIBLES DISTINTOS DE GOODWILL</t>
  </si>
  <si>
    <t>21.1</t>
  </si>
  <si>
    <t xml:space="preserve">CUENTAS POR COBRAR POR IMPUESTOS </t>
  </si>
  <si>
    <t>21.2.2</t>
  </si>
  <si>
    <t>EFECTO DE IMPUESTOS DIFERIDOS EN RESULTADO</t>
  </si>
  <si>
    <t>22.1</t>
  </si>
  <si>
    <t>DEUDAS DEL PERSONAL</t>
  </si>
  <si>
    <t>22.2</t>
  </si>
  <si>
    <t>CUENTAS POR COBRAR INTERMEDIARIOS</t>
  </si>
  <si>
    <t>49.</t>
  </si>
  <si>
    <t>SALDOS CON RELACIONADOS</t>
  </si>
  <si>
    <t>22.3</t>
  </si>
  <si>
    <t>GASTOS ANTICIPADOS</t>
  </si>
  <si>
    <t>22.4</t>
  </si>
  <si>
    <t>VALIDADOR SALDOS</t>
  </si>
  <si>
    <t>Ajuste Ch.no Cobrados</t>
  </si>
  <si>
    <t>Ajustes R Stros</t>
  </si>
  <si>
    <t>Ajuste Reserva Sin.Proceso SIS</t>
  </si>
  <si>
    <t>Ajuste Reserva Rentas Privadas</t>
  </si>
  <si>
    <t>Reclasif. Provisiones Varias</t>
  </si>
  <si>
    <t>Reclas PIAS y Prov Vacaciones</t>
  </si>
  <si>
    <t>Ajuste Prov. Dividendos</t>
  </si>
  <si>
    <t>Ajuste Patrimonio Migracion</t>
  </si>
  <si>
    <t>Ajuste R° Acumulado Patrimonio</t>
  </si>
  <si>
    <t>Ajuste Patrimonio Calve RV y Cui</t>
  </si>
  <si>
    <t>5.20.00.00 TOTAL PASIVO Y PATRIMONIO (B+C)</t>
  </si>
  <si>
    <t>5210000 TOTAL PASIVO</t>
  </si>
  <si>
    <t>23.2</t>
  </si>
  <si>
    <t>PASIVOS FINANCIEROS</t>
  </si>
  <si>
    <t>Pasivos No Corrientes Mantenidos para la Venta</t>
  </si>
  <si>
    <t>Total Cuentas de Seguros</t>
  </si>
  <si>
    <t>RESERVAS RIESGO EN CURSO</t>
  </si>
  <si>
    <t>Reservas Técnicas</t>
  </si>
  <si>
    <t>Reservas Seguros Previonales</t>
  </si>
  <si>
    <t>cuadro 6.04</t>
  </si>
  <si>
    <t>Reserva Terremoto</t>
  </si>
  <si>
    <t>Deudas por Operaciones de Seguros</t>
  </si>
  <si>
    <t>26.1</t>
  </si>
  <si>
    <t>DEUDAS CON ASEGURADOS</t>
  </si>
  <si>
    <t>26.2</t>
  </si>
  <si>
    <t>Deudas por Operaciones por Coaseguro</t>
  </si>
  <si>
    <t>26.3</t>
  </si>
  <si>
    <t>Primas por Pagar por Operaciones de Coaseguro</t>
  </si>
  <si>
    <t>Siniestros por Pagar por Operaciones de Coaseguro</t>
  </si>
  <si>
    <t>Ingresos Anticipados por Operaciones de Seguros</t>
  </si>
  <si>
    <t>OTROS PASIVOS</t>
  </si>
  <si>
    <t>Provisiones</t>
  </si>
  <si>
    <t>PROVISIONES</t>
  </si>
  <si>
    <t>Otros Pasivos</t>
  </si>
  <si>
    <t>28.1.1</t>
  </si>
  <si>
    <t>CUENTA POR PAGAR POR IMPUESTOS</t>
  </si>
  <si>
    <t>Pasivos por Impuestos Diferidos</t>
  </si>
  <si>
    <t>49.1</t>
  </si>
  <si>
    <t>28.3</t>
  </si>
  <si>
    <t>DEUDAS CON INTERMEDIARIOS</t>
  </si>
  <si>
    <t>28.4</t>
  </si>
  <si>
    <t>DEUDAS CON EL PERSONAL</t>
  </si>
  <si>
    <t>Ingresos Anticipados</t>
  </si>
  <si>
    <t>28.5</t>
  </si>
  <si>
    <t>INGRESOS ANTICIPADOS</t>
  </si>
  <si>
    <t>TOTAL PATRIMONIO</t>
  </si>
  <si>
    <t>Estado de Cambios en el Patrimonio</t>
  </si>
  <si>
    <t>Resultados Acumulados</t>
  </si>
  <si>
    <t>Resultado del Ejercicio</t>
  </si>
  <si>
    <t>Otros Ajustes</t>
  </si>
  <si>
    <t>Cuadratura Rva</t>
  </si>
  <si>
    <t>Dividendos 30%</t>
  </si>
  <si>
    <t>ESTADO DE RESULTADO INTEGRAL</t>
  </si>
  <si>
    <t>Ajuste Stop Loss SIS V</t>
  </si>
  <si>
    <t>Ajuste Sntro Cedidos</t>
  </si>
  <si>
    <t>Reclasifica ajustes Reservas</t>
  </si>
  <si>
    <t>Prov. MH CUI + Resultado CUI RF</t>
  </si>
  <si>
    <t>Reclasif. Prov RV y Leasing CUI</t>
  </si>
  <si>
    <t>Reclas Leas Mor CUI y Propio</t>
  </si>
  <si>
    <t>Reclasif. R° Fondo Mutuos Propio</t>
  </si>
  <si>
    <t>Reclas VPP</t>
  </si>
  <si>
    <t>Reclas T/C</t>
  </si>
  <si>
    <t>Reclasifica Comisiones Corredores</t>
  </si>
  <si>
    <t>Ajuste Comisiones</t>
  </si>
  <si>
    <t>Ajuste Cobranza</t>
  </si>
  <si>
    <t>Reclasif. Gtos de Inversiones</t>
  </si>
  <si>
    <t>Ajuste Reserva Siniestros</t>
  </si>
  <si>
    <t>MARGEN DE CONTRIBUCIÓN (MC)</t>
  </si>
  <si>
    <t>Prima Retenida</t>
  </si>
  <si>
    <t xml:space="preserve">Prima Aceptada </t>
  </si>
  <si>
    <t>REASEGURADORES Y CORREDORES DE REASEGUROS VIGENTES</t>
  </si>
  <si>
    <t>Variación de Reserva Técnica</t>
  </si>
  <si>
    <t>VARIACIÓN DE RESERVAS TÉCNICAS</t>
  </si>
  <si>
    <t>Variación Reservas Catastróficas de Terremoto</t>
  </si>
  <si>
    <t>Variación Otras Reservas Técnicas</t>
  </si>
  <si>
    <t>Costo de Siniestro del Ejercicio</t>
  </si>
  <si>
    <t>COSTO DE SINIESTROS</t>
  </si>
  <si>
    <t>Siniestros Aceptados</t>
  </si>
  <si>
    <t>Costo de Rentas del Ejercicio</t>
  </si>
  <si>
    <t>Rentas Aceptadas</t>
  </si>
  <si>
    <t>Resultado de Intermediación</t>
  </si>
  <si>
    <t>Comisión Corredores y Retribución Asesores Previsionales</t>
  </si>
  <si>
    <t>Comisiones de Reaseguro Aceptado</t>
  </si>
  <si>
    <t>Gastos por Reaseguro No Proporcional</t>
  </si>
  <si>
    <t>DETERIORO DE SEGUROS</t>
  </si>
  <si>
    <t>COSTOS DE ADMINISTRACIÓN (CA)</t>
  </si>
  <si>
    <t>COSTOS DE ADMINISTRACIÓN</t>
  </si>
  <si>
    <t>RESULTADO DE INVERSIONES (RI)</t>
  </si>
  <si>
    <t>Resultado Neto Inversiones Realizadas</t>
  </si>
  <si>
    <t>Resultado Neto Inversiones No Realizadas</t>
  </si>
  <si>
    <t>Resultado Neto Inversiones Devengadas</t>
  </si>
  <si>
    <t>Resultado Neto Inversiones por Seguros con Cuenta Única de Inversiones</t>
  </si>
  <si>
    <t>RESULTADO TÉCNICO DE SEGUROS (MC+RI+CA)</t>
  </si>
  <si>
    <t>OTROS INGRESOS Y EGRESOS</t>
  </si>
  <si>
    <t>Otros Gastos</t>
  </si>
  <si>
    <t>OTROS EGRESOS</t>
  </si>
  <si>
    <t>38.1</t>
  </si>
  <si>
    <t>DIFERENCIA DE CAMBIO</t>
  </si>
  <si>
    <t>Utilidad (Pérdida) por Unidades Reajustables</t>
  </si>
  <si>
    <t>38.2</t>
  </si>
  <si>
    <t>UTILIDAD (PÉRDIDA) POR UNIDADES REAJUSTABLES</t>
  </si>
  <si>
    <t>Resultado de Operaciones Continuas Antes de Impuesto Renta</t>
  </si>
  <si>
    <t>Utilidad (Pérdida) por Operaciones Discontinuas para la Venta (netas de impuestos)</t>
  </si>
  <si>
    <t>40.1</t>
  </si>
  <si>
    <t>RESULTADO POR IMPUESTOS</t>
  </si>
  <si>
    <t>40.2</t>
  </si>
  <si>
    <t>RECONCILIACIÓN DE LA TASA DE IMPUESTO EFECTIVO</t>
  </si>
  <si>
    <t>TOTAL RESULTADO DEL PERÍODO</t>
  </si>
  <si>
    <t>ESTADO OTRO RESULTADO INTEGRAL</t>
  </si>
  <si>
    <t>Resultado en la Evaluación Propiedades, Muebles y Equipos</t>
  </si>
  <si>
    <t>Resultado en Activos Financieros</t>
  </si>
  <si>
    <t>Resultado en Coberturas de Flujo de Caja</t>
  </si>
  <si>
    <t>Otros Resultados con Ajuste en Patrimonio</t>
  </si>
  <si>
    <t>Impuestos Diferidos</t>
  </si>
  <si>
    <t>TOTAL OTRO RESULTADO INTEGRAL</t>
  </si>
  <si>
    <t>TOTAL DEL RESULTADO INTEGRAL</t>
  </si>
  <si>
    <t>Saldo R° Bce.</t>
  </si>
  <si>
    <t>*</t>
  </si>
  <si>
    <t>Mapping</t>
  </si>
  <si>
    <t>Chilena</t>
  </si>
  <si>
    <t>**la evolucion del deterioro siempre se carga en valor absoluto**</t>
  </si>
  <si>
    <t>99.580.930-3</t>
  </si>
  <si>
    <t>Zurich AGF.S.A</t>
  </si>
  <si>
    <t>Chile</t>
  </si>
  <si>
    <t>IAG</t>
  </si>
  <si>
    <t>Chilena Consolidada Seguros Generales S.A.</t>
  </si>
  <si>
    <t>Zurich Servicios e Inversiones S.A.</t>
  </si>
  <si>
    <t>Zurich Shared Services S.A.</t>
  </si>
  <si>
    <t>IA</t>
  </si>
  <si>
    <t>IO</t>
  </si>
  <si>
    <t>Cash - Unrestr. - Petty Cash</t>
  </si>
  <si>
    <t>Bank BCI EURO 18586767</t>
  </si>
  <si>
    <t>Bank BCI EURO 18586767 IN</t>
  </si>
  <si>
    <t>Bank BCI EURO 18586767 OUT</t>
  </si>
  <si>
    <t>Open Item FX Reval Adj. 15301</t>
  </si>
  <si>
    <t>Other receivables -  AR/AP Local Regrou</t>
  </si>
  <si>
    <t>Other payables - AR/AP Ageing Regroup 3</t>
  </si>
  <si>
    <t>Other Payables in context of Social Sec</t>
  </si>
  <si>
    <t>Rent Income Own Use Aff</t>
  </si>
  <si>
    <t>Bloomberg</t>
  </si>
  <si>
    <t>Brand and Communication Research</t>
  </si>
  <si>
    <t>Customer Research</t>
  </si>
  <si>
    <t>Direct Response TV Marketing</t>
  </si>
  <si>
    <t>Other Banking Charges</t>
  </si>
  <si>
    <t>Specialized Third Party Service - Other</t>
  </si>
  <si>
    <t>Other Property Charge Out (Local)</t>
  </si>
  <si>
    <t>(01.2018-03.2018)</t>
  </si>
  <si>
    <t>Suma de (01.2018-03.2018)</t>
  </si>
  <si>
    <t>Balance (001.2018 - 003.2018)</t>
  </si>
  <si>
    <t>AL 31 DE MARZO 2018</t>
  </si>
  <si>
    <t>Cross check</t>
  </si>
  <si>
    <t>Accionista seis</t>
  </si>
  <si>
    <t>Accionista siete</t>
  </si>
  <si>
    <t>Accionista ocho</t>
  </si>
  <si>
    <t>Accionista nueve</t>
  </si>
  <si>
    <t>Accionista diez</t>
  </si>
  <si>
    <t>Actualizado</t>
  </si>
  <si>
    <t>Leon Vda.De Pena Rosa</t>
  </si>
  <si>
    <t>Arroyo Belmar Sergio Hernaldo</t>
  </si>
  <si>
    <t>Gomez_Lobo Gatica Ana Maria Sylvia</t>
  </si>
  <si>
    <t>Grospellier Rojas Augusto de Gaulle</t>
  </si>
  <si>
    <t>Grospellier Rojas Inés Albertina</t>
  </si>
  <si>
    <t>RN000002-7</t>
  </si>
  <si>
    <t>02441365-9</t>
  </si>
  <si>
    <t>01454865-3</t>
  </si>
  <si>
    <t>04330314-7</t>
  </si>
  <si>
    <t>06009571-K</t>
  </si>
  <si>
    <t>La composición del rubro al 31 de Marzo de 2018, se muestra en el siguiente cuadro:</t>
  </si>
  <si>
    <t>Saldo al 01.01.2018</t>
  </si>
  <si>
    <t>Al 31 de Marzo de 2018 la Compañía no tiene activos no corrientes para la venta.</t>
  </si>
  <si>
    <t>NR</t>
  </si>
  <si>
    <t>R</t>
  </si>
  <si>
    <t>General Reinsurance AG.</t>
  </si>
  <si>
    <t>Munich Reinsurance Company</t>
  </si>
  <si>
    <t>Zurich Insurance Company Limited</t>
  </si>
  <si>
    <t>Swiss Reinsurance Company Ltd</t>
  </si>
  <si>
    <t>Arriendos por Cobrar</t>
  </si>
  <si>
    <t>Inversiones por cobrar</t>
  </si>
  <si>
    <t>Deudas por cobrar</t>
  </si>
  <si>
    <t>Garantías por Cobrar</t>
  </si>
  <si>
    <t>Mejoras Bien Raíz</t>
  </si>
  <si>
    <t>Boletas de Garantía</t>
  </si>
  <si>
    <t xml:space="preserve">Juicio Siniestro </t>
  </si>
  <si>
    <t>Cheques por Cobrar</t>
  </si>
  <si>
    <t>Deudores Inmobiliarios</t>
  </si>
  <si>
    <t>Gastos Financieros</t>
  </si>
  <si>
    <t>Gastos Plataforma Regional</t>
  </si>
  <si>
    <t>Intereses por Boleta de Garantía</t>
  </si>
  <si>
    <t>Egresos por mantenimiento y asesorías a plataforma globa</t>
  </si>
  <si>
    <t>Otros ingresos no técnicos</t>
  </si>
  <si>
    <t>Ingresos subarriendos a terceros</t>
  </si>
  <si>
    <t>Ingresos por Arriendo Afiliada</t>
  </si>
  <si>
    <t>Ingresos por Multas</t>
  </si>
  <si>
    <t>Prestación de servicios profesionales area Legal</t>
  </si>
  <si>
    <t>Subarriendos oficinas y estacionamientos.</t>
  </si>
  <si>
    <t>Ingresos por subarriendos Compañías afiliadas</t>
  </si>
  <si>
    <t>Ingresos recibidos por multas del negocio</t>
  </si>
  <si>
    <t>Inversiones Suizo Chilena SA</t>
  </si>
  <si>
    <t>Seguros</t>
  </si>
  <si>
    <t>Agustín Silva C</t>
  </si>
  <si>
    <t>8.951.059-7</t>
  </si>
  <si>
    <t>La compañía es parte del Grupo Zurich Insurance Group, cuya empresa controladora es Zurich Insurance Company, el cual se encuentra integrado en Chile de la siguiente manera. Inversiones Suizo Chilena S.A. Chilena Consolidada Seguros de Vida S.A -98,99% Chilena Consolidada Seguros Generales S.A. -84,18% Zurich Servicios e Inversiones S.A. -99,00% Zurich Shared Services S.A. -99,99% Zurich Administradora General de Fondos S.A. -0,03%</t>
  </si>
  <si>
    <t>COBERTURA 1512</t>
  </si>
  <si>
    <t>BANCO BBVA</t>
  </si>
  <si>
    <t>BANCO BCI</t>
  </si>
  <si>
    <t>BANCO ITAUCORP</t>
  </si>
  <si>
    <t>BANCO SANTANDER</t>
  </si>
  <si>
    <t>PROM</t>
  </si>
  <si>
    <t>Monto al 31-03-2018</t>
  </si>
  <si>
    <t xml:space="preserve"> -   </t>
  </si>
  <si>
    <t xml:space="preserve"> DCV </t>
  </si>
  <si>
    <t xml:space="preserve"> CBR/MUTUARIAS </t>
  </si>
  <si>
    <t>**Se debe cargar como valor absoluto**</t>
  </si>
  <si>
    <t>Comisión</t>
  </si>
  <si>
    <t>Capacitación</t>
  </si>
  <si>
    <t>Gastos Básicos</t>
  </si>
  <si>
    <t>Asesorías</t>
  </si>
  <si>
    <t>Tecnología</t>
  </si>
  <si>
    <t>Publicidad</t>
  </si>
  <si>
    <t>Gastos Generales de Edificio</t>
  </si>
  <si>
    <t>Otros Gastos de Administración</t>
  </si>
  <si>
    <t>Swiss Reinsurance</t>
  </si>
  <si>
    <t>NRE17620170007</t>
  </si>
  <si>
    <t>NRE06220170035</t>
  </si>
  <si>
    <t>General Reinsurance  AG.</t>
  </si>
  <si>
    <t>NRE00320170003</t>
  </si>
  <si>
    <t>Scor Re</t>
  </si>
  <si>
    <t>NRE06220170046</t>
  </si>
  <si>
    <t>Zurich Insurance Co.</t>
  </si>
  <si>
    <t>NRE17620170014</t>
  </si>
  <si>
    <t>Moody´s</t>
  </si>
  <si>
    <t>AMB</t>
  </si>
  <si>
    <t>Aa3</t>
  </si>
  <si>
    <t>A+</t>
  </si>
  <si>
    <t>Fitch Ratings</t>
  </si>
  <si>
    <t>AA-</t>
  </si>
  <si>
    <t>Standard &amp; Poor's</t>
  </si>
  <si>
    <t>A++</t>
  </si>
  <si>
    <t>Grtías arriendo</t>
  </si>
  <si>
    <t>Acreedores Varios</t>
  </si>
  <si>
    <t>Acreedores Sin. Imed</t>
  </si>
  <si>
    <t>Servicio de Colateral</t>
  </si>
  <si>
    <t>Acreedores Sin. Farmacias</t>
  </si>
  <si>
    <t>Cheques Vencidos por Pagar</t>
  </si>
  <si>
    <t>Acreedores Rentas Vitalicias</t>
  </si>
  <si>
    <t>Garantías por arriendos de edificios.</t>
  </si>
  <si>
    <t>Cuentas por pagar acreedores varios</t>
  </si>
  <si>
    <t>Garantía Colateral Derivado Swap</t>
  </si>
  <si>
    <t>Cheques vencidos</t>
  </si>
  <si>
    <t>Cuentas por pagar acreedores rentas vitalicias</t>
  </si>
  <si>
    <t>SCOR Global Life SE</t>
  </si>
  <si>
    <t>Caja Reaseguradora de Chile S.A.</t>
  </si>
  <si>
    <t>99027000-7</t>
  </si>
  <si>
    <t>Dividendos por Pagar</t>
  </si>
  <si>
    <t>Provisión Auditoría externa</t>
  </si>
  <si>
    <t>Provisión Gastos</t>
  </si>
  <si>
    <t>Provisión Litigios</t>
  </si>
  <si>
    <t>Provisión Comisión</t>
  </si>
  <si>
    <t>Provisión de Gastos Siniestros SIS</t>
  </si>
  <si>
    <t>Provisión Servicios Afiliadas</t>
  </si>
  <si>
    <t>Arriendos adeudados por Edificios para Renta.</t>
  </si>
  <si>
    <t xml:space="preserve">Venta de Leasing y venta Bono BAMAI-A1 </t>
  </si>
  <si>
    <t>Deudas por cobrar préstamos Rentas Vitalicias</t>
  </si>
  <si>
    <t xml:space="preserve">Garantía por recuperar por Arriendo de Sucursales </t>
  </si>
  <si>
    <t>Mejoras en bien raíz y otros activos arriendo Sucursal de Badajoz</t>
  </si>
  <si>
    <t>Licencias de Software</t>
  </si>
  <si>
    <t xml:space="preserve">Boletas de garantía emitidas por licitaciones </t>
  </si>
  <si>
    <t>Juicio por Siniestro Hilinks</t>
  </si>
  <si>
    <t>Cheques por cobrar</t>
  </si>
  <si>
    <t>Fondos Operacionales correspondientes a Bienes Raíces de Inversión</t>
  </si>
  <si>
    <t>CONCEPTOS</t>
  </si>
  <si>
    <t>31.03.2018</t>
  </si>
  <si>
    <t>Fondos por rendir</t>
  </si>
  <si>
    <t>Préstamos Del Personal</t>
  </si>
  <si>
    <t>Anticipo Personal</t>
  </si>
  <si>
    <t>Agregar como nota de Texto</t>
  </si>
  <si>
    <t>25.1.1</t>
  </si>
  <si>
    <t>Al cierre de los estados financieros del 31 de Marzo 2018, la compañía  posee deterioro por reaseguro.</t>
  </si>
  <si>
    <t>AA</t>
  </si>
  <si>
    <t>AAA</t>
  </si>
  <si>
    <t>Efectivo</t>
  </si>
  <si>
    <t>Juicio civil por Indemnización de perjuicios</t>
  </si>
  <si>
    <t>Juicio civil  por cumplimiento de obligaciones</t>
  </si>
  <si>
    <t>Francisco Pierola Fernández y Otros</t>
  </si>
  <si>
    <t>Nicolás Peñailillo Acuña</t>
  </si>
  <si>
    <t>Carolina Campos Navarro</t>
  </si>
  <si>
    <t>Sergio Salgado Villarroel</t>
  </si>
  <si>
    <t>Antonio Bobadilla Fuentes</t>
  </si>
  <si>
    <t>Juan Hernández Retamal</t>
  </si>
  <si>
    <t>A la fecha de los estados financieros del 31 de Marzo 2018, la compañía presenta los siguientes pasivos financieros a costo amortizado</t>
  </si>
  <si>
    <t>Extranjero</t>
  </si>
  <si>
    <t>99.037.000-1</t>
  </si>
  <si>
    <t>96.911.700-2</t>
  </si>
  <si>
    <t>76.020.595-8</t>
  </si>
  <si>
    <t>76.590.840-K</t>
  </si>
  <si>
    <t>96.819.630-8</t>
  </si>
  <si>
    <t xml:space="preserve">Extranjero </t>
  </si>
  <si>
    <t>ZIC HQE</t>
  </si>
  <si>
    <t>Zurich Vida, Compañía de Seguros, S.A.</t>
  </si>
  <si>
    <t>Zurich Servicios e Inversiones S.A</t>
  </si>
  <si>
    <t>Zurich Santander Seguros Generales Chile S.A.</t>
  </si>
  <si>
    <t>Zurich Santander Seguros de Vida Chile S.A.</t>
  </si>
  <si>
    <t>Zürich Versicherungs-Gesellschaft AG Group Shared Services</t>
  </si>
  <si>
    <t>Zurich Argentina Cia. de Seguros S.A.</t>
  </si>
  <si>
    <t>Zurich America Latina Serviços Brasil Ltda.</t>
  </si>
  <si>
    <t xml:space="preserve">Reembolso traslado ejecutivo México </t>
  </si>
  <si>
    <t>Servicios administrativos y Arriendos de oficinas (Sucursales)</t>
  </si>
  <si>
    <t>Dividendos por cobrar</t>
  </si>
  <si>
    <t xml:space="preserve">Arriendos de oficinas </t>
  </si>
  <si>
    <t>Prestación de servicios Legales</t>
  </si>
  <si>
    <t>Actividades relativas al asesoramiento en distintos niveles, tales como directivo, planeación, legal y presupuestos establecidos por el grupo Zurich</t>
  </si>
  <si>
    <t>Prestación de servicios administrativos y asesorías corporativas.</t>
  </si>
  <si>
    <t>Sin garantía</t>
  </si>
  <si>
    <t>Zurich Global Investment Management Inc.</t>
  </si>
  <si>
    <t>Zurich Latin America Corporation</t>
  </si>
  <si>
    <t>Zurich Latin American Services S.A.</t>
  </si>
  <si>
    <t>Zurich International Life Limited, Surcursal  Argentina</t>
  </si>
  <si>
    <t>Inversiones Suizo Chilena S.A.</t>
  </si>
  <si>
    <t>Zurich Global Investment Management - Europe</t>
  </si>
  <si>
    <t>Zurich Administradora General de Fondos S.A.</t>
  </si>
  <si>
    <t>96.609.000-6</t>
  </si>
  <si>
    <t>Relacionada</t>
  </si>
  <si>
    <t xml:space="preserve">Servicios Regionales y corporativos  Grupo Zurich </t>
  </si>
  <si>
    <t xml:space="preserve">Servicios Regionales Grupo Zurich </t>
  </si>
  <si>
    <t>Préstamo con relacionadas</t>
  </si>
  <si>
    <t>Arriendos oficinas y asesoramiento</t>
  </si>
  <si>
    <t xml:space="preserve">Arriendos oficinas </t>
  </si>
  <si>
    <t>Servicios administrativos, financieros, legales, IT, asesoramiento gerencial.</t>
  </si>
  <si>
    <t xml:space="preserve">Sin garantía </t>
  </si>
  <si>
    <t>Ajuste $ Inversiones</t>
  </si>
  <si>
    <t>"El Reaseguro y Coaseguro"</t>
  </si>
  <si>
    <t>Check</t>
  </si>
  <si>
    <t>Validacion ESF</t>
  </si>
  <si>
    <t>#Activo!A1</t>
  </si>
  <si>
    <t>El detalle de las inversiones financieras al 31 de Marzo 2018, medidas a valor razonable con efecto en resultados, se presenta en el siguiente cuadro:</t>
  </si>
  <si>
    <t>EMISOR</t>
  </si>
  <si>
    <t xml:space="preserve">Ajuste Reserva Sin.Proceso </t>
  </si>
  <si>
    <t>Reclasifica Reservas RV Cedidas</t>
  </si>
  <si>
    <t>**</t>
  </si>
  <si>
    <t>Valor Contable de acción</t>
  </si>
  <si>
    <t>Patrimonio neto/ N° acciones</t>
  </si>
  <si>
    <t>Resultado Acumulado 2017</t>
  </si>
  <si>
    <t>Utilidad 2017</t>
  </si>
  <si>
    <t>Prov.Dividendos 2017</t>
  </si>
  <si>
    <t>Resultado Acumulado 2018</t>
  </si>
  <si>
    <t>Reservas Calce 2017</t>
  </si>
  <si>
    <t>Calce RV 2018</t>
  </si>
  <si>
    <t>Calce CUI 2018</t>
  </si>
  <si>
    <t>Reservas Calce 2018</t>
  </si>
  <si>
    <t>CHILENA CON.SEG.VIDA S.A.                       Statement Financial Position                      Time 17:34:47     Date  27.04.2018</t>
  </si>
  <si>
    <t>(01.2017-12.2017)</t>
  </si>
  <si>
    <t>Al 31 de Marzo de 2018, la compañía presenta una renta liquida imponible positiva de M$  33.221.169.</t>
  </si>
  <si>
    <t>Impuestos por recuperar + Iva x recuperar</t>
  </si>
  <si>
    <t>Los cambios en la durante el período terminado al 31 de Marzo 2018 es el siguiente:</t>
  </si>
  <si>
    <t>84</t>
  </si>
  <si>
    <t>180</t>
  </si>
  <si>
    <t>part. Reaseguro</t>
  </si>
  <si>
    <t>validador / (=) a 48.4</t>
  </si>
  <si>
    <t xml:space="preserve">ACCIONARIO GLOBAL        </t>
  </si>
  <si>
    <t>APV / OTR</t>
  </si>
  <si>
    <t>100% Fondo DWS INVEST GLOBAL THEMAT</t>
  </si>
  <si>
    <t>CFME</t>
  </si>
  <si>
    <t xml:space="preserve">RENTA FIJA U.S.A.        </t>
  </si>
  <si>
    <t>OTR</t>
  </si>
  <si>
    <t xml:space="preserve">100% Fondo PARVEST BOND USD -CC </t>
  </si>
  <si>
    <t xml:space="preserve">SALUD GLOBAL EN USD      </t>
  </si>
  <si>
    <t>100% ETF ISHARES DJ US HEALTHCARE</t>
  </si>
  <si>
    <t>ETFA</t>
  </si>
  <si>
    <t xml:space="preserve">RTA FIJA LARGO PLAZO USD </t>
  </si>
  <si>
    <t>VARIABLE EMERGENTE EN USD</t>
  </si>
  <si>
    <t>100% Fondo BNP L1-EQ WD EMERG -CC</t>
  </si>
  <si>
    <t xml:space="preserve">VARIABLE GLOBAL EN USD   </t>
  </si>
  <si>
    <t xml:space="preserve">100% Fondo PARVEST EQUITY WORLD - CLA </t>
  </si>
  <si>
    <t xml:space="preserve">RENTA VARIABLE NACIONAL  </t>
  </si>
  <si>
    <t>100% Fondo Mutuo SECURITY Acciones (actual INDEX)</t>
  </si>
  <si>
    <t>CFM</t>
  </si>
  <si>
    <t xml:space="preserve">PARVEST WORLD            </t>
  </si>
  <si>
    <t>APV</t>
  </si>
  <si>
    <t xml:space="preserve">PARVEST EMERGING MARKET  </t>
  </si>
  <si>
    <t>100% Fondo  BNPP L1 -EQ WD EMERG-CC</t>
  </si>
  <si>
    <t xml:space="preserve">ASIA GROWTH              </t>
  </si>
  <si>
    <t>100% Fondo THREADNEEDLE ASIA- &amp; -1-AC</t>
  </si>
  <si>
    <t xml:space="preserve">LATIN AMERICAN GROWTH    </t>
  </si>
  <si>
    <t>100% Fondo THREADNEEDLE LAT AM -$-1</t>
  </si>
  <si>
    <t xml:space="preserve">INDUSTRIAL FUND          </t>
  </si>
  <si>
    <t xml:space="preserve">100% Fondo FIDELITY INDUSTRIALS FUND </t>
  </si>
  <si>
    <t xml:space="preserve">TECHNOLOGY FUND          </t>
  </si>
  <si>
    <t>100%  Fondo ABERDEEN GL-TECHNOLO FUN</t>
  </si>
  <si>
    <t xml:space="preserve">PARVEST SH.TERM EURO     </t>
  </si>
  <si>
    <t xml:space="preserve">100% Fondo PARVEST SHORT TERM EURO </t>
  </si>
  <si>
    <t xml:space="preserve">SECURITY ACCIONES        </t>
  </si>
  <si>
    <t>100% Fondo Mutuo Security Acciones (actual INDEX)</t>
  </si>
  <si>
    <t>ZURICH MUNDO EMERGENT.S/D</t>
  </si>
  <si>
    <t>100% Fondo Mutuo Zurich Mundo emergente Serie D</t>
  </si>
  <si>
    <t>CFMIE</t>
  </si>
  <si>
    <t xml:space="preserve">ZURICH MUNDO LATAM S/D   </t>
  </si>
  <si>
    <t>100% Fondo Mutuo Zurich Mundo Latam Serie D</t>
  </si>
  <si>
    <t xml:space="preserve">ZURICH BURSATIL 90 S/D   </t>
  </si>
  <si>
    <t>100% Fondo Mutuo Zurich Bursátil Serie D</t>
  </si>
  <si>
    <t xml:space="preserve">ZURICH USA S/D           </t>
  </si>
  <si>
    <t>100% Fondo Mutuo Zurich USA Serie D</t>
  </si>
  <si>
    <t xml:space="preserve">ZURICH PATRIMONIO S/D    </t>
  </si>
  <si>
    <t>100% Fondo Mutuo Zurich Patrimonio Serie D</t>
  </si>
  <si>
    <t xml:space="preserve">ZURICH BALANCEADO S/D    </t>
  </si>
  <si>
    <t>100% Fondo Mutuo Zurich Balanceado Serie D</t>
  </si>
  <si>
    <t xml:space="preserve">ZURICH CRECIENTE S/D     </t>
  </si>
  <si>
    <t>100% Fondo Mutuo Zurich Creciente Serie D</t>
  </si>
  <si>
    <t xml:space="preserve">ZURICH CRECIENTE S/A     </t>
  </si>
  <si>
    <t>100% Fondo Mutuo Zurich Creciente Serie A</t>
  </si>
  <si>
    <t xml:space="preserve">ZURICH BALANCEADO S/A    </t>
  </si>
  <si>
    <t>100% Fondo Mutuo Zurich Balanceado Serie A</t>
  </si>
  <si>
    <t xml:space="preserve">ZURICH PATRIMONIO S/A    </t>
  </si>
  <si>
    <t>100% Fondo Mutuo Zurich Patrimonio Serie A</t>
  </si>
  <si>
    <t xml:space="preserve">ZURICH USA SERIE A       </t>
  </si>
  <si>
    <t>100% Fondo Mutuo Zurich USA Serie A</t>
  </si>
  <si>
    <t xml:space="preserve">ZURICH BURSATIL 90 S/A   </t>
  </si>
  <si>
    <t>100% Fondo Mutuo Zurich Bursátil Serie A</t>
  </si>
  <si>
    <t xml:space="preserve">ZURICH MUNDO LATAM S/A   </t>
  </si>
  <si>
    <t>100% Fondo Mutuo Zurich Mundo latam Serie A</t>
  </si>
  <si>
    <t>ZURICH MUNDO EMERGENT.S/A</t>
  </si>
  <si>
    <t>100% Fondo Mutuo Zurich Mundo emergente Serie A</t>
  </si>
  <si>
    <t xml:space="preserve">ZURICH EQUILIBRIO 30 S/B </t>
  </si>
  <si>
    <t>100% Fondo Mutuo Zurich equilibrio Serie B</t>
  </si>
  <si>
    <t>BNP PARIBAS LAT.AMERICANO</t>
  </si>
  <si>
    <t>100% Fondo PARVEST EQU-LATIN AMER - C</t>
  </si>
  <si>
    <t xml:space="preserve">ZURICH CASH SERIE UNICA  </t>
  </si>
  <si>
    <t>100% Fondo Mutuo Zurich cash</t>
  </si>
  <si>
    <t xml:space="preserve">ZURICH CASH PLUS S/D     </t>
  </si>
  <si>
    <t>100% Fondo Mutuo Zurich cash plus</t>
  </si>
  <si>
    <t xml:space="preserve">ZURICH MUNDO EUROPEO S/D </t>
  </si>
  <si>
    <t>100% Fondo Mutuo Zurich Mundo Europeo Serie D</t>
  </si>
  <si>
    <t xml:space="preserve">ZURICH SELECT GLOBAL S/D </t>
  </si>
  <si>
    <t>100% Fondo Mutuo Zurich Select Global Serie D</t>
  </si>
  <si>
    <t xml:space="preserve">R80 GLOBAL S/D           </t>
  </si>
  <si>
    <t>100% Fondo Mutuo Zurich R80 GLOBAL S/D</t>
  </si>
  <si>
    <t xml:space="preserve">ZURICH EQUILIBRIO 30 S/D </t>
  </si>
  <si>
    <t>100% Fondo Mutuo Zurich Equilibrio Serie D</t>
  </si>
  <si>
    <t xml:space="preserve">ZURICH DINAMICO SERIE D  </t>
  </si>
  <si>
    <t>100% Fondo Mutuo Zurich Dinamico Serie D</t>
  </si>
  <si>
    <t xml:space="preserve">ACCIONES EEUU            </t>
  </si>
  <si>
    <t>100% indice SPDR S&amp;P 500 ETF TRUST</t>
  </si>
  <si>
    <t xml:space="preserve">ACCIONES EMERGENTES      </t>
  </si>
  <si>
    <t xml:space="preserve">100%  indice MSCI EMERGING MARKETS  INDEX FUND
</t>
  </si>
  <si>
    <t xml:space="preserve">ACCIONES ZONA EURO       </t>
  </si>
  <si>
    <t xml:space="preserve">100% indice ISHARES MSCI EMU </t>
  </si>
  <si>
    <t xml:space="preserve">ACCIONES JAPON           </t>
  </si>
  <si>
    <t xml:space="preserve">100% indice ISHARES MSCI JAPAN INDEX </t>
  </si>
  <si>
    <t xml:space="preserve">ACCIONES BRASIL          </t>
  </si>
  <si>
    <t>100% indice ISHARES MSCI BRAZIL</t>
  </si>
  <si>
    <t xml:space="preserve">ACCIONES CHINA           </t>
  </si>
  <si>
    <t>100% indice ISHARES FTSE CHINA 25 IN</t>
  </si>
  <si>
    <t xml:space="preserve">INVERSIONES COMMODITIES  </t>
  </si>
  <si>
    <t>100% de la variacion del mes para el indice DBLCMACL DBIQ Commodities Ext Rtn</t>
  </si>
  <si>
    <t xml:space="preserve">ZURICH REFUGIO UF S/D    </t>
  </si>
  <si>
    <t>100% Fondo Mutuo Zurich AGF Refugio UF Serie D</t>
  </si>
  <si>
    <t xml:space="preserve">ZURICH REFUGIO NOM S/D   </t>
  </si>
  <si>
    <t>100% Fondo Mutuo Zurich AGF Refugio Nominal Serie D</t>
  </si>
  <si>
    <t xml:space="preserve">BALANCEADO SANTANDER A   </t>
  </si>
  <si>
    <t>100% Fondo Mutuo Santander A</t>
  </si>
  <si>
    <t xml:space="preserve">BALANCEADO SANTANDER B   </t>
  </si>
  <si>
    <t>100% Fondo Mutuo Santander B</t>
  </si>
  <si>
    <t xml:space="preserve">BALANCEADO SANTANDER C   </t>
  </si>
  <si>
    <t>100% Fondo Mutuo Santander C</t>
  </si>
  <si>
    <t xml:space="preserve">FONDO SANTANDER D        </t>
  </si>
  <si>
    <t>100% Fondo Mutuo Santander D</t>
  </si>
  <si>
    <t xml:space="preserve">FONDO SANTANDER DINAMICO </t>
  </si>
  <si>
    <t>100% Fondo Mutuo Santander Select Dinámico</t>
  </si>
  <si>
    <t>FDO. SANTANDER EQUILIBRIO</t>
  </si>
  <si>
    <t>100% Fondo Mutuo Santander Select Equilibrio</t>
  </si>
  <si>
    <t xml:space="preserve">FONDO SANTANDER E        </t>
  </si>
  <si>
    <t>100% Fondo Mutuo Santander E</t>
  </si>
  <si>
    <t xml:space="preserve">FDO.SANTANDER RENTA LP $ </t>
  </si>
  <si>
    <t>100% Fondo Mutuo Santander Renta Largo Plazo Pesos</t>
  </si>
  <si>
    <t>FDO.SANTANDER RENTA LP UF</t>
  </si>
  <si>
    <t>100% Fondo Mutuo Santander Renta Largo Plazo UF</t>
  </si>
  <si>
    <t>FDO.SANTANDER ACC.CHILENA</t>
  </si>
  <si>
    <t>100% Fondo Mutuo Santander Acciones Chilenas</t>
  </si>
  <si>
    <t>FDO.SANTANDER SELECT PRUD</t>
  </si>
  <si>
    <t>100% Fondo Mutuo Santander Select Prudente</t>
  </si>
  <si>
    <t>FDO.SANTANDER ACC.GLOB.DE</t>
  </si>
  <si>
    <t>100% Fondo Mutuo Santander Acciones Global Desarrollado</t>
  </si>
  <si>
    <t>FDO.SANTANDER ACC.GLOB.EM</t>
  </si>
  <si>
    <t>100% Fondo Mutuo Santander Acciones Global Emergente</t>
  </si>
  <si>
    <t xml:space="preserve">ZURICH PATRIMONIO S/R    </t>
  </si>
  <si>
    <t>100% Fondo Mutuo Zurich AGF Patrimonio Serie R</t>
  </si>
  <si>
    <t xml:space="preserve">ZURICH USA S/R           </t>
  </si>
  <si>
    <t>100% Fondo Mutuo Zurich AGF USA Serie R</t>
  </si>
  <si>
    <t xml:space="preserve">SANTANDER A S/INVERSION. </t>
  </si>
  <si>
    <t>100% Fondo Mutuo Santander A Serie Inversionista</t>
  </si>
  <si>
    <t xml:space="preserve">SANTANDER E S/INVERSION. </t>
  </si>
  <si>
    <t>100% Fondo Mutuo Santander E Serie Inversionista</t>
  </si>
  <si>
    <t xml:space="preserve">FDO.SANTANDER ACC.USA    </t>
  </si>
  <si>
    <t xml:space="preserve">100% Fondo Santander Acciones  USA   </t>
  </si>
  <si>
    <t xml:space="preserve">SANTANDER ACC.EUROPA     </t>
  </si>
  <si>
    <t xml:space="preserve">100% Fondo Mutuo Santander Acciones Europa </t>
  </si>
  <si>
    <t xml:space="preserve">SANTANDER BONOS NAC      </t>
  </si>
  <si>
    <t xml:space="preserve">100% Fondo Mutuo Santander Bonos Nacionales </t>
  </si>
  <si>
    <t xml:space="preserve">SANTANDER DEUDA LATAM    </t>
  </si>
  <si>
    <t>100% Fondo Mutuo Santander Deuda Latam</t>
  </si>
  <si>
    <t xml:space="preserve">SANTANDER ACC.RET.CON CL </t>
  </si>
  <si>
    <t>100% Fondo Mutuo Santander Acciones Retail &amp; Consumo Chile</t>
  </si>
  <si>
    <t xml:space="preserve">SANTANDER ACC.ASIA EMER  </t>
  </si>
  <si>
    <t>100% Fondo Mutuo Santander Acciones Asia Emergente</t>
  </si>
  <si>
    <t xml:space="preserve">SANTANDER RENTA SELEC CL </t>
  </si>
  <si>
    <t>100% Fondo Mutuo Santander Renta Selecta Chile</t>
  </si>
  <si>
    <t xml:space="preserve">SANTANDER ACC.SELEC CL   </t>
  </si>
  <si>
    <t>100% Fondo Mutuo Santander Acciones Selectas Chile</t>
  </si>
  <si>
    <t xml:space="preserve">SANTANDER ACC.LATAM      </t>
  </si>
  <si>
    <t>100% Fondo Mutuo Santander Acciones Latinoamerica</t>
  </si>
  <si>
    <t xml:space="preserve">SANTANDER RENTA LP UFS/I </t>
  </si>
  <si>
    <t>100% Fondo Mutuo Santander Renta Largo Plazo Pesos Serie Inversionista</t>
  </si>
  <si>
    <t>FONDO ZURICH</t>
  </si>
  <si>
    <t>100% Fondo Zurich</t>
  </si>
  <si>
    <t>Resultado Integral'!A1</t>
  </si>
  <si>
    <t>*Revisar M$1.531 que se agregaron en Reserva de SIS</t>
  </si>
  <si>
    <t>(+)</t>
  </si>
  <si>
    <t>(-)</t>
  </si>
  <si>
    <t>Reclas de inversiones de gastos</t>
  </si>
  <si>
    <t>x</t>
  </si>
  <si>
    <t>c</t>
  </si>
  <si>
    <t>v</t>
  </si>
  <si>
    <t>n</t>
  </si>
  <si>
    <t>m</t>
  </si>
  <si>
    <t xml:space="preserve"> </t>
  </si>
  <si>
    <t>Revisar con katiuzca</t>
  </si>
  <si>
    <t>CONTRATO 1</t>
  </si>
  <si>
    <t>CONTRATO 3</t>
  </si>
  <si>
    <t>CONTRATO 5</t>
  </si>
  <si>
    <t>Invalidos transitorios</t>
  </si>
  <si>
    <t>Invalidos parciales transitorios</t>
  </si>
  <si>
    <t xml:space="preserve">Contrato 3 - Masculino </t>
  </si>
  <si>
    <t>Contrato 3 -  Femenino</t>
  </si>
  <si>
    <t xml:space="preserve">Contrato 5 - Masculino </t>
  </si>
  <si>
    <t>Contrato 5 -  Femenino</t>
  </si>
  <si>
    <t>Dietas del directorio Cta 7730000007</t>
  </si>
  <si>
    <t>margen</t>
  </si>
  <si>
    <t>AL 31 de Marzo de 2018 la compañía presenta un saldo de Util Trib por M$74.045.840</t>
  </si>
  <si>
    <t>El saldo de Créditos disponibles es por M$18.969.661 </t>
  </si>
  <si>
    <t>21.2</t>
  </si>
  <si>
    <t>FECU NO AUDITADA</t>
  </si>
</sst>
</file>

<file path=xl/styles.xml><?xml version="1.0" encoding="utf-8"?>
<styleSheet xmlns="http://schemas.openxmlformats.org/spreadsheetml/2006/main" xmlns:mc="http://schemas.openxmlformats.org/markup-compatibility/2006" xmlns:x14ac="http://schemas.microsoft.com/office/spreadsheetml/2009/9/ac" mc:Ignorable="x14ac">
  <numFmts count="47">
    <numFmt numFmtId="5" formatCode="&quot;$&quot;\ #,##0;\-&quot;$&quot;\ #,##0"/>
    <numFmt numFmtId="41" formatCode="_-* #,##0_-;\-* #,##0_-;_-* &quot;-&quot;_-;_-@_-"/>
    <numFmt numFmtId="44" formatCode="_-&quot;$&quot;\ * #,##0.00_-;\-&quot;$&quot;\ * #,##0.00_-;_-&quot;$&quot;\ * &quot;-&quot;??_-;_-@_-"/>
    <numFmt numFmtId="43" formatCode="_-* #,##0.00_-;\-* #,##0.00_-;_-* &quot;-&quot;??_-;_-@_-"/>
    <numFmt numFmtId="164" formatCode="&quot;$&quot;#,##0_);\(&quot;$&quot;#,##0\)"/>
    <numFmt numFmtId="165" formatCode="_(* #,##0.00_);_(* \(#,##0.00\);_(* &quot;-&quot;??_);_(@_)"/>
    <numFmt numFmtId="166" formatCode="#,##0.0000"/>
    <numFmt numFmtId="167" formatCode="0.00000%"/>
    <numFmt numFmtId="168" formatCode="0.0000%"/>
    <numFmt numFmtId="169" formatCode="0.000000%"/>
    <numFmt numFmtId="170" formatCode="#,##0.00;[Red]\(#,##0\)"/>
    <numFmt numFmtId="171" formatCode="_-* #,##0_-;\-* #,##0_-;_-* &quot;-&quot;??_-;_-@_-"/>
    <numFmt numFmtId="172" formatCode="#,##0_ ;[Red]\-#,##0\ "/>
    <numFmt numFmtId="173" formatCode="_(* #,##0_);_(* \(#,##0\);_(* &quot;-&quot;??_);_(@_)"/>
    <numFmt numFmtId="174" formatCode="_-* #,##0.00\ _€_-;\-* #,##0.00\ _€_-;_-* &quot;-&quot;??\ _€_-;_-@_-"/>
    <numFmt numFmtId="175" formatCode="_-* #,##0.00\ [$€]_-;\-* #,##0.00\ [$€]_-;_-* &quot;-&quot;??\ [$€]_-;_-@_-"/>
    <numFmt numFmtId="176" formatCode="_(* #,##0_);_(* \(#,##0\);_(* &quot;-&quot;_);_(@_)"/>
    <numFmt numFmtId="177" formatCode="#,##0\ ;\(#,##0\)"/>
    <numFmt numFmtId="178" formatCode="#,##0.00_ ;[Red]\-#,##0.00\ "/>
    <numFmt numFmtId="179" formatCode="0.000"/>
    <numFmt numFmtId="180" formatCode="#,##0.000\ ;\(#,##0.000\)"/>
    <numFmt numFmtId="181" formatCode="#,##0.00000\ ;\(#,##0.00000\)"/>
    <numFmt numFmtId="182" formatCode="#,##0.000_ ;[Red]\-#,##0.000\ "/>
    <numFmt numFmtId="183" formatCode="yyyy/mm/dd;@"/>
    <numFmt numFmtId="184" formatCode="#,##0.00\ ;\(#,##0.00\)"/>
    <numFmt numFmtId="185" formatCode="#,##0_ ;\-#,##0\ "/>
    <numFmt numFmtId="186" formatCode="0.000%"/>
    <numFmt numFmtId="187" formatCode="0_)"/>
    <numFmt numFmtId="188" formatCode="0.0\ \ \ \ \ \ \ \ "/>
    <numFmt numFmtId="189" formatCode="0.0\ %;\(0.0\)%"/>
    <numFmt numFmtId="190" formatCode="_ * #,##0.00_ ;_ * \-#,##0.00_ ;_ * &quot;-&quot;??_ ;_ @_ "/>
    <numFmt numFmtId="191" formatCode="_ * #,##0_ ;_ * \-#,##0_ ;_ * &quot;-&quot;_ ;_ @_ "/>
    <numFmt numFmtId="192" formatCode="_-[$€-2]\ * #,##0.00_-;\-[$€-2]\ * #,##0.00_-;_-[$€-2]\ * &quot;-&quot;??_-"/>
    <numFmt numFmtId="193" formatCode="_([$€]* #,##0.00_);_([$€]* \(#,##0.00\);_([$€]* &quot;-&quot;??_);_(@_)"/>
    <numFmt numFmtId="194" formatCode="_ [$€-2]\ * #,##0.00_ ;_ [$€-2]\ * \-#,##0.00_ ;_ [$€-2]\ * &quot;-&quot;??_ "/>
    <numFmt numFmtId="195" formatCode="_-#,##0_-;\-#,##0_-;_-* &quot;-&quot;??_-;_-@_-"/>
    <numFmt numFmtId="196" formatCode="_-* #,##0\ _€_-;\-* #,##0\ _€_-;_-* &quot;-&quot;\ _€_-;_-@_-"/>
    <numFmt numFmtId="197" formatCode="_-* #,##0\ _$_-;\-* #,##0\ _$_-;_-* &quot;-&quot;\ _$_-;_-@_-"/>
    <numFmt numFmtId="198" formatCode="_-* #,##0.00\ _$_-;\-* #,##0.00\ _$_-;_-* &quot;-&quot;??\ _$_-;_-@_-"/>
    <numFmt numFmtId="199" formatCode="#,##0;[Red]\(#,##0\)"/>
    <numFmt numFmtId="200" formatCode="0.00000000"/>
    <numFmt numFmtId="201" formatCode="_-* #,##0.00\ _P_t_s_-;\-* #,##0.00\ _P_t_s_-;_-* &quot;-&quot;??\ _P_t_s_-;_-@_-"/>
    <numFmt numFmtId="202" formatCode="_-* #,##0.00\ _D_M_-;\-* #,##0.00\ _D_M_-;_-* &quot;-&quot;??\ _D_M_-;_-@_-"/>
    <numFmt numFmtId="203" formatCode="_-* #,##0.00\ &quot;$&quot;_-;\-* #,##0.00\ &quot;$&quot;_-;_-* &quot;-&quot;??\ &quot;$&quot;_-;_-@_-"/>
    <numFmt numFmtId="204" formatCode="_-&quot;$&quot;* #,##0.00_-;\-&quot;$&quot;* #,##0.00_-;_-&quot;$&quot;* &quot;-&quot;??_-;_-@_-"/>
    <numFmt numFmtId="205" formatCode="_(&quot;$&quot;* #,##0.00_);_(&quot;$&quot;* \(#,##0.00\);_(&quot;$&quot;* &quot;-&quot;??_);_(@_)"/>
    <numFmt numFmtId="206" formatCode="0.0%"/>
  </numFmts>
  <fonts count="223">
    <font>
      <sz val="11"/>
      <color indexed="8"/>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9"/>
      <color rgb="FF000000"/>
      <name val="Serif"/>
    </font>
    <font>
      <sz val="8"/>
      <color rgb="FF000000"/>
      <name val="SansSerif.plain"/>
    </font>
    <font>
      <sz val="8"/>
      <color rgb="FF000000"/>
      <name val="Tahoma"/>
      <family val="2"/>
    </font>
    <font>
      <sz val="8"/>
      <color rgb="FF0000DC"/>
      <name val="Tahoma"/>
      <family val="2"/>
    </font>
    <font>
      <b/>
      <sz val="8"/>
      <color rgb="FF000000"/>
      <name val="Tahoma"/>
      <family val="2"/>
    </font>
    <font>
      <b/>
      <sz val="11"/>
      <color indexed="8"/>
      <name val="Calibri"/>
      <family val="2"/>
      <scheme val="minor"/>
    </font>
    <font>
      <b/>
      <sz val="8"/>
      <color rgb="FF000000"/>
      <name val="SansSerif.plain"/>
    </font>
    <font>
      <sz val="8"/>
      <color indexed="8"/>
      <name val="SansSerif.plain"/>
    </font>
    <font>
      <sz val="11"/>
      <color indexed="8"/>
      <name val="Calibri"/>
      <family val="2"/>
      <scheme val="minor"/>
    </font>
    <font>
      <b/>
      <sz val="11"/>
      <color theme="1"/>
      <name val="Calibri"/>
      <family val="2"/>
      <scheme val="minor"/>
    </font>
    <font>
      <sz val="8"/>
      <color rgb="FF000000"/>
      <name val="Tahoma"/>
      <family val="2"/>
    </font>
    <font>
      <sz val="8"/>
      <color indexed="8"/>
      <name val="Tahoma"/>
      <family val="2"/>
    </font>
    <font>
      <b/>
      <sz val="8"/>
      <color indexed="8"/>
      <name val="Tahoma"/>
      <family val="2"/>
    </font>
    <font>
      <b/>
      <sz val="8"/>
      <color indexed="8"/>
      <name val="SansSerif.plain"/>
    </font>
    <font>
      <sz val="10"/>
      <color theme="1"/>
      <name val="Arial"/>
      <family val="2"/>
    </font>
    <font>
      <sz val="11"/>
      <name val="Calibri"/>
      <family val="2"/>
      <scheme val="minor"/>
    </font>
    <font>
      <sz val="10"/>
      <color rgb="FF000000"/>
      <name val="Calibri"/>
      <family val="2"/>
      <scheme val="minor"/>
    </font>
    <font>
      <sz val="11"/>
      <color rgb="FF000000"/>
      <name val="Calibri"/>
      <family val="2"/>
      <scheme val="minor"/>
    </font>
    <font>
      <b/>
      <sz val="9"/>
      <color theme="1"/>
      <name val="SansSerif.plain"/>
    </font>
    <font>
      <b/>
      <sz val="8"/>
      <color theme="1"/>
      <name val="Tahoma"/>
      <family val="2"/>
    </font>
    <font>
      <sz val="10"/>
      <color indexed="8"/>
      <name val="Calibri"/>
      <family val="2"/>
      <scheme val="minor"/>
    </font>
    <font>
      <b/>
      <sz val="11"/>
      <color rgb="FF000000"/>
      <name val="Calibri"/>
      <family val="2"/>
      <scheme val="minor"/>
    </font>
    <font>
      <sz val="10"/>
      <color theme="1"/>
      <name val="Calibri"/>
      <family val="2"/>
      <scheme val="minor"/>
    </font>
    <font>
      <b/>
      <sz val="11"/>
      <name val="Calibri"/>
      <family val="2"/>
      <scheme val="minor"/>
    </font>
    <font>
      <sz val="10"/>
      <name val="Calibri"/>
      <family val="2"/>
      <scheme val="minor"/>
    </font>
    <font>
      <i/>
      <sz val="8"/>
      <color indexed="8"/>
      <name val="Tahoma"/>
      <family val="2"/>
    </font>
    <font>
      <i/>
      <sz val="8"/>
      <color indexed="8"/>
      <name val="SansSerif.plain"/>
    </font>
    <font>
      <b/>
      <sz val="9"/>
      <color rgb="FF000000"/>
      <name val="Tahoma"/>
      <family val="2"/>
    </font>
    <font>
      <b/>
      <sz val="10"/>
      <color rgb="FF000000"/>
      <name val="Tahoma"/>
      <family val="2"/>
    </font>
    <font>
      <sz val="9"/>
      <color indexed="8"/>
      <name val="SansSerif.plain"/>
    </font>
    <font>
      <sz val="9"/>
      <name val="Tahoma"/>
      <family val="2"/>
    </font>
    <font>
      <b/>
      <sz val="10"/>
      <name val="Tahoma"/>
      <family val="2"/>
    </font>
    <font>
      <sz val="10"/>
      <name val="Tahoma"/>
      <family val="2"/>
    </font>
    <font>
      <sz val="10"/>
      <color rgb="FF000000"/>
      <name val="Tahoma"/>
      <family val="2"/>
    </font>
    <font>
      <sz val="10"/>
      <color indexed="8"/>
      <name val="Tahoma"/>
      <family val="2"/>
    </font>
    <font>
      <sz val="9"/>
      <color indexed="8"/>
      <name val="Tahoma"/>
      <family val="2"/>
    </font>
    <font>
      <b/>
      <sz val="10"/>
      <color indexed="8"/>
      <name val="Tahoma"/>
      <family val="2"/>
    </font>
    <font>
      <sz val="11"/>
      <color theme="0"/>
      <name val="Calibri"/>
      <family val="2"/>
      <scheme val="minor"/>
    </font>
    <font>
      <sz val="8"/>
      <color theme="0"/>
      <name val="Tahoma"/>
      <family val="2"/>
    </font>
    <font>
      <b/>
      <sz val="10"/>
      <color theme="0"/>
      <name val="Tahoma"/>
      <family val="2"/>
    </font>
    <font>
      <b/>
      <sz val="8"/>
      <color theme="0"/>
      <name val="Tahoma"/>
      <family val="2"/>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8"/>
      <color theme="4" tint="-0.499984740745262"/>
      <name val="Arial Black"/>
      <family val="2"/>
    </font>
    <font>
      <sz val="8"/>
      <name val="Arial"/>
      <family val="2"/>
    </font>
    <font>
      <b/>
      <sz val="8"/>
      <color theme="0"/>
      <name val="Arial"/>
      <family val="2"/>
    </font>
    <font>
      <b/>
      <sz val="10"/>
      <color theme="3" tint="-0.249977111117893"/>
      <name val="Arial"/>
      <family val="2"/>
    </font>
    <font>
      <u/>
      <sz val="10"/>
      <color theme="1"/>
      <name val="Calibri"/>
      <family val="2"/>
      <scheme val="minor"/>
    </font>
    <font>
      <b/>
      <sz val="10"/>
      <color theme="0"/>
      <name val="Calibri"/>
      <family val="2"/>
      <scheme val="minor"/>
    </font>
    <font>
      <b/>
      <sz val="9"/>
      <color theme="0"/>
      <name val="Arial"/>
      <family val="2"/>
    </font>
    <font>
      <b/>
      <sz val="8"/>
      <name val="Arial"/>
      <family val="2"/>
    </font>
    <font>
      <sz val="10"/>
      <color rgb="FF002060"/>
      <name val="Arial"/>
      <family val="2"/>
    </font>
    <font>
      <b/>
      <sz val="8"/>
      <color theme="4" tint="-0.249977111117893"/>
      <name val="Arial"/>
      <family val="2"/>
    </font>
    <font>
      <b/>
      <sz val="10"/>
      <color rgb="FF002060"/>
      <name val="Arial"/>
      <family val="2"/>
    </font>
    <font>
      <b/>
      <sz val="10"/>
      <name val="Calibri"/>
      <family val="2"/>
      <scheme val="minor"/>
    </font>
    <font>
      <b/>
      <sz val="15"/>
      <color theme="3" tint="-0.249977111117893"/>
      <name val="Arial Black"/>
      <family val="2"/>
    </font>
    <font>
      <sz val="11"/>
      <color theme="3" tint="-0.249977111117893"/>
      <name val="Calibri"/>
      <family val="2"/>
      <scheme val="minor"/>
    </font>
    <font>
      <b/>
      <sz val="14"/>
      <color theme="3" tint="-0.249977111117893"/>
      <name val="Arial Black"/>
      <family val="2"/>
    </font>
    <font>
      <u/>
      <sz val="11"/>
      <color theme="10"/>
      <name val="Calibri"/>
      <family val="2"/>
    </font>
    <font>
      <sz val="11"/>
      <color indexed="8"/>
      <name val="Czcionka tekstu podstawowego"/>
      <family val="2"/>
      <charset val="238"/>
    </font>
    <font>
      <sz val="11"/>
      <color indexed="9"/>
      <name val="Czcionka tekstu podstawowego"/>
      <family val="2"/>
      <charset val="238"/>
    </font>
    <font>
      <sz val="11"/>
      <color indexed="8"/>
      <name val="Calibri"/>
      <family val="2"/>
    </font>
    <font>
      <sz val="11"/>
      <color indexed="9"/>
      <name val="Calibri"/>
      <family val="2"/>
    </font>
    <font>
      <b/>
      <sz val="11"/>
      <color indexed="17"/>
      <name val="Calibri"/>
      <family val="2"/>
    </font>
    <font>
      <b/>
      <sz val="11"/>
      <color indexed="9"/>
      <name val="Calibri"/>
      <family val="2"/>
    </font>
    <font>
      <sz val="11"/>
      <color indexed="17"/>
      <name val="Calibri"/>
      <family val="2"/>
    </font>
    <font>
      <sz val="10"/>
      <name val="Arial"/>
      <family val="2"/>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b/>
      <sz val="11"/>
      <color indexed="8"/>
      <name val="Calibri"/>
      <family val="2"/>
    </font>
    <font>
      <b/>
      <sz val="11"/>
      <color indexed="62"/>
      <name val="Calibri"/>
      <family val="2"/>
    </font>
    <font>
      <sz val="11"/>
      <color indexed="48"/>
      <name val="Calibri"/>
      <family val="2"/>
    </font>
    <font>
      <u/>
      <sz val="11"/>
      <color theme="10"/>
      <name val="Calibri"/>
      <family val="2"/>
      <scheme val="minor"/>
    </font>
    <font>
      <sz val="11"/>
      <color indexed="37"/>
      <name val="Calibri"/>
      <family val="2"/>
    </font>
    <font>
      <sz val="11"/>
      <color indexed="52"/>
      <name val="Czcionka tekstu podstawowego"/>
      <family val="2"/>
      <charset val="238"/>
    </font>
    <font>
      <b/>
      <sz val="11"/>
      <color indexed="9"/>
      <name val="Czcionka tekstu podstawowego"/>
      <family val="2"/>
      <charset val="238"/>
    </font>
    <font>
      <sz val="12"/>
      <color theme="1"/>
      <name val="Courier New"/>
      <family val="2"/>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sz val="8"/>
      <name val="ＭＳ Ｐゴシック"/>
      <family val="3"/>
      <charset val="128"/>
    </font>
    <font>
      <b/>
      <sz val="11"/>
      <color indexed="52"/>
      <name val="Czcionka tekstu podstawowego"/>
      <family val="2"/>
      <charset val="238"/>
    </font>
    <font>
      <b/>
      <sz val="11"/>
      <color indexed="63"/>
      <name val="Calibri"/>
      <family val="2"/>
    </font>
    <font>
      <sz val="8"/>
      <color indexed="62"/>
      <name val="Arial"/>
      <family val="2"/>
    </font>
    <font>
      <b/>
      <sz val="8"/>
      <color indexed="8"/>
      <name val="Arial"/>
      <family val="2"/>
    </font>
    <font>
      <sz val="8"/>
      <color indexed="8"/>
      <name val="Arial"/>
      <family val="2"/>
    </font>
    <font>
      <sz val="19"/>
      <name val="Arial"/>
      <family val="2"/>
    </font>
    <font>
      <sz val="8"/>
      <color indexed="14"/>
      <name val="Arial"/>
      <family val="2"/>
    </font>
    <font>
      <b/>
      <sz val="18"/>
      <color indexed="62"/>
      <name val="Cambria"/>
      <family val="2"/>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sz val="11"/>
      <color indexed="14"/>
      <name val="Calibri"/>
      <family val="2"/>
    </font>
    <font>
      <b/>
      <sz val="15"/>
      <color indexed="62"/>
      <name val="Calibri"/>
      <family val="2"/>
    </font>
    <font>
      <b/>
      <sz val="13"/>
      <color indexed="62"/>
      <name val="Calibri"/>
      <family val="2"/>
    </font>
    <font>
      <b/>
      <sz val="18"/>
      <color indexed="56"/>
      <name val="Cambria"/>
      <family val="2"/>
      <charset val="238"/>
    </font>
    <font>
      <sz val="11"/>
      <color indexed="20"/>
      <name val="Czcionka tekstu podstawowego"/>
      <family val="2"/>
      <charset val="238"/>
    </font>
    <font>
      <b/>
      <sz val="11"/>
      <color theme="4" tint="-0.499984740745262"/>
      <name val="Calibri"/>
      <family val="2"/>
      <scheme val="minor"/>
    </font>
    <font>
      <b/>
      <sz val="10"/>
      <color theme="4" tint="-0.499984740745262"/>
      <name val="Arial Black"/>
      <family val="2"/>
    </font>
    <font>
      <b/>
      <sz val="10"/>
      <color indexed="56"/>
      <name val="Arial"/>
      <family val="2"/>
    </font>
    <font>
      <sz val="10"/>
      <color indexed="56"/>
      <name val="Arial"/>
      <family val="2"/>
    </font>
    <font>
      <b/>
      <sz val="10"/>
      <name val="Arial"/>
      <family val="2"/>
    </font>
    <font>
      <sz val="9"/>
      <color indexed="81"/>
      <name val="Tahoma"/>
      <family val="2"/>
    </font>
    <font>
      <b/>
      <sz val="9"/>
      <color indexed="81"/>
      <name val="Tahoma"/>
      <family val="2"/>
    </font>
    <font>
      <sz val="12"/>
      <color indexed="56"/>
      <name val="Arial Black"/>
      <family val="2"/>
    </font>
    <font>
      <b/>
      <sz val="10"/>
      <color rgb="FFFF0000"/>
      <name val="Arial"/>
      <family val="2"/>
    </font>
    <font>
      <b/>
      <sz val="10"/>
      <color theme="0"/>
      <name val="Arial"/>
      <family val="2"/>
    </font>
    <font>
      <sz val="10"/>
      <color theme="0"/>
      <name val="Arial"/>
      <family val="2"/>
    </font>
    <font>
      <b/>
      <sz val="9"/>
      <color rgb="FFFF0000"/>
      <name val="Calibri"/>
      <family val="2"/>
      <scheme val="minor"/>
    </font>
    <font>
      <sz val="11"/>
      <color rgb="FF002060"/>
      <name val="Calibri"/>
      <family val="2"/>
      <scheme val="minor"/>
    </font>
    <font>
      <sz val="12"/>
      <color indexed="56"/>
      <name val="Arial"/>
      <family val="2"/>
    </font>
    <font>
      <b/>
      <sz val="12"/>
      <color rgb="FFFF0000"/>
      <name val="Arial"/>
      <family val="2"/>
    </font>
    <font>
      <b/>
      <sz val="12"/>
      <color rgb="FF002060"/>
      <name val="Arial"/>
      <family val="2"/>
    </font>
    <font>
      <b/>
      <sz val="12"/>
      <color theme="0"/>
      <name val="Arial"/>
      <family val="2"/>
    </font>
    <font>
      <sz val="12"/>
      <color theme="0"/>
      <name val="Arial"/>
      <family val="2"/>
    </font>
    <font>
      <b/>
      <sz val="12"/>
      <color indexed="56"/>
      <name val="Arial"/>
      <family val="2"/>
    </font>
    <font>
      <b/>
      <sz val="12"/>
      <color theme="1"/>
      <name val="Arial"/>
      <family val="2"/>
    </font>
    <font>
      <b/>
      <sz val="12"/>
      <name val="Arial"/>
      <family val="2"/>
    </font>
    <font>
      <sz val="12"/>
      <color rgb="FF002060"/>
      <name val="Arial"/>
      <family val="2"/>
    </font>
    <font>
      <u/>
      <sz val="12"/>
      <color theme="10"/>
      <name val="Calibri"/>
      <family val="2"/>
    </font>
    <font>
      <sz val="12"/>
      <color theme="1"/>
      <name val="Arial"/>
      <family val="2"/>
    </font>
    <font>
      <sz val="12"/>
      <name val="Arial"/>
      <family val="2"/>
    </font>
    <font>
      <b/>
      <sz val="12"/>
      <color theme="1"/>
      <name val="Calibri"/>
      <family val="2"/>
      <scheme val="minor"/>
    </font>
    <font>
      <sz val="12"/>
      <color rgb="FFFF0000"/>
      <name val="Arial"/>
      <family val="2"/>
    </font>
    <font>
      <b/>
      <sz val="8"/>
      <color theme="1"/>
      <name val="Arial"/>
      <family val="2"/>
    </font>
    <font>
      <b/>
      <sz val="8"/>
      <color rgb="FFFF0000"/>
      <name val="Tahoma"/>
      <family val="2"/>
    </font>
    <font>
      <sz val="9"/>
      <color indexed="8"/>
      <name val="Calibri"/>
      <family val="2"/>
      <scheme val="minor"/>
    </font>
    <font>
      <i/>
      <sz val="11"/>
      <color indexed="8"/>
      <name val="Calibri"/>
      <family val="2"/>
      <scheme val="minor"/>
    </font>
    <font>
      <b/>
      <sz val="9"/>
      <color indexed="8"/>
      <name val="Calibri"/>
      <family val="2"/>
      <scheme val="minor"/>
    </font>
    <font>
      <b/>
      <i/>
      <sz val="11"/>
      <color indexed="8"/>
      <name val="Calibri"/>
      <family val="2"/>
      <scheme val="minor"/>
    </font>
    <font>
      <sz val="9"/>
      <name val="Calibri"/>
      <family val="2"/>
    </font>
    <font>
      <sz val="12"/>
      <color indexed="8"/>
      <name val="Courier New"/>
      <family val="2"/>
    </font>
    <font>
      <sz val="10"/>
      <color indexed="8"/>
      <name val="MS Sans Serif"/>
      <family val="2"/>
    </font>
    <font>
      <sz val="11"/>
      <color theme="1"/>
      <name val="Calibri"/>
      <family val="2"/>
    </font>
    <font>
      <sz val="11"/>
      <name val="Frutiger LT 55 Roman"/>
    </font>
    <font>
      <sz val="10"/>
      <color indexed="8"/>
      <name val="Arial"/>
      <family val="2"/>
    </font>
    <font>
      <sz val="10"/>
      <color indexed="9"/>
      <name val="Arial"/>
      <family val="2"/>
    </font>
    <font>
      <i/>
      <sz val="10"/>
      <color indexed="13"/>
      <name val="Arial"/>
      <family val="2"/>
    </font>
    <font>
      <sz val="10"/>
      <color indexed="13"/>
      <name val="Arial"/>
      <family val="2"/>
    </font>
    <font>
      <b/>
      <i/>
      <sz val="9"/>
      <name val="Arial"/>
      <family val="2"/>
    </font>
    <font>
      <b/>
      <sz val="9"/>
      <name val="Arial"/>
      <family val="2"/>
    </font>
    <font>
      <i/>
      <sz val="10"/>
      <name val="Arial"/>
      <family val="2"/>
    </font>
    <font>
      <sz val="12"/>
      <name val="MS Sans Serif"/>
      <family val="2"/>
    </font>
    <font>
      <sz val="11"/>
      <color indexed="10"/>
      <name val="Calibri"/>
      <family val="2"/>
    </font>
    <font>
      <sz val="9"/>
      <name val="Arial"/>
      <family val="2"/>
    </font>
    <font>
      <sz val="11"/>
      <color indexed="16"/>
      <name val="Calibri"/>
      <family val="2"/>
    </font>
    <font>
      <sz val="11"/>
      <color indexed="20"/>
      <name val="Calibri"/>
      <family val="2"/>
    </font>
    <font>
      <b/>
      <sz val="11"/>
      <color indexed="53"/>
      <name val="Calibri"/>
      <family val="2"/>
    </font>
    <font>
      <sz val="10"/>
      <name val="AGaramond"/>
      <family val="1"/>
    </font>
    <font>
      <b/>
      <sz val="11"/>
      <color indexed="52"/>
      <name val="Calibri"/>
      <family val="2"/>
    </font>
    <font>
      <b/>
      <sz val="11"/>
      <color indexed="10"/>
      <name val="Calibri"/>
      <family val="2"/>
    </font>
    <font>
      <sz val="9"/>
      <color indexed="10"/>
      <name val="Geneva"/>
      <family val="2"/>
    </font>
    <font>
      <sz val="11"/>
      <color indexed="52"/>
      <name val="Calibri"/>
      <family val="2"/>
    </font>
    <font>
      <sz val="11"/>
      <color indexed="62"/>
      <name val="Calibri"/>
      <family val="2"/>
    </font>
    <font>
      <b/>
      <sz val="11"/>
      <color indexed="56"/>
      <name val="Calibri"/>
      <family val="2"/>
    </font>
    <font>
      <b/>
      <sz val="11"/>
      <color indexed="23"/>
      <name val="Calibri"/>
      <family val="2"/>
    </font>
    <font>
      <i/>
      <sz val="11"/>
      <color indexed="23"/>
      <name val="Calibri"/>
      <family val="2"/>
    </font>
    <font>
      <i/>
      <sz val="10"/>
      <color indexed="23"/>
      <name val="Arial"/>
      <family val="2"/>
    </font>
    <font>
      <vertAlign val="superscript"/>
      <sz val="8"/>
      <color indexed="8"/>
      <name val="Akzidenz Grotesk Light"/>
      <family val="1"/>
    </font>
    <font>
      <sz val="11"/>
      <name val="Arial"/>
      <family val="2"/>
    </font>
    <font>
      <b/>
      <sz val="12"/>
      <name val="Frutiger 55 Roman"/>
      <family val="2"/>
    </font>
    <font>
      <b/>
      <sz val="11"/>
      <name val="AGaramond"/>
      <family val="1"/>
    </font>
    <font>
      <u/>
      <sz val="11"/>
      <color rgb="FF0000FF"/>
      <name val="Calibri"/>
      <family val="2"/>
      <scheme val="minor"/>
    </font>
    <font>
      <u/>
      <sz val="11"/>
      <color indexed="12"/>
      <name val="Calibri"/>
      <family val="2"/>
    </font>
    <font>
      <sz val="8"/>
      <name val="Times New Roman"/>
      <family val="1"/>
    </font>
    <font>
      <sz val="11"/>
      <color indexed="53"/>
      <name val="Calibri"/>
      <family val="2"/>
    </font>
    <font>
      <sz val="10"/>
      <name val="Century Gothic"/>
      <family val="2"/>
    </font>
    <font>
      <sz val="10"/>
      <color theme="1"/>
      <name val="Times New Roman"/>
      <family val="2"/>
    </font>
    <font>
      <sz val="11"/>
      <color indexed="60"/>
      <name val="Calibri"/>
      <family val="2"/>
    </font>
    <font>
      <sz val="11"/>
      <color indexed="19"/>
      <name val="Calibri"/>
      <family val="2"/>
    </font>
    <font>
      <sz val="10"/>
      <name val="Courier"/>
      <family val="3"/>
    </font>
    <font>
      <b/>
      <i/>
      <sz val="16"/>
      <name val="Helv"/>
      <family val="2"/>
    </font>
    <font>
      <b/>
      <i/>
      <sz val="16"/>
      <name val="Helv"/>
    </font>
    <font>
      <sz val="8"/>
      <color theme="1"/>
      <name val="Tahoma"/>
      <family val="2"/>
    </font>
    <font>
      <sz val="11"/>
      <name val="Frutiger 45 Light"/>
      <family val="2"/>
    </font>
    <font>
      <sz val="10"/>
      <name val="MS Sans Serif"/>
      <family val="2"/>
    </font>
    <font>
      <b/>
      <sz val="9"/>
      <color indexed="12"/>
      <name val="Arial"/>
      <family val="2"/>
    </font>
    <font>
      <sz val="11"/>
      <color indexed="8"/>
      <name val="Arial"/>
      <family val="2"/>
    </font>
    <font>
      <b/>
      <sz val="10"/>
      <color indexed="8"/>
      <name val="Arial"/>
      <family val="2"/>
    </font>
    <font>
      <b/>
      <sz val="12"/>
      <color indexed="8"/>
      <name val="Arial"/>
      <family val="2"/>
    </font>
    <font>
      <sz val="10"/>
      <color indexed="39"/>
      <name val="Arial"/>
      <family val="2"/>
    </font>
    <font>
      <b/>
      <sz val="10"/>
      <color indexed="39"/>
      <name val="Arial"/>
      <family val="2"/>
    </font>
    <font>
      <b/>
      <i/>
      <sz val="12"/>
      <color indexed="8"/>
      <name val="Arial"/>
      <family val="2"/>
    </font>
    <font>
      <sz val="12"/>
      <color indexed="8"/>
      <name val="Arial"/>
      <family val="2"/>
    </font>
    <font>
      <i/>
      <sz val="12"/>
      <color indexed="8"/>
      <name val="Arial"/>
      <family val="2"/>
    </font>
    <font>
      <b/>
      <sz val="16"/>
      <color indexed="23"/>
      <name val="Arial"/>
      <family val="2"/>
    </font>
    <font>
      <sz val="19"/>
      <color indexed="48"/>
      <name val="Arial"/>
      <family val="2"/>
    </font>
    <font>
      <sz val="10"/>
      <color indexed="10"/>
      <name val="Arial"/>
      <family val="2"/>
    </font>
    <font>
      <sz val="12"/>
      <color indexed="14"/>
      <name val="Arial"/>
      <family val="2"/>
    </font>
    <font>
      <b/>
      <sz val="18"/>
      <color indexed="56"/>
      <name val="Cambria"/>
      <family val="2"/>
    </font>
    <font>
      <b/>
      <sz val="15"/>
      <color indexed="56"/>
      <name val="Calibri"/>
      <family val="2"/>
    </font>
    <font>
      <b/>
      <sz val="13"/>
      <color indexed="56"/>
      <name val="Calibri"/>
      <family val="2"/>
    </font>
    <font>
      <b/>
      <sz val="15"/>
      <color indexed="23"/>
      <name val="Calibri"/>
      <family val="2"/>
    </font>
    <font>
      <b/>
      <sz val="18"/>
      <color indexed="23"/>
      <name val="Cambria"/>
      <family val="2"/>
    </font>
    <font>
      <b/>
      <sz val="13"/>
      <color indexed="23"/>
      <name val="Calibri"/>
      <family val="2"/>
    </font>
    <font>
      <b/>
      <sz val="16"/>
      <color indexed="12"/>
      <name val="Times New Roman"/>
      <family val="1"/>
    </font>
    <font>
      <sz val="8"/>
      <color indexed="8"/>
      <name val="Calibri"/>
      <family val="2"/>
      <scheme val="minor"/>
    </font>
    <font>
      <b/>
      <sz val="8"/>
      <color indexed="8"/>
      <name val="Calibri"/>
      <family val="2"/>
      <scheme val="minor"/>
    </font>
    <font>
      <b/>
      <sz val="8"/>
      <name val="Tahoma"/>
      <family val="2"/>
    </font>
  </fonts>
  <fills count="151">
    <fill>
      <patternFill patternType="none"/>
    </fill>
    <fill>
      <patternFill patternType="gray125"/>
    </fill>
    <fill>
      <patternFill patternType="solid">
        <fgColor theme="0"/>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249977111117893"/>
        <bgColor indexed="64"/>
      </patternFill>
    </fill>
    <fill>
      <patternFill patternType="solid">
        <fgColor indexed="49"/>
      </patternFill>
    </fill>
    <fill>
      <patternFill patternType="solid">
        <fgColor theme="9" tint="0.39997558519241921"/>
        <bgColor indexed="64"/>
      </patternFill>
    </fill>
    <fill>
      <patternFill patternType="solid">
        <fgColor theme="6" tint="0.39997558519241921"/>
        <bgColor indexed="64"/>
      </patternFill>
    </fill>
    <fill>
      <patternFill patternType="solid">
        <fgColor theme="3" tint="-0.249977111117893"/>
        <bgColor indexed="64"/>
      </patternFill>
    </fill>
    <fill>
      <patternFill patternType="solid">
        <fgColor rgb="FFFFC000"/>
        <bgColor indexed="64"/>
      </patternFill>
    </fill>
    <fill>
      <patternFill patternType="solid">
        <fgColor rgb="FF00FF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35"/>
        <bgColor indexed="35"/>
      </patternFill>
    </fill>
    <fill>
      <patternFill patternType="solid">
        <fgColor indexed="18"/>
        <bgColor indexed="18"/>
      </patternFill>
    </fill>
    <fill>
      <patternFill patternType="solid">
        <fgColor indexed="22"/>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8"/>
        <bgColor indexed="48"/>
      </patternFill>
    </fill>
    <fill>
      <patternFill patternType="solid">
        <fgColor indexed="25"/>
        <bgColor indexed="25"/>
      </patternFill>
    </fill>
    <fill>
      <patternFill patternType="solid">
        <fgColor indexed="57"/>
        <bgColor indexed="57"/>
      </patternFill>
    </fill>
    <fill>
      <patternFill patternType="solid">
        <fgColor indexed="53"/>
        <bgColor indexed="53"/>
      </patternFill>
    </fill>
    <fill>
      <patternFill patternType="solid">
        <fgColor indexed="55"/>
      </patternFill>
    </fill>
    <fill>
      <patternFill patternType="solid">
        <fgColor indexed="43"/>
      </patternFill>
    </fill>
    <fill>
      <patternFill patternType="solid">
        <fgColor indexed="60"/>
      </patternFill>
    </fill>
    <fill>
      <patternFill patternType="solid">
        <fgColor indexed="43"/>
        <bgColor indexed="64"/>
      </patternFill>
    </fill>
    <fill>
      <patternFill patternType="solid">
        <fgColor indexed="12"/>
      </patternFill>
    </fill>
    <fill>
      <patternFill patternType="solid">
        <fgColor indexed="50"/>
      </patternFill>
    </fill>
    <fill>
      <patternFill patternType="lightUp">
        <fgColor indexed="48"/>
        <bgColor indexed="41"/>
      </patternFill>
    </fill>
    <fill>
      <patternFill patternType="solid">
        <fgColor indexed="54"/>
      </patternFill>
    </fill>
    <fill>
      <patternFill patternType="solid">
        <fgColor indexed="40"/>
      </patternFill>
    </fill>
    <fill>
      <patternFill patternType="solid">
        <fgColor indexed="41"/>
      </patternFill>
    </fill>
    <fill>
      <patternFill patternType="solid">
        <fgColor indexed="23"/>
      </patternFill>
    </fill>
    <fill>
      <patternFill patternType="solid">
        <fgColor indexed="9"/>
      </patternFill>
    </fill>
    <fill>
      <patternFill patternType="solid">
        <fgColor indexed="26"/>
      </patternFill>
    </fill>
    <fill>
      <patternFill patternType="solid">
        <fgColor indexed="26"/>
        <bgColor indexed="64"/>
      </patternFill>
    </fill>
    <fill>
      <patternFill patternType="solid">
        <fgColor indexed="9"/>
        <bgColor indexed="64"/>
      </patternFill>
    </fill>
    <fill>
      <patternFill patternType="solid">
        <fgColor indexed="15"/>
      </patternFill>
    </fill>
    <fill>
      <patternFill patternType="solid">
        <fgColor indexed="20"/>
      </patternFill>
    </fill>
    <fill>
      <patternFill patternType="solid">
        <fgColor indexed="65"/>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rgb="FF92D050"/>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rgb="FF00B0F0"/>
        <bgColor indexed="64"/>
      </patternFill>
    </fill>
    <fill>
      <patternFill patternType="solid">
        <fgColor rgb="FFCCFFFF"/>
        <bgColor indexed="64"/>
      </patternFill>
    </fill>
    <fill>
      <patternFill patternType="solid">
        <fgColor rgb="FFFFFFFF"/>
      </patternFill>
    </fill>
    <fill>
      <patternFill patternType="solid">
        <fgColor rgb="FF3FCDFF"/>
        <bgColor indexed="64"/>
      </patternFill>
    </fill>
    <fill>
      <patternFill patternType="solid">
        <fgColor theme="2"/>
        <bgColor indexed="64"/>
      </patternFill>
    </fill>
    <fill>
      <patternFill patternType="solid">
        <fgColor theme="0" tint="-4.9989318521683403E-2"/>
        <bgColor indexed="64"/>
      </patternFill>
    </fill>
    <fill>
      <patternFill patternType="solid">
        <fgColor rgb="FF66FFFF"/>
        <bgColor indexed="64"/>
      </patternFill>
    </fill>
    <fill>
      <patternFill patternType="solid">
        <fgColor indexed="11"/>
        <bgColor indexed="64"/>
      </patternFill>
    </fill>
    <fill>
      <patternFill patternType="solid">
        <fgColor indexed="50"/>
        <bgColor indexed="64"/>
      </patternFill>
    </fill>
    <fill>
      <patternFill patternType="solid">
        <fgColor indexed="27"/>
        <bgColor indexed="64"/>
      </patternFill>
    </fill>
    <fill>
      <patternFill patternType="solid">
        <fgColor indexed="47"/>
        <bgColor indexed="64"/>
      </patternFill>
    </fill>
    <fill>
      <patternFill patternType="solid">
        <fgColor indexed="40"/>
        <bgColor indexed="64"/>
      </patternFill>
    </fill>
    <fill>
      <patternFill patternType="solid">
        <fgColor indexed="44"/>
        <bgColor indexed="64"/>
      </patternFill>
    </fill>
    <fill>
      <patternFill patternType="solid">
        <fgColor indexed="51"/>
        <bgColor indexed="64"/>
      </patternFill>
    </fill>
    <fill>
      <patternFill patternType="solid">
        <fgColor indexed="45"/>
        <bgColor indexed="64"/>
      </patternFill>
    </fill>
    <fill>
      <patternFill patternType="solid">
        <fgColor indexed="31"/>
        <bgColor indexed="64"/>
      </patternFill>
    </fill>
    <fill>
      <patternFill patternType="solid">
        <fgColor indexed="42"/>
        <bgColor indexed="64"/>
      </patternFill>
    </fill>
    <fill>
      <patternFill patternType="solid">
        <fgColor indexed="22"/>
        <bgColor indexed="64"/>
      </patternFill>
    </fill>
    <fill>
      <patternFill patternType="solid">
        <fgColor indexed="55"/>
        <bgColor indexed="64"/>
      </patternFill>
    </fill>
    <fill>
      <patternFill patternType="solid">
        <fgColor indexed="54"/>
        <bgColor indexed="64"/>
      </patternFill>
    </fill>
    <fill>
      <patternFill patternType="solid">
        <fgColor indexed="48"/>
        <bgColor indexed="64"/>
      </patternFill>
    </fill>
    <fill>
      <patternFill patternType="solid">
        <fgColor indexed="24"/>
      </patternFill>
    </fill>
    <fill>
      <patternFill patternType="solid">
        <fgColor indexed="37"/>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solid">
        <fgColor indexed="38"/>
      </patternFill>
    </fill>
    <fill>
      <patternFill patternType="solid">
        <fgColor indexed="56"/>
      </patternFill>
    </fill>
    <fill>
      <patternFill patternType="solid">
        <fgColor indexed="42"/>
        <bgColor indexed="42"/>
      </patternFill>
    </fill>
    <fill>
      <patternFill patternType="solid">
        <fgColor indexed="10"/>
        <bgColor indexed="64"/>
      </patternFill>
    </fill>
    <fill>
      <patternFill patternType="solid">
        <fgColor indexed="29"/>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21"/>
        <bgColor indexed="64"/>
      </patternFill>
    </fill>
    <fill>
      <patternFill patternType="lightUp">
        <fgColor indexed="22"/>
        <bgColor indexed="35"/>
      </patternFill>
    </fill>
    <fill>
      <patternFill patternType="lightUp">
        <fgColor indexed="48"/>
        <bgColor indexed="44"/>
      </patternFill>
    </fill>
    <fill>
      <patternFill patternType="solid">
        <fgColor indexed="35"/>
        <bgColor indexed="64"/>
      </patternFill>
    </fill>
    <fill>
      <patternFill patternType="solid">
        <fgColor indexed="23"/>
        <bgColor indexed="64"/>
      </patternFill>
    </fill>
    <fill>
      <patternFill patternType="solid">
        <fgColor indexed="41"/>
        <bgColor indexed="64"/>
      </patternFill>
    </fill>
  </fills>
  <borders count="147">
    <border>
      <left/>
      <right/>
      <top/>
      <bottom/>
      <diagonal/>
    </border>
    <border>
      <left/>
      <right/>
      <top/>
      <bottom/>
      <diagonal/>
    </border>
    <border>
      <left/>
      <right/>
      <top/>
      <bottom style="dotted">
        <color auto="1"/>
      </bottom>
      <diagonal/>
    </border>
    <border>
      <left/>
      <right/>
      <top style="dotted">
        <color auto="1"/>
      </top>
      <bottom style="dotted">
        <color auto="1"/>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style="dotted">
        <color indexed="64"/>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style="dotted">
        <color indexed="64"/>
      </left>
      <right/>
      <top style="medium">
        <color indexed="64"/>
      </top>
      <bottom style="dotted">
        <color indexed="64"/>
      </bottom>
      <diagonal/>
    </border>
    <border>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right style="dotted">
        <color indexed="64"/>
      </right>
      <top/>
      <bottom/>
      <diagonal/>
    </border>
    <border>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top style="dotted">
        <color indexed="64"/>
      </top>
      <bottom style="medium">
        <color indexed="64"/>
      </bottom>
      <diagonal/>
    </border>
    <border>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top/>
      <bottom style="medium">
        <color indexed="64"/>
      </bottom>
      <diagonal/>
    </border>
    <border>
      <left/>
      <right style="dotted">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right/>
      <top style="dotted">
        <color indexed="64"/>
      </top>
      <bottom style="medium">
        <color indexed="64"/>
      </bottom>
      <diagonal/>
    </border>
    <border>
      <left/>
      <right style="dotted">
        <color indexed="64"/>
      </right>
      <top style="medium">
        <color indexed="64"/>
      </top>
      <bottom/>
      <diagonal/>
    </border>
    <border>
      <left style="dotted">
        <color indexed="64"/>
      </left>
      <right style="dotted">
        <color indexed="64"/>
      </right>
      <top style="medium">
        <color indexed="64"/>
      </top>
      <bottom/>
      <diagonal/>
    </border>
    <border>
      <left style="dotted">
        <color indexed="64"/>
      </left>
      <right/>
      <top style="medium">
        <color indexed="64"/>
      </top>
      <bottom/>
      <diagonal/>
    </border>
    <border>
      <left/>
      <right style="dotted">
        <color indexed="64"/>
      </right>
      <top style="dotted">
        <color indexed="64"/>
      </top>
      <bottom/>
      <diagonal/>
    </border>
    <border>
      <left style="dotted">
        <color indexed="64"/>
      </left>
      <right style="dotted">
        <color indexed="64"/>
      </right>
      <top style="dotted">
        <color indexed="64"/>
      </top>
      <bottom/>
      <diagonal/>
    </border>
    <border>
      <left style="dotted">
        <color indexed="64"/>
      </left>
      <right/>
      <top style="dotted">
        <color indexed="64"/>
      </top>
      <bottom/>
      <diagonal/>
    </border>
    <border>
      <left style="dotted">
        <color indexed="64"/>
      </left>
      <right style="dotted">
        <color indexed="64"/>
      </right>
      <top style="medium">
        <color indexed="64"/>
      </top>
      <bottom style="medium">
        <color indexed="64"/>
      </bottom>
      <diagonal/>
    </border>
    <border>
      <left style="dotted">
        <color indexed="64"/>
      </left>
      <right/>
      <top style="medium">
        <color indexed="64"/>
      </top>
      <bottom style="medium">
        <color indexed="64"/>
      </bottom>
      <diagonal/>
    </border>
    <border>
      <left/>
      <right style="dotted">
        <color indexed="64"/>
      </right>
      <top/>
      <bottom style="dotted">
        <color indexed="64"/>
      </bottom>
      <diagonal/>
    </border>
    <border>
      <left style="dotted">
        <color indexed="64"/>
      </left>
      <right style="dotted">
        <color indexed="64"/>
      </right>
      <top/>
      <bottom style="dotted">
        <color indexed="64"/>
      </bottom>
      <diagonal/>
    </border>
    <border>
      <left style="dotted">
        <color indexed="64"/>
      </left>
      <right/>
      <top/>
      <bottom style="dotted">
        <color indexed="64"/>
      </bottom>
      <diagonal/>
    </border>
    <border>
      <left style="medium">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right/>
      <top style="dotted">
        <color auto="1"/>
      </top>
      <bottom/>
      <diagonal/>
    </border>
    <border>
      <left/>
      <right/>
      <top style="medium">
        <color indexed="64"/>
      </top>
      <bottom style="dotted">
        <color indexed="64"/>
      </bottom>
      <diagonal/>
    </border>
    <border>
      <left style="dotted">
        <color indexed="64"/>
      </left>
      <right style="dotted">
        <color indexed="64"/>
      </right>
      <top/>
      <bottom/>
      <diagonal/>
    </border>
    <border>
      <left style="dotted">
        <color indexed="64"/>
      </left>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dotted">
        <color indexed="64"/>
      </right>
      <top/>
      <bottom/>
      <diagonal/>
    </border>
    <border>
      <left style="dotted">
        <color indexed="64"/>
      </left>
      <right style="medium">
        <color indexed="64"/>
      </right>
      <top/>
      <bottom/>
      <diagonal/>
    </border>
    <border>
      <left style="medium">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style="medium">
        <color indexed="64"/>
      </left>
      <right style="dotted">
        <color indexed="64"/>
      </right>
      <top style="medium">
        <color indexed="64"/>
      </top>
      <bottom/>
      <diagonal/>
    </border>
    <border>
      <left style="dotted">
        <color indexed="64"/>
      </left>
      <right style="medium">
        <color indexed="64"/>
      </right>
      <top style="medium">
        <color indexed="64"/>
      </top>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medium">
        <color indexed="64"/>
      </left>
      <right/>
      <top style="dotted">
        <color indexed="64"/>
      </top>
      <bottom style="medium">
        <color indexed="64"/>
      </bottom>
      <diagonal/>
    </border>
    <border>
      <left style="dotted">
        <color indexed="64"/>
      </left>
      <right style="medium">
        <color indexed="64"/>
      </right>
      <top style="medium">
        <color indexed="64"/>
      </top>
      <bottom style="medium">
        <color indexed="64"/>
      </bottom>
      <diagonal/>
    </border>
    <border>
      <left style="medium">
        <color indexed="64"/>
      </left>
      <right style="dotted">
        <color indexed="64"/>
      </right>
      <top style="medium">
        <color indexed="64"/>
      </top>
      <bottom style="medium">
        <color indexed="64"/>
      </bottom>
      <diagonal/>
    </border>
    <border>
      <left style="medium">
        <color indexed="64"/>
      </left>
      <right style="medium">
        <color indexed="64"/>
      </right>
      <top style="medium">
        <color indexed="64"/>
      </top>
      <bottom style="dotted">
        <color indexed="64"/>
      </bottom>
      <diagonal/>
    </border>
    <border>
      <left style="medium">
        <color indexed="64"/>
      </left>
      <right style="medium">
        <color indexed="64"/>
      </right>
      <top style="dotted">
        <color indexed="64"/>
      </top>
      <bottom style="medium">
        <color indexed="64"/>
      </bottom>
      <diagonal/>
    </border>
    <border>
      <left style="medium">
        <color indexed="64"/>
      </left>
      <right/>
      <top style="medium">
        <color indexed="64"/>
      </top>
      <bottom style="dotted">
        <color indexed="64"/>
      </bottom>
      <diagonal/>
    </border>
    <border>
      <left style="medium">
        <color indexed="64"/>
      </left>
      <right style="medium">
        <color indexed="64"/>
      </right>
      <top style="dotted">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style="dotted">
        <color indexed="64"/>
      </top>
      <bottom style="dotted">
        <color indexed="64"/>
      </bottom>
      <diagonal/>
    </border>
    <border>
      <left/>
      <right style="medium">
        <color indexed="64"/>
      </right>
      <top style="dotted">
        <color indexed="64"/>
      </top>
      <bottom style="medium">
        <color indexed="64"/>
      </bottom>
      <diagonal/>
    </border>
    <border>
      <left style="medium">
        <color indexed="64"/>
      </left>
      <right style="medium">
        <color indexed="64"/>
      </right>
      <top/>
      <bottom style="dotted">
        <color indexed="64"/>
      </bottom>
      <diagonal/>
    </border>
    <border>
      <left/>
      <right style="medium">
        <color indexed="64"/>
      </right>
      <top/>
      <bottom style="dotted">
        <color indexed="64"/>
      </bottom>
      <diagonal/>
    </border>
    <border>
      <left/>
      <right/>
      <top style="thin">
        <color indexed="64"/>
      </top>
      <bottom style="medium">
        <color indexed="64"/>
      </bottom>
      <diagonal/>
    </border>
    <border>
      <left style="dotted">
        <color indexed="64"/>
      </left>
      <right style="dotted">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18"/>
      </left>
      <right style="thin">
        <color indexed="18"/>
      </right>
      <top style="thin">
        <color indexed="18"/>
      </top>
      <bottom style="thin">
        <color indexed="18"/>
      </bottom>
      <diagonal/>
    </border>
    <border>
      <left style="thin">
        <color indexed="18"/>
      </left>
      <right/>
      <top style="thin">
        <color indexed="18"/>
      </top>
      <bottom style="thin">
        <color indexed="18"/>
      </bottom>
      <diagonal/>
    </border>
    <border>
      <left/>
      <right/>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3"/>
      </left>
      <right style="double">
        <color indexed="63"/>
      </right>
      <top style="double">
        <color indexed="63"/>
      </top>
      <bottom style="double">
        <color indexed="63"/>
      </bottom>
      <diagonal/>
    </border>
    <border>
      <left/>
      <right/>
      <top/>
      <bottom style="double">
        <color indexed="17"/>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2"/>
      </top>
      <bottom style="double">
        <color indexed="62"/>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style="thin">
        <color indexed="48"/>
      </top>
      <bottom style="double">
        <color indexed="48"/>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top style="thin">
        <color indexed="64"/>
      </top>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8"/>
      </left>
      <right/>
      <top style="thin">
        <color indexed="8"/>
      </top>
      <bottom style="thin">
        <color indexed="8"/>
      </bottom>
      <diagonal/>
    </border>
    <border>
      <left/>
      <right/>
      <top/>
      <bottom style="double">
        <color indexed="10"/>
      </bottom>
      <diagonal/>
    </border>
    <border>
      <left/>
      <right/>
      <top style="thin">
        <color indexed="49"/>
      </top>
      <bottom style="double">
        <color indexed="49"/>
      </bottom>
      <diagonal/>
    </border>
    <border>
      <left/>
      <right/>
      <top/>
      <bottom style="thick">
        <color indexed="49"/>
      </bottom>
      <diagonal/>
    </border>
    <border>
      <left/>
      <right/>
      <top/>
      <bottom style="thick">
        <color indexed="24"/>
      </bottom>
      <diagonal/>
    </border>
    <border>
      <left/>
      <right/>
      <top/>
      <bottom style="medium">
        <color indexed="24"/>
      </bottom>
      <diagonal/>
    </border>
    <border>
      <left/>
      <right/>
      <top/>
      <bottom style="thin">
        <color indexed="8"/>
      </bottom>
      <diagonal/>
    </border>
    <border>
      <left/>
      <right/>
      <top/>
      <bottom style="double">
        <color indexed="53"/>
      </bottom>
      <diagonal/>
    </border>
    <border>
      <left/>
      <right/>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right/>
      <top style="thin">
        <color indexed="48"/>
      </top>
      <bottom style="thin">
        <color indexed="48"/>
      </bottom>
      <diagonal/>
    </border>
    <border>
      <left/>
      <right/>
      <top/>
      <bottom style="medium">
        <color indexed="48"/>
      </bottom>
      <diagonal/>
    </border>
    <border>
      <left/>
      <right/>
      <top/>
      <bottom style="thick">
        <color indexed="51"/>
      </bottom>
      <diagonal/>
    </border>
    <border>
      <left/>
      <right/>
      <top/>
      <bottom style="thick">
        <color indexed="43"/>
      </bottom>
      <diagonal/>
    </border>
    <border>
      <left/>
      <right/>
      <top/>
      <bottom style="medium">
        <color indexed="43"/>
      </bottom>
      <diagonal/>
    </border>
    <border>
      <left/>
      <right/>
      <top style="thin">
        <color indexed="64"/>
      </top>
      <bottom style="double">
        <color indexed="64"/>
      </bottom>
      <diagonal/>
    </border>
    <border>
      <left/>
      <right/>
      <top style="thin">
        <color indexed="51"/>
      </top>
      <bottom style="double">
        <color indexed="51"/>
      </bottom>
      <diagonal/>
    </border>
    <border>
      <left/>
      <right/>
      <top/>
      <bottom style="thick">
        <color indexed="54"/>
      </bottom>
      <diagonal/>
    </border>
    <border>
      <left/>
      <right/>
      <top/>
      <bottom style="medium">
        <color indexed="54"/>
      </bottom>
      <diagonal/>
    </border>
  </borders>
  <cellStyleXfs count="57711">
    <xf numFmtId="0" fontId="0" fillId="0" borderId="0"/>
    <xf numFmtId="0" fontId="24" fillId="0" borderId="1"/>
    <xf numFmtId="0" fontId="18" fillId="0" borderId="1"/>
    <xf numFmtId="0" fontId="18" fillId="0" borderId="1"/>
    <xf numFmtId="0" fontId="18" fillId="0" borderId="1"/>
    <xf numFmtId="0" fontId="18" fillId="0" borderId="1"/>
    <xf numFmtId="0" fontId="52" fillId="0" borderId="76" applyNumberFormat="0" applyFill="0" applyAlignment="0" applyProtection="0"/>
    <xf numFmtId="0" fontId="53" fillId="0" borderId="77" applyNumberFormat="0" applyFill="0" applyAlignment="0" applyProtection="0"/>
    <xf numFmtId="0" fontId="54" fillId="0" borderId="78" applyNumberFormat="0" applyFill="0" applyAlignment="0" applyProtection="0"/>
    <xf numFmtId="0" fontId="58" fillId="10" borderId="79" applyNumberFormat="0" applyAlignment="0" applyProtection="0"/>
    <xf numFmtId="0" fontId="59" fillId="11" borderId="80" applyNumberFormat="0" applyAlignment="0" applyProtection="0"/>
    <xf numFmtId="0" fontId="60" fillId="11" borderId="79" applyNumberFormat="0" applyAlignment="0" applyProtection="0"/>
    <xf numFmtId="0" fontId="61" fillId="0" borderId="81" applyNumberFormat="0" applyFill="0" applyAlignment="0" applyProtection="0"/>
    <xf numFmtId="0" fontId="62" fillId="12" borderId="82" applyNumberFormat="0" applyAlignment="0" applyProtection="0"/>
    <xf numFmtId="0" fontId="19" fillId="0" borderId="84" applyNumberFormat="0" applyFill="0" applyAlignment="0" applyProtection="0"/>
    <xf numFmtId="0" fontId="8" fillId="0" borderId="1"/>
    <xf numFmtId="0" fontId="66" fillId="0" borderId="1"/>
    <xf numFmtId="165" fontId="8" fillId="0" borderId="1" applyFont="0" applyFill="0" applyBorder="0" applyAlignment="0" applyProtection="0"/>
    <xf numFmtId="4" fontId="66" fillId="39" borderId="85" applyNumberFormat="0" applyProtection="0">
      <alignment horizontal="left" vertical="center" indent="1"/>
    </xf>
    <xf numFmtId="4" fontId="66" fillId="39" borderId="85" applyNumberFormat="0" applyProtection="0">
      <alignment horizontal="left" vertical="center" indent="1"/>
    </xf>
    <xf numFmtId="4" fontId="66" fillId="0" borderId="85" applyNumberFormat="0" applyProtection="0">
      <alignment horizontal="right" vertical="center"/>
    </xf>
    <xf numFmtId="0" fontId="80" fillId="0" borderId="1" applyNumberFormat="0" applyFill="0" applyBorder="0" applyAlignment="0" applyProtection="0">
      <alignment vertical="top"/>
      <protection locked="0"/>
    </xf>
    <xf numFmtId="0" fontId="81" fillId="45" borderId="1" applyNumberFormat="0" applyBorder="0" applyAlignment="0" applyProtection="0"/>
    <xf numFmtId="0" fontId="81" fillId="46" borderId="1" applyNumberFormat="0" applyBorder="0" applyAlignment="0" applyProtection="0"/>
    <xf numFmtId="0" fontId="81" fillId="47" borderId="1" applyNumberFormat="0" applyBorder="0" applyAlignment="0" applyProtection="0"/>
    <xf numFmtId="0" fontId="81" fillId="48" borderId="1" applyNumberFormat="0" applyBorder="0" applyAlignment="0" applyProtection="0"/>
    <xf numFmtId="0" fontId="81" fillId="49" borderId="1" applyNumberFormat="0" applyBorder="0" applyAlignment="0" applyProtection="0"/>
    <xf numFmtId="0" fontId="81" fillId="50" borderId="1" applyNumberFormat="0" applyBorder="0" applyAlignment="0" applyProtection="0"/>
    <xf numFmtId="0" fontId="8" fillId="15" borderId="1" applyNumberFormat="0" applyBorder="0" applyAlignment="0" applyProtection="0"/>
    <xf numFmtId="0" fontId="8" fillId="15" borderId="1" applyNumberFormat="0" applyBorder="0" applyAlignment="0" applyProtection="0"/>
    <xf numFmtId="0" fontId="8" fillId="15" borderId="1" applyNumberFormat="0" applyBorder="0" applyAlignment="0" applyProtection="0"/>
    <xf numFmtId="0" fontId="8" fillId="15" borderId="1" applyNumberFormat="0" applyBorder="0" applyAlignment="0" applyProtection="0"/>
    <xf numFmtId="0" fontId="8" fillId="15" borderId="1" applyNumberFormat="0" applyBorder="0" applyAlignment="0" applyProtection="0"/>
    <xf numFmtId="0" fontId="8" fillId="15" borderId="1" applyNumberFormat="0" applyBorder="0" applyAlignment="0" applyProtection="0"/>
    <xf numFmtId="0" fontId="8" fillId="15" borderId="1" applyNumberFormat="0" applyBorder="0" applyAlignment="0" applyProtection="0"/>
    <xf numFmtId="0" fontId="8" fillId="15" borderId="1" applyNumberFormat="0" applyBorder="0" applyAlignment="0" applyProtection="0"/>
    <xf numFmtId="0" fontId="8" fillId="15" borderId="1" applyNumberFormat="0" applyBorder="0" applyAlignment="0" applyProtection="0"/>
    <xf numFmtId="0" fontId="8" fillId="15" borderId="1" applyNumberFormat="0" applyBorder="0" applyAlignment="0" applyProtection="0"/>
    <xf numFmtId="0" fontId="8" fillId="15" borderId="1" applyNumberFormat="0" applyBorder="0" applyAlignment="0" applyProtection="0"/>
    <xf numFmtId="0" fontId="8" fillId="15" borderId="1" applyNumberFormat="0" applyBorder="0" applyAlignment="0" applyProtection="0"/>
    <xf numFmtId="0" fontId="8" fillId="15" borderId="1" applyNumberFormat="0" applyBorder="0" applyAlignment="0" applyProtection="0"/>
    <xf numFmtId="0" fontId="8" fillId="15" borderId="1" applyNumberFormat="0" applyBorder="0" applyAlignment="0" applyProtection="0"/>
    <xf numFmtId="0" fontId="8" fillId="15" borderId="1" applyNumberFormat="0" applyBorder="0" applyAlignment="0" applyProtection="0"/>
    <xf numFmtId="0" fontId="8" fillId="15" borderId="1" applyNumberFormat="0" applyBorder="0" applyAlignment="0" applyProtection="0"/>
    <xf numFmtId="0" fontId="8" fillId="15" borderId="1" applyNumberFormat="0" applyBorder="0" applyAlignment="0" applyProtection="0"/>
    <xf numFmtId="0" fontId="8" fillId="15" borderId="1" applyNumberFormat="0" applyBorder="0" applyAlignment="0" applyProtection="0"/>
    <xf numFmtId="0" fontId="8" fillId="15" borderId="1" applyNumberFormat="0" applyBorder="0" applyAlignment="0" applyProtection="0"/>
    <xf numFmtId="0" fontId="8" fillId="15" borderId="1" applyNumberFormat="0" applyBorder="0" applyAlignment="0" applyProtection="0"/>
    <xf numFmtId="0" fontId="8" fillId="15" borderId="1" applyNumberFormat="0" applyBorder="0" applyAlignment="0" applyProtection="0"/>
    <xf numFmtId="0" fontId="8" fillId="15" borderId="1" applyNumberFormat="0" applyBorder="0" applyAlignment="0" applyProtection="0"/>
    <xf numFmtId="0" fontId="8" fillId="15" borderId="1" applyNumberFormat="0" applyBorder="0" applyAlignment="0" applyProtection="0"/>
    <xf numFmtId="0" fontId="8" fillId="15" borderId="1" applyNumberFormat="0" applyBorder="0" applyAlignment="0" applyProtection="0"/>
    <xf numFmtId="0" fontId="8" fillId="15" borderId="1" applyNumberFormat="0" applyBorder="0" applyAlignment="0" applyProtection="0"/>
    <xf numFmtId="0" fontId="8" fillId="15" borderId="1" applyNumberFormat="0" applyBorder="0" applyAlignment="0" applyProtection="0"/>
    <xf numFmtId="0" fontId="8" fillId="15" borderId="1" applyNumberFormat="0" applyBorder="0" applyAlignment="0" applyProtection="0"/>
    <xf numFmtId="0" fontId="8" fillId="15" borderId="1" applyNumberFormat="0" applyBorder="0" applyAlignment="0" applyProtection="0"/>
    <xf numFmtId="0" fontId="8" fillId="15" borderId="1" applyNumberFormat="0" applyBorder="0" applyAlignment="0" applyProtection="0"/>
    <xf numFmtId="0" fontId="8" fillId="15" borderId="1" applyNumberFormat="0" applyBorder="0" applyAlignment="0" applyProtection="0"/>
    <xf numFmtId="0" fontId="8" fillId="15" borderId="1" applyNumberFormat="0" applyBorder="0" applyAlignment="0" applyProtection="0"/>
    <xf numFmtId="0" fontId="8" fillId="19" borderId="1" applyNumberFormat="0" applyBorder="0" applyAlignment="0" applyProtection="0"/>
    <xf numFmtId="0" fontId="8" fillId="19" borderId="1" applyNumberFormat="0" applyBorder="0" applyAlignment="0" applyProtection="0"/>
    <xf numFmtId="0" fontId="8" fillId="19" borderId="1" applyNumberFormat="0" applyBorder="0" applyAlignment="0" applyProtection="0"/>
    <xf numFmtId="0" fontId="8" fillId="19" borderId="1" applyNumberFormat="0" applyBorder="0" applyAlignment="0" applyProtection="0"/>
    <xf numFmtId="0" fontId="8" fillId="19" borderId="1" applyNumberFormat="0" applyBorder="0" applyAlignment="0" applyProtection="0"/>
    <xf numFmtId="0" fontId="8" fillId="19" borderId="1" applyNumberFormat="0" applyBorder="0" applyAlignment="0" applyProtection="0"/>
    <xf numFmtId="0" fontId="8" fillId="19" borderId="1" applyNumberFormat="0" applyBorder="0" applyAlignment="0" applyProtection="0"/>
    <xf numFmtId="0" fontId="8" fillId="19" borderId="1" applyNumberFormat="0" applyBorder="0" applyAlignment="0" applyProtection="0"/>
    <xf numFmtId="0" fontId="8" fillId="19" borderId="1" applyNumberFormat="0" applyBorder="0" applyAlignment="0" applyProtection="0"/>
    <xf numFmtId="0" fontId="8" fillId="19" borderId="1" applyNumberFormat="0" applyBorder="0" applyAlignment="0" applyProtection="0"/>
    <xf numFmtId="0" fontId="8" fillId="19" borderId="1" applyNumberFormat="0" applyBorder="0" applyAlignment="0" applyProtection="0"/>
    <xf numFmtId="0" fontId="8" fillId="19" borderId="1" applyNumberFormat="0" applyBorder="0" applyAlignment="0" applyProtection="0"/>
    <xf numFmtId="0" fontId="8" fillId="19" borderId="1" applyNumberFormat="0" applyBorder="0" applyAlignment="0" applyProtection="0"/>
    <xf numFmtId="0" fontId="8" fillId="19" borderId="1" applyNumberFormat="0" applyBorder="0" applyAlignment="0" applyProtection="0"/>
    <xf numFmtId="0" fontId="8" fillId="19" borderId="1" applyNumberFormat="0" applyBorder="0" applyAlignment="0" applyProtection="0"/>
    <xf numFmtId="0" fontId="8" fillId="19" borderId="1" applyNumberFormat="0" applyBorder="0" applyAlignment="0" applyProtection="0"/>
    <xf numFmtId="0" fontId="8" fillId="19" borderId="1" applyNumberFormat="0" applyBorder="0" applyAlignment="0" applyProtection="0"/>
    <xf numFmtId="0" fontId="8" fillId="19" borderId="1" applyNumberFormat="0" applyBorder="0" applyAlignment="0" applyProtection="0"/>
    <xf numFmtId="0" fontId="8" fillId="19" borderId="1" applyNumberFormat="0" applyBorder="0" applyAlignment="0" applyProtection="0"/>
    <xf numFmtId="0" fontId="8" fillId="19" borderId="1" applyNumberFormat="0" applyBorder="0" applyAlignment="0" applyProtection="0"/>
    <xf numFmtId="0" fontId="8" fillId="19" borderId="1" applyNumberFormat="0" applyBorder="0" applyAlignment="0" applyProtection="0"/>
    <xf numFmtId="0" fontId="8" fillId="19" borderId="1" applyNumberFormat="0" applyBorder="0" applyAlignment="0" applyProtection="0"/>
    <xf numFmtId="0" fontId="8" fillId="19" borderId="1" applyNumberFormat="0" applyBorder="0" applyAlignment="0" applyProtection="0"/>
    <xf numFmtId="0" fontId="8" fillId="19" borderId="1" applyNumberFormat="0" applyBorder="0" applyAlignment="0" applyProtection="0"/>
    <xf numFmtId="0" fontId="8" fillId="19" borderId="1" applyNumberFormat="0" applyBorder="0" applyAlignment="0" applyProtection="0"/>
    <xf numFmtId="0" fontId="8" fillId="19" borderId="1" applyNumberFormat="0" applyBorder="0" applyAlignment="0" applyProtection="0"/>
    <xf numFmtId="0" fontId="8" fillId="19" borderId="1" applyNumberFormat="0" applyBorder="0" applyAlignment="0" applyProtection="0"/>
    <xf numFmtId="0" fontId="8" fillId="19" borderId="1" applyNumberFormat="0" applyBorder="0" applyAlignment="0" applyProtection="0"/>
    <xf numFmtId="0" fontId="8" fillId="19" borderId="1" applyNumberFormat="0" applyBorder="0" applyAlignment="0" applyProtection="0"/>
    <xf numFmtId="0" fontId="8" fillId="19" borderId="1" applyNumberFormat="0" applyBorder="0" applyAlignment="0" applyProtection="0"/>
    <xf numFmtId="0" fontId="8" fillId="19" borderId="1" applyNumberFormat="0" applyBorder="0" applyAlignment="0" applyProtection="0"/>
    <xf numFmtId="0" fontId="8" fillId="23" borderId="1" applyNumberFormat="0" applyBorder="0" applyAlignment="0" applyProtection="0"/>
    <xf numFmtId="0" fontId="8" fillId="23" borderId="1" applyNumberFormat="0" applyBorder="0" applyAlignment="0" applyProtection="0"/>
    <xf numFmtId="0" fontId="8" fillId="23" borderId="1" applyNumberFormat="0" applyBorder="0" applyAlignment="0" applyProtection="0"/>
    <xf numFmtId="0" fontId="8" fillId="23" borderId="1" applyNumberFormat="0" applyBorder="0" applyAlignment="0" applyProtection="0"/>
    <xf numFmtId="0" fontId="8" fillId="23" borderId="1" applyNumberFormat="0" applyBorder="0" applyAlignment="0" applyProtection="0"/>
    <xf numFmtId="0" fontId="8" fillId="23" borderId="1" applyNumberFormat="0" applyBorder="0" applyAlignment="0" applyProtection="0"/>
    <xf numFmtId="0" fontId="8" fillId="23" borderId="1" applyNumberFormat="0" applyBorder="0" applyAlignment="0" applyProtection="0"/>
    <xf numFmtId="0" fontId="8" fillId="23" borderId="1" applyNumberFormat="0" applyBorder="0" applyAlignment="0" applyProtection="0"/>
    <xf numFmtId="0" fontId="8" fillId="23" borderId="1" applyNumberFormat="0" applyBorder="0" applyAlignment="0" applyProtection="0"/>
    <xf numFmtId="0" fontId="8" fillId="23" borderId="1" applyNumberFormat="0" applyBorder="0" applyAlignment="0" applyProtection="0"/>
    <xf numFmtId="0" fontId="8" fillId="23" borderId="1" applyNumberFormat="0" applyBorder="0" applyAlignment="0" applyProtection="0"/>
    <xf numFmtId="0" fontId="8" fillId="23" borderId="1" applyNumberFormat="0" applyBorder="0" applyAlignment="0" applyProtection="0"/>
    <xf numFmtId="0" fontId="8" fillId="23" borderId="1" applyNumberFormat="0" applyBorder="0" applyAlignment="0" applyProtection="0"/>
    <xf numFmtId="0" fontId="8" fillId="23" borderId="1" applyNumberFormat="0" applyBorder="0" applyAlignment="0" applyProtection="0"/>
    <xf numFmtId="0" fontId="8" fillId="23" borderId="1" applyNumberFormat="0" applyBorder="0" applyAlignment="0" applyProtection="0"/>
    <xf numFmtId="0" fontId="8" fillId="23" borderId="1" applyNumberFormat="0" applyBorder="0" applyAlignment="0" applyProtection="0"/>
    <xf numFmtId="0" fontId="8" fillId="23" borderId="1" applyNumberFormat="0" applyBorder="0" applyAlignment="0" applyProtection="0"/>
    <xf numFmtId="0" fontId="8" fillId="23" borderId="1" applyNumberFormat="0" applyBorder="0" applyAlignment="0" applyProtection="0"/>
    <xf numFmtId="0" fontId="8" fillId="23" borderId="1" applyNumberFormat="0" applyBorder="0" applyAlignment="0" applyProtection="0"/>
    <xf numFmtId="0" fontId="8" fillId="23" borderId="1" applyNumberFormat="0" applyBorder="0" applyAlignment="0" applyProtection="0"/>
    <xf numFmtId="0" fontId="8" fillId="23" borderId="1" applyNumberFormat="0" applyBorder="0" applyAlignment="0" applyProtection="0"/>
    <xf numFmtId="0" fontId="8" fillId="23" borderId="1" applyNumberFormat="0" applyBorder="0" applyAlignment="0" applyProtection="0"/>
    <xf numFmtId="0" fontId="8" fillId="23" borderId="1" applyNumberFormat="0" applyBorder="0" applyAlignment="0" applyProtection="0"/>
    <xf numFmtId="0" fontId="8" fillId="23" borderId="1" applyNumberFormat="0" applyBorder="0" applyAlignment="0" applyProtection="0"/>
    <xf numFmtId="0" fontId="8" fillId="23" borderId="1" applyNumberFormat="0" applyBorder="0" applyAlignment="0" applyProtection="0"/>
    <xf numFmtId="0" fontId="8" fillId="23" borderId="1" applyNumberFormat="0" applyBorder="0" applyAlignment="0" applyProtection="0"/>
    <xf numFmtId="0" fontId="8" fillId="23" borderId="1" applyNumberFormat="0" applyBorder="0" applyAlignment="0" applyProtection="0"/>
    <xf numFmtId="0" fontId="8" fillId="23" borderId="1" applyNumberFormat="0" applyBorder="0" applyAlignment="0" applyProtection="0"/>
    <xf numFmtId="0" fontId="8" fillId="23" borderId="1" applyNumberFormat="0" applyBorder="0" applyAlignment="0" applyProtection="0"/>
    <xf numFmtId="0" fontId="8" fillId="23" borderId="1" applyNumberFormat="0" applyBorder="0" applyAlignment="0" applyProtection="0"/>
    <xf numFmtId="0" fontId="8" fillId="23" borderId="1" applyNumberFormat="0" applyBorder="0" applyAlignment="0" applyProtection="0"/>
    <xf numFmtId="0" fontId="8" fillId="27" borderId="1" applyNumberFormat="0" applyBorder="0" applyAlignment="0" applyProtection="0"/>
    <xf numFmtId="0" fontId="8" fillId="27" borderId="1" applyNumberFormat="0" applyBorder="0" applyAlignment="0" applyProtection="0"/>
    <xf numFmtId="0" fontId="8" fillId="27" borderId="1" applyNumberFormat="0" applyBorder="0" applyAlignment="0" applyProtection="0"/>
    <xf numFmtId="0" fontId="8" fillId="27" borderId="1" applyNumberFormat="0" applyBorder="0" applyAlignment="0" applyProtection="0"/>
    <xf numFmtId="0" fontId="8" fillId="27" borderId="1" applyNumberFormat="0" applyBorder="0" applyAlignment="0" applyProtection="0"/>
    <xf numFmtId="0" fontId="8" fillId="27" borderId="1" applyNumberFormat="0" applyBorder="0" applyAlignment="0" applyProtection="0"/>
    <xf numFmtId="0" fontId="8" fillId="27" borderId="1" applyNumberFormat="0" applyBorder="0" applyAlignment="0" applyProtection="0"/>
    <xf numFmtId="0" fontId="8" fillId="27" borderId="1" applyNumberFormat="0" applyBorder="0" applyAlignment="0" applyProtection="0"/>
    <xf numFmtId="0" fontId="8" fillId="27" borderId="1" applyNumberFormat="0" applyBorder="0" applyAlignment="0" applyProtection="0"/>
    <xf numFmtId="0" fontId="8" fillId="27" borderId="1" applyNumberFormat="0" applyBorder="0" applyAlignment="0" applyProtection="0"/>
    <xf numFmtId="0" fontId="8" fillId="27" borderId="1" applyNumberFormat="0" applyBorder="0" applyAlignment="0" applyProtection="0"/>
    <xf numFmtId="0" fontId="8" fillId="27" borderId="1" applyNumberFormat="0" applyBorder="0" applyAlignment="0" applyProtection="0"/>
    <xf numFmtId="0" fontId="8" fillId="27" borderId="1" applyNumberFormat="0" applyBorder="0" applyAlignment="0" applyProtection="0"/>
    <xf numFmtId="0" fontId="8" fillId="27" borderId="1" applyNumberFormat="0" applyBorder="0" applyAlignment="0" applyProtection="0"/>
    <xf numFmtId="0" fontId="8" fillId="27" borderId="1" applyNumberFormat="0" applyBorder="0" applyAlignment="0" applyProtection="0"/>
    <xf numFmtId="0" fontId="8" fillId="27" borderId="1" applyNumberFormat="0" applyBorder="0" applyAlignment="0" applyProtection="0"/>
    <xf numFmtId="0" fontId="8" fillId="27" borderId="1" applyNumberFormat="0" applyBorder="0" applyAlignment="0" applyProtection="0"/>
    <xf numFmtId="0" fontId="8" fillId="27" borderId="1" applyNumberFormat="0" applyBorder="0" applyAlignment="0" applyProtection="0"/>
    <xf numFmtId="0" fontId="8" fillId="27" borderId="1" applyNumberFormat="0" applyBorder="0" applyAlignment="0" applyProtection="0"/>
    <xf numFmtId="0" fontId="8" fillId="27" borderId="1" applyNumberFormat="0" applyBorder="0" applyAlignment="0" applyProtection="0"/>
    <xf numFmtId="0" fontId="8" fillId="27" borderId="1" applyNumberFormat="0" applyBorder="0" applyAlignment="0" applyProtection="0"/>
    <xf numFmtId="0" fontId="8" fillId="27" borderId="1" applyNumberFormat="0" applyBorder="0" applyAlignment="0" applyProtection="0"/>
    <xf numFmtId="0" fontId="8" fillId="27" borderId="1" applyNumberFormat="0" applyBorder="0" applyAlignment="0" applyProtection="0"/>
    <xf numFmtId="0" fontId="8" fillId="27" borderId="1" applyNumberFormat="0" applyBorder="0" applyAlignment="0" applyProtection="0"/>
    <xf numFmtId="0" fontId="8" fillId="27" borderId="1" applyNumberFormat="0" applyBorder="0" applyAlignment="0" applyProtection="0"/>
    <xf numFmtId="0" fontId="8" fillId="27" borderId="1" applyNumberFormat="0" applyBorder="0" applyAlignment="0" applyProtection="0"/>
    <xf numFmtId="0" fontId="8" fillId="27" borderId="1" applyNumberFormat="0" applyBorder="0" applyAlignment="0" applyProtection="0"/>
    <xf numFmtId="0" fontId="8" fillId="27" borderId="1" applyNumberFormat="0" applyBorder="0" applyAlignment="0" applyProtection="0"/>
    <xf numFmtId="0" fontId="8" fillId="27" borderId="1" applyNumberFormat="0" applyBorder="0" applyAlignment="0" applyProtection="0"/>
    <xf numFmtId="0" fontId="8" fillId="27" borderId="1" applyNumberFormat="0" applyBorder="0" applyAlignment="0" applyProtection="0"/>
    <xf numFmtId="0" fontId="8" fillId="27" borderId="1" applyNumberFormat="0" applyBorder="0" applyAlignment="0" applyProtection="0"/>
    <xf numFmtId="0" fontId="8" fillId="31" borderId="1" applyNumberFormat="0" applyBorder="0" applyAlignment="0" applyProtection="0"/>
    <xf numFmtId="0" fontId="8" fillId="31" borderId="1" applyNumberFormat="0" applyBorder="0" applyAlignment="0" applyProtection="0"/>
    <xf numFmtId="0" fontId="8" fillId="31" borderId="1" applyNumberFormat="0" applyBorder="0" applyAlignment="0" applyProtection="0"/>
    <xf numFmtId="0" fontId="8" fillId="31" borderId="1" applyNumberFormat="0" applyBorder="0" applyAlignment="0" applyProtection="0"/>
    <xf numFmtId="0" fontId="8" fillId="31" borderId="1" applyNumberFormat="0" applyBorder="0" applyAlignment="0" applyProtection="0"/>
    <xf numFmtId="0" fontId="8" fillId="31" borderId="1" applyNumberFormat="0" applyBorder="0" applyAlignment="0" applyProtection="0"/>
    <xf numFmtId="0" fontId="8" fillId="31" borderId="1" applyNumberFormat="0" applyBorder="0" applyAlignment="0" applyProtection="0"/>
    <xf numFmtId="0" fontId="8" fillId="31" borderId="1" applyNumberFormat="0" applyBorder="0" applyAlignment="0" applyProtection="0"/>
    <xf numFmtId="0" fontId="8" fillId="31" borderId="1" applyNumberFormat="0" applyBorder="0" applyAlignment="0" applyProtection="0"/>
    <xf numFmtId="0" fontId="8" fillId="31" borderId="1" applyNumberFormat="0" applyBorder="0" applyAlignment="0" applyProtection="0"/>
    <xf numFmtId="0" fontId="8" fillId="31" borderId="1" applyNumberFormat="0" applyBorder="0" applyAlignment="0" applyProtection="0"/>
    <xf numFmtId="0" fontId="8" fillId="31" borderId="1" applyNumberFormat="0" applyBorder="0" applyAlignment="0" applyProtection="0"/>
    <xf numFmtId="0" fontId="8" fillId="31" borderId="1" applyNumberFormat="0" applyBorder="0" applyAlignment="0" applyProtection="0"/>
    <xf numFmtId="0" fontId="8" fillId="31" borderId="1" applyNumberFormat="0" applyBorder="0" applyAlignment="0" applyProtection="0"/>
    <xf numFmtId="0" fontId="8" fillId="31" borderId="1" applyNumberFormat="0" applyBorder="0" applyAlignment="0" applyProtection="0"/>
    <xf numFmtId="0" fontId="8" fillId="31" borderId="1" applyNumberFormat="0" applyBorder="0" applyAlignment="0" applyProtection="0"/>
    <xf numFmtId="0" fontId="8" fillId="31" borderId="1" applyNumberFormat="0" applyBorder="0" applyAlignment="0" applyProtection="0"/>
    <xf numFmtId="0" fontId="8" fillId="31" borderId="1" applyNumberFormat="0" applyBorder="0" applyAlignment="0" applyProtection="0"/>
    <xf numFmtId="0" fontId="8" fillId="31" borderId="1" applyNumberFormat="0" applyBorder="0" applyAlignment="0" applyProtection="0"/>
    <xf numFmtId="0" fontId="8" fillId="31" borderId="1" applyNumberFormat="0" applyBorder="0" applyAlignment="0" applyProtection="0"/>
    <xf numFmtId="0" fontId="8" fillId="31" borderId="1" applyNumberFormat="0" applyBorder="0" applyAlignment="0" applyProtection="0"/>
    <xf numFmtId="0" fontId="8" fillId="31" borderId="1" applyNumberFormat="0" applyBorder="0" applyAlignment="0" applyProtection="0"/>
    <xf numFmtId="0" fontId="8" fillId="31" borderId="1" applyNumberFormat="0" applyBorder="0" applyAlignment="0" applyProtection="0"/>
    <xf numFmtId="0" fontId="8" fillId="31" borderId="1" applyNumberFormat="0" applyBorder="0" applyAlignment="0" applyProtection="0"/>
    <xf numFmtId="0" fontId="8" fillId="31" borderId="1" applyNumberFormat="0" applyBorder="0" applyAlignment="0" applyProtection="0"/>
    <xf numFmtId="0" fontId="8" fillId="31" borderId="1" applyNumberFormat="0" applyBorder="0" applyAlignment="0" applyProtection="0"/>
    <xf numFmtId="0" fontId="8" fillId="31" borderId="1" applyNumberFormat="0" applyBorder="0" applyAlignment="0" applyProtection="0"/>
    <xf numFmtId="0" fontId="8" fillId="31" borderId="1" applyNumberFormat="0" applyBorder="0" applyAlignment="0" applyProtection="0"/>
    <xf numFmtId="0" fontId="8" fillId="31" borderId="1" applyNumberFormat="0" applyBorder="0" applyAlignment="0" applyProtection="0"/>
    <xf numFmtId="0" fontId="8" fillId="31" borderId="1" applyNumberFormat="0" applyBorder="0" applyAlignment="0" applyProtection="0"/>
    <xf numFmtId="0" fontId="8" fillId="31" borderId="1" applyNumberFormat="0" applyBorder="0" applyAlignment="0" applyProtection="0"/>
    <xf numFmtId="0" fontId="8" fillId="35" borderId="1" applyNumberFormat="0" applyBorder="0" applyAlignment="0" applyProtection="0"/>
    <xf numFmtId="0" fontId="8" fillId="35" borderId="1" applyNumberFormat="0" applyBorder="0" applyAlignment="0" applyProtection="0"/>
    <xf numFmtId="0" fontId="8" fillId="35" borderId="1" applyNumberFormat="0" applyBorder="0" applyAlignment="0" applyProtection="0"/>
    <xf numFmtId="0" fontId="8" fillId="35" borderId="1" applyNumberFormat="0" applyBorder="0" applyAlignment="0" applyProtection="0"/>
    <xf numFmtId="0" fontId="8" fillId="35" borderId="1" applyNumberFormat="0" applyBorder="0" applyAlignment="0" applyProtection="0"/>
    <xf numFmtId="0" fontId="8" fillId="35" borderId="1" applyNumberFormat="0" applyBorder="0" applyAlignment="0" applyProtection="0"/>
    <xf numFmtId="0" fontId="8" fillId="35" borderId="1" applyNumberFormat="0" applyBorder="0" applyAlignment="0" applyProtection="0"/>
    <xf numFmtId="0" fontId="8" fillId="35" borderId="1" applyNumberFormat="0" applyBorder="0" applyAlignment="0" applyProtection="0"/>
    <xf numFmtId="0" fontId="8" fillId="35" borderId="1" applyNumberFormat="0" applyBorder="0" applyAlignment="0" applyProtection="0"/>
    <xf numFmtId="0" fontId="8" fillId="35" borderId="1" applyNumberFormat="0" applyBorder="0" applyAlignment="0" applyProtection="0"/>
    <xf numFmtId="0" fontId="8" fillId="35" borderId="1" applyNumberFormat="0" applyBorder="0" applyAlignment="0" applyProtection="0"/>
    <xf numFmtId="0" fontId="8" fillId="35" borderId="1" applyNumberFormat="0" applyBorder="0" applyAlignment="0" applyProtection="0"/>
    <xf numFmtId="0" fontId="8" fillId="35" borderId="1" applyNumberFormat="0" applyBorder="0" applyAlignment="0" applyProtection="0"/>
    <xf numFmtId="0" fontId="8" fillId="35" borderId="1" applyNumberFormat="0" applyBorder="0" applyAlignment="0" applyProtection="0"/>
    <xf numFmtId="0" fontId="8" fillId="35" borderId="1" applyNumberFormat="0" applyBorder="0" applyAlignment="0" applyProtection="0"/>
    <xf numFmtId="0" fontId="8" fillId="35" borderId="1" applyNumberFormat="0" applyBorder="0" applyAlignment="0" applyProtection="0"/>
    <xf numFmtId="0" fontId="8" fillId="35" borderId="1" applyNumberFormat="0" applyBorder="0" applyAlignment="0" applyProtection="0"/>
    <xf numFmtId="0" fontId="8" fillId="35" borderId="1" applyNumberFormat="0" applyBorder="0" applyAlignment="0" applyProtection="0"/>
    <xf numFmtId="0" fontId="8" fillId="35" borderId="1" applyNumberFormat="0" applyBorder="0" applyAlignment="0" applyProtection="0"/>
    <xf numFmtId="0" fontId="8" fillId="35" borderId="1" applyNumberFormat="0" applyBorder="0" applyAlignment="0" applyProtection="0"/>
    <xf numFmtId="0" fontId="8" fillId="35" borderId="1" applyNumberFormat="0" applyBorder="0" applyAlignment="0" applyProtection="0"/>
    <xf numFmtId="0" fontId="8" fillId="35" borderId="1" applyNumberFormat="0" applyBorder="0" applyAlignment="0" applyProtection="0"/>
    <xf numFmtId="0" fontId="8" fillId="35" borderId="1" applyNumberFormat="0" applyBorder="0" applyAlignment="0" applyProtection="0"/>
    <xf numFmtId="0" fontId="8" fillId="35" borderId="1" applyNumberFormat="0" applyBorder="0" applyAlignment="0" applyProtection="0"/>
    <xf numFmtId="0" fontId="8" fillId="35" borderId="1" applyNumberFormat="0" applyBorder="0" applyAlignment="0" applyProtection="0"/>
    <xf numFmtId="0" fontId="8" fillId="35" borderId="1" applyNumberFormat="0" applyBorder="0" applyAlignment="0" applyProtection="0"/>
    <xf numFmtId="0" fontId="8" fillId="35" borderId="1" applyNumberFormat="0" applyBorder="0" applyAlignment="0" applyProtection="0"/>
    <xf numFmtId="0" fontId="8" fillId="35" borderId="1" applyNumberFormat="0" applyBorder="0" applyAlignment="0" applyProtection="0"/>
    <xf numFmtId="0" fontId="8" fillId="35" borderId="1" applyNumberFormat="0" applyBorder="0" applyAlignment="0" applyProtection="0"/>
    <xf numFmtId="0" fontId="8" fillId="35" borderId="1" applyNumberFormat="0" applyBorder="0" applyAlignment="0" applyProtection="0"/>
    <xf numFmtId="0" fontId="8" fillId="35" borderId="1" applyNumberFormat="0" applyBorder="0" applyAlignment="0" applyProtection="0"/>
    <xf numFmtId="0" fontId="81" fillId="51" borderId="1" applyNumberFormat="0" applyBorder="0" applyAlignment="0" applyProtection="0"/>
    <xf numFmtId="0" fontId="81" fillId="52" borderId="1" applyNumberFormat="0" applyBorder="0" applyAlignment="0" applyProtection="0"/>
    <xf numFmtId="0" fontId="81" fillId="53" borderId="1" applyNumberFormat="0" applyBorder="0" applyAlignment="0" applyProtection="0"/>
    <xf numFmtId="0" fontId="81" fillId="48" borderId="1" applyNumberFormat="0" applyBorder="0" applyAlignment="0" applyProtection="0"/>
    <xf numFmtId="0" fontId="81" fillId="51" borderId="1" applyNumberFormat="0" applyBorder="0" applyAlignment="0" applyProtection="0"/>
    <xf numFmtId="0" fontId="81" fillId="54" borderId="1" applyNumberFormat="0" applyBorder="0" applyAlignment="0" applyProtection="0"/>
    <xf numFmtId="0" fontId="8" fillId="16" borderId="1" applyNumberFormat="0" applyBorder="0" applyAlignment="0" applyProtection="0"/>
    <xf numFmtId="0" fontId="8" fillId="16" borderId="1" applyNumberFormat="0" applyBorder="0" applyAlignment="0" applyProtection="0"/>
    <xf numFmtId="0" fontId="8" fillId="16" borderId="1" applyNumberFormat="0" applyBorder="0" applyAlignment="0" applyProtection="0"/>
    <xf numFmtId="0" fontId="8" fillId="16" borderId="1" applyNumberFormat="0" applyBorder="0" applyAlignment="0" applyProtection="0"/>
    <xf numFmtId="0" fontId="8" fillId="16" borderId="1" applyNumberFormat="0" applyBorder="0" applyAlignment="0" applyProtection="0"/>
    <xf numFmtId="0" fontId="8" fillId="16" borderId="1" applyNumberFormat="0" applyBorder="0" applyAlignment="0" applyProtection="0"/>
    <xf numFmtId="0" fontId="8" fillId="16" borderId="1" applyNumberFormat="0" applyBorder="0" applyAlignment="0" applyProtection="0"/>
    <xf numFmtId="0" fontId="8" fillId="16" borderId="1" applyNumberFormat="0" applyBorder="0" applyAlignment="0" applyProtection="0"/>
    <xf numFmtId="0" fontId="8" fillId="16" borderId="1" applyNumberFormat="0" applyBorder="0" applyAlignment="0" applyProtection="0"/>
    <xf numFmtId="0" fontId="8" fillId="16" borderId="1" applyNumberFormat="0" applyBorder="0" applyAlignment="0" applyProtection="0"/>
    <xf numFmtId="0" fontId="8" fillId="16" borderId="1" applyNumberFormat="0" applyBorder="0" applyAlignment="0" applyProtection="0"/>
    <xf numFmtId="0" fontId="8" fillId="16" borderId="1" applyNumberFormat="0" applyBorder="0" applyAlignment="0" applyProtection="0"/>
    <xf numFmtId="0" fontId="8" fillId="16" borderId="1" applyNumberFormat="0" applyBorder="0" applyAlignment="0" applyProtection="0"/>
    <xf numFmtId="0" fontId="8" fillId="16" borderId="1" applyNumberFormat="0" applyBorder="0" applyAlignment="0" applyProtection="0"/>
    <xf numFmtId="0" fontId="8" fillId="16" borderId="1" applyNumberFormat="0" applyBorder="0" applyAlignment="0" applyProtection="0"/>
    <xf numFmtId="0" fontId="8" fillId="16" borderId="1" applyNumberFormat="0" applyBorder="0" applyAlignment="0" applyProtection="0"/>
    <xf numFmtId="0" fontId="8" fillId="16" borderId="1" applyNumberFormat="0" applyBorder="0" applyAlignment="0" applyProtection="0"/>
    <xf numFmtId="0" fontId="8" fillId="16" borderId="1" applyNumberFormat="0" applyBorder="0" applyAlignment="0" applyProtection="0"/>
    <xf numFmtId="0" fontId="8" fillId="16" borderId="1" applyNumberFormat="0" applyBorder="0" applyAlignment="0" applyProtection="0"/>
    <xf numFmtId="0" fontId="8" fillId="16" borderId="1" applyNumberFormat="0" applyBorder="0" applyAlignment="0" applyProtection="0"/>
    <xf numFmtId="0" fontId="8" fillId="16" borderId="1" applyNumberFormat="0" applyBorder="0" applyAlignment="0" applyProtection="0"/>
    <xf numFmtId="0" fontId="8" fillId="16" borderId="1" applyNumberFormat="0" applyBorder="0" applyAlignment="0" applyProtection="0"/>
    <xf numFmtId="0" fontId="8" fillId="16" borderId="1" applyNumberFormat="0" applyBorder="0" applyAlignment="0" applyProtection="0"/>
    <xf numFmtId="0" fontId="8" fillId="16" borderId="1" applyNumberFormat="0" applyBorder="0" applyAlignment="0" applyProtection="0"/>
    <xf numFmtId="0" fontId="8" fillId="16" borderId="1" applyNumberFormat="0" applyBorder="0" applyAlignment="0" applyProtection="0"/>
    <xf numFmtId="0" fontId="8" fillId="16" borderId="1" applyNumberFormat="0" applyBorder="0" applyAlignment="0" applyProtection="0"/>
    <xf numFmtId="0" fontId="8" fillId="16" borderId="1" applyNumberFormat="0" applyBorder="0" applyAlignment="0" applyProtection="0"/>
    <xf numFmtId="0" fontId="8" fillId="16" borderId="1" applyNumberFormat="0" applyBorder="0" applyAlignment="0" applyProtection="0"/>
    <xf numFmtId="0" fontId="8" fillId="16" borderId="1" applyNumberFormat="0" applyBorder="0" applyAlignment="0" applyProtection="0"/>
    <xf numFmtId="0" fontId="8" fillId="16" borderId="1" applyNumberFormat="0" applyBorder="0" applyAlignment="0" applyProtection="0"/>
    <xf numFmtId="0" fontId="8" fillId="16" borderId="1" applyNumberFormat="0" applyBorder="0" applyAlignment="0" applyProtection="0"/>
    <xf numFmtId="0" fontId="8" fillId="20" borderId="1" applyNumberFormat="0" applyBorder="0" applyAlignment="0" applyProtection="0"/>
    <xf numFmtId="0" fontId="8" fillId="20" borderId="1" applyNumberFormat="0" applyBorder="0" applyAlignment="0" applyProtection="0"/>
    <xf numFmtId="0" fontId="8" fillId="20" borderId="1" applyNumberFormat="0" applyBorder="0" applyAlignment="0" applyProtection="0"/>
    <xf numFmtId="0" fontId="8" fillId="20" borderId="1" applyNumberFormat="0" applyBorder="0" applyAlignment="0" applyProtection="0"/>
    <xf numFmtId="0" fontId="8" fillId="20" borderId="1" applyNumberFormat="0" applyBorder="0" applyAlignment="0" applyProtection="0"/>
    <xf numFmtId="0" fontId="8" fillId="20" borderId="1" applyNumberFormat="0" applyBorder="0" applyAlignment="0" applyProtection="0"/>
    <xf numFmtId="0" fontId="8" fillId="20" borderId="1" applyNumberFormat="0" applyBorder="0" applyAlignment="0" applyProtection="0"/>
    <xf numFmtId="0" fontId="8" fillId="20" borderId="1" applyNumberFormat="0" applyBorder="0" applyAlignment="0" applyProtection="0"/>
    <xf numFmtId="0" fontId="8" fillId="20" borderId="1" applyNumberFormat="0" applyBorder="0" applyAlignment="0" applyProtection="0"/>
    <xf numFmtId="0" fontId="8" fillId="20" borderId="1" applyNumberFormat="0" applyBorder="0" applyAlignment="0" applyProtection="0"/>
    <xf numFmtId="0" fontId="8" fillId="20" borderId="1" applyNumberFormat="0" applyBorder="0" applyAlignment="0" applyProtection="0"/>
    <xf numFmtId="0" fontId="8" fillId="20" borderId="1" applyNumberFormat="0" applyBorder="0" applyAlignment="0" applyProtection="0"/>
    <xf numFmtId="0" fontId="8" fillId="20" borderId="1" applyNumberFormat="0" applyBorder="0" applyAlignment="0" applyProtection="0"/>
    <xf numFmtId="0" fontId="8" fillId="20" borderId="1" applyNumberFormat="0" applyBorder="0" applyAlignment="0" applyProtection="0"/>
    <xf numFmtId="0" fontId="8" fillId="20" borderId="1" applyNumberFormat="0" applyBorder="0" applyAlignment="0" applyProtection="0"/>
    <xf numFmtId="0" fontId="8" fillId="20" borderId="1" applyNumberFormat="0" applyBorder="0" applyAlignment="0" applyProtection="0"/>
    <xf numFmtId="0" fontId="8" fillId="20" borderId="1" applyNumberFormat="0" applyBorder="0" applyAlignment="0" applyProtection="0"/>
    <xf numFmtId="0" fontId="8" fillId="20" borderId="1" applyNumberFormat="0" applyBorder="0" applyAlignment="0" applyProtection="0"/>
    <xf numFmtId="0" fontId="8" fillId="20" borderId="1" applyNumberFormat="0" applyBorder="0" applyAlignment="0" applyProtection="0"/>
    <xf numFmtId="0" fontId="8" fillId="20" borderId="1" applyNumberFormat="0" applyBorder="0" applyAlignment="0" applyProtection="0"/>
    <xf numFmtId="0" fontId="8" fillId="20" borderId="1" applyNumberFormat="0" applyBorder="0" applyAlignment="0" applyProtection="0"/>
    <xf numFmtId="0" fontId="8" fillId="20" borderId="1" applyNumberFormat="0" applyBorder="0" applyAlignment="0" applyProtection="0"/>
    <xf numFmtId="0" fontId="8" fillId="20" borderId="1" applyNumberFormat="0" applyBorder="0" applyAlignment="0" applyProtection="0"/>
    <xf numFmtId="0" fontId="8" fillId="20" borderId="1" applyNumberFormat="0" applyBorder="0" applyAlignment="0" applyProtection="0"/>
    <xf numFmtId="0" fontId="8" fillId="20" borderId="1" applyNumberFormat="0" applyBorder="0" applyAlignment="0" applyProtection="0"/>
    <xf numFmtId="0" fontId="8" fillId="20" borderId="1" applyNumberFormat="0" applyBorder="0" applyAlignment="0" applyProtection="0"/>
    <xf numFmtId="0" fontId="8" fillId="20" borderId="1" applyNumberFormat="0" applyBorder="0" applyAlignment="0" applyProtection="0"/>
    <xf numFmtId="0" fontId="8" fillId="20" borderId="1" applyNumberFormat="0" applyBorder="0" applyAlignment="0" applyProtection="0"/>
    <xf numFmtId="0" fontId="8" fillId="20" borderId="1" applyNumberFormat="0" applyBorder="0" applyAlignment="0" applyProtection="0"/>
    <xf numFmtId="0" fontId="8" fillId="20" borderId="1" applyNumberFormat="0" applyBorder="0" applyAlignment="0" applyProtection="0"/>
    <xf numFmtId="0" fontId="8" fillId="20" borderId="1" applyNumberFormat="0" applyBorder="0" applyAlignment="0" applyProtection="0"/>
    <xf numFmtId="0" fontId="8" fillId="24" borderId="1" applyNumberFormat="0" applyBorder="0" applyAlignment="0" applyProtection="0"/>
    <xf numFmtId="0" fontId="8" fillId="24" borderId="1" applyNumberFormat="0" applyBorder="0" applyAlignment="0" applyProtection="0"/>
    <xf numFmtId="0" fontId="8" fillId="24" borderId="1" applyNumberFormat="0" applyBorder="0" applyAlignment="0" applyProtection="0"/>
    <xf numFmtId="0" fontId="8" fillId="24" borderId="1" applyNumberFormat="0" applyBorder="0" applyAlignment="0" applyProtection="0"/>
    <xf numFmtId="0" fontId="8" fillId="24" borderId="1" applyNumberFormat="0" applyBorder="0" applyAlignment="0" applyProtection="0"/>
    <xf numFmtId="0" fontId="8" fillId="24" borderId="1" applyNumberFormat="0" applyBorder="0" applyAlignment="0" applyProtection="0"/>
    <xf numFmtId="0" fontId="8" fillId="24" borderId="1" applyNumberFormat="0" applyBorder="0" applyAlignment="0" applyProtection="0"/>
    <xf numFmtId="0" fontId="8" fillId="24" borderId="1" applyNumberFormat="0" applyBorder="0" applyAlignment="0" applyProtection="0"/>
    <xf numFmtId="0" fontId="8" fillId="24" borderId="1" applyNumberFormat="0" applyBorder="0" applyAlignment="0" applyProtection="0"/>
    <xf numFmtId="0" fontId="8" fillId="24" borderId="1" applyNumberFormat="0" applyBorder="0" applyAlignment="0" applyProtection="0"/>
    <xf numFmtId="0" fontId="8" fillId="24" borderId="1" applyNumberFormat="0" applyBorder="0" applyAlignment="0" applyProtection="0"/>
    <xf numFmtId="0" fontId="8" fillId="24" borderId="1" applyNumberFormat="0" applyBorder="0" applyAlignment="0" applyProtection="0"/>
    <xf numFmtId="0" fontId="8" fillId="24" borderId="1" applyNumberFormat="0" applyBorder="0" applyAlignment="0" applyProtection="0"/>
    <xf numFmtId="0" fontId="8" fillId="24" borderId="1" applyNumberFormat="0" applyBorder="0" applyAlignment="0" applyProtection="0"/>
    <xf numFmtId="0" fontId="8" fillId="24" borderId="1" applyNumberFormat="0" applyBorder="0" applyAlignment="0" applyProtection="0"/>
    <xf numFmtId="0" fontId="8" fillId="24" borderId="1" applyNumberFormat="0" applyBorder="0" applyAlignment="0" applyProtection="0"/>
    <xf numFmtId="0" fontId="8" fillId="24" borderId="1" applyNumberFormat="0" applyBorder="0" applyAlignment="0" applyProtection="0"/>
    <xf numFmtId="0" fontId="8" fillId="24" borderId="1" applyNumberFormat="0" applyBorder="0" applyAlignment="0" applyProtection="0"/>
    <xf numFmtId="0" fontId="8" fillId="24" borderId="1" applyNumberFormat="0" applyBorder="0" applyAlignment="0" applyProtection="0"/>
    <xf numFmtId="0" fontId="8" fillId="24" borderId="1" applyNumberFormat="0" applyBorder="0" applyAlignment="0" applyProtection="0"/>
    <xf numFmtId="0" fontId="8" fillId="24" borderId="1" applyNumberFormat="0" applyBorder="0" applyAlignment="0" applyProtection="0"/>
    <xf numFmtId="0" fontId="8" fillId="24" borderId="1" applyNumberFormat="0" applyBorder="0" applyAlignment="0" applyProtection="0"/>
    <xf numFmtId="0" fontId="8" fillId="24" borderId="1" applyNumberFormat="0" applyBorder="0" applyAlignment="0" applyProtection="0"/>
    <xf numFmtId="0" fontId="8" fillId="24" borderId="1" applyNumberFormat="0" applyBorder="0" applyAlignment="0" applyProtection="0"/>
    <xf numFmtId="0" fontId="8" fillId="24" borderId="1" applyNumberFormat="0" applyBorder="0" applyAlignment="0" applyProtection="0"/>
    <xf numFmtId="0" fontId="8" fillId="24" borderId="1" applyNumberFormat="0" applyBorder="0" applyAlignment="0" applyProtection="0"/>
    <xf numFmtId="0" fontId="8" fillId="24" borderId="1" applyNumberFormat="0" applyBorder="0" applyAlignment="0" applyProtection="0"/>
    <xf numFmtId="0" fontId="8" fillId="24" borderId="1" applyNumberFormat="0" applyBorder="0" applyAlignment="0" applyProtection="0"/>
    <xf numFmtId="0" fontId="8" fillId="24" borderId="1" applyNumberFormat="0" applyBorder="0" applyAlignment="0" applyProtection="0"/>
    <xf numFmtId="0" fontId="8" fillId="24" borderId="1" applyNumberFormat="0" applyBorder="0" applyAlignment="0" applyProtection="0"/>
    <xf numFmtId="0" fontId="8" fillId="24" borderId="1" applyNumberFormat="0" applyBorder="0" applyAlignment="0" applyProtection="0"/>
    <xf numFmtId="0" fontId="8" fillId="28" borderId="1" applyNumberFormat="0" applyBorder="0" applyAlignment="0" applyProtection="0"/>
    <xf numFmtId="0" fontId="8" fillId="28" borderId="1" applyNumberFormat="0" applyBorder="0" applyAlignment="0" applyProtection="0"/>
    <xf numFmtId="0" fontId="8" fillId="28" borderId="1" applyNumberFormat="0" applyBorder="0" applyAlignment="0" applyProtection="0"/>
    <xf numFmtId="0" fontId="8" fillId="28" borderId="1" applyNumberFormat="0" applyBorder="0" applyAlignment="0" applyProtection="0"/>
    <xf numFmtId="0" fontId="8" fillId="28" borderId="1" applyNumberFormat="0" applyBorder="0" applyAlignment="0" applyProtection="0"/>
    <xf numFmtId="0" fontId="8" fillId="28" borderId="1" applyNumberFormat="0" applyBorder="0" applyAlignment="0" applyProtection="0"/>
    <xf numFmtId="0" fontId="8" fillId="28" borderId="1" applyNumberFormat="0" applyBorder="0" applyAlignment="0" applyProtection="0"/>
    <xf numFmtId="0" fontId="8" fillId="28" borderId="1" applyNumberFormat="0" applyBorder="0" applyAlignment="0" applyProtection="0"/>
    <xf numFmtId="0" fontId="8" fillId="28" borderId="1" applyNumberFormat="0" applyBorder="0" applyAlignment="0" applyProtection="0"/>
    <xf numFmtId="0" fontId="8" fillId="28" borderId="1" applyNumberFormat="0" applyBorder="0" applyAlignment="0" applyProtection="0"/>
    <xf numFmtId="0" fontId="8" fillId="28" borderId="1" applyNumberFormat="0" applyBorder="0" applyAlignment="0" applyProtection="0"/>
    <xf numFmtId="0" fontId="8" fillId="28" borderId="1" applyNumberFormat="0" applyBorder="0" applyAlignment="0" applyProtection="0"/>
    <xf numFmtId="0" fontId="8" fillId="28" borderId="1" applyNumberFormat="0" applyBorder="0" applyAlignment="0" applyProtection="0"/>
    <xf numFmtId="0" fontId="8" fillId="28" borderId="1" applyNumberFormat="0" applyBorder="0" applyAlignment="0" applyProtection="0"/>
    <xf numFmtId="0" fontId="8" fillId="28" borderId="1" applyNumberFormat="0" applyBorder="0" applyAlignment="0" applyProtection="0"/>
    <xf numFmtId="0" fontId="8" fillId="28" borderId="1" applyNumberFormat="0" applyBorder="0" applyAlignment="0" applyProtection="0"/>
    <xf numFmtId="0" fontId="8" fillId="28" borderId="1" applyNumberFormat="0" applyBorder="0" applyAlignment="0" applyProtection="0"/>
    <xf numFmtId="0" fontId="8" fillId="28" borderId="1" applyNumberFormat="0" applyBorder="0" applyAlignment="0" applyProtection="0"/>
    <xf numFmtId="0" fontId="8" fillId="28" borderId="1" applyNumberFormat="0" applyBorder="0" applyAlignment="0" applyProtection="0"/>
    <xf numFmtId="0" fontId="8" fillId="28" borderId="1" applyNumberFormat="0" applyBorder="0" applyAlignment="0" applyProtection="0"/>
    <xf numFmtId="0" fontId="8" fillId="28" borderId="1" applyNumberFormat="0" applyBorder="0" applyAlignment="0" applyProtection="0"/>
    <xf numFmtId="0" fontId="8" fillId="28" borderId="1" applyNumberFormat="0" applyBorder="0" applyAlignment="0" applyProtection="0"/>
    <xf numFmtId="0" fontId="8" fillId="28" borderId="1" applyNumberFormat="0" applyBorder="0" applyAlignment="0" applyProtection="0"/>
    <xf numFmtId="0" fontId="8" fillId="28" borderId="1" applyNumberFormat="0" applyBorder="0" applyAlignment="0" applyProtection="0"/>
    <xf numFmtId="0" fontId="8" fillId="28" borderId="1" applyNumberFormat="0" applyBorder="0" applyAlignment="0" applyProtection="0"/>
    <xf numFmtId="0" fontId="8" fillId="28" borderId="1" applyNumberFormat="0" applyBorder="0" applyAlignment="0" applyProtection="0"/>
    <xf numFmtId="0" fontId="8" fillId="28" borderId="1" applyNumberFormat="0" applyBorder="0" applyAlignment="0" applyProtection="0"/>
    <xf numFmtId="0" fontId="8" fillId="28" borderId="1" applyNumberFormat="0" applyBorder="0" applyAlignment="0" applyProtection="0"/>
    <xf numFmtId="0" fontId="8" fillId="28" borderId="1" applyNumberFormat="0" applyBorder="0" applyAlignment="0" applyProtection="0"/>
    <xf numFmtId="0" fontId="8" fillId="28" borderId="1" applyNumberFormat="0" applyBorder="0" applyAlignment="0" applyProtection="0"/>
    <xf numFmtId="0" fontId="8" fillId="28" borderId="1" applyNumberFormat="0" applyBorder="0" applyAlignment="0" applyProtection="0"/>
    <xf numFmtId="0" fontId="8" fillId="32" borderId="1" applyNumberFormat="0" applyBorder="0" applyAlignment="0" applyProtection="0"/>
    <xf numFmtId="0" fontId="8" fillId="32" borderId="1" applyNumberFormat="0" applyBorder="0" applyAlignment="0" applyProtection="0"/>
    <xf numFmtId="0" fontId="8" fillId="32" borderId="1" applyNumberFormat="0" applyBorder="0" applyAlignment="0" applyProtection="0"/>
    <xf numFmtId="0" fontId="8" fillId="32" borderId="1" applyNumberFormat="0" applyBorder="0" applyAlignment="0" applyProtection="0"/>
    <xf numFmtId="0" fontId="8" fillId="32" borderId="1" applyNumberFormat="0" applyBorder="0" applyAlignment="0" applyProtection="0"/>
    <xf numFmtId="0" fontId="8" fillId="32" borderId="1" applyNumberFormat="0" applyBorder="0" applyAlignment="0" applyProtection="0"/>
    <xf numFmtId="0" fontId="8" fillId="32" borderId="1" applyNumberFormat="0" applyBorder="0" applyAlignment="0" applyProtection="0"/>
    <xf numFmtId="0" fontId="8" fillId="32" borderId="1" applyNumberFormat="0" applyBorder="0" applyAlignment="0" applyProtection="0"/>
    <xf numFmtId="0" fontId="8" fillId="32" borderId="1" applyNumberFormat="0" applyBorder="0" applyAlignment="0" applyProtection="0"/>
    <xf numFmtId="0" fontId="8" fillId="32" borderId="1" applyNumberFormat="0" applyBorder="0" applyAlignment="0" applyProtection="0"/>
    <xf numFmtId="0" fontId="8" fillId="32" borderId="1" applyNumberFormat="0" applyBorder="0" applyAlignment="0" applyProtection="0"/>
    <xf numFmtId="0" fontId="8" fillId="32" borderId="1" applyNumberFormat="0" applyBorder="0" applyAlignment="0" applyProtection="0"/>
    <xf numFmtId="0" fontId="8" fillId="32" borderId="1" applyNumberFormat="0" applyBorder="0" applyAlignment="0" applyProtection="0"/>
    <xf numFmtId="0" fontId="8" fillId="32" borderId="1" applyNumberFormat="0" applyBorder="0" applyAlignment="0" applyProtection="0"/>
    <xf numFmtId="0" fontId="8" fillId="32" borderId="1" applyNumberFormat="0" applyBorder="0" applyAlignment="0" applyProtection="0"/>
    <xf numFmtId="0" fontId="8" fillId="32" borderId="1" applyNumberFormat="0" applyBorder="0" applyAlignment="0" applyProtection="0"/>
    <xf numFmtId="0" fontId="8" fillId="32" borderId="1" applyNumberFormat="0" applyBorder="0" applyAlignment="0" applyProtection="0"/>
    <xf numFmtId="0" fontId="8" fillId="32" borderId="1" applyNumberFormat="0" applyBorder="0" applyAlignment="0" applyProtection="0"/>
    <xf numFmtId="0" fontId="8" fillId="32" borderId="1" applyNumberFormat="0" applyBorder="0" applyAlignment="0" applyProtection="0"/>
    <xf numFmtId="0" fontId="8" fillId="32" borderId="1" applyNumberFormat="0" applyBorder="0" applyAlignment="0" applyProtection="0"/>
    <xf numFmtId="0" fontId="8" fillId="32" borderId="1" applyNumberFormat="0" applyBorder="0" applyAlignment="0" applyProtection="0"/>
    <xf numFmtId="0" fontId="8" fillId="32" borderId="1" applyNumberFormat="0" applyBorder="0" applyAlignment="0" applyProtection="0"/>
    <xf numFmtId="0" fontId="8" fillId="32" borderId="1" applyNumberFormat="0" applyBorder="0" applyAlignment="0" applyProtection="0"/>
    <xf numFmtId="0" fontId="8" fillId="32" borderId="1" applyNumberFormat="0" applyBorder="0" applyAlignment="0" applyProtection="0"/>
    <xf numFmtId="0" fontId="8" fillId="32" borderId="1" applyNumberFormat="0" applyBorder="0" applyAlignment="0" applyProtection="0"/>
    <xf numFmtId="0" fontId="8" fillId="32" borderId="1" applyNumberFormat="0" applyBorder="0" applyAlignment="0" applyProtection="0"/>
    <xf numFmtId="0" fontId="8" fillId="32" borderId="1" applyNumberFormat="0" applyBorder="0" applyAlignment="0" applyProtection="0"/>
    <xf numFmtId="0" fontId="8" fillId="32" borderId="1" applyNumberFormat="0" applyBorder="0" applyAlignment="0" applyProtection="0"/>
    <xf numFmtId="0" fontId="8" fillId="32" borderId="1" applyNumberFormat="0" applyBorder="0" applyAlignment="0" applyProtection="0"/>
    <xf numFmtId="0" fontId="8" fillId="32" borderId="1" applyNumberFormat="0" applyBorder="0" applyAlignment="0" applyProtection="0"/>
    <xf numFmtId="0" fontId="8" fillId="32" borderId="1" applyNumberFormat="0" applyBorder="0" applyAlignment="0" applyProtection="0"/>
    <xf numFmtId="0" fontId="8" fillId="36" borderId="1" applyNumberFormat="0" applyBorder="0" applyAlignment="0" applyProtection="0"/>
    <xf numFmtId="0" fontId="8" fillId="36" borderId="1" applyNumberFormat="0" applyBorder="0" applyAlignment="0" applyProtection="0"/>
    <xf numFmtId="0" fontId="8" fillId="36" borderId="1" applyNumberFormat="0" applyBorder="0" applyAlignment="0" applyProtection="0"/>
    <xf numFmtId="0" fontId="8" fillId="36" borderId="1" applyNumberFormat="0" applyBorder="0" applyAlignment="0" applyProtection="0"/>
    <xf numFmtId="0" fontId="8" fillId="36" borderId="1" applyNumberFormat="0" applyBorder="0" applyAlignment="0" applyProtection="0"/>
    <xf numFmtId="0" fontId="8" fillId="36" borderId="1" applyNumberFormat="0" applyBorder="0" applyAlignment="0" applyProtection="0"/>
    <xf numFmtId="0" fontId="8" fillId="36" borderId="1" applyNumberFormat="0" applyBorder="0" applyAlignment="0" applyProtection="0"/>
    <xf numFmtId="0" fontId="8" fillId="36" borderId="1" applyNumberFormat="0" applyBorder="0" applyAlignment="0" applyProtection="0"/>
    <xf numFmtId="0" fontId="8" fillId="36" borderId="1" applyNumberFormat="0" applyBorder="0" applyAlignment="0" applyProtection="0"/>
    <xf numFmtId="0" fontId="8" fillId="36" borderId="1" applyNumberFormat="0" applyBorder="0" applyAlignment="0" applyProtection="0"/>
    <xf numFmtId="0" fontId="8" fillId="36" borderId="1" applyNumberFormat="0" applyBorder="0" applyAlignment="0" applyProtection="0"/>
    <xf numFmtId="0" fontId="8" fillId="36" borderId="1" applyNumberFormat="0" applyBorder="0" applyAlignment="0" applyProtection="0"/>
    <xf numFmtId="0" fontId="8" fillId="36" borderId="1" applyNumberFormat="0" applyBorder="0" applyAlignment="0" applyProtection="0"/>
    <xf numFmtId="0" fontId="8" fillId="36" borderId="1" applyNumberFormat="0" applyBorder="0" applyAlignment="0" applyProtection="0"/>
    <xf numFmtId="0" fontId="8" fillId="36" borderId="1" applyNumberFormat="0" applyBorder="0" applyAlignment="0" applyProtection="0"/>
    <xf numFmtId="0" fontId="8" fillId="36" borderId="1" applyNumberFormat="0" applyBorder="0" applyAlignment="0" applyProtection="0"/>
    <xf numFmtId="0" fontId="8" fillId="36" borderId="1" applyNumberFormat="0" applyBorder="0" applyAlignment="0" applyProtection="0"/>
    <xf numFmtId="0" fontId="8" fillId="36" borderId="1" applyNumberFormat="0" applyBorder="0" applyAlignment="0" applyProtection="0"/>
    <xf numFmtId="0" fontId="8" fillId="36" borderId="1" applyNumberFormat="0" applyBorder="0" applyAlignment="0" applyProtection="0"/>
    <xf numFmtId="0" fontId="8" fillId="36" borderId="1" applyNumberFormat="0" applyBorder="0" applyAlignment="0" applyProtection="0"/>
    <xf numFmtId="0" fontId="8" fillId="36" borderId="1" applyNumberFormat="0" applyBorder="0" applyAlignment="0" applyProtection="0"/>
    <xf numFmtId="0" fontId="8" fillId="36" borderId="1" applyNumberFormat="0" applyBorder="0" applyAlignment="0" applyProtection="0"/>
    <xf numFmtId="0" fontId="8" fillId="36" borderId="1" applyNumberFormat="0" applyBorder="0" applyAlignment="0" applyProtection="0"/>
    <xf numFmtId="0" fontId="8" fillId="36" borderId="1" applyNumberFormat="0" applyBorder="0" applyAlignment="0" applyProtection="0"/>
    <xf numFmtId="0" fontId="8" fillId="36" borderId="1" applyNumberFormat="0" applyBorder="0" applyAlignment="0" applyProtection="0"/>
    <xf numFmtId="0" fontId="8" fillId="36" borderId="1" applyNumberFormat="0" applyBorder="0" applyAlignment="0" applyProtection="0"/>
    <xf numFmtId="0" fontId="8" fillId="36" borderId="1" applyNumberFormat="0" applyBorder="0" applyAlignment="0" applyProtection="0"/>
    <xf numFmtId="0" fontId="8" fillId="36" borderId="1" applyNumberFormat="0" applyBorder="0" applyAlignment="0" applyProtection="0"/>
    <xf numFmtId="0" fontId="8" fillId="36" borderId="1" applyNumberFormat="0" applyBorder="0" applyAlignment="0" applyProtection="0"/>
    <xf numFmtId="0" fontId="8" fillId="36" borderId="1" applyNumberFormat="0" applyBorder="0" applyAlignment="0" applyProtection="0"/>
    <xf numFmtId="0" fontId="8" fillId="36" borderId="1" applyNumberFormat="0" applyBorder="0" applyAlignment="0" applyProtection="0"/>
    <xf numFmtId="0" fontId="82" fillId="55" borderId="1" applyNumberFormat="0" applyBorder="0" applyAlignment="0" applyProtection="0"/>
    <xf numFmtId="0" fontId="82" fillId="52" borderId="1" applyNumberFormat="0" applyBorder="0" applyAlignment="0" applyProtection="0"/>
    <xf numFmtId="0" fontId="82" fillId="53" borderId="1" applyNumberFormat="0" applyBorder="0" applyAlignment="0" applyProtection="0"/>
    <xf numFmtId="0" fontId="82" fillId="56" borderId="1" applyNumberFormat="0" applyBorder="0" applyAlignment="0" applyProtection="0"/>
    <xf numFmtId="0" fontId="82" fillId="39" borderId="1" applyNumberFormat="0" applyBorder="0" applyAlignment="0" applyProtection="0"/>
    <xf numFmtId="0" fontId="82" fillId="57" borderId="1" applyNumberFormat="0" applyBorder="0" applyAlignment="0" applyProtection="0"/>
    <xf numFmtId="0" fontId="83" fillId="58" borderId="1" applyNumberFormat="0" applyBorder="0" applyAlignment="0" applyProtection="0"/>
    <xf numFmtId="0" fontId="83" fillId="59" borderId="1" applyNumberFormat="0" applyBorder="0" applyAlignment="0" applyProtection="0"/>
    <xf numFmtId="0" fontId="84" fillId="60" borderId="1" applyNumberFormat="0" applyBorder="0" applyAlignment="0" applyProtection="0"/>
    <xf numFmtId="0" fontId="83" fillId="61" borderId="1" applyNumberFormat="0" applyBorder="0" applyAlignment="0" applyProtection="0"/>
    <xf numFmtId="0" fontId="83" fillId="62" borderId="1" applyNumberFormat="0" applyBorder="0" applyAlignment="0" applyProtection="0"/>
    <xf numFmtId="0" fontId="84" fillId="63" borderId="1" applyNumberFormat="0" applyBorder="0" applyAlignment="0" applyProtection="0"/>
    <xf numFmtId="0" fontId="83" fillId="64" borderId="1" applyNumberFormat="0" applyBorder="0" applyAlignment="0" applyProtection="0"/>
    <xf numFmtId="0" fontId="83" fillId="65" borderId="1" applyNumberFormat="0" applyBorder="0" applyAlignment="0" applyProtection="0"/>
    <xf numFmtId="0" fontId="84" fillId="66" borderId="1" applyNumberFormat="0" applyBorder="0" applyAlignment="0" applyProtection="0"/>
    <xf numFmtId="0" fontId="83" fillId="61" borderId="1" applyNumberFormat="0" applyBorder="0" applyAlignment="0" applyProtection="0"/>
    <xf numFmtId="0" fontId="83" fillId="67" borderId="1" applyNumberFormat="0" applyBorder="0" applyAlignment="0" applyProtection="0"/>
    <xf numFmtId="0" fontId="84" fillId="62" borderId="1" applyNumberFormat="0" applyBorder="0" applyAlignment="0" applyProtection="0"/>
    <xf numFmtId="0" fontId="83" fillId="68" borderId="1" applyNumberFormat="0" applyBorder="0" applyAlignment="0" applyProtection="0"/>
    <xf numFmtId="0" fontId="83" fillId="69" borderId="1" applyNumberFormat="0" applyBorder="0" applyAlignment="0" applyProtection="0"/>
    <xf numFmtId="0" fontId="84" fillId="60" borderId="1" applyNumberFormat="0" applyBorder="0" applyAlignment="0" applyProtection="0"/>
    <xf numFmtId="0" fontId="83" fillId="70" borderId="1" applyNumberFormat="0" applyBorder="0" applyAlignment="0" applyProtection="0"/>
    <xf numFmtId="0" fontId="83" fillId="71" borderId="1" applyNumberFormat="0" applyBorder="0" applyAlignment="0" applyProtection="0"/>
    <xf numFmtId="0" fontId="84" fillId="72" borderId="1" applyNumberFormat="0" applyBorder="0" applyAlignment="0" applyProtection="0"/>
    <xf numFmtId="0" fontId="82" fillId="73" borderId="1" applyNumberFormat="0" applyBorder="0" applyAlignment="0" applyProtection="0"/>
    <xf numFmtId="0" fontId="82" fillId="74" borderId="1" applyNumberFormat="0" applyBorder="0" applyAlignment="0" applyProtection="0"/>
    <xf numFmtId="0" fontId="82" fillId="75" borderId="1" applyNumberFormat="0" applyBorder="0" applyAlignment="0" applyProtection="0"/>
    <xf numFmtId="0" fontId="82" fillId="56" borderId="1" applyNumberFormat="0" applyBorder="0" applyAlignment="0" applyProtection="0"/>
    <xf numFmtId="0" fontId="82" fillId="39" borderId="1" applyNumberFormat="0" applyBorder="0" applyAlignment="0" applyProtection="0"/>
    <xf numFmtId="0" fontId="82" fillId="76" borderId="1" applyNumberFormat="0" applyBorder="0" applyAlignment="0" applyProtection="0"/>
    <xf numFmtId="0" fontId="83" fillId="65" borderId="1" applyNumberFormat="0" applyBorder="0" applyAlignment="0" applyProtection="0"/>
    <xf numFmtId="0" fontId="85" fillId="77" borderId="85" applyNumberFormat="0" applyAlignment="0" applyProtection="0"/>
    <xf numFmtId="0" fontId="86" fillId="78" borderId="96" applyNumberFormat="0" applyAlignment="0" applyProtection="0"/>
    <xf numFmtId="0" fontId="87" fillId="0" borderId="97" applyNumberFormat="0" applyFill="0" applyAlignment="0" applyProtection="0"/>
    <xf numFmtId="174" fontId="88" fillId="0" borderId="1" applyFont="0" applyFill="0" applyBorder="0" applyAlignment="0" applyProtection="0"/>
    <xf numFmtId="0" fontId="89" fillId="50" borderId="98" applyNumberFormat="0" applyAlignment="0" applyProtection="0"/>
    <xf numFmtId="0" fontId="90" fillId="79" borderId="99" applyNumberFormat="0" applyAlignment="0" applyProtection="0"/>
    <xf numFmtId="0" fontId="91" fillId="47" borderId="1" applyNumberFormat="0" applyBorder="0" applyAlignment="0" applyProtection="0"/>
    <xf numFmtId="0" fontId="92" fillId="80" borderId="1" applyNumberFormat="0" applyBorder="0" applyAlignment="0" applyProtection="0"/>
    <xf numFmtId="0" fontId="92" fillId="81" borderId="1" applyNumberFormat="0" applyBorder="0" applyAlignment="0" applyProtection="0"/>
    <xf numFmtId="0" fontId="92" fillId="82" borderId="1" applyNumberFormat="0" applyBorder="0" applyAlignment="0" applyProtection="0"/>
    <xf numFmtId="0" fontId="93" fillId="0" borderId="1" applyNumberFormat="0" applyFill="0" applyBorder="0" applyAlignment="0" applyProtection="0"/>
    <xf numFmtId="0" fontId="84" fillId="83" borderId="1" applyNumberFormat="0" applyBorder="0" applyAlignment="0" applyProtection="0"/>
    <xf numFmtId="0" fontId="84" fillId="84" borderId="1" applyNumberFormat="0" applyBorder="0" applyAlignment="0" applyProtection="0"/>
    <xf numFmtId="0" fontId="84" fillId="85" borderId="1" applyNumberFormat="0" applyBorder="0" applyAlignment="0" applyProtection="0"/>
    <xf numFmtId="0" fontId="84" fillId="78" borderId="1" applyNumberFormat="0" applyBorder="0" applyAlignment="0" applyProtection="0"/>
    <xf numFmtId="0" fontId="84" fillId="60" borderId="1" applyNumberFormat="0" applyBorder="0" applyAlignment="0" applyProtection="0"/>
    <xf numFmtId="0" fontId="84" fillId="86" borderId="1" applyNumberFormat="0" applyBorder="0" applyAlignment="0" applyProtection="0"/>
    <xf numFmtId="0" fontId="94" fillId="71" borderId="85" applyNumberFormat="0" applyAlignment="0" applyProtection="0"/>
    <xf numFmtId="175" fontId="88" fillId="0" borderId="1" applyFont="0" applyFill="0" applyBorder="0" applyAlignment="0" applyProtection="0"/>
    <xf numFmtId="0" fontId="80" fillId="0" borderId="1" applyNumberFormat="0" applyFill="0" applyBorder="0" applyAlignment="0" applyProtection="0">
      <alignment vertical="top"/>
      <protection locked="0"/>
    </xf>
    <xf numFmtId="0" fontId="95" fillId="0" borderId="1" applyNumberFormat="0" applyFill="0" applyBorder="0" applyAlignment="0" applyProtection="0"/>
    <xf numFmtId="0" fontId="96" fillId="70" borderId="1" applyNumberFormat="0" applyBorder="0" applyAlignment="0" applyProtection="0"/>
    <xf numFmtId="0" fontId="97" fillId="0" borderId="100" applyNumberFormat="0" applyFill="0" applyAlignment="0" applyProtection="0"/>
    <xf numFmtId="0" fontId="98" fillId="87" borderId="96" applyNumberFormat="0" applyAlignment="0" applyProtection="0"/>
    <xf numFmtId="165" fontId="8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8" fillId="0" borderId="1" applyFont="0" applyFill="0" applyBorder="0" applyAlignment="0" applyProtection="0"/>
    <xf numFmtId="165" fontId="88" fillId="0" borderId="1" applyFont="0" applyFill="0" applyBorder="0" applyAlignment="0" applyProtection="0"/>
    <xf numFmtId="165" fontId="8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3" fillId="0" borderId="1" applyFont="0" applyFill="0" applyBorder="0" applyAlignment="0" applyProtection="0"/>
    <xf numFmtId="165" fontId="83" fillId="0" borderId="1" applyFont="0" applyFill="0" applyBorder="0" applyAlignment="0" applyProtection="0"/>
    <xf numFmtId="165" fontId="83" fillId="0" borderId="1" applyFont="0" applyFill="0" applyBorder="0" applyAlignment="0" applyProtection="0"/>
    <xf numFmtId="165" fontId="83" fillId="0" borderId="1" applyFont="0" applyFill="0" applyBorder="0" applyAlignment="0" applyProtection="0"/>
    <xf numFmtId="165" fontId="83" fillId="0" borderId="1" applyFont="0" applyFill="0" applyBorder="0" applyAlignment="0" applyProtection="0"/>
    <xf numFmtId="165" fontId="83"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4" fontId="88" fillId="0" borderId="1" applyFont="0" applyFill="0" applyBorder="0" applyAlignment="0" applyProtection="0">
      <alignment wrapText="1"/>
    </xf>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99" fillId="0" borderId="1" applyFont="0" applyFill="0" applyBorder="0" applyAlignment="0" applyProtection="0"/>
    <xf numFmtId="165" fontId="99" fillId="0" borderId="1" applyFont="0" applyFill="0" applyBorder="0" applyAlignment="0" applyProtection="0"/>
    <xf numFmtId="165" fontId="99" fillId="0" borderId="1" applyFont="0" applyFill="0" applyBorder="0" applyAlignment="0" applyProtection="0"/>
    <xf numFmtId="165" fontId="99" fillId="0" borderId="1" applyFont="0" applyFill="0" applyBorder="0" applyAlignment="0" applyProtection="0"/>
    <xf numFmtId="165" fontId="99" fillId="0" borderId="1" applyFont="0" applyFill="0" applyBorder="0" applyAlignment="0" applyProtection="0"/>
    <xf numFmtId="165" fontId="99" fillId="0" borderId="1" applyFont="0" applyFill="0" applyBorder="0" applyAlignment="0" applyProtection="0"/>
    <xf numFmtId="165" fontId="83"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3" fillId="0" borderId="1" applyFont="0" applyFill="0" applyBorder="0" applyAlignment="0" applyProtection="0"/>
    <xf numFmtId="165" fontId="83" fillId="0" borderId="1" applyFont="0" applyFill="0" applyBorder="0" applyAlignment="0" applyProtection="0"/>
    <xf numFmtId="165" fontId="83" fillId="0" borderId="1" applyFont="0" applyFill="0" applyBorder="0" applyAlignment="0" applyProtection="0"/>
    <xf numFmtId="165" fontId="83" fillId="0" borderId="1" applyFont="0" applyFill="0" applyBorder="0" applyAlignment="0" applyProtection="0"/>
    <xf numFmtId="165" fontId="83" fillId="0" borderId="1" applyFont="0" applyFill="0" applyBorder="0" applyAlignment="0" applyProtection="0"/>
    <xf numFmtId="165" fontId="83"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3" fillId="0" borderId="1" applyFont="0" applyFill="0" applyBorder="0" applyAlignment="0" applyProtection="0"/>
    <xf numFmtId="165" fontId="8" fillId="0" borderId="1" applyFont="0" applyFill="0" applyBorder="0" applyAlignment="0" applyProtection="0"/>
    <xf numFmtId="165" fontId="83"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165" fontId="8" fillId="0" borderId="1" applyFont="0" applyFill="0" applyBorder="0" applyAlignment="0" applyProtection="0"/>
    <xf numFmtId="0" fontId="100" fillId="0" borderId="101" applyNumberFormat="0" applyFill="0" applyAlignment="0" applyProtection="0"/>
    <xf numFmtId="0" fontId="101" fillId="0" borderId="102" applyNumberFormat="0" applyFill="0" applyAlignment="0" applyProtection="0"/>
    <xf numFmtId="0" fontId="102" fillId="0" borderId="103" applyNumberFormat="0" applyFill="0" applyAlignment="0" applyProtection="0"/>
    <xf numFmtId="0" fontId="102" fillId="0" borderId="1" applyNumberFormat="0" applyFill="0" applyBorder="0" applyAlignment="0" applyProtection="0"/>
    <xf numFmtId="0" fontId="87" fillId="71" borderId="1" applyNumberFormat="0" applyBorder="0" applyAlignment="0" applyProtection="0"/>
    <xf numFmtId="0" fontId="103" fillId="88" borderId="1" applyNumberFormat="0" applyBorder="0" applyAlignment="0" applyProtection="0"/>
    <xf numFmtId="0" fontId="8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104" fillId="0" borderId="1" applyNumberFormat="0" applyFill="0" applyBorder="0">
      <alignment vertical="center"/>
    </xf>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8" fillId="0" borderId="1"/>
    <xf numFmtId="0" fontId="88" fillId="0" borderId="1">
      <alignment wrapText="1"/>
    </xf>
    <xf numFmtId="0" fontId="88" fillId="0" borderId="1"/>
    <xf numFmtId="0" fontId="8" fillId="0" borderId="1"/>
    <xf numFmtId="0" fontId="8" fillId="0" borderId="1"/>
    <xf numFmtId="0" fontId="88" fillId="0" borderId="1"/>
    <xf numFmtId="0" fontId="88" fillId="0" borderId="1"/>
    <xf numFmtId="0" fontId="88" fillId="0" borderId="1"/>
    <xf numFmtId="0" fontId="8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8" fillId="0" borderId="1"/>
    <xf numFmtId="0" fontId="88" fillId="0" borderId="1"/>
    <xf numFmtId="0" fontId="88" fillId="0" borderId="1"/>
    <xf numFmtId="0" fontId="8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8" fillId="0" borderId="1">
      <alignment wrapText="1"/>
    </xf>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8" fillId="0" borderId="1"/>
    <xf numFmtId="0" fontId="8" fillId="0" borderId="1"/>
    <xf numFmtId="0" fontId="8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8" fillId="0" borderId="1"/>
    <xf numFmtId="0" fontId="8" fillId="0" borderId="1"/>
    <xf numFmtId="0" fontId="8" fillId="0" borderId="1"/>
    <xf numFmtId="0" fontId="8" fillId="0" borderId="1"/>
    <xf numFmtId="0" fontId="8" fillId="0" borderId="1"/>
    <xf numFmtId="0" fontId="8" fillId="0" borderId="1"/>
    <xf numFmtId="0" fontId="8" fillId="0" borderId="1"/>
    <xf numFmtId="0" fontId="88" fillId="0" borderId="1"/>
    <xf numFmtId="0" fontId="8" fillId="0" borderId="1"/>
    <xf numFmtId="0" fontId="8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8" fillId="0" borderId="1" applyFill="0"/>
    <xf numFmtId="0" fontId="8" fillId="0" borderId="1"/>
    <xf numFmtId="0" fontId="8" fillId="0" borderId="1"/>
    <xf numFmtId="0" fontId="8" fillId="0" borderId="1"/>
    <xf numFmtId="0" fontId="8" fillId="0" borderId="1"/>
    <xf numFmtId="0" fontId="88" fillId="0" borderId="1"/>
    <xf numFmtId="0" fontId="8" fillId="0" borderId="1"/>
    <xf numFmtId="0" fontId="8" fillId="0" borderId="1"/>
    <xf numFmtId="0" fontId="8" fillId="0" borderId="1"/>
    <xf numFmtId="0" fontId="88" fillId="0" borderId="1"/>
    <xf numFmtId="0" fontId="66" fillId="89" borderId="1"/>
    <xf numFmtId="0" fontId="66" fillId="89" borderId="1"/>
    <xf numFmtId="0" fontId="66" fillId="89" borderId="1"/>
    <xf numFmtId="0" fontId="8" fillId="13" borderId="83" applyNumberFormat="0" applyFont="0" applyAlignment="0" applyProtection="0"/>
    <xf numFmtId="0" fontId="8" fillId="13" borderId="83" applyNumberFormat="0" applyFont="0" applyAlignment="0" applyProtection="0"/>
    <xf numFmtId="0" fontId="8" fillId="13" borderId="83" applyNumberFormat="0" applyFont="0" applyAlignment="0" applyProtection="0"/>
    <xf numFmtId="0" fontId="8" fillId="13" borderId="83" applyNumberFormat="0" applyFont="0" applyAlignment="0" applyProtection="0"/>
    <xf numFmtId="0" fontId="8" fillId="13" borderId="83" applyNumberFormat="0" applyFont="0" applyAlignment="0" applyProtection="0"/>
    <xf numFmtId="0" fontId="8" fillId="13" borderId="83" applyNumberFormat="0" applyFont="0" applyAlignment="0" applyProtection="0"/>
    <xf numFmtId="0" fontId="8" fillId="13" borderId="83" applyNumberFormat="0" applyFont="0" applyAlignment="0" applyProtection="0"/>
    <xf numFmtId="0" fontId="8" fillId="13" borderId="83" applyNumberFormat="0" applyFont="0" applyAlignment="0" applyProtection="0"/>
    <xf numFmtId="0" fontId="8" fillId="13" borderId="83" applyNumberFormat="0" applyFont="0" applyAlignment="0" applyProtection="0"/>
    <xf numFmtId="0" fontId="8" fillId="13" borderId="83" applyNumberFormat="0" applyFont="0" applyAlignment="0" applyProtection="0"/>
    <xf numFmtId="0" fontId="8" fillId="13" borderId="83" applyNumberFormat="0" applyFont="0" applyAlignment="0" applyProtection="0"/>
    <xf numFmtId="0" fontId="8" fillId="13" borderId="83" applyNumberFormat="0" applyFont="0" applyAlignment="0" applyProtection="0"/>
    <xf numFmtId="0" fontId="8" fillId="13" borderId="83" applyNumberFormat="0" applyFont="0" applyAlignment="0" applyProtection="0"/>
    <xf numFmtId="0" fontId="8" fillId="13" borderId="83" applyNumberFormat="0" applyFont="0" applyAlignment="0" applyProtection="0"/>
    <xf numFmtId="0" fontId="8" fillId="13" borderId="83" applyNumberFormat="0" applyFont="0" applyAlignment="0" applyProtection="0"/>
    <xf numFmtId="0" fontId="8" fillId="13" borderId="83" applyNumberFormat="0" applyFont="0" applyAlignment="0" applyProtection="0"/>
    <xf numFmtId="0" fontId="8" fillId="13" borderId="83" applyNumberFormat="0" applyFont="0" applyAlignment="0" applyProtection="0"/>
    <xf numFmtId="0" fontId="8" fillId="13" borderId="83" applyNumberFormat="0" applyFont="0" applyAlignment="0" applyProtection="0"/>
    <xf numFmtId="0" fontId="8" fillId="13" borderId="83" applyNumberFormat="0" applyFont="0" applyAlignment="0" applyProtection="0"/>
    <xf numFmtId="0" fontId="8" fillId="13" borderId="83" applyNumberFormat="0" applyFont="0" applyAlignment="0" applyProtection="0"/>
    <xf numFmtId="0" fontId="8" fillId="13" borderId="83" applyNumberFormat="0" applyFont="0" applyAlignment="0" applyProtection="0"/>
    <xf numFmtId="0" fontId="8" fillId="13" borderId="83" applyNumberFormat="0" applyFont="0" applyAlignment="0" applyProtection="0"/>
    <xf numFmtId="0" fontId="8" fillId="13" borderId="83" applyNumberFormat="0" applyFont="0" applyAlignment="0" applyProtection="0"/>
    <xf numFmtId="0" fontId="8" fillId="13" borderId="83" applyNumberFormat="0" applyFont="0" applyAlignment="0" applyProtection="0"/>
    <xf numFmtId="0" fontId="8" fillId="13" borderId="83" applyNumberFormat="0" applyFont="0" applyAlignment="0" applyProtection="0"/>
    <xf numFmtId="0" fontId="8" fillId="13" borderId="83" applyNumberFormat="0" applyFont="0" applyAlignment="0" applyProtection="0"/>
    <xf numFmtId="0" fontId="8" fillId="13" borderId="83" applyNumberFormat="0" applyFont="0" applyAlignment="0" applyProtection="0"/>
    <xf numFmtId="0" fontId="8" fillId="13" borderId="83" applyNumberFormat="0" applyFont="0" applyAlignment="0" applyProtection="0"/>
    <xf numFmtId="0" fontId="8" fillId="13" borderId="83" applyNumberFormat="0" applyFont="0" applyAlignment="0" applyProtection="0"/>
    <xf numFmtId="0" fontId="8" fillId="13" borderId="83" applyNumberFormat="0" applyFont="0" applyAlignment="0" applyProtection="0"/>
    <xf numFmtId="0" fontId="8" fillId="13" borderId="83" applyNumberFormat="0" applyFont="0" applyAlignment="0" applyProtection="0"/>
    <xf numFmtId="0" fontId="8" fillId="13" borderId="83" applyNumberFormat="0" applyFont="0" applyAlignment="0" applyProtection="0"/>
    <xf numFmtId="0" fontId="8" fillId="13" borderId="83" applyNumberFormat="0" applyFont="0" applyAlignment="0" applyProtection="0"/>
    <xf numFmtId="0" fontId="8" fillId="13" borderId="83" applyNumberFormat="0" applyFont="0" applyAlignment="0" applyProtection="0"/>
    <xf numFmtId="0" fontId="8" fillId="13" borderId="83" applyNumberFormat="0" applyFont="0" applyAlignment="0" applyProtection="0"/>
    <xf numFmtId="0" fontId="8" fillId="13" borderId="83" applyNumberFormat="0" applyFont="0" applyAlignment="0" applyProtection="0"/>
    <xf numFmtId="0" fontId="8" fillId="13" borderId="83" applyNumberFormat="0" applyFont="0" applyAlignment="0" applyProtection="0"/>
    <xf numFmtId="0" fontId="8" fillId="13" borderId="83" applyNumberFormat="0" applyFont="0" applyAlignment="0" applyProtection="0"/>
    <xf numFmtId="0" fontId="8" fillId="13" borderId="83" applyNumberFormat="0" applyFont="0" applyAlignment="0" applyProtection="0"/>
    <xf numFmtId="0" fontId="8" fillId="13" borderId="83" applyNumberFormat="0" applyFont="0" applyAlignment="0" applyProtection="0"/>
    <xf numFmtId="0" fontId="8" fillId="13" borderId="83" applyNumberFormat="0" applyFont="0" applyAlignment="0" applyProtection="0"/>
    <xf numFmtId="0" fontId="8" fillId="13" borderId="83" applyNumberFormat="0" applyFont="0" applyAlignment="0" applyProtection="0"/>
    <xf numFmtId="0" fontId="8" fillId="13" borderId="83" applyNumberFormat="0" applyFont="0" applyAlignment="0" applyProtection="0"/>
    <xf numFmtId="0" fontId="8" fillId="13" borderId="83" applyNumberFormat="0" applyFont="0" applyAlignment="0" applyProtection="0"/>
    <xf numFmtId="0" fontId="8" fillId="13" borderId="83" applyNumberFormat="0" applyFont="0" applyAlignment="0" applyProtection="0"/>
    <xf numFmtId="0" fontId="8" fillId="13" borderId="83" applyNumberFormat="0" applyFont="0" applyAlignment="0" applyProtection="0"/>
    <xf numFmtId="0" fontId="8" fillId="13" borderId="83" applyNumberFormat="0" applyFont="0" applyAlignment="0" applyProtection="0"/>
    <xf numFmtId="0" fontId="8" fillId="13" borderId="83" applyNumberFormat="0" applyFont="0" applyAlignment="0" applyProtection="0"/>
    <xf numFmtId="0" fontId="66" fillId="70" borderId="85" applyNumberFormat="0" applyFont="0" applyAlignment="0" applyProtection="0"/>
    <xf numFmtId="0" fontId="8" fillId="13" borderId="83" applyNumberFormat="0" applyFont="0" applyAlignment="0" applyProtection="0"/>
    <xf numFmtId="0" fontId="8" fillId="13" borderId="83" applyNumberFormat="0" applyFont="0" applyAlignment="0" applyProtection="0"/>
    <xf numFmtId="0" fontId="8" fillId="13" borderId="83" applyNumberFormat="0" applyFont="0" applyAlignment="0" applyProtection="0"/>
    <xf numFmtId="0" fontId="8" fillId="13" borderId="83" applyNumberFormat="0" applyFont="0" applyAlignment="0" applyProtection="0"/>
    <xf numFmtId="0" fontId="8" fillId="13" borderId="83" applyNumberFormat="0" applyFont="0" applyAlignment="0" applyProtection="0"/>
    <xf numFmtId="0" fontId="8" fillId="13" borderId="83" applyNumberFormat="0" applyFont="0" applyAlignment="0" applyProtection="0"/>
    <xf numFmtId="0" fontId="8" fillId="13" borderId="83" applyNumberFormat="0" applyFont="0" applyAlignment="0" applyProtection="0"/>
    <xf numFmtId="0" fontId="8" fillId="13" borderId="83" applyNumberFormat="0" applyFont="0" applyAlignment="0" applyProtection="0"/>
    <xf numFmtId="0" fontId="8" fillId="13" borderId="83" applyNumberFormat="0" applyFont="0" applyAlignment="0" applyProtection="0"/>
    <xf numFmtId="0" fontId="8" fillId="13" borderId="83" applyNumberFormat="0" applyFont="0" applyAlignment="0" applyProtection="0"/>
    <xf numFmtId="0" fontId="8" fillId="13" borderId="83" applyNumberFormat="0" applyFont="0" applyAlignment="0" applyProtection="0"/>
    <xf numFmtId="0" fontId="105" fillId="79" borderId="98" applyNumberFormat="0" applyAlignment="0" applyProtection="0"/>
    <xf numFmtId="9" fontId="8" fillId="0" borderId="1" applyFont="0" applyFill="0" applyBorder="0" applyAlignment="0" applyProtection="0"/>
    <xf numFmtId="9" fontId="8" fillId="0" borderId="1" applyFont="0" applyFill="0" applyBorder="0" applyAlignment="0" applyProtection="0"/>
    <xf numFmtId="9" fontId="8" fillId="0" borderId="1" applyFont="0" applyFill="0" applyBorder="0" applyAlignment="0" applyProtection="0"/>
    <xf numFmtId="9" fontId="8" fillId="0" borderId="1" applyFont="0" applyFill="0" applyBorder="0" applyAlignment="0" applyProtection="0"/>
    <xf numFmtId="9" fontId="8" fillId="0" borderId="1" applyFont="0" applyFill="0" applyBorder="0" applyAlignment="0" applyProtection="0"/>
    <xf numFmtId="9" fontId="8" fillId="0" borderId="1" applyFont="0" applyFill="0" applyBorder="0" applyAlignment="0" applyProtection="0"/>
    <xf numFmtId="9" fontId="8" fillId="0" borderId="1" applyFont="0" applyFill="0" applyBorder="0" applyAlignment="0" applyProtection="0"/>
    <xf numFmtId="9" fontId="8" fillId="0" borderId="1" applyFont="0" applyFill="0" applyBorder="0" applyAlignment="0" applyProtection="0"/>
    <xf numFmtId="9" fontId="8" fillId="0" borderId="1" applyFont="0" applyFill="0" applyBorder="0" applyAlignment="0" applyProtection="0"/>
    <xf numFmtId="9" fontId="8" fillId="0" borderId="1" applyFont="0" applyFill="0" applyBorder="0" applyAlignment="0" applyProtection="0"/>
    <xf numFmtId="9" fontId="8" fillId="0" borderId="1" applyFont="0" applyFill="0" applyBorder="0" applyAlignment="0" applyProtection="0"/>
    <xf numFmtId="9" fontId="8" fillId="0" borderId="1" applyFont="0" applyFill="0" applyBorder="0" applyAlignment="0" applyProtection="0"/>
    <xf numFmtId="9" fontId="8" fillId="0" borderId="1" applyFont="0" applyFill="0" applyBorder="0" applyAlignment="0" applyProtection="0"/>
    <xf numFmtId="9" fontId="8" fillId="0" borderId="1" applyFont="0" applyFill="0" applyBorder="0" applyAlignment="0" applyProtection="0"/>
    <xf numFmtId="9" fontId="8" fillId="0" borderId="1" applyFont="0" applyFill="0" applyBorder="0" applyAlignment="0" applyProtection="0"/>
    <xf numFmtId="9" fontId="8" fillId="0" borderId="1" applyFont="0" applyFill="0" applyBorder="0" applyAlignment="0" applyProtection="0"/>
    <xf numFmtId="9" fontId="8" fillId="0" borderId="1" applyFont="0" applyFill="0" applyBorder="0" applyAlignment="0" applyProtection="0"/>
    <xf numFmtId="9" fontId="8" fillId="0" borderId="1" applyFont="0" applyFill="0" applyBorder="0" applyAlignment="0" applyProtection="0"/>
    <xf numFmtId="9" fontId="8" fillId="0" borderId="1" applyFont="0" applyFill="0" applyBorder="0" applyAlignment="0" applyProtection="0"/>
    <xf numFmtId="9" fontId="8" fillId="0" borderId="1" applyFont="0" applyFill="0" applyBorder="0" applyAlignment="0" applyProtection="0"/>
    <xf numFmtId="9" fontId="8" fillId="0" borderId="1" applyFont="0" applyFill="0" applyBorder="0" applyAlignment="0" applyProtection="0"/>
    <xf numFmtId="9" fontId="8" fillId="0" borderId="1" applyFont="0" applyFill="0" applyBorder="0" applyAlignment="0" applyProtection="0"/>
    <xf numFmtId="9" fontId="8" fillId="0" borderId="1" applyFont="0" applyFill="0" applyBorder="0" applyAlignment="0" applyProtection="0"/>
    <xf numFmtId="9" fontId="8" fillId="0" borderId="1" applyFont="0" applyFill="0" applyBorder="0" applyAlignment="0" applyProtection="0"/>
    <xf numFmtId="9" fontId="8" fillId="0" borderId="1" applyFont="0" applyFill="0" applyBorder="0" applyAlignment="0" applyProtection="0"/>
    <xf numFmtId="9" fontId="8" fillId="0" borderId="1" applyFont="0" applyFill="0" applyBorder="0" applyAlignment="0" applyProtection="0"/>
    <xf numFmtId="9" fontId="8" fillId="0" borderId="1" applyFont="0" applyFill="0" applyBorder="0" applyAlignment="0" applyProtection="0"/>
    <xf numFmtId="9" fontId="8" fillId="0" borderId="1" applyFont="0" applyFill="0" applyBorder="0" applyAlignment="0" applyProtection="0"/>
    <xf numFmtId="9" fontId="8" fillId="0" borderId="1" applyFont="0" applyFill="0" applyBorder="0" applyAlignment="0" applyProtection="0"/>
    <xf numFmtId="9" fontId="8" fillId="0" borderId="1" applyFont="0" applyFill="0" applyBorder="0" applyAlignment="0" applyProtection="0"/>
    <xf numFmtId="9" fontId="8" fillId="0" borderId="1" applyFont="0" applyFill="0" applyBorder="0" applyAlignment="0" applyProtection="0"/>
    <xf numFmtId="9" fontId="8" fillId="0" borderId="1" applyFont="0" applyFill="0" applyBorder="0" applyAlignment="0" applyProtection="0"/>
    <xf numFmtId="9" fontId="8" fillId="0" borderId="1" applyFont="0" applyFill="0" applyBorder="0" applyAlignment="0" applyProtection="0"/>
    <xf numFmtId="9" fontId="8" fillId="0" borderId="1" applyFont="0" applyFill="0" applyBorder="0" applyAlignment="0" applyProtection="0"/>
    <xf numFmtId="9" fontId="8" fillId="0" borderId="1" applyFont="0" applyFill="0" applyBorder="0" applyAlignment="0" applyProtection="0"/>
    <xf numFmtId="9" fontId="8" fillId="0" borderId="1" applyFont="0" applyFill="0" applyBorder="0" applyAlignment="0" applyProtection="0"/>
    <xf numFmtId="9" fontId="8" fillId="0" borderId="1" applyFont="0" applyFill="0" applyBorder="0" applyAlignment="0" applyProtection="0"/>
    <xf numFmtId="9" fontId="8" fillId="0" borderId="1" applyFont="0" applyFill="0" applyBorder="0" applyAlignment="0" applyProtection="0"/>
    <xf numFmtId="9" fontId="8" fillId="0" borderId="1" applyFont="0" applyFill="0" applyBorder="0" applyAlignment="0" applyProtection="0"/>
    <xf numFmtId="9" fontId="8" fillId="0" borderId="1" applyFont="0" applyFill="0" applyBorder="0" applyAlignment="0" applyProtection="0"/>
    <xf numFmtId="9" fontId="8" fillId="0" borderId="1" applyFont="0" applyFill="0" applyBorder="0" applyAlignment="0" applyProtection="0"/>
    <xf numFmtId="9" fontId="8" fillId="0" borderId="1" applyFont="0" applyFill="0" applyBorder="0" applyAlignment="0" applyProtection="0"/>
    <xf numFmtId="9" fontId="8" fillId="0" borderId="1" applyFont="0" applyFill="0" applyBorder="0" applyAlignment="0" applyProtection="0"/>
    <xf numFmtId="9" fontId="8" fillId="0" borderId="1" applyFont="0" applyFill="0" applyBorder="0" applyAlignment="0" applyProtection="0"/>
    <xf numFmtId="9" fontId="8" fillId="0" borderId="1" applyFont="0" applyFill="0" applyBorder="0" applyAlignment="0" applyProtection="0"/>
    <xf numFmtId="9" fontId="8" fillId="0" borderId="1" applyFont="0" applyFill="0" applyBorder="0" applyAlignment="0" applyProtection="0"/>
    <xf numFmtId="9" fontId="8" fillId="0" borderId="1" applyFont="0" applyFill="0" applyBorder="0" applyAlignment="0" applyProtection="0"/>
    <xf numFmtId="9" fontId="8" fillId="0" borderId="1" applyFont="0" applyFill="0" applyBorder="0" applyAlignment="0" applyProtection="0"/>
    <xf numFmtId="9" fontId="8" fillId="0" borderId="1" applyFont="0" applyFill="0" applyBorder="0" applyAlignment="0" applyProtection="0"/>
    <xf numFmtId="9" fontId="8" fillId="0" borderId="1" applyFont="0" applyFill="0" applyBorder="0" applyAlignment="0" applyProtection="0"/>
    <xf numFmtId="9" fontId="8" fillId="0" borderId="1" applyFont="0" applyFill="0" applyBorder="0" applyAlignment="0" applyProtection="0"/>
    <xf numFmtId="9" fontId="8" fillId="0" borderId="1" applyFont="0" applyFill="0" applyBorder="0" applyAlignment="0" applyProtection="0"/>
    <xf numFmtId="9" fontId="8" fillId="0" borderId="1" applyFont="0" applyFill="0" applyBorder="0" applyAlignment="0" applyProtection="0"/>
    <xf numFmtId="9" fontId="8" fillId="0" borderId="1" applyFont="0" applyFill="0" applyBorder="0" applyAlignment="0" applyProtection="0"/>
    <xf numFmtId="9" fontId="8" fillId="0" borderId="1" applyFont="0" applyFill="0" applyBorder="0" applyAlignment="0" applyProtection="0"/>
    <xf numFmtId="9" fontId="8" fillId="0" borderId="1" applyFont="0" applyFill="0" applyBorder="0" applyAlignment="0" applyProtection="0"/>
    <xf numFmtId="9" fontId="83" fillId="0" borderId="1" applyFont="0" applyFill="0" applyBorder="0" applyAlignment="0" applyProtection="0"/>
    <xf numFmtId="9" fontId="99" fillId="0" borderId="1" applyFont="0" applyFill="0" applyBorder="0" applyAlignment="0" applyProtection="0"/>
    <xf numFmtId="9" fontId="88" fillId="0" borderId="1" applyFont="0" applyFill="0" applyBorder="0" applyAlignment="0" applyProtection="0">
      <alignment wrapText="1"/>
    </xf>
    <xf numFmtId="0" fontId="106" fillId="77" borderId="99" applyNumberFormat="0" applyAlignment="0" applyProtection="0"/>
    <xf numFmtId="4" fontId="66" fillId="88" borderId="85" applyNumberFormat="0" applyProtection="0">
      <alignment vertical="center"/>
    </xf>
    <xf numFmtId="4" fontId="107" fillId="90" borderId="85" applyNumberFormat="0" applyProtection="0">
      <alignment vertical="center"/>
    </xf>
    <xf numFmtId="4" fontId="66" fillId="90" borderId="85" applyNumberFormat="0" applyProtection="0">
      <alignment horizontal="left" vertical="center" indent="1"/>
    </xf>
    <xf numFmtId="0" fontId="108" fillId="88" borderId="104" applyNumberFormat="0" applyProtection="0">
      <alignment horizontal="left" vertical="top" indent="1"/>
    </xf>
    <xf numFmtId="4" fontId="66" fillId="46" borderId="85" applyNumberFormat="0" applyProtection="0">
      <alignment horizontal="right" vertical="center"/>
    </xf>
    <xf numFmtId="4" fontId="66" fillId="91" borderId="85" applyNumberFormat="0" applyProtection="0">
      <alignment horizontal="right" vertical="center"/>
    </xf>
    <xf numFmtId="4" fontId="66" fillId="74" borderId="105" applyNumberFormat="0" applyProtection="0">
      <alignment horizontal="right" vertical="center"/>
    </xf>
    <xf numFmtId="4" fontId="66" fillId="54" borderId="85" applyNumberFormat="0" applyProtection="0">
      <alignment horizontal="right" vertical="center"/>
    </xf>
    <xf numFmtId="4" fontId="66" fillId="57" borderId="85" applyNumberFormat="0" applyProtection="0">
      <alignment horizontal="right" vertical="center"/>
    </xf>
    <xf numFmtId="4" fontId="66" fillId="76" borderId="85" applyNumberFormat="0" applyProtection="0">
      <alignment horizontal="right" vertical="center"/>
    </xf>
    <xf numFmtId="4" fontId="66" fillId="75" borderId="85" applyNumberFormat="0" applyProtection="0">
      <alignment horizontal="right" vertical="center"/>
    </xf>
    <xf numFmtId="4" fontId="66" fillId="92" borderId="85" applyNumberFormat="0" applyProtection="0">
      <alignment horizontal="right" vertical="center"/>
    </xf>
    <xf numFmtId="4" fontId="66" fillId="53" borderId="85" applyNumberFormat="0" applyProtection="0">
      <alignment horizontal="right" vertical="center"/>
    </xf>
    <xf numFmtId="4" fontId="66" fillId="93" borderId="105" applyNumberFormat="0" applyProtection="0">
      <alignment horizontal="left" vertical="center" indent="1"/>
    </xf>
    <xf numFmtId="4" fontId="88" fillId="94" borderId="105" applyNumberFormat="0" applyProtection="0">
      <alignment horizontal="left" vertical="center" indent="1"/>
    </xf>
    <xf numFmtId="4" fontId="88" fillId="94" borderId="105" applyNumberFormat="0" applyProtection="0">
      <alignment horizontal="left" vertical="center" indent="1"/>
    </xf>
    <xf numFmtId="4" fontId="66" fillId="95" borderId="85" applyNumberFormat="0" applyProtection="0">
      <alignment horizontal="right" vertical="center"/>
    </xf>
    <xf numFmtId="4" fontId="66" fillId="96" borderId="105" applyNumberFormat="0" applyProtection="0">
      <alignment horizontal="left" vertical="center" indent="1"/>
    </xf>
    <xf numFmtId="4" fontId="66" fillId="95" borderId="105" applyNumberFormat="0" applyProtection="0">
      <alignment horizontal="left" vertical="center" indent="1"/>
    </xf>
    <xf numFmtId="0" fontId="66" fillId="79" borderId="85" applyNumberFormat="0" applyProtection="0">
      <alignment horizontal="left" vertical="center" indent="1"/>
    </xf>
    <xf numFmtId="0" fontId="66" fillId="94" borderId="104" applyNumberFormat="0" applyProtection="0">
      <alignment horizontal="left" vertical="top" indent="1"/>
    </xf>
    <xf numFmtId="0" fontId="66" fillId="97" borderId="85" applyNumberFormat="0" applyProtection="0">
      <alignment horizontal="left" vertical="center" indent="1"/>
    </xf>
    <xf numFmtId="0" fontId="66" fillId="95" borderId="104" applyNumberFormat="0" applyProtection="0">
      <alignment horizontal="left" vertical="top" indent="1"/>
    </xf>
    <xf numFmtId="0" fontId="66" fillId="51" borderId="85" applyNumberFormat="0" applyProtection="0">
      <alignment horizontal="left" vertical="center" indent="1"/>
    </xf>
    <xf numFmtId="0" fontId="66" fillId="51" borderId="104" applyNumberFormat="0" applyProtection="0">
      <alignment horizontal="left" vertical="top" indent="1"/>
    </xf>
    <xf numFmtId="0" fontId="66" fillId="96" borderId="85" applyNumberFormat="0" applyProtection="0">
      <alignment horizontal="left" vertical="center" indent="1"/>
    </xf>
    <xf numFmtId="0" fontId="66" fillId="96" borderId="104" applyNumberFormat="0" applyProtection="0">
      <alignment horizontal="left" vertical="top" indent="1"/>
    </xf>
    <xf numFmtId="0" fontId="66" fillId="98" borderId="106" applyNumberFormat="0">
      <protection locked="0"/>
    </xf>
    <xf numFmtId="0" fontId="72" fillId="94" borderId="107" applyBorder="0"/>
    <xf numFmtId="4" fontId="109" fillId="99" borderId="104" applyNumberFormat="0" applyProtection="0">
      <alignment vertical="center"/>
    </xf>
    <xf numFmtId="4" fontId="107" fillId="100" borderId="4" applyNumberFormat="0" applyProtection="0">
      <alignment vertical="center"/>
    </xf>
    <xf numFmtId="4" fontId="109" fillId="79" borderId="104" applyNumberFormat="0" applyProtection="0">
      <alignment horizontal="left" vertical="center" indent="1"/>
    </xf>
    <xf numFmtId="0" fontId="109" fillId="99" borderId="104" applyNumberFormat="0" applyProtection="0">
      <alignment horizontal="left" vertical="top" indent="1"/>
    </xf>
    <xf numFmtId="4" fontId="107" fillId="101" borderId="85" applyNumberFormat="0" applyProtection="0">
      <alignment horizontal="right" vertical="center"/>
    </xf>
    <xf numFmtId="0" fontId="109" fillId="95" borderId="104" applyNumberFormat="0" applyProtection="0">
      <alignment horizontal="left" vertical="top" indent="1"/>
    </xf>
    <xf numFmtId="4" fontId="110" fillId="102" borderId="105" applyNumberFormat="0" applyProtection="0">
      <alignment horizontal="left" vertical="center" indent="1"/>
    </xf>
    <xf numFmtId="0" fontId="66" fillId="103" borderId="4"/>
    <xf numFmtId="4" fontId="111" fillId="98" borderId="85" applyNumberFormat="0" applyProtection="0">
      <alignment horizontal="right" vertical="center"/>
    </xf>
    <xf numFmtId="0" fontId="112" fillId="0" borderId="1" applyNumberFormat="0" applyFill="0" applyBorder="0" applyAlignment="0" applyProtection="0"/>
    <xf numFmtId="0" fontId="113" fillId="0" borderId="108" applyNumberFormat="0" applyFill="0" applyAlignment="0" applyProtection="0"/>
    <xf numFmtId="0" fontId="114" fillId="0" borderId="1" applyNumberFormat="0" applyFill="0" applyBorder="0" applyAlignment="0" applyProtection="0"/>
    <xf numFmtId="0" fontId="115" fillId="0" borderId="1" applyNumberFormat="0" applyFill="0" applyBorder="0" applyAlignment="0" applyProtection="0"/>
    <xf numFmtId="0" fontId="116" fillId="0" borderId="1" applyNumberFormat="0" applyFill="0" applyBorder="0" applyAlignment="0" applyProtection="0"/>
    <xf numFmtId="0" fontId="117" fillId="0" borderId="109" applyNumberFormat="0" applyFill="0" applyAlignment="0" applyProtection="0"/>
    <xf numFmtId="0" fontId="118" fillId="0" borderId="110" applyNumberFormat="0" applyFill="0" applyAlignment="0" applyProtection="0"/>
    <xf numFmtId="0" fontId="93" fillId="0" borderId="111" applyNumberFormat="0" applyFill="0" applyAlignment="0" applyProtection="0"/>
    <xf numFmtId="0" fontId="92" fillId="0" borderId="112" applyNumberFormat="0" applyFill="0" applyAlignment="0" applyProtection="0"/>
    <xf numFmtId="0" fontId="119" fillId="0" borderId="1" applyNumberFormat="0" applyFill="0" applyBorder="0" applyAlignment="0" applyProtection="0"/>
    <xf numFmtId="0" fontId="81" fillId="99" borderId="113" applyNumberFormat="0" applyFont="0" applyAlignment="0" applyProtection="0"/>
    <xf numFmtId="0" fontId="120" fillId="46" borderId="1" applyNumberFormat="0" applyBorder="0" applyAlignment="0" applyProtection="0"/>
    <xf numFmtId="0" fontId="47" fillId="17" borderId="1" applyNumberFormat="0" applyBorder="0" applyAlignment="0" applyProtection="0"/>
    <xf numFmtId="0" fontId="47" fillId="21" borderId="1" applyNumberFormat="0" applyBorder="0" applyAlignment="0" applyProtection="0"/>
    <xf numFmtId="0" fontId="47" fillId="25" borderId="1" applyNumberFormat="0" applyBorder="0" applyAlignment="0" applyProtection="0"/>
    <xf numFmtId="0" fontId="47" fillId="29" borderId="1" applyNumberFormat="0" applyBorder="0" applyAlignment="0" applyProtection="0"/>
    <xf numFmtId="0" fontId="47" fillId="33" borderId="1" applyNumberFormat="0" applyBorder="0" applyAlignment="0" applyProtection="0"/>
    <xf numFmtId="0" fontId="47" fillId="37" borderId="1" applyNumberFormat="0" applyBorder="0" applyAlignment="0" applyProtection="0"/>
    <xf numFmtId="0" fontId="55" fillId="7" borderId="1" applyNumberFormat="0" applyBorder="0" applyAlignment="0" applyProtection="0"/>
    <xf numFmtId="0" fontId="54" fillId="0" borderId="1" applyNumberFormat="0" applyFill="0" applyBorder="0" applyAlignment="0" applyProtection="0"/>
    <xf numFmtId="0" fontId="47" fillId="14" borderId="1" applyNumberFormat="0" applyBorder="0" applyAlignment="0" applyProtection="0"/>
    <xf numFmtId="0" fontId="47" fillId="18" borderId="1" applyNumberFormat="0" applyBorder="0" applyAlignment="0" applyProtection="0"/>
    <xf numFmtId="0" fontId="47" fillId="22" borderId="1" applyNumberFormat="0" applyBorder="0" applyAlignment="0" applyProtection="0"/>
    <xf numFmtId="0" fontId="47" fillId="26" borderId="1" applyNumberFormat="0" applyBorder="0" applyAlignment="0" applyProtection="0"/>
    <xf numFmtId="0" fontId="47" fillId="30" borderId="1" applyNumberFormat="0" applyBorder="0" applyAlignment="0" applyProtection="0"/>
    <xf numFmtId="0" fontId="47" fillId="34" borderId="1" applyNumberFormat="0" applyBorder="0" applyAlignment="0" applyProtection="0"/>
    <xf numFmtId="0" fontId="56" fillId="8" borderId="1" applyNumberFormat="0" applyBorder="0" applyAlignment="0" applyProtection="0"/>
    <xf numFmtId="0" fontId="57" fillId="9" borderId="1" applyNumberFormat="0" applyBorder="0" applyAlignment="0" applyProtection="0"/>
    <xf numFmtId="0" fontId="63" fillId="0" borderId="1" applyNumberFormat="0" applyFill="0" applyBorder="0" applyAlignment="0" applyProtection="0"/>
    <xf numFmtId="0" fontId="64" fillId="0" borderId="1" applyNumberFormat="0" applyFill="0" applyBorder="0" applyAlignment="0" applyProtection="0"/>
    <xf numFmtId="0" fontId="51" fillId="0" borderId="1" applyNumberFormat="0" applyFill="0" applyBorder="0" applyAlignment="0" applyProtection="0"/>
    <xf numFmtId="0" fontId="18" fillId="0" borderId="1"/>
    <xf numFmtId="0" fontId="18" fillId="0" borderId="1"/>
    <xf numFmtId="0" fontId="7" fillId="0" borderId="1"/>
    <xf numFmtId="0" fontId="7" fillId="15" borderId="1" applyNumberFormat="0" applyBorder="0" applyAlignment="0" applyProtection="0"/>
    <xf numFmtId="0" fontId="7" fillId="19" borderId="1" applyNumberFormat="0" applyBorder="0" applyAlignment="0" applyProtection="0"/>
    <xf numFmtId="0" fontId="7" fillId="23" borderId="1" applyNumberFormat="0" applyBorder="0" applyAlignment="0" applyProtection="0"/>
    <xf numFmtId="0" fontId="7" fillId="27" borderId="1" applyNumberFormat="0" applyBorder="0" applyAlignment="0" applyProtection="0"/>
    <xf numFmtId="0" fontId="7" fillId="31" borderId="1" applyNumberFormat="0" applyBorder="0" applyAlignment="0" applyProtection="0"/>
    <xf numFmtId="0" fontId="7" fillId="35" borderId="1" applyNumberFormat="0" applyBorder="0" applyAlignment="0" applyProtection="0"/>
    <xf numFmtId="0" fontId="7" fillId="16" borderId="1" applyNumberFormat="0" applyBorder="0" applyAlignment="0" applyProtection="0"/>
    <xf numFmtId="0" fontId="7" fillId="20" borderId="1" applyNumberFormat="0" applyBorder="0" applyAlignment="0" applyProtection="0"/>
    <xf numFmtId="0" fontId="7" fillId="24" borderId="1" applyNumberFormat="0" applyBorder="0" applyAlignment="0" applyProtection="0"/>
    <xf numFmtId="0" fontId="7" fillId="28" borderId="1" applyNumberFormat="0" applyBorder="0" applyAlignment="0" applyProtection="0"/>
    <xf numFmtId="0" fontId="7" fillId="32" borderId="1" applyNumberFormat="0" applyBorder="0" applyAlignment="0" applyProtection="0"/>
    <xf numFmtId="0" fontId="7" fillId="36" borderId="1" applyNumberFormat="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0" fontId="7" fillId="0" borderId="1"/>
    <xf numFmtId="0" fontId="7" fillId="0" borderId="1"/>
    <xf numFmtId="0" fontId="7" fillId="0" borderId="1"/>
    <xf numFmtId="0" fontId="7" fillId="0" borderId="1"/>
    <xf numFmtId="0" fontId="7" fillId="0" borderId="1"/>
    <xf numFmtId="0" fontId="7" fillId="13" borderId="83" applyNumberFormat="0" applyFont="0" applyAlignment="0" applyProtection="0"/>
    <xf numFmtId="0" fontId="7" fillId="13" borderId="83" applyNumberFormat="0" applyFont="0" applyAlignment="0" applyProtection="0"/>
    <xf numFmtId="9" fontId="7" fillId="0" borderId="1" applyFont="0" applyFill="0" applyBorder="0" applyAlignment="0" applyProtection="0"/>
    <xf numFmtId="9" fontId="7" fillId="0" borderId="1" applyFont="0" applyFill="0" applyBorder="0" applyAlignment="0" applyProtection="0"/>
    <xf numFmtId="0" fontId="7" fillId="0" borderId="1"/>
    <xf numFmtId="0" fontId="7" fillId="15" borderId="1" applyNumberFormat="0" applyBorder="0" applyAlignment="0" applyProtection="0"/>
    <xf numFmtId="0" fontId="7" fillId="19" borderId="1" applyNumberFormat="0" applyBorder="0" applyAlignment="0" applyProtection="0"/>
    <xf numFmtId="0" fontId="7" fillId="23" borderId="1" applyNumberFormat="0" applyBorder="0" applyAlignment="0" applyProtection="0"/>
    <xf numFmtId="0" fontId="7" fillId="27" borderId="1" applyNumberFormat="0" applyBorder="0" applyAlignment="0" applyProtection="0"/>
    <xf numFmtId="0" fontId="7" fillId="31" borderId="1" applyNumberFormat="0" applyBorder="0" applyAlignment="0" applyProtection="0"/>
    <xf numFmtId="0" fontId="7" fillId="35" borderId="1" applyNumberFormat="0" applyBorder="0" applyAlignment="0" applyProtection="0"/>
    <xf numFmtId="0" fontId="7" fillId="16" borderId="1" applyNumberFormat="0" applyBorder="0" applyAlignment="0" applyProtection="0"/>
    <xf numFmtId="0" fontId="7" fillId="20" borderId="1" applyNumberFormat="0" applyBorder="0" applyAlignment="0" applyProtection="0"/>
    <xf numFmtId="0" fontId="7" fillId="24" borderId="1" applyNumberFormat="0" applyBorder="0" applyAlignment="0" applyProtection="0"/>
    <xf numFmtId="0" fontId="7" fillId="28" borderId="1" applyNumberFormat="0" applyBorder="0" applyAlignment="0" applyProtection="0"/>
    <xf numFmtId="0" fontId="7" fillId="32" borderId="1" applyNumberFormat="0" applyBorder="0" applyAlignment="0" applyProtection="0"/>
    <xf numFmtId="0" fontId="7" fillId="36" borderId="1" applyNumberFormat="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0" fontId="7" fillId="0" borderId="1"/>
    <xf numFmtId="0" fontId="7" fillId="0" borderId="1"/>
    <xf numFmtId="0" fontId="7" fillId="0" borderId="1"/>
    <xf numFmtId="0" fontId="7" fillId="0" borderId="1"/>
    <xf numFmtId="0" fontId="7" fillId="0" borderId="1"/>
    <xf numFmtId="0" fontId="7" fillId="13" borderId="83" applyNumberFormat="0" applyFont="0" applyAlignment="0" applyProtection="0"/>
    <xf numFmtId="0" fontId="7" fillId="13" borderId="83" applyNumberFormat="0" applyFont="0" applyAlignment="0" applyProtection="0"/>
    <xf numFmtId="9" fontId="7" fillId="0" borderId="1" applyFont="0" applyFill="0" applyBorder="0" applyAlignment="0" applyProtection="0"/>
    <xf numFmtId="9"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0" fontId="7" fillId="0" borderId="1"/>
    <xf numFmtId="0" fontId="7" fillId="15" borderId="1" applyNumberFormat="0" applyBorder="0" applyAlignment="0" applyProtection="0"/>
    <xf numFmtId="0" fontId="7" fillId="16" borderId="1" applyNumberFormat="0" applyBorder="0" applyAlignment="0" applyProtection="0"/>
    <xf numFmtId="0" fontId="7" fillId="19" borderId="1" applyNumberFormat="0" applyBorder="0" applyAlignment="0" applyProtection="0"/>
    <xf numFmtId="0" fontId="7" fillId="20" borderId="1" applyNumberFormat="0" applyBorder="0" applyAlignment="0" applyProtection="0"/>
    <xf numFmtId="0" fontId="7" fillId="23" borderId="1" applyNumberFormat="0" applyBorder="0" applyAlignment="0" applyProtection="0"/>
    <xf numFmtId="0" fontId="7" fillId="24" borderId="1" applyNumberFormat="0" applyBorder="0" applyAlignment="0" applyProtection="0"/>
    <xf numFmtId="0" fontId="7" fillId="27" borderId="1" applyNumberFormat="0" applyBorder="0" applyAlignment="0" applyProtection="0"/>
    <xf numFmtId="0" fontId="7" fillId="28" borderId="1" applyNumberFormat="0" applyBorder="0" applyAlignment="0" applyProtection="0"/>
    <xf numFmtId="0" fontId="7" fillId="31" borderId="1" applyNumberFormat="0" applyBorder="0" applyAlignment="0" applyProtection="0"/>
    <xf numFmtId="0" fontId="7" fillId="32" borderId="1" applyNumberFormat="0" applyBorder="0" applyAlignment="0" applyProtection="0"/>
    <xf numFmtId="0" fontId="7" fillId="35" borderId="1" applyNumberFormat="0" applyBorder="0" applyAlignment="0" applyProtection="0"/>
    <xf numFmtId="0" fontId="7" fillId="36" borderId="1" applyNumberFormat="0" applyBorder="0" applyAlignment="0" applyProtection="0"/>
    <xf numFmtId="0" fontId="7" fillId="0" borderId="1"/>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0" fontId="7" fillId="0" borderId="1"/>
    <xf numFmtId="0" fontId="7" fillId="0" borderId="1"/>
    <xf numFmtId="0" fontId="7" fillId="0" borderId="1"/>
    <xf numFmtId="0" fontId="7" fillId="0" borderId="1"/>
    <xf numFmtId="0" fontId="7" fillId="0" borderId="1"/>
    <xf numFmtId="0" fontId="7" fillId="13" borderId="83" applyNumberFormat="0" applyFont="0" applyAlignment="0" applyProtection="0"/>
    <xf numFmtId="0" fontId="7" fillId="13" borderId="83" applyNumberFormat="0" applyFont="0" applyAlignment="0" applyProtection="0"/>
    <xf numFmtId="9" fontId="7" fillId="0" borderId="1" applyFont="0" applyFill="0" applyBorder="0" applyAlignment="0" applyProtection="0"/>
    <xf numFmtId="9" fontId="7" fillId="0" borderId="1" applyFont="0" applyFill="0" applyBorder="0" applyAlignment="0" applyProtection="0"/>
    <xf numFmtId="0" fontId="7" fillId="0" borderId="1"/>
    <xf numFmtId="0" fontId="7" fillId="15" borderId="1" applyNumberFormat="0" applyBorder="0" applyAlignment="0" applyProtection="0"/>
    <xf numFmtId="0" fontId="7" fillId="19" borderId="1" applyNumberFormat="0" applyBorder="0" applyAlignment="0" applyProtection="0"/>
    <xf numFmtId="0" fontId="7" fillId="23" borderId="1" applyNumberFormat="0" applyBorder="0" applyAlignment="0" applyProtection="0"/>
    <xf numFmtId="0" fontId="7" fillId="27" borderId="1" applyNumberFormat="0" applyBorder="0" applyAlignment="0" applyProtection="0"/>
    <xf numFmtId="0" fontId="7" fillId="31" borderId="1" applyNumberFormat="0" applyBorder="0" applyAlignment="0" applyProtection="0"/>
    <xf numFmtId="0" fontId="7" fillId="35" borderId="1" applyNumberFormat="0" applyBorder="0" applyAlignment="0" applyProtection="0"/>
    <xf numFmtId="0" fontId="7" fillId="16" borderId="1" applyNumberFormat="0" applyBorder="0" applyAlignment="0" applyProtection="0"/>
    <xf numFmtId="0" fontId="7" fillId="20" borderId="1" applyNumberFormat="0" applyBorder="0" applyAlignment="0" applyProtection="0"/>
    <xf numFmtId="0" fontId="7" fillId="24" borderId="1" applyNumberFormat="0" applyBorder="0" applyAlignment="0" applyProtection="0"/>
    <xf numFmtId="0" fontId="7" fillId="28" borderId="1" applyNumberFormat="0" applyBorder="0" applyAlignment="0" applyProtection="0"/>
    <xf numFmtId="0" fontId="7" fillId="32" borderId="1" applyNumberFormat="0" applyBorder="0" applyAlignment="0" applyProtection="0"/>
    <xf numFmtId="0" fontId="7" fillId="36" borderId="1" applyNumberFormat="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0" fontId="7" fillId="0" borderId="1"/>
    <xf numFmtId="0" fontId="7" fillId="0" borderId="1"/>
    <xf numFmtId="0" fontId="7" fillId="0" borderId="1"/>
    <xf numFmtId="0" fontId="7" fillId="0" borderId="1"/>
    <xf numFmtId="0" fontId="7" fillId="0" borderId="1"/>
    <xf numFmtId="0" fontId="7" fillId="13" borderId="83" applyNumberFormat="0" applyFont="0" applyAlignment="0" applyProtection="0"/>
    <xf numFmtId="0" fontId="7" fillId="13" borderId="83" applyNumberFormat="0" applyFont="0" applyAlignment="0" applyProtection="0"/>
    <xf numFmtId="9" fontId="7" fillId="0" borderId="1" applyFont="0" applyFill="0" applyBorder="0" applyAlignment="0" applyProtection="0"/>
    <xf numFmtId="9"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0" fontId="7" fillId="0" borderId="1"/>
    <xf numFmtId="0" fontId="7" fillId="15" borderId="1" applyNumberFormat="0" applyBorder="0" applyAlignment="0" applyProtection="0"/>
    <xf numFmtId="0" fontId="7" fillId="16" borderId="1" applyNumberFormat="0" applyBorder="0" applyAlignment="0" applyProtection="0"/>
    <xf numFmtId="0" fontId="7" fillId="19" borderId="1" applyNumberFormat="0" applyBorder="0" applyAlignment="0" applyProtection="0"/>
    <xf numFmtId="0" fontId="7" fillId="20" borderId="1" applyNumberFormat="0" applyBorder="0" applyAlignment="0" applyProtection="0"/>
    <xf numFmtId="0" fontId="7" fillId="23" borderId="1" applyNumberFormat="0" applyBorder="0" applyAlignment="0" applyProtection="0"/>
    <xf numFmtId="0" fontId="7" fillId="24" borderId="1" applyNumberFormat="0" applyBorder="0" applyAlignment="0" applyProtection="0"/>
    <xf numFmtId="0" fontId="7" fillId="27" borderId="1" applyNumberFormat="0" applyBorder="0" applyAlignment="0" applyProtection="0"/>
    <xf numFmtId="0" fontId="7" fillId="28" borderId="1" applyNumberFormat="0" applyBorder="0" applyAlignment="0" applyProtection="0"/>
    <xf numFmtId="0" fontId="7" fillId="31" borderId="1" applyNumberFormat="0" applyBorder="0" applyAlignment="0" applyProtection="0"/>
    <xf numFmtId="0" fontId="7" fillId="32" borderId="1" applyNumberFormat="0" applyBorder="0" applyAlignment="0" applyProtection="0"/>
    <xf numFmtId="0" fontId="7" fillId="35" borderId="1" applyNumberFormat="0" applyBorder="0" applyAlignment="0" applyProtection="0"/>
    <xf numFmtId="0" fontId="7" fillId="36" borderId="1" applyNumberFormat="0" applyBorder="0" applyAlignment="0" applyProtection="0"/>
    <xf numFmtId="0" fontId="7" fillId="0" borderId="1"/>
    <xf numFmtId="0" fontId="7" fillId="0" borderId="1"/>
    <xf numFmtId="165" fontId="7" fillId="0" borderId="1" applyFont="0" applyFill="0" applyBorder="0" applyAlignment="0" applyProtection="0"/>
    <xf numFmtId="0" fontId="7" fillId="0" borderId="1"/>
    <xf numFmtId="165" fontId="7" fillId="0" borderId="1" applyFont="0" applyFill="0" applyBorder="0" applyAlignment="0" applyProtection="0"/>
    <xf numFmtId="9" fontId="7" fillId="0" borderId="1" applyFont="0" applyFill="0" applyBorder="0" applyAlignment="0" applyProtection="0"/>
    <xf numFmtId="0" fontId="7" fillId="13" borderId="83" applyNumberFormat="0" applyFont="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0" fontId="7" fillId="0" borderId="1"/>
    <xf numFmtId="0" fontId="7" fillId="0" borderId="1"/>
    <xf numFmtId="0" fontId="7" fillId="0" borderId="1"/>
    <xf numFmtId="0" fontId="7" fillId="0" borderId="1"/>
    <xf numFmtId="0" fontId="7" fillId="0" borderId="1"/>
    <xf numFmtId="0" fontId="7" fillId="15" borderId="1" applyNumberFormat="0" applyBorder="0" applyAlignment="0" applyProtection="0"/>
    <xf numFmtId="0" fontId="7" fillId="19" borderId="1" applyNumberFormat="0" applyBorder="0" applyAlignment="0" applyProtection="0"/>
    <xf numFmtId="0" fontId="7" fillId="23" borderId="1" applyNumberFormat="0" applyBorder="0" applyAlignment="0" applyProtection="0"/>
    <xf numFmtId="0" fontId="7" fillId="27" borderId="1" applyNumberFormat="0" applyBorder="0" applyAlignment="0" applyProtection="0"/>
    <xf numFmtId="0" fontId="7" fillId="31" borderId="1" applyNumberFormat="0" applyBorder="0" applyAlignment="0" applyProtection="0"/>
    <xf numFmtId="0" fontId="7" fillId="35" borderId="1" applyNumberFormat="0" applyBorder="0" applyAlignment="0" applyProtection="0"/>
    <xf numFmtId="0" fontId="7" fillId="16" borderId="1" applyNumberFormat="0" applyBorder="0" applyAlignment="0" applyProtection="0"/>
    <xf numFmtId="0" fontId="7" fillId="20" borderId="1" applyNumberFormat="0" applyBorder="0" applyAlignment="0" applyProtection="0"/>
    <xf numFmtId="0" fontId="7" fillId="24" borderId="1" applyNumberFormat="0" applyBorder="0" applyAlignment="0" applyProtection="0"/>
    <xf numFmtId="0" fontId="7" fillId="28" borderId="1" applyNumberFormat="0" applyBorder="0" applyAlignment="0" applyProtection="0"/>
    <xf numFmtId="0" fontId="7" fillId="32" borderId="1" applyNumberFormat="0" applyBorder="0" applyAlignment="0" applyProtection="0"/>
    <xf numFmtId="0" fontId="7" fillId="36" borderId="1" applyNumberFormat="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0" fontId="7" fillId="0" borderId="1"/>
    <xf numFmtId="0" fontId="7" fillId="0" borderId="1"/>
    <xf numFmtId="0" fontId="7" fillId="0" borderId="1"/>
    <xf numFmtId="0" fontId="7" fillId="0" borderId="1"/>
    <xf numFmtId="0" fontId="7" fillId="0" borderId="1"/>
    <xf numFmtId="0" fontId="7" fillId="13" borderId="83" applyNumberFormat="0" applyFont="0" applyAlignment="0" applyProtection="0"/>
    <xf numFmtId="0" fontId="7" fillId="13" borderId="83" applyNumberFormat="0" applyFont="0" applyAlignment="0" applyProtection="0"/>
    <xf numFmtId="9" fontId="7" fillId="0" borderId="1" applyFont="0" applyFill="0" applyBorder="0" applyAlignment="0" applyProtection="0"/>
    <xf numFmtId="9"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0" fontId="7" fillId="0" borderId="1"/>
    <xf numFmtId="0" fontId="7" fillId="15" borderId="1" applyNumberFormat="0" applyBorder="0" applyAlignment="0" applyProtection="0"/>
    <xf numFmtId="0" fontId="7" fillId="16" borderId="1" applyNumberFormat="0" applyBorder="0" applyAlignment="0" applyProtection="0"/>
    <xf numFmtId="0" fontId="7" fillId="19" borderId="1" applyNumberFormat="0" applyBorder="0" applyAlignment="0" applyProtection="0"/>
    <xf numFmtId="0" fontId="7" fillId="20" borderId="1" applyNumberFormat="0" applyBorder="0" applyAlignment="0" applyProtection="0"/>
    <xf numFmtId="0" fontId="7" fillId="23" borderId="1" applyNumberFormat="0" applyBorder="0" applyAlignment="0" applyProtection="0"/>
    <xf numFmtId="0" fontId="7" fillId="24" borderId="1" applyNumberFormat="0" applyBorder="0" applyAlignment="0" applyProtection="0"/>
    <xf numFmtId="0" fontId="7" fillId="27" borderId="1" applyNumberFormat="0" applyBorder="0" applyAlignment="0" applyProtection="0"/>
    <xf numFmtId="0" fontId="7" fillId="28" borderId="1" applyNumberFormat="0" applyBorder="0" applyAlignment="0" applyProtection="0"/>
    <xf numFmtId="0" fontId="7" fillId="31" borderId="1" applyNumberFormat="0" applyBorder="0" applyAlignment="0" applyProtection="0"/>
    <xf numFmtId="0" fontId="7" fillId="32" borderId="1" applyNumberFormat="0" applyBorder="0" applyAlignment="0" applyProtection="0"/>
    <xf numFmtId="0" fontId="7" fillId="35" borderId="1" applyNumberFormat="0" applyBorder="0" applyAlignment="0" applyProtection="0"/>
    <xf numFmtId="0" fontId="7" fillId="36" borderId="1" applyNumberFormat="0" applyBorder="0" applyAlignment="0" applyProtection="0"/>
    <xf numFmtId="0" fontId="7" fillId="0" borderId="1"/>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0" fontId="7" fillId="0" borderId="1"/>
    <xf numFmtId="0" fontId="7" fillId="0" borderId="1"/>
    <xf numFmtId="0" fontId="7" fillId="0" borderId="1"/>
    <xf numFmtId="0" fontId="7" fillId="0" borderId="1"/>
    <xf numFmtId="0" fontId="7" fillId="0" borderId="1"/>
    <xf numFmtId="0" fontId="7" fillId="13" borderId="83" applyNumberFormat="0" applyFont="0" applyAlignment="0" applyProtection="0"/>
    <xf numFmtId="0" fontId="7" fillId="13" borderId="83" applyNumberFormat="0" applyFont="0" applyAlignment="0" applyProtection="0"/>
    <xf numFmtId="9" fontId="7" fillId="0" borderId="1" applyFont="0" applyFill="0" applyBorder="0" applyAlignment="0" applyProtection="0"/>
    <xf numFmtId="9" fontId="7" fillId="0" borderId="1" applyFont="0" applyFill="0" applyBorder="0" applyAlignment="0" applyProtection="0"/>
    <xf numFmtId="0" fontId="7" fillId="0" borderId="1"/>
    <xf numFmtId="0" fontId="7" fillId="15" borderId="1" applyNumberFormat="0" applyBorder="0" applyAlignment="0" applyProtection="0"/>
    <xf numFmtId="0" fontId="7" fillId="19" borderId="1" applyNumberFormat="0" applyBorder="0" applyAlignment="0" applyProtection="0"/>
    <xf numFmtId="0" fontId="7" fillId="23" borderId="1" applyNumberFormat="0" applyBorder="0" applyAlignment="0" applyProtection="0"/>
    <xf numFmtId="0" fontId="7" fillId="27" borderId="1" applyNumberFormat="0" applyBorder="0" applyAlignment="0" applyProtection="0"/>
    <xf numFmtId="0" fontId="7" fillId="31" borderId="1" applyNumberFormat="0" applyBorder="0" applyAlignment="0" applyProtection="0"/>
    <xf numFmtId="0" fontId="7" fillId="35" borderId="1" applyNumberFormat="0" applyBorder="0" applyAlignment="0" applyProtection="0"/>
    <xf numFmtId="0" fontId="7" fillId="16" borderId="1" applyNumberFormat="0" applyBorder="0" applyAlignment="0" applyProtection="0"/>
    <xf numFmtId="0" fontId="7" fillId="20" borderId="1" applyNumberFormat="0" applyBorder="0" applyAlignment="0" applyProtection="0"/>
    <xf numFmtId="0" fontId="7" fillId="24" borderId="1" applyNumberFormat="0" applyBorder="0" applyAlignment="0" applyProtection="0"/>
    <xf numFmtId="0" fontId="7" fillId="28" borderId="1" applyNumberFormat="0" applyBorder="0" applyAlignment="0" applyProtection="0"/>
    <xf numFmtId="0" fontId="7" fillId="32" borderId="1" applyNumberFormat="0" applyBorder="0" applyAlignment="0" applyProtection="0"/>
    <xf numFmtId="0" fontId="7" fillId="36" borderId="1" applyNumberFormat="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0" fontId="7" fillId="0" borderId="1"/>
    <xf numFmtId="0" fontId="7" fillId="0" borderId="1"/>
    <xf numFmtId="0" fontId="7" fillId="0" borderId="1"/>
    <xf numFmtId="0" fontId="7" fillId="0" borderId="1"/>
    <xf numFmtId="0" fontId="7" fillId="0" borderId="1"/>
    <xf numFmtId="0" fontId="7" fillId="13" borderId="83" applyNumberFormat="0" applyFont="0" applyAlignment="0" applyProtection="0"/>
    <xf numFmtId="0" fontId="7" fillId="13" borderId="83" applyNumberFormat="0" applyFont="0" applyAlignment="0" applyProtection="0"/>
    <xf numFmtId="9" fontId="7" fillId="0" borderId="1" applyFont="0" applyFill="0" applyBorder="0" applyAlignment="0" applyProtection="0"/>
    <xf numFmtId="9" fontId="7" fillId="0" borderId="1" applyFont="0" applyFill="0" applyBorder="0" applyAlignment="0" applyProtection="0"/>
    <xf numFmtId="165" fontId="7" fillId="0" borderId="1" applyFont="0" applyFill="0" applyBorder="0" applyAlignment="0" applyProtection="0"/>
    <xf numFmtId="0" fontId="7" fillId="0" borderId="1"/>
    <xf numFmtId="0" fontId="7" fillId="15" borderId="1" applyNumberFormat="0" applyBorder="0" applyAlignment="0" applyProtection="0"/>
    <xf numFmtId="0" fontId="7" fillId="15" borderId="1" applyNumberFormat="0" applyBorder="0" applyAlignment="0" applyProtection="0"/>
    <xf numFmtId="0" fontId="7" fillId="19" borderId="1" applyNumberFormat="0" applyBorder="0" applyAlignment="0" applyProtection="0"/>
    <xf numFmtId="0" fontId="7" fillId="19" borderId="1" applyNumberFormat="0" applyBorder="0" applyAlignment="0" applyProtection="0"/>
    <xf numFmtId="0" fontId="7" fillId="23" borderId="1" applyNumberFormat="0" applyBorder="0" applyAlignment="0" applyProtection="0"/>
    <xf numFmtId="0" fontId="7" fillId="23" borderId="1" applyNumberFormat="0" applyBorder="0" applyAlignment="0" applyProtection="0"/>
    <xf numFmtId="0" fontId="7" fillId="27" borderId="1" applyNumberFormat="0" applyBorder="0" applyAlignment="0" applyProtection="0"/>
    <xf numFmtId="0" fontId="7" fillId="27" borderId="1" applyNumberFormat="0" applyBorder="0" applyAlignment="0" applyProtection="0"/>
    <xf numFmtId="0" fontId="7" fillId="31" borderId="1" applyNumberFormat="0" applyBorder="0" applyAlignment="0" applyProtection="0"/>
    <xf numFmtId="0" fontId="7" fillId="31" borderId="1" applyNumberFormat="0" applyBorder="0" applyAlignment="0" applyProtection="0"/>
    <xf numFmtId="0" fontId="7" fillId="35" borderId="1" applyNumberFormat="0" applyBorder="0" applyAlignment="0" applyProtection="0"/>
    <xf numFmtId="0" fontId="7" fillId="35" borderId="1" applyNumberFormat="0" applyBorder="0" applyAlignment="0" applyProtection="0"/>
    <xf numFmtId="0" fontId="7" fillId="16" borderId="1" applyNumberFormat="0" applyBorder="0" applyAlignment="0" applyProtection="0"/>
    <xf numFmtId="0" fontId="7" fillId="16" borderId="1" applyNumberFormat="0" applyBorder="0" applyAlignment="0" applyProtection="0"/>
    <xf numFmtId="0" fontId="7" fillId="20" borderId="1" applyNumberFormat="0" applyBorder="0" applyAlignment="0" applyProtection="0"/>
    <xf numFmtId="0" fontId="7" fillId="20" borderId="1" applyNumberFormat="0" applyBorder="0" applyAlignment="0" applyProtection="0"/>
    <xf numFmtId="0" fontId="7" fillId="24" borderId="1" applyNumberFormat="0" applyBorder="0" applyAlignment="0" applyProtection="0"/>
    <xf numFmtId="0" fontId="7" fillId="24" borderId="1" applyNumberFormat="0" applyBorder="0" applyAlignment="0" applyProtection="0"/>
    <xf numFmtId="0" fontId="7" fillId="28" borderId="1" applyNumberFormat="0" applyBorder="0" applyAlignment="0" applyProtection="0"/>
    <xf numFmtId="0" fontId="7" fillId="28" borderId="1" applyNumberFormat="0" applyBorder="0" applyAlignment="0" applyProtection="0"/>
    <xf numFmtId="0" fontId="7" fillId="32" borderId="1" applyNumberFormat="0" applyBorder="0" applyAlignment="0" applyProtection="0"/>
    <xf numFmtId="0" fontId="7" fillId="32" borderId="1" applyNumberFormat="0" applyBorder="0" applyAlignment="0" applyProtection="0"/>
    <xf numFmtId="0" fontId="7" fillId="36" borderId="1" applyNumberFormat="0" applyBorder="0" applyAlignment="0" applyProtection="0"/>
    <xf numFmtId="0" fontId="7" fillId="36" borderId="1" applyNumberFormat="0" applyBorder="0" applyAlignment="0" applyProtection="0"/>
    <xf numFmtId="165" fontId="7" fillId="0" borderId="1" applyFont="0" applyFill="0" applyBorder="0" applyAlignment="0" applyProtection="0"/>
    <xf numFmtId="165" fontId="7" fillId="0" borderId="1" applyFont="0" applyFill="0" applyBorder="0" applyAlignment="0" applyProtection="0"/>
    <xf numFmtId="0" fontId="7" fillId="0" borderId="1"/>
    <xf numFmtId="0" fontId="7" fillId="0" borderId="1"/>
    <xf numFmtId="0" fontId="7" fillId="0" borderId="1"/>
    <xf numFmtId="0" fontId="7" fillId="0" borderId="1"/>
    <xf numFmtId="0" fontId="7" fillId="13" borderId="83" applyNumberFormat="0" applyFont="0" applyAlignment="0" applyProtection="0"/>
    <xf numFmtId="0" fontId="7" fillId="13" borderId="83" applyNumberFormat="0" applyFont="0" applyAlignment="0" applyProtection="0"/>
    <xf numFmtId="0" fontId="7" fillId="13" borderId="83" applyNumberFormat="0" applyFont="0" applyAlignment="0" applyProtection="0"/>
    <xf numFmtId="9"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0" fontId="7" fillId="0" borderId="1"/>
    <xf numFmtId="0" fontId="7" fillId="0" borderId="1"/>
    <xf numFmtId="0" fontId="7" fillId="0" borderId="1"/>
    <xf numFmtId="0" fontId="7" fillId="0" borderId="1"/>
    <xf numFmtId="0" fontId="7" fillId="0" borderId="1"/>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0" fontId="7" fillId="0" borderId="1"/>
    <xf numFmtId="0" fontId="7" fillId="0" borderId="1"/>
    <xf numFmtId="0" fontId="7" fillId="0" borderId="1"/>
    <xf numFmtId="0" fontId="7" fillId="0" borderId="1"/>
    <xf numFmtId="0" fontId="7" fillId="0" borderId="1"/>
    <xf numFmtId="0" fontId="7" fillId="13" borderId="83" applyNumberFormat="0" applyFont="0" applyAlignment="0" applyProtection="0"/>
    <xf numFmtId="9" fontId="7" fillId="0" borderId="1" applyFont="0" applyFill="0" applyBorder="0" applyAlignment="0" applyProtection="0"/>
    <xf numFmtId="9" fontId="7" fillId="0" borderId="1" applyFont="0" applyFill="0" applyBorder="0" applyAlignment="0" applyProtection="0"/>
    <xf numFmtId="0" fontId="7" fillId="0" borderId="1"/>
    <xf numFmtId="0" fontId="7" fillId="15" borderId="1" applyNumberFormat="0" applyBorder="0" applyAlignment="0" applyProtection="0"/>
    <xf numFmtId="0" fontId="7" fillId="16" borderId="1" applyNumberFormat="0" applyBorder="0" applyAlignment="0" applyProtection="0"/>
    <xf numFmtId="0" fontId="7" fillId="19" borderId="1" applyNumberFormat="0" applyBorder="0" applyAlignment="0" applyProtection="0"/>
    <xf numFmtId="0" fontId="7" fillId="20" borderId="1" applyNumberFormat="0" applyBorder="0" applyAlignment="0" applyProtection="0"/>
    <xf numFmtId="0" fontId="7" fillId="23" borderId="1" applyNumberFormat="0" applyBorder="0" applyAlignment="0" applyProtection="0"/>
    <xf numFmtId="0" fontId="7" fillId="24" borderId="1" applyNumberFormat="0" applyBorder="0" applyAlignment="0" applyProtection="0"/>
    <xf numFmtId="0" fontId="7" fillId="27" borderId="1" applyNumberFormat="0" applyBorder="0" applyAlignment="0" applyProtection="0"/>
    <xf numFmtId="0" fontId="7" fillId="28" borderId="1" applyNumberFormat="0" applyBorder="0" applyAlignment="0" applyProtection="0"/>
    <xf numFmtId="0" fontId="7" fillId="31" borderId="1" applyNumberFormat="0" applyBorder="0" applyAlignment="0" applyProtection="0"/>
    <xf numFmtId="0" fontId="7" fillId="32" borderId="1" applyNumberFormat="0" applyBorder="0" applyAlignment="0" applyProtection="0"/>
    <xf numFmtId="0" fontId="7" fillId="35" borderId="1" applyNumberFormat="0" applyBorder="0" applyAlignment="0" applyProtection="0"/>
    <xf numFmtId="0" fontId="7" fillId="36" borderId="1" applyNumberFormat="0" applyBorder="0" applyAlignment="0" applyProtection="0"/>
    <xf numFmtId="0" fontId="7" fillId="0" borderId="1"/>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0" fontId="7" fillId="0" borderId="1"/>
    <xf numFmtId="0" fontId="7" fillId="0" borderId="1"/>
    <xf numFmtId="0" fontId="7" fillId="0" borderId="1"/>
    <xf numFmtId="0" fontId="7" fillId="0" borderId="1"/>
    <xf numFmtId="0" fontId="7" fillId="0" borderId="1"/>
    <xf numFmtId="0" fontId="7" fillId="13" borderId="83" applyNumberFormat="0" applyFont="0" applyAlignment="0" applyProtection="0"/>
    <xf numFmtId="0" fontId="7" fillId="13" borderId="83" applyNumberFormat="0" applyFont="0" applyAlignment="0" applyProtection="0"/>
    <xf numFmtId="9" fontId="7" fillId="0" borderId="1" applyFont="0" applyFill="0" applyBorder="0" applyAlignment="0" applyProtection="0"/>
    <xf numFmtId="9" fontId="7" fillId="0" borderId="1" applyFont="0" applyFill="0" applyBorder="0" applyAlignment="0" applyProtection="0"/>
    <xf numFmtId="0" fontId="7" fillId="0" borderId="1"/>
    <xf numFmtId="0" fontId="7" fillId="15" borderId="1" applyNumberFormat="0" applyBorder="0" applyAlignment="0" applyProtection="0"/>
    <xf numFmtId="0" fontId="7" fillId="19" borderId="1" applyNumberFormat="0" applyBorder="0" applyAlignment="0" applyProtection="0"/>
    <xf numFmtId="0" fontId="7" fillId="23" borderId="1" applyNumberFormat="0" applyBorder="0" applyAlignment="0" applyProtection="0"/>
    <xf numFmtId="0" fontId="7" fillId="27" borderId="1" applyNumberFormat="0" applyBorder="0" applyAlignment="0" applyProtection="0"/>
    <xf numFmtId="0" fontId="7" fillId="31" borderId="1" applyNumberFormat="0" applyBorder="0" applyAlignment="0" applyProtection="0"/>
    <xf numFmtId="0" fontId="7" fillId="35" borderId="1" applyNumberFormat="0" applyBorder="0" applyAlignment="0" applyProtection="0"/>
    <xf numFmtId="0" fontId="7" fillId="16" borderId="1" applyNumberFormat="0" applyBorder="0" applyAlignment="0" applyProtection="0"/>
    <xf numFmtId="0" fontId="7" fillId="20" borderId="1" applyNumberFormat="0" applyBorder="0" applyAlignment="0" applyProtection="0"/>
    <xf numFmtId="0" fontId="7" fillId="24" borderId="1" applyNumberFormat="0" applyBorder="0" applyAlignment="0" applyProtection="0"/>
    <xf numFmtId="0" fontId="7" fillId="28" borderId="1" applyNumberFormat="0" applyBorder="0" applyAlignment="0" applyProtection="0"/>
    <xf numFmtId="0" fontId="7" fillId="32" borderId="1" applyNumberFormat="0" applyBorder="0" applyAlignment="0" applyProtection="0"/>
    <xf numFmtId="0" fontId="7" fillId="36" borderId="1" applyNumberFormat="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0" fontId="7" fillId="0" borderId="1"/>
    <xf numFmtId="0" fontId="7" fillId="0" borderId="1"/>
    <xf numFmtId="0" fontId="7" fillId="0" borderId="1"/>
    <xf numFmtId="0" fontId="7" fillId="0" borderId="1"/>
    <xf numFmtId="0" fontId="7" fillId="0" borderId="1"/>
    <xf numFmtId="0" fontId="7" fillId="13" borderId="83" applyNumberFormat="0" applyFont="0" applyAlignment="0" applyProtection="0"/>
    <xf numFmtId="0" fontId="7" fillId="13" borderId="83" applyNumberFormat="0" applyFont="0" applyAlignment="0" applyProtection="0"/>
    <xf numFmtId="9" fontId="7" fillId="0" borderId="1" applyFont="0" applyFill="0" applyBorder="0" applyAlignment="0" applyProtection="0"/>
    <xf numFmtId="9"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0" fontId="7" fillId="0" borderId="1"/>
    <xf numFmtId="0" fontId="7" fillId="15" borderId="1" applyNumberFormat="0" applyBorder="0" applyAlignment="0" applyProtection="0"/>
    <xf numFmtId="0" fontId="7" fillId="16" borderId="1" applyNumberFormat="0" applyBorder="0" applyAlignment="0" applyProtection="0"/>
    <xf numFmtId="0" fontId="7" fillId="19" borderId="1" applyNumberFormat="0" applyBorder="0" applyAlignment="0" applyProtection="0"/>
    <xf numFmtId="0" fontId="7" fillId="20" borderId="1" applyNumberFormat="0" applyBorder="0" applyAlignment="0" applyProtection="0"/>
    <xf numFmtId="0" fontId="7" fillId="23" borderId="1" applyNumberFormat="0" applyBorder="0" applyAlignment="0" applyProtection="0"/>
    <xf numFmtId="0" fontId="7" fillId="24" borderId="1" applyNumberFormat="0" applyBorder="0" applyAlignment="0" applyProtection="0"/>
    <xf numFmtId="0" fontId="7" fillId="27" borderId="1" applyNumberFormat="0" applyBorder="0" applyAlignment="0" applyProtection="0"/>
    <xf numFmtId="0" fontId="7" fillId="28" borderId="1" applyNumberFormat="0" applyBorder="0" applyAlignment="0" applyProtection="0"/>
    <xf numFmtId="0" fontId="7" fillId="31" borderId="1" applyNumberFormat="0" applyBorder="0" applyAlignment="0" applyProtection="0"/>
    <xf numFmtId="0" fontId="7" fillId="32" borderId="1" applyNumberFormat="0" applyBorder="0" applyAlignment="0" applyProtection="0"/>
    <xf numFmtId="0" fontId="7" fillId="35" borderId="1" applyNumberFormat="0" applyBorder="0" applyAlignment="0" applyProtection="0"/>
    <xf numFmtId="0" fontId="7" fillId="36" borderId="1" applyNumberFormat="0" applyBorder="0" applyAlignment="0" applyProtection="0"/>
    <xf numFmtId="0" fontId="7" fillId="0" borderId="1"/>
    <xf numFmtId="0" fontId="7" fillId="0" borderId="1"/>
    <xf numFmtId="165" fontId="7" fillId="0" borderId="1" applyFont="0" applyFill="0" applyBorder="0" applyAlignment="0" applyProtection="0"/>
    <xf numFmtId="0" fontId="7" fillId="0" borderId="1"/>
    <xf numFmtId="9" fontId="7" fillId="0" borderId="1" applyFont="0" applyFill="0" applyBorder="0" applyAlignment="0" applyProtection="0"/>
    <xf numFmtId="0" fontId="7" fillId="13" borderId="83" applyNumberFormat="0" applyFont="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0" fontId="7" fillId="0" borderId="1"/>
    <xf numFmtId="0" fontId="7" fillId="0" borderId="1"/>
    <xf numFmtId="0" fontId="7" fillId="0" borderId="1"/>
    <xf numFmtId="0" fontId="7" fillId="0" borderId="1"/>
    <xf numFmtId="0" fontId="7" fillId="0" borderId="1"/>
    <xf numFmtId="0" fontId="7" fillId="15" borderId="1" applyNumberFormat="0" applyBorder="0" applyAlignment="0" applyProtection="0"/>
    <xf numFmtId="0" fontId="7" fillId="19" borderId="1" applyNumberFormat="0" applyBorder="0" applyAlignment="0" applyProtection="0"/>
    <xf numFmtId="0" fontId="7" fillId="23" borderId="1" applyNumberFormat="0" applyBorder="0" applyAlignment="0" applyProtection="0"/>
    <xf numFmtId="0" fontId="7" fillId="27" borderId="1" applyNumberFormat="0" applyBorder="0" applyAlignment="0" applyProtection="0"/>
    <xf numFmtId="0" fontId="7" fillId="31" borderId="1" applyNumberFormat="0" applyBorder="0" applyAlignment="0" applyProtection="0"/>
    <xf numFmtId="0" fontId="7" fillId="35" borderId="1" applyNumberFormat="0" applyBorder="0" applyAlignment="0" applyProtection="0"/>
    <xf numFmtId="0" fontId="7" fillId="16" borderId="1" applyNumberFormat="0" applyBorder="0" applyAlignment="0" applyProtection="0"/>
    <xf numFmtId="0" fontId="7" fillId="20" borderId="1" applyNumberFormat="0" applyBorder="0" applyAlignment="0" applyProtection="0"/>
    <xf numFmtId="0" fontId="7" fillId="24" borderId="1" applyNumberFormat="0" applyBorder="0" applyAlignment="0" applyProtection="0"/>
    <xf numFmtId="0" fontId="7" fillId="28" borderId="1" applyNumberFormat="0" applyBorder="0" applyAlignment="0" applyProtection="0"/>
    <xf numFmtId="0" fontId="7" fillId="32" borderId="1" applyNumberFormat="0" applyBorder="0" applyAlignment="0" applyProtection="0"/>
    <xf numFmtId="0" fontId="7" fillId="36" borderId="1" applyNumberFormat="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0" fontId="7" fillId="0" borderId="1"/>
    <xf numFmtId="0" fontId="7" fillId="0" borderId="1"/>
    <xf numFmtId="0" fontId="7" fillId="0" borderId="1"/>
    <xf numFmtId="0" fontId="7" fillId="0" borderId="1"/>
    <xf numFmtId="0" fontId="7" fillId="0" borderId="1"/>
    <xf numFmtId="0" fontId="7" fillId="13" borderId="83" applyNumberFormat="0" applyFont="0" applyAlignment="0" applyProtection="0"/>
    <xf numFmtId="0" fontId="7" fillId="13" borderId="83" applyNumberFormat="0" applyFont="0" applyAlignment="0" applyProtection="0"/>
    <xf numFmtId="9" fontId="7" fillId="0" borderId="1" applyFont="0" applyFill="0" applyBorder="0" applyAlignment="0" applyProtection="0"/>
    <xf numFmtId="9"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0" fontId="7" fillId="0" borderId="1"/>
    <xf numFmtId="0" fontId="7" fillId="15" borderId="1" applyNumberFormat="0" applyBorder="0" applyAlignment="0" applyProtection="0"/>
    <xf numFmtId="0" fontId="7" fillId="16" borderId="1" applyNumberFormat="0" applyBorder="0" applyAlignment="0" applyProtection="0"/>
    <xf numFmtId="0" fontId="7" fillId="19" borderId="1" applyNumberFormat="0" applyBorder="0" applyAlignment="0" applyProtection="0"/>
    <xf numFmtId="0" fontId="7" fillId="20" borderId="1" applyNumberFormat="0" applyBorder="0" applyAlignment="0" applyProtection="0"/>
    <xf numFmtId="0" fontId="7" fillId="23" borderId="1" applyNumberFormat="0" applyBorder="0" applyAlignment="0" applyProtection="0"/>
    <xf numFmtId="0" fontId="7" fillId="24" borderId="1" applyNumberFormat="0" applyBorder="0" applyAlignment="0" applyProtection="0"/>
    <xf numFmtId="0" fontId="7" fillId="27" borderId="1" applyNumberFormat="0" applyBorder="0" applyAlignment="0" applyProtection="0"/>
    <xf numFmtId="0" fontId="7" fillId="28" borderId="1" applyNumberFormat="0" applyBorder="0" applyAlignment="0" applyProtection="0"/>
    <xf numFmtId="0" fontId="7" fillId="31" borderId="1" applyNumberFormat="0" applyBorder="0" applyAlignment="0" applyProtection="0"/>
    <xf numFmtId="0" fontId="7" fillId="32" borderId="1" applyNumberFormat="0" applyBorder="0" applyAlignment="0" applyProtection="0"/>
    <xf numFmtId="0" fontId="7" fillId="35" borderId="1" applyNumberFormat="0" applyBorder="0" applyAlignment="0" applyProtection="0"/>
    <xf numFmtId="0" fontId="7" fillId="36" borderId="1" applyNumberFormat="0" applyBorder="0" applyAlignment="0" applyProtection="0"/>
    <xf numFmtId="0" fontId="7" fillId="0" borderId="1"/>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0" fontId="7" fillId="0" borderId="1"/>
    <xf numFmtId="0" fontId="7" fillId="0" borderId="1"/>
    <xf numFmtId="0" fontId="7" fillId="0" borderId="1"/>
    <xf numFmtId="0" fontId="7" fillId="0" borderId="1"/>
    <xf numFmtId="0" fontId="7" fillId="0" borderId="1"/>
    <xf numFmtId="0" fontId="7" fillId="13" borderId="83" applyNumberFormat="0" applyFont="0" applyAlignment="0" applyProtection="0"/>
    <xf numFmtId="0" fontId="7" fillId="13" borderId="83" applyNumberFormat="0" applyFont="0" applyAlignment="0" applyProtection="0"/>
    <xf numFmtId="9" fontId="7" fillId="0" borderId="1" applyFont="0" applyFill="0" applyBorder="0" applyAlignment="0" applyProtection="0"/>
    <xf numFmtId="9" fontId="7" fillId="0" borderId="1" applyFont="0" applyFill="0" applyBorder="0" applyAlignment="0" applyProtection="0"/>
    <xf numFmtId="0" fontId="7" fillId="0" borderId="1"/>
    <xf numFmtId="0" fontId="7" fillId="15" borderId="1" applyNumberFormat="0" applyBorder="0" applyAlignment="0" applyProtection="0"/>
    <xf numFmtId="0" fontId="7" fillId="19" borderId="1" applyNumberFormat="0" applyBorder="0" applyAlignment="0" applyProtection="0"/>
    <xf numFmtId="0" fontId="7" fillId="23" borderId="1" applyNumberFormat="0" applyBorder="0" applyAlignment="0" applyProtection="0"/>
    <xf numFmtId="0" fontId="7" fillId="27" borderId="1" applyNumberFormat="0" applyBorder="0" applyAlignment="0" applyProtection="0"/>
    <xf numFmtId="0" fontId="7" fillId="31" borderId="1" applyNumberFormat="0" applyBorder="0" applyAlignment="0" applyProtection="0"/>
    <xf numFmtId="0" fontId="7" fillId="35" borderId="1" applyNumberFormat="0" applyBorder="0" applyAlignment="0" applyProtection="0"/>
    <xf numFmtId="0" fontId="7" fillId="16" borderId="1" applyNumberFormat="0" applyBorder="0" applyAlignment="0" applyProtection="0"/>
    <xf numFmtId="0" fontId="7" fillId="20" borderId="1" applyNumberFormat="0" applyBorder="0" applyAlignment="0" applyProtection="0"/>
    <xf numFmtId="0" fontId="7" fillId="24" borderId="1" applyNumberFormat="0" applyBorder="0" applyAlignment="0" applyProtection="0"/>
    <xf numFmtId="0" fontId="7" fillId="28" borderId="1" applyNumberFormat="0" applyBorder="0" applyAlignment="0" applyProtection="0"/>
    <xf numFmtId="0" fontId="7" fillId="32" borderId="1" applyNumberFormat="0" applyBorder="0" applyAlignment="0" applyProtection="0"/>
    <xf numFmtId="0" fontId="7" fillId="36" borderId="1" applyNumberFormat="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0" fontId="7" fillId="0" borderId="1"/>
    <xf numFmtId="0" fontId="7" fillId="0" borderId="1"/>
    <xf numFmtId="0" fontId="7" fillId="0" borderId="1"/>
    <xf numFmtId="0" fontId="7" fillId="0" borderId="1"/>
    <xf numFmtId="0" fontId="7" fillId="0" borderId="1"/>
    <xf numFmtId="0" fontId="7" fillId="13" borderId="83" applyNumberFormat="0" applyFont="0" applyAlignment="0" applyProtection="0"/>
    <xf numFmtId="0" fontId="7" fillId="13" borderId="83" applyNumberFormat="0" applyFont="0" applyAlignment="0" applyProtection="0"/>
    <xf numFmtId="9" fontId="7" fillId="0" borderId="1" applyFont="0" applyFill="0" applyBorder="0" applyAlignment="0" applyProtection="0"/>
    <xf numFmtId="9"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0" fontId="7" fillId="0" borderId="1"/>
    <xf numFmtId="0" fontId="7" fillId="15" borderId="1" applyNumberFormat="0" applyBorder="0" applyAlignment="0" applyProtection="0"/>
    <xf numFmtId="0" fontId="7" fillId="15" borderId="1" applyNumberFormat="0" applyBorder="0" applyAlignment="0" applyProtection="0"/>
    <xf numFmtId="0" fontId="7" fillId="19" borderId="1" applyNumberFormat="0" applyBorder="0" applyAlignment="0" applyProtection="0"/>
    <xf numFmtId="0" fontId="7" fillId="19" borderId="1" applyNumberFormat="0" applyBorder="0" applyAlignment="0" applyProtection="0"/>
    <xf numFmtId="0" fontId="7" fillId="23" borderId="1" applyNumberFormat="0" applyBorder="0" applyAlignment="0" applyProtection="0"/>
    <xf numFmtId="0" fontId="7" fillId="23" borderId="1" applyNumberFormat="0" applyBorder="0" applyAlignment="0" applyProtection="0"/>
    <xf numFmtId="0" fontId="7" fillId="27" borderId="1" applyNumberFormat="0" applyBorder="0" applyAlignment="0" applyProtection="0"/>
    <xf numFmtId="0" fontId="7" fillId="27" borderId="1" applyNumberFormat="0" applyBorder="0" applyAlignment="0" applyProtection="0"/>
    <xf numFmtId="0" fontId="7" fillId="31" borderId="1" applyNumberFormat="0" applyBorder="0" applyAlignment="0" applyProtection="0"/>
    <xf numFmtId="0" fontId="7" fillId="31" borderId="1" applyNumberFormat="0" applyBorder="0" applyAlignment="0" applyProtection="0"/>
    <xf numFmtId="0" fontId="7" fillId="35" borderId="1" applyNumberFormat="0" applyBorder="0" applyAlignment="0" applyProtection="0"/>
    <xf numFmtId="0" fontId="7" fillId="35" borderId="1" applyNumberFormat="0" applyBorder="0" applyAlignment="0" applyProtection="0"/>
    <xf numFmtId="0" fontId="7" fillId="16" borderId="1" applyNumberFormat="0" applyBorder="0" applyAlignment="0" applyProtection="0"/>
    <xf numFmtId="0" fontId="7" fillId="16" borderId="1" applyNumberFormat="0" applyBorder="0" applyAlignment="0" applyProtection="0"/>
    <xf numFmtId="0" fontId="7" fillId="20" borderId="1" applyNumberFormat="0" applyBorder="0" applyAlignment="0" applyProtection="0"/>
    <xf numFmtId="0" fontId="7" fillId="20" borderId="1" applyNumberFormat="0" applyBorder="0" applyAlignment="0" applyProtection="0"/>
    <xf numFmtId="0" fontId="7" fillId="24" borderId="1" applyNumberFormat="0" applyBorder="0" applyAlignment="0" applyProtection="0"/>
    <xf numFmtId="0" fontId="7" fillId="24" borderId="1" applyNumberFormat="0" applyBorder="0" applyAlignment="0" applyProtection="0"/>
    <xf numFmtId="0" fontId="7" fillId="28" borderId="1" applyNumberFormat="0" applyBorder="0" applyAlignment="0" applyProtection="0"/>
    <xf numFmtId="0" fontId="7" fillId="28" borderId="1" applyNumberFormat="0" applyBorder="0" applyAlignment="0" applyProtection="0"/>
    <xf numFmtId="0" fontId="7" fillId="32" borderId="1" applyNumberFormat="0" applyBorder="0" applyAlignment="0" applyProtection="0"/>
    <xf numFmtId="0" fontId="7" fillId="32" borderId="1" applyNumberFormat="0" applyBorder="0" applyAlignment="0" applyProtection="0"/>
    <xf numFmtId="0" fontId="7" fillId="36" borderId="1" applyNumberFormat="0" applyBorder="0" applyAlignment="0" applyProtection="0"/>
    <xf numFmtId="0" fontId="7" fillId="36" borderId="1" applyNumberFormat="0" applyBorder="0" applyAlignment="0" applyProtection="0"/>
    <xf numFmtId="165" fontId="7" fillId="0" borderId="1" applyFont="0" applyFill="0" applyBorder="0" applyAlignment="0" applyProtection="0"/>
    <xf numFmtId="165" fontId="7" fillId="0" borderId="1" applyFont="0" applyFill="0" applyBorder="0" applyAlignment="0" applyProtection="0"/>
    <xf numFmtId="0" fontId="7" fillId="0" borderId="1"/>
    <xf numFmtId="0" fontId="7" fillId="0" borderId="1"/>
    <xf numFmtId="0" fontId="7" fillId="0" borderId="1"/>
    <xf numFmtId="0" fontId="7" fillId="0" borderId="1"/>
    <xf numFmtId="0" fontId="7" fillId="13" borderId="83" applyNumberFormat="0" applyFont="0" applyAlignment="0" applyProtection="0"/>
    <xf numFmtId="0" fontId="7" fillId="13" borderId="83" applyNumberFormat="0" applyFont="0" applyAlignment="0" applyProtection="0"/>
    <xf numFmtId="0" fontId="7" fillId="13" borderId="83" applyNumberFormat="0" applyFont="0" applyAlignment="0" applyProtection="0"/>
    <xf numFmtId="9"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0" fontId="7" fillId="0" borderId="1"/>
    <xf numFmtId="0" fontId="7" fillId="0" borderId="1"/>
    <xf numFmtId="0" fontId="7" fillId="0" borderId="1"/>
    <xf numFmtId="0" fontId="7" fillId="0" borderId="1"/>
    <xf numFmtId="0" fontId="7" fillId="0" borderId="1"/>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0" fontId="7" fillId="0" borderId="1"/>
    <xf numFmtId="0" fontId="7" fillId="0" borderId="1"/>
    <xf numFmtId="0" fontId="7" fillId="0" borderId="1"/>
    <xf numFmtId="0" fontId="7" fillId="0" borderId="1"/>
    <xf numFmtId="0" fontId="7" fillId="0" borderId="1"/>
    <xf numFmtId="0" fontId="7" fillId="13" borderId="83" applyNumberFormat="0" applyFont="0" applyAlignment="0" applyProtection="0"/>
    <xf numFmtId="9" fontId="7" fillId="0" borderId="1" applyFont="0" applyFill="0" applyBorder="0" applyAlignment="0" applyProtection="0"/>
    <xf numFmtId="9"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0" fontId="7" fillId="0" borderId="1"/>
    <xf numFmtId="0" fontId="7" fillId="15" borderId="1" applyNumberFormat="0" applyBorder="0" applyAlignment="0" applyProtection="0"/>
    <xf numFmtId="0" fontId="7" fillId="16" borderId="1" applyNumberFormat="0" applyBorder="0" applyAlignment="0" applyProtection="0"/>
    <xf numFmtId="0" fontId="7" fillId="19" borderId="1" applyNumberFormat="0" applyBorder="0" applyAlignment="0" applyProtection="0"/>
    <xf numFmtId="0" fontId="7" fillId="20" borderId="1" applyNumberFormat="0" applyBorder="0" applyAlignment="0" applyProtection="0"/>
    <xf numFmtId="0" fontId="7" fillId="23" borderId="1" applyNumberFormat="0" applyBorder="0" applyAlignment="0" applyProtection="0"/>
    <xf numFmtId="0" fontId="7" fillId="24" borderId="1" applyNumberFormat="0" applyBorder="0" applyAlignment="0" applyProtection="0"/>
    <xf numFmtId="0" fontId="7" fillId="27" borderId="1" applyNumberFormat="0" applyBorder="0" applyAlignment="0" applyProtection="0"/>
    <xf numFmtId="0" fontId="7" fillId="28" borderId="1" applyNumberFormat="0" applyBorder="0" applyAlignment="0" applyProtection="0"/>
    <xf numFmtId="0" fontId="7" fillId="31" borderId="1" applyNumberFormat="0" applyBorder="0" applyAlignment="0" applyProtection="0"/>
    <xf numFmtId="0" fontId="7" fillId="32" borderId="1" applyNumberFormat="0" applyBorder="0" applyAlignment="0" applyProtection="0"/>
    <xf numFmtId="0" fontId="7" fillId="35" borderId="1" applyNumberFormat="0" applyBorder="0" applyAlignment="0" applyProtection="0"/>
    <xf numFmtId="0" fontId="7" fillId="36" borderId="1" applyNumberFormat="0" applyBorder="0" applyAlignment="0" applyProtection="0"/>
    <xf numFmtId="0" fontId="7" fillId="0" borderId="1"/>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0" fontId="7" fillId="0" borderId="1"/>
    <xf numFmtId="0" fontId="7" fillId="0" borderId="1"/>
    <xf numFmtId="0" fontId="7" fillId="0" borderId="1"/>
    <xf numFmtId="0" fontId="7" fillId="0" borderId="1"/>
    <xf numFmtId="0" fontId="7" fillId="0" borderId="1"/>
    <xf numFmtId="0" fontId="7" fillId="13" borderId="83" applyNumberFormat="0" applyFont="0" applyAlignment="0" applyProtection="0"/>
    <xf numFmtId="0" fontId="7" fillId="13" borderId="83" applyNumberFormat="0" applyFont="0" applyAlignment="0" applyProtection="0"/>
    <xf numFmtId="9" fontId="7" fillId="0" borderId="1" applyFont="0" applyFill="0" applyBorder="0" applyAlignment="0" applyProtection="0"/>
    <xf numFmtId="9" fontId="7" fillId="0" borderId="1" applyFont="0" applyFill="0" applyBorder="0" applyAlignment="0" applyProtection="0"/>
    <xf numFmtId="0" fontId="7" fillId="0" borderId="1"/>
    <xf numFmtId="0" fontId="7" fillId="15" borderId="1" applyNumberFormat="0" applyBorder="0" applyAlignment="0" applyProtection="0"/>
    <xf numFmtId="0" fontId="7" fillId="19" borderId="1" applyNumberFormat="0" applyBorder="0" applyAlignment="0" applyProtection="0"/>
    <xf numFmtId="0" fontId="7" fillId="23" borderId="1" applyNumberFormat="0" applyBorder="0" applyAlignment="0" applyProtection="0"/>
    <xf numFmtId="0" fontId="7" fillId="27" borderId="1" applyNumberFormat="0" applyBorder="0" applyAlignment="0" applyProtection="0"/>
    <xf numFmtId="0" fontId="7" fillId="31" borderId="1" applyNumberFormat="0" applyBorder="0" applyAlignment="0" applyProtection="0"/>
    <xf numFmtId="0" fontId="7" fillId="35" borderId="1" applyNumberFormat="0" applyBorder="0" applyAlignment="0" applyProtection="0"/>
    <xf numFmtId="0" fontId="7" fillId="16" borderId="1" applyNumberFormat="0" applyBorder="0" applyAlignment="0" applyProtection="0"/>
    <xf numFmtId="0" fontId="7" fillId="20" borderId="1" applyNumberFormat="0" applyBorder="0" applyAlignment="0" applyProtection="0"/>
    <xf numFmtId="0" fontId="7" fillId="24" borderId="1" applyNumberFormat="0" applyBorder="0" applyAlignment="0" applyProtection="0"/>
    <xf numFmtId="0" fontId="7" fillId="28" borderId="1" applyNumberFormat="0" applyBorder="0" applyAlignment="0" applyProtection="0"/>
    <xf numFmtId="0" fontId="7" fillId="32" borderId="1" applyNumberFormat="0" applyBorder="0" applyAlignment="0" applyProtection="0"/>
    <xf numFmtId="0" fontId="7" fillId="36" borderId="1" applyNumberFormat="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0" fontId="7" fillId="0" borderId="1"/>
    <xf numFmtId="0" fontId="7" fillId="0" borderId="1"/>
    <xf numFmtId="0" fontId="7" fillId="0" borderId="1"/>
    <xf numFmtId="0" fontId="7" fillId="0" borderId="1"/>
    <xf numFmtId="0" fontId="7" fillId="0" borderId="1"/>
    <xf numFmtId="0" fontId="7" fillId="13" borderId="83" applyNumberFormat="0" applyFont="0" applyAlignment="0" applyProtection="0"/>
    <xf numFmtId="0" fontId="7" fillId="13" borderId="83" applyNumberFormat="0" applyFont="0" applyAlignment="0" applyProtection="0"/>
    <xf numFmtId="9" fontId="7" fillId="0" borderId="1" applyFont="0" applyFill="0" applyBorder="0" applyAlignment="0" applyProtection="0"/>
    <xf numFmtId="9"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0" fontId="7" fillId="0" borderId="1"/>
    <xf numFmtId="0" fontId="7" fillId="15" borderId="1" applyNumberFormat="0" applyBorder="0" applyAlignment="0" applyProtection="0"/>
    <xf numFmtId="0" fontId="7" fillId="16" borderId="1" applyNumberFormat="0" applyBorder="0" applyAlignment="0" applyProtection="0"/>
    <xf numFmtId="0" fontId="7" fillId="19" borderId="1" applyNumberFormat="0" applyBorder="0" applyAlignment="0" applyProtection="0"/>
    <xf numFmtId="0" fontId="7" fillId="20" borderId="1" applyNumberFormat="0" applyBorder="0" applyAlignment="0" applyProtection="0"/>
    <xf numFmtId="0" fontId="7" fillId="23" borderId="1" applyNumberFormat="0" applyBorder="0" applyAlignment="0" applyProtection="0"/>
    <xf numFmtId="0" fontId="7" fillId="24" borderId="1" applyNumberFormat="0" applyBorder="0" applyAlignment="0" applyProtection="0"/>
    <xf numFmtId="0" fontId="7" fillId="27" borderId="1" applyNumberFormat="0" applyBorder="0" applyAlignment="0" applyProtection="0"/>
    <xf numFmtId="0" fontId="7" fillId="28" borderId="1" applyNumberFormat="0" applyBorder="0" applyAlignment="0" applyProtection="0"/>
    <xf numFmtId="0" fontId="7" fillId="31" borderId="1" applyNumberFormat="0" applyBorder="0" applyAlignment="0" applyProtection="0"/>
    <xf numFmtId="0" fontId="7" fillId="32" borderId="1" applyNumberFormat="0" applyBorder="0" applyAlignment="0" applyProtection="0"/>
    <xf numFmtId="0" fontId="7" fillId="35" borderId="1" applyNumberFormat="0" applyBorder="0" applyAlignment="0" applyProtection="0"/>
    <xf numFmtId="0" fontId="7" fillId="36" borderId="1" applyNumberFormat="0" applyBorder="0" applyAlignment="0" applyProtection="0"/>
    <xf numFmtId="0" fontId="7" fillId="0" borderId="1"/>
    <xf numFmtId="0" fontId="7" fillId="0" borderId="1"/>
    <xf numFmtId="165" fontId="7" fillId="0" borderId="1" applyFont="0" applyFill="0" applyBorder="0" applyAlignment="0" applyProtection="0"/>
    <xf numFmtId="0" fontId="7" fillId="0" borderId="1"/>
    <xf numFmtId="165" fontId="7" fillId="0" borderId="1" applyFont="0" applyFill="0" applyBorder="0" applyAlignment="0" applyProtection="0"/>
    <xf numFmtId="9" fontId="7" fillId="0" borderId="1" applyFont="0" applyFill="0" applyBorder="0" applyAlignment="0" applyProtection="0"/>
    <xf numFmtId="0" fontId="7" fillId="13" borderId="83" applyNumberFormat="0" applyFont="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0" fontId="7" fillId="0" borderId="1"/>
    <xf numFmtId="0" fontId="7" fillId="0" borderId="1"/>
    <xf numFmtId="0" fontId="7" fillId="0" borderId="1"/>
    <xf numFmtId="0" fontId="7" fillId="0" borderId="1"/>
    <xf numFmtId="0" fontId="7" fillId="0" borderId="1"/>
    <xf numFmtId="0" fontId="7" fillId="15" borderId="1" applyNumberFormat="0" applyBorder="0" applyAlignment="0" applyProtection="0"/>
    <xf numFmtId="0" fontId="7" fillId="19" borderId="1" applyNumberFormat="0" applyBorder="0" applyAlignment="0" applyProtection="0"/>
    <xf numFmtId="0" fontId="7" fillId="23" borderId="1" applyNumberFormat="0" applyBorder="0" applyAlignment="0" applyProtection="0"/>
    <xf numFmtId="0" fontId="7" fillId="27" borderId="1" applyNumberFormat="0" applyBorder="0" applyAlignment="0" applyProtection="0"/>
    <xf numFmtId="0" fontId="7" fillId="31" borderId="1" applyNumberFormat="0" applyBorder="0" applyAlignment="0" applyProtection="0"/>
    <xf numFmtId="0" fontId="7" fillId="35" borderId="1" applyNumberFormat="0" applyBorder="0" applyAlignment="0" applyProtection="0"/>
    <xf numFmtId="0" fontId="7" fillId="16" borderId="1" applyNumberFormat="0" applyBorder="0" applyAlignment="0" applyProtection="0"/>
    <xf numFmtId="0" fontId="7" fillId="20" borderId="1" applyNumberFormat="0" applyBorder="0" applyAlignment="0" applyProtection="0"/>
    <xf numFmtId="0" fontId="7" fillId="24" borderId="1" applyNumberFormat="0" applyBorder="0" applyAlignment="0" applyProtection="0"/>
    <xf numFmtId="0" fontId="7" fillId="28" borderId="1" applyNumberFormat="0" applyBorder="0" applyAlignment="0" applyProtection="0"/>
    <xf numFmtId="0" fontId="7" fillId="32" borderId="1" applyNumberFormat="0" applyBorder="0" applyAlignment="0" applyProtection="0"/>
    <xf numFmtId="0" fontId="7" fillId="36" borderId="1" applyNumberFormat="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0" fontId="7" fillId="0" borderId="1"/>
    <xf numFmtId="0" fontId="7" fillId="0" borderId="1"/>
    <xf numFmtId="0" fontId="7" fillId="0" borderId="1"/>
    <xf numFmtId="0" fontId="7" fillId="0" borderId="1"/>
    <xf numFmtId="0" fontId="7" fillId="0" borderId="1"/>
    <xf numFmtId="0" fontId="7" fillId="13" borderId="83" applyNumberFormat="0" applyFont="0" applyAlignment="0" applyProtection="0"/>
    <xf numFmtId="0" fontId="7" fillId="13" borderId="83" applyNumberFormat="0" applyFont="0" applyAlignment="0" applyProtection="0"/>
    <xf numFmtId="9" fontId="7" fillId="0" borderId="1" applyFont="0" applyFill="0" applyBorder="0" applyAlignment="0" applyProtection="0"/>
    <xf numFmtId="9"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0" fontId="7" fillId="0" borderId="1"/>
    <xf numFmtId="0" fontId="7" fillId="15" borderId="1" applyNumberFormat="0" applyBorder="0" applyAlignment="0" applyProtection="0"/>
    <xf numFmtId="0" fontId="7" fillId="16" borderId="1" applyNumberFormat="0" applyBorder="0" applyAlignment="0" applyProtection="0"/>
    <xf numFmtId="0" fontId="7" fillId="19" borderId="1" applyNumberFormat="0" applyBorder="0" applyAlignment="0" applyProtection="0"/>
    <xf numFmtId="0" fontId="7" fillId="20" borderId="1" applyNumberFormat="0" applyBorder="0" applyAlignment="0" applyProtection="0"/>
    <xf numFmtId="0" fontId="7" fillId="23" borderId="1" applyNumberFormat="0" applyBorder="0" applyAlignment="0" applyProtection="0"/>
    <xf numFmtId="0" fontId="7" fillId="24" borderId="1" applyNumberFormat="0" applyBorder="0" applyAlignment="0" applyProtection="0"/>
    <xf numFmtId="0" fontId="7" fillId="27" borderId="1" applyNumberFormat="0" applyBorder="0" applyAlignment="0" applyProtection="0"/>
    <xf numFmtId="0" fontId="7" fillId="28" borderId="1" applyNumberFormat="0" applyBorder="0" applyAlignment="0" applyProtection="0"/>
    <xf numFmtId="0" fontId="7" fillId="31" borderId="1" applyNumberFormat="0" applyBorder="0" applyAlignment="0" applyProtection="0"/>
    <xf numFmtId="0" fontId="7" fillId="32" borderId="1" applyNumberFormat="0" applyBorder="0" applyAlignment="0" applyProtection="0"/>
    <xf numFmtId="0" fontId="7" fillId="35" borderId="1" applyNumberFormat="0" applyBorder="0" applyAlignment="0" applyProtection="0"/>
    <xf numFmtId="0" fontId="7" fillId="36" borderId="1" applyNumberFormat="0" applyBorder="0" applyAlignment="0" applyProtection="0"/>
    <xf numFmtId="0" fontId="7" fillId="0" borderId="1"/>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0" fontId="7" fillId="0" borderId="1"/>
    <xf numFmtId="0" fontId="7" fillId="0" borderId="1"/>
    <xf numFmtId="0" fontId="7" fillId="0" borderId="1"/>
    <xf numFmtId="0" fontId="7" fillId="0" borderId="1"/>
    <xf numFmtId="0" fontId="7" fillId="0" borderId="1"/>
    <xf numFmtId="0" fontId="7" fillId="13" borderId="83" applyNumberFormat="0" applyFont="0" applyAlignment="0" applyProtection="0"/>
    <xf numFmtId="0" fontId="7" fillId="13" borderId="83" applyNumberFormat="0" applyFont="0" applyAlignment="0" applyProtection="0"/>
    <xf numFmtId="9" fontId="7" fillId="0" borderId="1" applyFont="0" applyFill="0" applyBorder="0" applyAlignment="0" applyProtection="0"/>
    <xf numFmtId="9" fontId="7" fillId="0" borderId="1" applyFont="0" applyFill="0" applyBorder="0" applyAlignment="0" applyProtection="0"/>
    <xf numFmtId="0" fontId="7" fillId="0" borderId="1"/>
    <xf numFmtId="0" fontId="7" fillId="15" borderId="1" applyNumberFormat="0" applyBorder="0" applyAlignment="0" applyProtection="0"/>
    <xf numFmtId="0" fontId="7" fillId="19" borderId="1" applyNumberFormat="0" applyBorder="0" applyAlignment="0" applyProtection="0"/>
    <xf numFmtId="0" fontId="7" fillId="23" borderId="1" applyNumberFormat="0" applyBorder="0" applyAlignment="0" applyProtection="0"/>
    <xf numFmtId="0" fontId="7" fillId="27" borderId="1" applyNumberFormat="0" applyBorder="0" applyAlignment="0" applyProtection="0"/>
    <xf numFmtId="0" fontId="7" fillId="31" borderId="1" applyNumberFormat="0" applyBorder="0" applyAlignment="0" applyProtection="0"/>
    <xf numFmtId="0" fontId="7" fillId="35" borderId="1" applyNumberFormat="0" applyBorder="0" applyAlignment="0" applyProtection="0"/>
    <xf numFmtId="0" fontId="7" fillId="16" borderId="1" applyNumberFormat="0" applyBorder="0" applyAlignment="0" applyProtection="0"/>
    <xf numFmtId="0" fontId="7" fillId="20" borderId="1" applyNumberFormat="0" applyBorder="0" applyAlignment="0" applyProtection="0"/>
    <xf numFmtId="0" fontId="7" fillId="24" borderId="1" applyNumberFormat="0" applyBorder="0" applyAlignment="0" applyProtection="0"/>
    <xf numFmtId="0" fontId="7" fillId="28" borderId="1" applyNumberFormat="0" applyBorder="0" applyAlignment="0" applyProtection="0"/>
    <xf numFmtId="0" fontId="7" fillId="32" borderId="1" applyNumberFormat="0" applyBorder="0" applyAlignment="0" applyProtection="0"/>
    <xf numFmtId="0" fontId="7" fillId="36" borderId="1" applyNumberFormat="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0" fontId="7" fillId="0" borderId="1"/>
    <xf numFmtId="0" fontId="7" fillId="0" borderId="1"/>
    <xf numFmtId="0" fontId="7" fillId="0" borderId="1"/>
    <xf numFmtId="0" fontId="7" fillId="0" borderId="1"/>
    <xf numFmtId="0" fontId="7" fillId="0" borderId="1"/>
    <xf numFmtId="0" fontId="7" fillId="13" borderId="83" applyNumberFormat="0" applyFont="0" applyAlignment="0" applyProtection="0"/>
    <xf numFmtId="0" fontId="7" fillId="13" borderId="83" applyNumberFormat="0" applyFont="0" applyAlignment="0" applyProtection="0"/>
    <xf numFmtId="9" fontId="7" fillId="0" borderId="1" applyFont="0" applyFill="0" applyBorder="0" applyAlignment="0" applyProtection="0"/>
    <xf numFmtId="9" fontId="7" fillId="0" borderId="1" applyFont="0" applyFill="0" applyBorder="0" applyAlignment="0" applyProtection="0"/>
    <xf numFmtId="165" fontId="7" fillId="0" borderId="1" applyFont="0" applyFill="0" applyBorder="0" applyAlignment="0" applyProtection="0"/>
    <xf numFmtId="0" fontId="7" fillId="0" borderId="1"/>
    <xf numFmtId="0" fontId="7" fillId="15" borderId="1" applyNumberFormat="0" applyBorder="0" applyAlignment="0" applyProtection="0"/>
    <xf numFmtId="0" fontId="7" fillId="15" borderId="1" applyNumberFormat="0" applyBorder="0" applyAlignment="0" applyProtection="0"/>
    <xf numFmtId="0" fontId="7" fillId="19" borderId="1" applyNumberFormat="0" applyBorder="0" applyAlignment="0" applyProtection="0"/>
    <xf numFmtId="0" fontId="7" fillId="19" borderId="1" applyNumberFormat="0" applyBorder="0" applyAlignment="0" applyProtection="0"/>
    <xf numFmtId="0" fontId="7" fillId="23" borderId="1" applyNumberFormat="0" applyBorder="0" applyAlignment="0" applyProtection="0"/>
    <xf numFmtId="0" fontId="7" fillId="23" borderId="1" applyNumberFormat="0" applyBorder="0" applyAlignment="0" applyProtection="0"/>
    <xf numFmtId="0" fontId="7" fillId="27" borderId="1" applyNumberFormat="0" applyBorder="0" applyAlignment="0" applyProtection="0"/>
    <xf numFmtId="0" fontId="7" fillId="27" borderId="1" applyNumberFormat="0" applyBorder="0" applyAlignment="0" applyProtection="0"/>
    <xf numFmtId="0" fontId="7" fillId="31" borderId="1" applyNumberFormat="0" applyBorder="0" applyAlignment="0" applyProtection="0"/>
    <xf numFmtId="0" fontId="7" fillId="31" borderId="1" applyNumberFormat="0" applyBorder="0" applyAlignment="0" applyProtection="0"/>
    <xf numFmtId="0" fontId="7" fillId="35" borderId="1" applyNumberFormat="0" applyBorder="0" applyAlignment="0" applyProtection="0"/>
    <xf numFmtId="0" fontId="7" fillId="35" borderId="1" applyNumberFormat="0" applyBorder="0" applyAlignment="0" applyProtection="0"/>
    <xf numFmtId="0" fontId="7" fillId="16" borderId="1" applyNumberFormat="0" applyBorder="0" applyAlignment="0" applyProtection="0"/>
    <xf numFmtId="0" fontId="7" fillId="16" borderId="1" applyNumberFormat="0" applyBorder="0" applyAlignment="0" applyProtection="0"/>
    <xf numFmtId="0" fontId="7" fillId="20" borderId="1" applyNumberFormat="0" applyBorder="0" applyAlignment="0" applyProtection="0"/>
    <xf numFmtId="0" fontId="7" fillId="20" borderId="1" applyNumberFormat="0" applyBorder="0" applyAlignment="0" applyProtection="0"/>
    <xf numFmtId="0" fontId="7" fillId="24" borderId="1" applyNumberFormat="0" applyBorder="0" applyAlignment="0" applyProtection="0"/>
    <xf numFmtId="0" fontId="7" fillId="24" borderId="1" applyNumberFormat="0" applyBorder="0" applyAlignment="0" applyProtection="0"/>
    <xf numFmtId="0" fontId="7" fillId="28" borderId="1" applyNumberFormat="0" applyBorder="0" applyAlignment="0" applyProtection="0"/>
    <xf numFmtId="0" fontId="7" fillId="28" borderId="1" applyNumberFormat="0" applyBorder="0" applyAlignment="0" applyProtection="0"/>
    <xf numFmtId="0" fontId="7" fillId="32" borderId="1" applyNumberFormat="0" applyBorder="0" applyAlignment="0" applyProtection="0"/>
    <xf numFmtId="0" fontId="7" fillId="32" borderId="1" applyNumberFormat="0" applyBorder="0" applyAlignment="0" applyProtection="0"/>
    <xf numFmtId="0" fontId="7" fillId="36" borderId="1" applyNumberFormat="0" applyBorder="0" applyAlignment="0" applyProtection="0"/>
    <xf numFmtId="0" fontId="7" fillId="36" borderId="1" applyNumberFormat="0" applyBorder="0" applyAlignment="0" applyProtection="0"/>
    <xf numFmtId="165" fontId="7" fillId="0" borderId="1" applyFont="0" applyFill="0" applyBorder="0" applyAlignment="0" applyProtection="0"/>
    <xf numFmtId="165" fontId="7" fillId="0" borderId="1" applyFont="0" applyFill="0" applyBorder="0" applyAlignment="0" applyProtection="0"/>
    <xf numFmtId="0" fontId="7" fillId="0" borderId="1"/>
    <xf numFmtId="0" fontId="7" fillId="0" borderId="1"/>
    <xf numFmtId="0" fontId="7" fillId="0" borderId="1"/>
    <xf numFmtId="0" fontId="7" fillId="0" borderId="1"/>
    <xf numFmtId="0" fontId="7" fillId="13" borderId="83" applyNumberFormat="0" applyFont="0" applyAlignment="0" applyProtection="0"/>
    <xf numFmtId="0" fontId="7" fillId="13" borderId="83" applyNumberFormat="0" applyFont="0" applyAlignment="0" applyProtection="0"/>
    <xf numFmtId="0" fontId="7" fillId="13" borderId="83" applyNumberFormat="0" applyFont="0" applyAlignment="0" applyProtection="0"/>
    <xf numFmtId="9"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0" fontId="7" fillId="0" borderId="1"/>
    <xf numFmtId="0" fontId="7" fillId="0" borderId="1"/>
    <xf numFmtId="0" fontId="7" fillId="0" borderId="1"/>
    <xf numFmtId="0" fontId="7" fillId="0" borderId="1"/>
    <xf numFmtId="0" fontId="7" fillId="0" borderId="1"/>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0" fontId="7" fillId="0" borderId="1"/>
    <xf numFmtId="0" fontId="7" fillId="0" borderId="1"/>
    <xf numFmtId="0" fontId="7" fillId="0" borderId="1"/>
    <xf numFmtId="0" fontId="7" fillId="0" borderId="1"/>
    <xf numFmtId="0" fontId="7" fillId="0" borderId="1"/>
    <xf numFmtId="0" fontId="7" fillId="13" borderId="83" applyNumberFormat="0" applyFont="0" applyAlignment="0" applyProtection="0"/>
    <xf numFmtId="9" fontId="7" fillId="0" borderId="1" applyFont="0" applyFill="0" applyBorder="0" applyAlignment="0" applyProtection="0"/>
    <xf numFmtId="9" fontId="7" fillId="0" borderId="1" applyFont="0" applyFill="0" applyBorder="0" applyAlignment="0" applyProtection="0"/>
    <xf numFmtId="0" fontId="7" fillId="0" borderId="1"/>
    <xf numFmtId="0" fontId="7" fillId="15" borderId="1" applyNumberFormat="0" applyBorder="0" applyAlignment="0" applyProtection="0"/>
    <xf numFmtId="0" fontId="7" fillId="16" borderId="1" applyNumberFormat="0" applyBorder="0" applyAlignment="0" applyProtection="0"/>
    <xf numFmtId="0" fontId="7" fillId="19" borderId="1" applyNumberFormat="0" applyBorder="0" applyAlignment="0" applyProtection="0"/>
    <xf numFmtId="0" fontId="7" fillId="20" borderId="1" applyNumberFormat="0" applyBorder="0" applyAlignment="0" applyProtection="0"/>
    <xf numFmtId="0" fontId="7" fillId="23" borderId="1" applyNumberFormat="0" applyBorder="0" applyAlignment="0" applyProtection="0"/>
    <xf numFmtId="0" fontId="7" fillId="24" borderId="1" applyNumberFormat="0" applyBorder="0" applyAlignment="0" applyProtection="0"/>
    <xf numFmtId="0" fontId="7" fillId="27" borderId="1" applyNumberFormat="0" applyBorder="0" applyAlignment="0" applyProtection="0"/>
    <xf numFmtId="0" fontId="7" fillId="28" borderId="1" applyNumberFormat="0" applyBorder="0" applyAlignment="0" applyProtection="0"/>
    <xf numFmtId="0" fontId="7" fillId="31" borderId="1" applyNumberFormat="0" applyBorder="0" applyAlignment="0" applyProtection="0"/>
    <xf numFmtId="0" fontId="7" fillId="32" borderId="1" applyNumberFormat="0" applyBorder="0" applyAlignment="0" applyProtection="0"/>
    <xf numFmtId="0" fontId="7" fillId="35" borderId="1" applyNumberFormat="0" applyBorder="0" applyAlignment="0" applyProtection="0"/>
    <xf numFmtId="0" fontId="7" fillId="36" borderId="1" applyNumberFormat="0" applyBorder="0" applyAlignment="0" applyProtection="0"/>
    <xf numFmtId="0" fontId="7" fillId="0" borderId="1"/>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0" fontId="7" fillId="0" borderId="1"/>
    <xf numFmtId="0" fontId="7" fillId="0" borderId="1"/>
    <xf numFmtId="0" fontId="7" fillId="0" borderId="1"/>
    <xf numFmtId="0" fontId="7" fillId="0" borderId="1"/>
    <xf numFmtId="0" fontId="7" fillId="0" borderId="1"/>
    <xf numFmtId="0" fontId="7" fillId="13" borderId="83" applyNumberFormat="0" applyFont="0" applyAlignment="0" applyProtection="0"/>
    <xf numFmtId="0" fontId="7" fillId="13" borderId="83" applyNumberFormat="0" applyFont="0" applyAlignment="0" applyProtection="0"/>
    <xf numFmtId="9" fontId="7" fillId="0" borderId="1" applyFont="0" applyFill="0" applyBorder="0" applyAlignment="0" applyProtection="0"/>
    <xf numFmtId="9" fontId="7" fillId="0" borderId="1" applyFont="0" applyFill="0" applyBorder="0" applyAlignment="0" applyProtection="0"/>
    <xf numFmtId="0" fontId="7" fillId="0" borderId="1"/>
    <xf numFmtId="0" fontId="7" fillId="15" borderId="1" applyNumberFormat="0" applyBorder="0" applyAlignment="0" applyProtection="0"/>
    <xf numFmtId="0" fontId="7" fillId="19" borderId="1" applyNumberFormat="0" applyBorder="0" applyAlignment="0" applyProtection="0"/>
    <xf numFmtId="0" fontId="7" fillId="23" borderId="1" applyNumberFormat="0" applyBorder="0" applyAlignment="0" applyProtection="0"/>
    <xf numFmtId="0" fontId="7" fillId="27" borderId="1" applyNumberFormat="0" applyBorder="0" applyAlignment="0" applyProtection="0"/>
    <xf numFmtId="0" fontId="7" fillId="31" borderId="1" applyNumberFormat="0" applyBorder="0" applyAlignment="0" applyProtection="0"/>
    <xf numFmtId="0" fontId="7" fillId="35" borderId="1" applyNumberFormat="0" applyBorder="0" applyAlignment="0" applyProtection="0"/>
    <xf numFmtId="0" fontId="7" fillId="16" borderId="1" applyNumberFormat="0" applyBorder="0" applyAlignment="0" applyProtection="0"/>
    <xf numFmtId="0" fontId="7" fillId="20" borderId="1" applyNumberFormat="0" applyBorder="0" applyAlignment="0" applyProtection="0"/>
    <xf numFmtId="0" fontId="7" fillId="24" borderId="1" applyNumberFormat="0" applyBorder="0" applyAlignment="0" applyProtection="0"/>
    <xf numFmtId="0" fontId="7" fillId="28" borderId="1" applyNumberFormat="0" applyBorder="0" applyAlignment="0" applyProtection="0"/>
    <xf numFmtId="0" fontId="7" fillId="32" borderId="1" applyNumberFormat="0" applyBorder="0" applyAlignment="0" applyProtection="0"/>
    <xf numFmtId="0" fontId="7" fillId="36" borderId="1" applyNumberFormat="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0" fontId="7" fillId="0" borderId="1"/>
    <xf numFmtId="0" fontId="7" fillId="0" borderId="1"/>
    <xf numFmtId="0" fontId="7" fillId="0" borderId="1"/>
    <xf numFmtId="0" fontId="7" fillId="0" borderId="1"/>
    <xf numFmtId="0" fontId="7" fillId="0" borderId="1"/>
    <xf numFmtId="0" fontId="7" fillId="13" borderId="83" applyNumberFormat="0" applyFont="0" applyAlignment="0" applyProtection="0"/>
    <xf numFmtId="0" fontId="7" fillId="13" borderId="83" applyNumberFormat="0" applyFont="0" applyAlignment="0" applyProtection="0"/>
    <xf numFmtId="9" fontId="7" fillId="0" borderId="1" applyFont="0" applyFill="0" applyBorder="0" applyAlignment="0" applyProtection="0"/>
    <xf numFmtId="9"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0" fontId="7" fillId="0" borderId="1"/>
    <xf numFmtId="0" fontId="7" fillId="15" borderId="1" applyNumberFormat="0" applyBorder="0" applyAlignment="0" applyProtection="0"/>
    <xf numFmtId="0" fontId="7" fillId="16" borderId="1" applyNumberFormat="0" applyBorder="0" applyAlignment="0" applyProtection="0"/>
    <xf numFmtId="0" fontId="7" fillId="19" borderId="1" applyNumberFormat="0" applyBorder="0" applyAlignment="0" applyProtection="0"/>
    <xf numFmtId="0" fontId="7" fillId="20" borderId="1" applyNumberFormat="0" applyBorder="0" applyAlignment="0" applyProtection="0"/>
    <xf numFmtId="0" fontId="7" fillId="23" borderId="1" applyNumberFormat="0" applyBorder="0" applyAlignment="0" applyProtection="0"/>
    <xf numFmtId="0" fontId="7" fillId="24" borderId="1" applyNumberFormat="0" applyBorder="0" applyAlignment="0" applyProtection="0"/>
    <xf numFmtId="0" fontId="7" fillId="27" borderId="1" applyNumberFormat="0" applyBorder="0" applyAlignment="0" applyProtection="0"/>
    <xf numFmtId="0" fontId="7" fillId="28" borderId="1" applyNumberFormat="0" applyBorder="0" applyAlignment="0" applyProtection="0"/>
    <xf numFmtId="0" fontId="7" fillId="31" borderId="1" applyNumberFormat="0" applyBorder="0" applyAlignment="0" applyProtection="0"/>
    <xf numFmtId="0" fontId="7" fillId="32" borderId="1" applyNumberFormat="0" applyBorder="0" applyAlignment="0" applyProtection="0"/>
    <xf numFmtId="0" fontId="7" fillId="35" borderId="1" applyNumberFormat="0" applyBorder="0" applyAlignment="0" applyProtection="0"/>
    <xf numFmtId="0" fontId="7" fillId="36" borderId="1" applyNumberFormat="0" applyBorder="0" applyAlignment="0" applyProtection="0"/>
    <xf numFmtId="0" fontId="7" fillId="0" borderId="1"/>
    <xf numFmtId="0" fontId="7" fillId="0" borderId="1"/>
    <xf numFmtId="165" fontId="7" fillId="0" borderId="1" applyFont="0" applyFill="0" applyBorder="0" applyAlignment="0" applyProtection="0"/>
    <xf numFmtId="0" fontId="7" fillId="0" borderId="1"/>
    <xf numFmtId="9" fontId="7" fillId="0" borderId="1" applyFont="0" applyFill="0" applyBorder="0" applyAlignment="0" applyProtection="0"/>
    <xf numFmtId="0" fontId="7" fillId="13" borderId="83" applyNumberFormat="0" applyFont="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0" fontId="7" fillId="0" borderId="1"/>
    <xf numFmtId="0" fontId="7" fillId="0" borderId="1"/>
    <xf numFmtId="0" fontId="7" fillId="0" borderId="1"/>
    <xf numFmtId="0" fontId="7" fillId="0" borderId="1"/>
    <xf numFmtId="0" fontId="7" fillId="0" borderId="1"/>
    <xf numFmtId="0" fontId="7" fillId="15" borderId="1" applyNumberFormat="0" applyBorder="0" applyAlignment="0" applyProtection="0"/>
    <xf numFmtId="0" fontId="7" fillId="19" borderId="1" applyNumberFormat="0" applyBorder="0" applyAlignment="0" applyProtection="0"/>
    <xf numFmtId="0" fontId="7" fillId="23" borderId="1" applyNumberFormat="0" applyBorder="0" applyAlignment="0" applyProtection="0"/>
    <xf numFmtId="0" fontId="7" fillId="27" borderId="1" applyNumberFormat="0" applyBorder="0" applyAlignment="0" applyProtection="0"/>
    <xf numFmtId="0" fontId="7" fillId="31" borderId="1" applyNumberFormat="0" applyBorder="0" applyAlignment="0" applyProtection="0"/>
    <xf numFmtId="0" fontId="7" fillId="35" borderId="1" applyNumberFormat="0" applyBorder="0" applyAlignment="0" applyProtection="0"/>
    <xf numFmtId="0" fontId="7" fillId="16" borderId="1" applyNumberFormat="0" applyBorder="0" applyAlignment="0" applyProtection="0"/>
    <xf numFmtId="0" fontId="7" fillId="20" borderId="1" applyNumberFormat="0" applyBorder="0" applyAlignment="0" applyProtection="0"/>
    <xf numFmtId="0" fontId="7" fillId="24" borderId="1" applyNumberFormat="0" applyBorder="0" applyAlignment="0" applyProtection="0"/>
    <xf numFmtId="0" fontId="7" fillId="28" borderId="1" applyNumberFormat="0" applyBorder="0" applyAlignment="0" applyProtection="0"/>
    <xf numFmtId="0" fontId="7" fillId="32" borderId="1" applyNumberFormat="0" applyBorder="0" applyAlignment="0" applyProtection="0"/>
    <xf numFmtId="0" fontId="7" fillId="36" borderId="1" applyNumberFormat="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0" fontId="7" fillId="0" borderId="1"/>
    <xf numFmtId="0" fontId="7" fillId="0" borderId="1"/>
    <xf numFmtId="0" fontId="7" fillId="0" borderId="1"/>
    <xf numFmtId="0" fontId="7" fillId="0" borderId="1"/>
    <xf numFmtId="0" fontId="7" fillId="0" borderId="1"/>
    <xf numFmtId="0" fontId="7" fillId="13" borderId="83" applyNumberFormat="0" applyFont="0" applyAlignment="0" applyProtection="0"/>
    <xf numFmtId="0" fontId="7" fillId="13" borderId="83" applyNumberFormat="0" applyFont="0" applyAlignment="0" applyProtection="0"/>
    <xf numFmtId="9" fontId="7" fillId="0" borderId="1" applyFont="0" applyFill="0" applyBorder="0" applyAlignment="0" applyProtection="0"/>
    <xf numFmtId="9"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0" fontId="7" fillId="0" borderId="1"/>
    <xf numFmtId="0" fontId="7" fillId="15" borderId="1" applyNumberFormat="0" applyBorder="0" applyAlignment="0" applyProtection="0"/>
    <xf numFmtId="0" fontId="7" fillId="16" borderId="1" applyNumberFormat="0" applyBorder="0" applyAlignment="0" applyProtection="0"/>
    <xf numFmtId="0" fontId="7" fillId="19" borderId="1" applyNumberFormat="0" applyBorder="0" applyAlignment="0" applyProtection="0"/>
    <xf numFmtId="0" fontId="7" fillId="20" borderId="1" applyNumberFormat="0" applyBorder="0" applyAlignment="0" applyProtection="0"/>
    <xf numFmtId="0" fontId="7" fillId="23" borderId="1" applyNumberFormat="0" applyBorder="0" applyAlignment="0" applyProtection="0"/>
    <xf numFmtId="0" fontId="7" fillId="24" borderId="1" applyNumberFormat="0" applyBorder="0" applyAlignment="0" applyProtection="0"/>
    <xf numFmtId="0" fontId="7" fillId="27" borderId="1" applyNumberFormat="0" applyBorder="0" applyAlignment="0" applyProtection="0"/>
    <xf numFmtId="0" fontId="7" fillId="28" borderId="1" applyNumberFormat="0" applyBorder="0" applyAlignment="0" applyProtection="0"/>
    <xf numFmtId="0" fontId="7" fillId="31" borderId="1" applyNumberFormat="0" applyBorder="0" applyAlignment="0" applyProtection="0"/>
    <xf numFmtId="0" fontId="7" fillId="32" borderId="1" applyNumberFormat="0" applyBorder="0" applyAlignment="0" applyProtection="0"/>
    <xf numFmtId="0" fontId="7" fillId="35" borderId="1" applyNumberFormat="0" applyBorder="0" applyAlignment="0" applyProtection="0"/>
    <xf numFmtId="0" fontId="7" fillId="36" borderId="1" applyNumberFormat="0" applyBorder="0" applyAlignment="0" applyProtection="0"/>
    <xf numFmtId="0" fontId="7" fillId="0" borderId="1"/>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0" fontId="7" fillId="0" borderId="1"/>
    <xf numFmtId="0" fontId="7" fillId="0" borderId="1"/>
    <xf numFmtId="0" fontId="7" fillId="0" borderId="1"/>
    <xf numFmtId="0" fontId="7" fillId="0" borderId="1"/>
    <xf numFmtId="0" fontId="7" fillId="0" borderId="1"/>
    <xf numFmtId="0" fontId="7" fillId="13" borderId="83" applyNumberFormat="0" applyFont="0" applyAlignment="0" applyProtection="0"/>
    <xf numFmtId="0" fontId="7" fillId="13" borderId="83" applyNumberFormat="0" applyFont="0" applyAlignment="0" applyProtection="0"/>
    <xf numFmtId="9" fontId="7" fillId="0" borderId="1" applyFont="0" applyFill="0" applyBorder="0" applyAlignment="0" applyProtection="0"/>
    <xf numFmtId="9" fontId="7" fillId="0" borderId="1" applyFont="0" applyFill="0" applyBorder="0" applyAlignment="0" applyProtection="0"/>
    <xf numFmtId="0" fontId="7" fillId="0" borderId="1"/>
    <xf numFmtId="0" fontId="7" fillId="15" borderId="1" applyNumberFormat="0" applyBorder="0" applyAlignment="0" applyProtection="0"/>
    <xf numFmtId="0" fontId="7" fillId="19" borderId="1" applyNumberFormat="0" applyBorder="0" applyAlignment="0" applyProtection="0"/>
    <xf numFmtId="0" fontId="7" fillId="23" borderId="1" applyNumberFormat="0" applyBorder="0" applyAlignment="0" applyProtection="0"/>
    <xf numFmtId="0" fontId="7" fillId="27" borderId="1" applyNumberFormat="0" applyBorder="0" applyAlignment="0" applyProtection="0"/>
    <xf numFmtId="0" fontId="7" fillId="31" borderId="1" applyNumberFormat="0" applyBorder="0" applyAlignment="0" applyProtection="0"/>
    <xf numFmtId="0" fontId="7" fillId="35" borderId="1" applyNumberFormat="0" applyBorder="0" applyAlignment="0" applyProtection="0"/>
    <xf numFmtId="0" fontId="7" fillId="16" borderId="1" applyNumberFormat="0" applyBorder="0" applyAlignment="0" applyProtection="0"/>
    <xf numFmtId="0" fontId="7" fillId="20" borderId="1" applyNumberFormat="0" applyBorder="0" applyAlignment="0" applyProtection="0"/>
    <xf numFmtId="0" fontId="7" fillId="24" borderId="1" applyNumberFormat="0" applyBorder="0" applyAlignment="0" applyProtection="0"/>
    <xf numFmtId="0" fontId="7" fillId="28" borderId="1" applyNumberFormat="0" applyBorder="0" applyAlignment="0" applyProtection="0"/>
    <xf numFmtId="0" fontId="7" fillId="32" borderId="1" applyNumberFormat="0" applyBorder="0" applyAlignment="0" applyProtection="0"/>
    <xf numFmtId="0" fontId="7" fillId="36" borderId="1" applyNumberFormat="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0" fontId="7" fillId="0" borderId="1"/>
    <xf numFmtId="0" fontId="7" fillId="0" borderId="1"/>
    <xf numFmtId="0" fontId="7" fillId="0" borderId="1"/>
    <xf numFmtId="0" fontId="7" fillId="0" borderId="1"/>
    <xf numFmtId="0" fontId="7" fillId="0" borderId="1"/>
    <xf numFmtId="0" fontId="7" fillId="13" borderId="83" applyNumberFormat="0" applyFont="0" applyAlignment="0" applyProtection="0"/>
    <xf numFmtId="0" fontId="7" fillId="13" borderId="83" applyNumberFormat="0" applyFont="0" applyAlignment="0" applyProtection="0"/>
    <xf numFmtId="9" fontId="7" fillId="0" borderId="1" applyFont="0" applyFill="0" applyBorder="0" applyAlignment="0" applyProtection="0"/>
    <xf numFmtId="9"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165" fontId="7" fillId="0" borderId="1" applyFont="0" applyFill="0" applyBorder="0" applyAlignment="0" applyProtection="0"/>
    <xf numFmtId="0" fontId="18" fillId="0" borderId="1"/>
    <xf numFmtId="0" fontId="6" fillId="0" borderId="1"/>
    <xf numFmtId="165" fontId="6" fillId="0" borderId="1" applyFont="0" applyFill="0" applyBorder="0" applyAlignment="0" applyProtection="0"/>
    <xf numFmtId="0" fontId="6" fillId="15" borderId="1" applyNumberFormat="0" applyBorder="0" applyAlignment="0" applyProtection="0"/>
    <xf numFmtId="0" fontId="6" fillId="15" borderId="1" applyNumberFormat="0" applyBorder="0" applyAlignment="0" applyProtection="0"/>
    <xf numFmtId="0" fontId="6" fillId="15" borderId="1" applyNumberFormat="0" applyBorder="0" applyAlignment="0" applyProtection="0"/>
    <xf numFmtId="0" fontId="6" fillId="15" borderId="1" applyNumberFormat="0" applyBorder="0" applyAlignment="0" applyProtection="0"/>
    <xf numFmtId="0" fontId="6" fillId="15" borderId="1" applyNumberFormat="0" applyBorder="0" applyAlignment="0" applyProtection="0"/>
    <xf numFmtId="0" fontId="6" fillId="15" borderId="1" applyNumberFormat="0" applyBorder="0" applyAlignment="0" applyProtection="0"/>
    <xf numFmtId="0" fontId="6" fillId="15" borderId="1" applyNumberFormat="0" applyBorder="0" applyAlignment="0" applyProtection="0"/>
    <xf numFmtId="0" fontId="6" fillId="15" borderId="1" applyNumberFormat="0" applyBorder="0" applyAlignment="0" applyProtection="0"/>
    <xf numFmtId="0" fontId="6" fillId="15" borderId="1" applyNumberFormat="0" applyBorder="0" applyAlignment="0" applyProtection="0"/>
    <xf numFmtId="0" fontId="6" fillId="15" borderId="1" applyNumberFormat="0" applyBorder="0" applyAlignment="0" applyProtection="0"/>
    <xf numFmtId="0" fontId="6" fillId="15" borderId="1" applyNumberFormat="0" applyBorder="0" applyAlignment="0" applyProtection="0"/>
    <xf numFmtId="0" fontId="6" fillId="15" borderId="1" applyNumberFormat="0" applyBorder="0" applyAlignment="0" applyProtection="0"/>
    <xf numFmtId="0" fontId="6" fillId="15" borderId="1" applyNumberFormat="0" applyBorder="0" applyAlignment="0" applyProtection="0"/>
    <xf numFmtId="0" fontId="6" fillId="15" borderId="1" applyNumberFormat="0" applyBorder="0" applyAlignment="0" applyProtection="0"/>
    <xf numFmtId="0" fontId="6" fillId="15" borderId="1" applyNumberFormat="0" applyBorder="0" applyAlignment="0" applyProtection="0"/>
    <xf numFmtId="0" fontId="6" fillId="15" borderId="1" applyNumberFormat="0" applyBorder="0" applyAlignment="0" applyProtection="0"/>
    <xf numFmtId="0" fontId="6" fillId="15" borderId="1" applyNumberFormat="0" applyBorder="0" applyAlignment="0" applyProtection="0"/>
    <xf numFmtId="0" fontId="6" fillId="15" borderId="1" applyNumberFormat="0" applyBorder="0" applyAlignment="0" applyProtection="0"/>
    <xf numFmtId="0" fontId="6" fillId="15" borderId="1" applyNumberFormat="0" applyBorder="0" applyAlignment="0" applyProtection="0"/>
    <xf numFmtId="0" fontId="6" fillId="15" borderId="1" applyNumberFormat="0" applyBorder="0" applyAlignment="0" applyProtection="0"/>
    <xf numFmtId="0" fontId="6" fillId="15" borderId="1" applyNumberFormat="0" applyBorder="0" applyAlignment="0" applyProtection="0"/>
    <xf numFmtId="0" fontId="6" fillId="15" borderId="1" applyNumberFormat="0" applyBorder="0" applyAlignment="0" applyProtection="0"/>
    <xf numFmtId="0" fontId="6" fillId="15" borderId="1" applyNumberFormat="0" applyBorder="0" applyAlignment="0" applyProtection="0"/>
    <xf numFmtId="0" fontId="6" fillId="15" borderId="1" applyNumberFormat="0" applyBorder="0" applyAlignment="0" applyProtection="0"/>
    <xf numFmtId="0" fontId="6" fillId="15" borderId="1" applyNumberFormat="0" applyBorder="0" applyAlignment="0" applyProtection="0"/>
    <xf numFmtId="0" fontId="6" fillId="15" borderId="1" applyNumberFormat="0" applyBorder="0" applyAlignment="0" applyProtection="0"/>
    <xf numFmtId="0" fontId="6" fillId="15" borderId="1" applyNumberFormat="0" applyBorder="0" applyAlignment="0" applyProtection="0"/>
    <xf numFmtId="0" fontId="6" fillId="15" borderId="1" applyNumberFormat="0" applyBorder="0" applyAlignment="0" applyProtection="0"/>
    <xf numFmtId="0" fontId="6" fillId="15" borderId="1" applyNumberFormat="0" applyBorder="0" applyAlignment="0" applyProtection="0"/>
    <xf numFmtId="0" fontId="6" fillId="15" borderId="1" applyNumberFormat="0" applyBorder="0" applyAlignment="0" applyProtection="0"/>
    <xf numFmtId="0" fontId="6" fillId="15" borderId="1" applyNumberFormat="0" applyBorder="0" applyAlignment="0" applyProtection="0"/>
    <xf numFmtId="0" fontId="6" fillId="19" borderId="1" applyNumberFormat="0" applyBorder="0" applyAlignment="0" applyProtection="0"/>
    <xf numFmtId="0" fontId="6" fillId="19" borderId="1" applyNumberFormat="0" applyBorder="0" applyAlignment="0" applyProtection="0"/>
    <xf numFmtId="0" fontId="6" fillId="19" borderId="1" applyNumberFormat="0" applyBorder="0" applyAlignment="0" applyProtection="0"/>
    <xf numFmtId="0" fontId="6" fillId="19" borderId="1" applyNumberFormat="0" applyBorder="0" applyAlignment="0" applyProtection="0"/>
    <xf numFmtId="0" fontId="6" fillId="19" borderId="1" applyNumberFormat="0" applyBorder="0" applyAlignment="0" applyProtection="0"/>
    <xf numFmtId="0" fontId="6" fillId="19" borderId="1" applyNumberFormat="0" applyBorder="0" applyAlignment="0" applyProtection="0"/>
    <xf numFmtId="0" fontId="6" fillId="19" borderId="1" applyNumberFormat="0" applyBorder="0" applyAlignment="0" applyProtection="0"/>
    <xf numFmtId="0" fontId="6" fillId="19" borderId="1" applyNumberFormat="0" applyBorder="0" applyAlignment="0" applyProtection="0"/>
    <xf numFmtId="0" fontId="6" fillId="19" borderId="1" applyNumberFormat="0" applyBorder="0" applyAlignment="0" applyProtection="0"/>
    <xf numFmtId="0" fontId="6" fillId="19" borderId="1" applyNumberFormat="0" applyBorder="0" applyAlignment="0" applyProtection="0"/>
    <xf numFmtId="0" fontId="6" fillId="19" borderId="1" applyNumberFormat="0" applyBorder="0" applyAlignment="0" applyProtection="0"/>
    <xf numFmtId="0" fontId="6" fillId="19" borderId="1" applyNumberFormat="0" applyBorder="0" applyAlignment="0" applyProtection="0"/>
    <xf numFmtId="0" fontId="6" fillId="19" borderId="1" applyNumberFormat="0" applyBorder="0" applyAlignment="0" applyProtection="0"/>
    <xf numFmtId="0" fontId="6" fillId="19" borderId="1" applyNumberFormat="0" applyBorder="0" applyAlignment="0" applyProtection="0"/>
    <xf numFmtId="0" fontId="6" fillId="19" borderId="1" applyNumberFormat="0" applyBorder="0" applyAlignment="0" applyProtection="0"/>
    <xf numFmtId="0" fontId="6" fillId="19" borderId="1" applyNumberFormat="0" applyBorder="0" applyAlignment="0" applyProtection="0"/>
    <xf numFmtId="0" fontId="6" fillId="19" borderId="1" applyNumberFormat="0" applyBorder="0" applyAlignment="0" applyProtection="0"/>
    <xf numFmtId="0" fontId="6" fillId="19" borderId="1" applyNumberFormat="0" applyBorder="0" applyAlignment="0" applyProtection="0"/>
    <xf numFmtId="0" fontId="6" fillId="19" borderId="1" applyNumberFormat="0" applyBorder="0" applyAlignment="0" applyProtection="0"/>
    <xf numFmtId="0" fontId="6" fillId="19" borderId="1" applyNumberFormat="0" applyBorder="0" applyAlignment="0" applyProtection="0"/>
    <xf numFmtId="0" fontId="6" fillId="19" borderId="1" applyNumberFormat="0" applyBorder="0" applyAlignment="0" applyProtection="0"/>
    <xf numFmtId="0" fontId="6" fillId="19" borderId="1" applyNumberFormat="0" applyBorder="0" applyAlignment="0" applyProtection="0"/>
    <xf numFmtId="0" fontId="6" fillId="19" borderId="1" applyNumberFormat="0" applyBorder="0" applyAlignment="0" applyProtection="0"/>
    <xf numFmtId="0" fontId="6" fillId="19" borderId="1" applyNumberFormat="0" applyBorder="0" applyAlignment="0" applyProtection="0"/>
    <xf numFmtId="0" fontId="6" fillId="19" borderId="1" applyNumberFormat="0" applyBorder="0" applyAlignment="0" applyProtection="0"/>
    <xf numFmtId="0" fontId="6" fillId="19" borderId="1" applyNumberFormat="0" applyBorder="0" applyAlignment="0" applyProtection="0"/>
    <xf numFmtId="0" fontId="6" fillId="19" borderId="1" applyNumberFormat="0" applyBorder="0" applyAlignment="0" applyProtection="0"/>
    <xf numFmtId="0" fontId="6" fillId="19" borderId="1" applyNumberFormat="0" applyBorder="0" applyAlignment="0" applyProtection="0"/>
    <xf numFmtId="0" fontId="6" fillId="19" borderId="1" applyNumberFormat="0" applyBorder="0" applyAlignment="0" applyProtection="0"/>
    <xf numFmtId="0" fontId="6" fillId="19" borderId="1" applyNumberFormat="0" applyBorder="0" applyAlignment="0" applyProtection="0"/>
    <xf numFmtId="0" fontId="6" fillId="19" borderId="1" applyNumberFormat="0" applyBorder="0" applyAlignment="0" applyProtection="0"/>
    <xf numFmtId="0" fontId="6" fillId="23" borderId="1" applyNumberFormat="0" applyBorder="0" applyAlignment="0" applyProtection="0"/>
    <xf numFmtId="0" fontId="6" fillId="23" borderId="1" applyNumberFormat="0" applyBorder="0" applyAlignment="0" applyProtection="0"/>
    <xf numFmtId="0" fontId="6" fillId="23" borderId="1" applyNumberFormat="0" applyBorder="0" applyAlignment="0" applyProtection="0"/>
    <xf numFmtId="0" fontId="6" fillId="23" borderId="1" applyNumberFormat="0" applyBorder="0" applyAlignment="0" applyProtection="0"/>
    <xf numFmtId="0" fontId="6" fillId="23" borderId="1" applyNumberFormat="0" applyBorder="0" applyAlignment="0" applyProtection="0"/>
    <xf numFmtId="0" fontId="6" fillId="23" borderId="1" applyNumberFormat="0" applyBorder="0" applyAlignment="0" applyProtection="0"/>
    <xf numFmtId="0" fontId="6" fillId="23" borderId="1" applyNumberFormat="0" applyBorder="0" applyAlignment="0" applyProtection="0"/>
    <xf numFmtId="0" fontId="6" fillId="23" borderId="1" applyNumberFormat="0" applyBorder="0" applyAlignment="0" applyProtection="0"/>
    <xf numFmtId="0" fontId="6" fillId="23" borderId="1" applyNumberFormat="0" applyBorder="0" applyAlignment="0" applyProtection="0"/>
    <xf numFmtId="0" fontId="6" fillId="23" borderId="1" applyNumberFormat="0" applyBorder="0" applyAlignment="0" applyProtection="0"/>
    <xf numFmtId="0" fontId="6" fillId="23" borderId="1" applyNumberFormat="0" applyBorder="0" applyAlignment="0" applyProtection="0"/>
    <xf numFmtId="0" fontId="6" fillId="23" borderId="1" applyNumberFormat="0" applyBorder="0" applyAlignment="0" applyProtection="0"/>
    <xf numFmtId="0" fontId="6" fillId="23" borderId="1" applyNumberFormat="0" applyBorder="0" applyAlignment="0" applyProtection="0"/>
    <xf numFmtId="0" fontId="6" fillId="23" borderId="1" applyNumberFormat="0" applyBorder="0" applyAlignment="0" applyProtection="0"/>
    <xf numFmtId="0" fontId="6" fillId="23" borderId="1" applyNumberFormat="0" applyBorder="0" applyAlignment="0" applyProtection="0"/>
    <xf numFmtId="0" fontId="6" fillId="23" borderId="1" applyNumberFormat="0" applyBorder="0" applyAlignment="0" applyProtection="0"/>
    <xf numFmtId="0" fontId="6" fillId="23" borderId="1" applyNumberFormat="0" applyBorder="0" applyAlignment="0" applyProtection="0"/>
    <xf numFmtId="0" fontId="6" fillId="23" borderId="1" applyNumberFormat="0" applyBorder="0" applyAlignment="0" applyProtection="0"/>
    <xf numFmtId="0" fontId="6" fillId="23" borderId="1" applyNumberFormat="0" applyBorder="0" applyAlignment="0" applyProtection="0"/>
    <xf numFmtId="0" fontId="6" fillId="23" borderId="1" applyNumberFormat="0" applyBorder="0" applyAlignment="0" applyProtection="0"/>
    <xf numFmtId="0" fontId="6" fillId="23" borderId="1" applyNumberFormat="0" applyBorder="0" applyAlignment="0" applyProtection="0"/>
    <xf numFmtId="0" fontId="6" fillId="23" borderId="1" applyNumberFormat="0" applyBorder="0" applyAlignment="0" applyProtection="0"/>
    <xf numFmtId="0" fontId="6" fillId="23" borderId="1" applyNumberFormat="0" applyBorder="0" applyAlignment="0" applyProtection="0"/>
    <xf numFmtId="0" fontId="6" fillId="23" borderId="1" applyNumberFormat="0" applyBorder="0" applyAlignment="0" applyProtection="0"/>
    <xf numFmtId="0" fontId="6" fillId="23" borderId="1" applyNumberFormat="0" applyBorder="0" applyAlignment="0" applyProtection="0"/>
    <xf numFmtId="0" fontId="6" fillId="23" borderId="1" applyNumberFormat="0" applyBorder="0" applyAlignment="0" applyProtection="0"/>
    <xf numFmtId="0" fontId="6" fillId="23" borderId="1" applyNumberFormat="0" applyBorder="0" applyAlignment="0" applyProtection="0"/>
    <xf numFmtId="0" fontId="6" fillId="23" borderId="1" applyNumberFormat="0" applyBorder="0" applyAlignment="0" applyProtection="0"/>
    <xf numFmtId="0" fontId="6" fillId="23" borderId="1" applyNumberFormat="0" applyBorder="0" applyAlignment="0" applyProtection="0"/>
    <xf numFmtId="0" fontId="6" fillId="23" borderId="1" applyNumberFormat="0" applyBorder="0" applyAlignment="0" applyProtection="0"/>
    <xf numFmtId="0" fontId="6" fillId="23" borderId="1" applyNumberFormat="0" applyBorder="0" applyAlignment="0" applyProtection="0"/>
    <xf numFmtId="0" fontId="6" fillId="27" borderId="1" applyNumberFormat="0" applyBorder="0" applyAlignment="0" applyProtection="0"/>
    <xf numFmtId="0" fontId="6" fillId="27" borderId="1" applyNumberFormat="0" applyBorder="0" applyAlignment="0" applyProtection="0"/>
    <xf numFmtId="0" fontId="6" fillId="27" borderId="1" applyNumberFormat="0" applyBorder="0" applyAlignment="0" applyProtection="0"/>
    <xf numFmtId="0" fontId="6" fillId="27" borderId="1" applyNumberFormat="0" applyBorder="0" applyAlignment="0" applyProtection="0"/>
    <xf numFmtId="0" fontId="6" fillId="27" borderId="1" applyNumberFormat="0" applyBorder="0" applyAlignment="0" applyProtection="0"/>
    <xf numFmtId="0" fontId="6" fillId="27" borderId="1" applyNumberFormat="0" applyBorder="0" applyAlignment="0" applyProtection="0"/>
    <xf numFmtId="0" fontId="6" fillId="27" borderId="1" applyNumberFormat="0" applyBorder="0" applyAlignment="0" applyProtection="0"/>
    <xf numFmtId="0" fontId="6" fillId="27" borderId="1" applyNumberFormat="0" applyBorder="0" applyAlignment="0" applyProtection="0"/>
    <xf numFmtId="0" fontId="6" fillId="27" borderId="1" applyNumberFormat="0" applyBorder="0" applyAlignment="0" applyProtection="0"/>
    <xf numFmtId="0" fontId="6" fillId="27" borderId="1" applyNumberFormat="0" applyBorder="0" applyAlignment="0" applyProtection="0"/>
    <xf numFmtId="0" fontId="6" fillId="27" borderId="1" applyNumberFormat="0" applyBorder="0" applyAlignment="0" applyProtection="0"/>
    <xf numFmtId="0" fontId="6" fillId="27" borderId="1" applyNumberFormat="0" applyBorder="0" applyAlignment="0" applyProtection="0"/>
    <xf numFmtId="0" fontId="6" fillId="27" borderId="1" applyNumberFormat="0" applyBorder="0" applyAlignment="0" applyProtection="0"/>
    <xf numFmtId="0" fontId="6" fillId="27" borderId="1" applyNumberFormat="0" applyBorder="0" applyAlignment="0" applyProtection="0"/>
    <xf numFmtId="0" fontId="6" fillId="27" borderId="1" applyNumberFormat="0" applyBorder="0" applyAlignment="0" applyProtection="0"/>
    <xf numFmtId="0" fontId="6" fillId="27" borderId="1" applyNumberFormat="0" applyBorder="0" applyAlignment="0" applyProtection="0"/>
    <xf numFmtId="0" fontId="6" fillId="27" borderId="1" applyNumberFormat="0" applyBorder="0" applyAlignment="0" applyProtection="0"/>
    <xf numFmtId="0" fontId="6" fillId="27" borderId="1" applyNumberFormat="0" applyBorder="0" applyAlignment="0" applyProtection="0"/>
    <xf numFmtId="0" fontId="6" fillId="27" borderId="1" applyNumberFormat="0" applyBorder="0" applyAlignment="0" applyProtection="0"/>
    <xf numFmtId="0" fontId="6" fillId="27" borderId="1" applyNumberFormat="0" applyBorder="0" applyAlignment="0" applyProtection="0"/>
    <xf numFmtId="0" fontId="6" fillId="27" borderId="1" applyNumberFormat="0" applyBorder="0" applyAlignment="0" applyProtection="0"/>
    <xf numFmtId="0" fontId="6" fillId="27" borderId="1" applyNumberFormat="0" applyBorder="0" applyAlignment="0" applyProtection="0"/>
    <xf numFmtId="0" fontId="6" fillId="27" borderId="1" applyNumberFormat="0" applyBorder="0" applyAlignment="0" applyProtection="0"/>
    <xf numFmtId="0" fontId="6" fillId="27" borderId="1" applyNumberFormat="0" applyBorder="0" applyAlignment="0" applyProtection="0"/>
    <xf numFmtId="0" fontId="6" fillId="27" borderId="1" applyNumberFormat="0" applyBorder="0" applyAlignment="0" applyProtection="0"/>
    <xf numFmtId="0" fontId="6" fillId="27" borderId="1" applyNumberFormat="0" applyBorder="0" applyAlignment="0" applyProtection="0"/>
    <xf numFmtId="0" fontId="6" fillId="27" borderId="1" applyNumberFormat="0" applyBorder="0" applyAlignment="0" applyProtection="0"/>
    <xf numFmtId="0" fontId="6" fillId="27" borderId="1" applyNumberFormat="0" applyBorder="0" applyAlignment="0" applyProtection="0"/>
    <xf numFmtId="0" fontId="6" fillId="27" borderId="1" applyNumberFormat="0" applyBorder="0" applyAlignment="0" applyProtection="0"/>
    <xf numFmtId="0" fontId="6" fillId="27" borderId="1" applyNumberFormat="0" applyBorder="0" applyAlignment="0" applyProtection="0"/>
    <xf numFmtId="0" fontId="6" fillId="27" borderId="1" applyNumberFormat="0" applyBorder="0" applyAlignment="0" applyProtection="0"/>
    <xf numFmtId="0" fontId="6" fillId="31" borderId="1" applyNumberFormat="0" applyBorder="0" applyAlignment="0" applyProtection="0"/>
    <xf numFmtId="0" fontId="6" fillId="31" borderId="1" applyNumberFormat="0" applyBorder="0" applyAlignment="0" applyProtection="0"/>
    <xf numFmtId="0" fontId="6" fillId="31" borderId="1" applyNumberFormat="0" applyBorder="0" applyAlignment="0" applyProtection="0"/>
    <xf numFmtId="0" fontId="6" fillId="31" borderId="1" applyNumberFormat="0" applyBorder="0" applyAlignment="0" applyProtection="0"/>
    <xf numFmtId="0" fontId="6" fillId="31" borderId="1" applyNumberFormat="0" applyBorder="0" applyAlignment="0" applyProtection="0"/>
    <xf numFmtId="0" fontId="6" fillId="31" borderId="1" applyNumberFormat="0" applyBorder="0" applyAlignment="0" applyProtection="0"/>
    <xf numFmtId="0" fontId="6" fillId="31" borderId="1" applyNumberFormat="0" applyBorder="0" applyAlignment="0" applyProtection="0"/>
    <xf numFmtId="0" fontId="6" fillId="31" borderId="1" applyNumberFormat="0" applyBorder="0" applyAlignment="0" applyProtection="0"/>
    <xf numFmtId="0" fontId="6" fillId="31" borderId="1" applyNumberFormat="0" applyBorder="0" applyAlignment="0" applyProtection="0"/>
    <xf numFmtId="0" fontId="6" fillId="31" borderId="1" applyNumberFormat="0" applyBorder="0" applyAlignment="0" applyProtection="0"/>
    <xf numFmtId="0" fontId="6" fillId="31" borderId="1" applyNumberFormat="0" applyBorder="0" applyAlignment="0" applyProtection="0"/>
    <xf numFmtId="0" fontId="6" fillId="31" borderId="1" applyNumberFormat="0" applyBorder="0" applyAlignment="0" applyProtection="0"/>
    <xf numFmtId="0" fontId="6" fillId="31" borderId="1" applyNumberFormat="0" applyBorder="0" applyAlignment="0" applyProtection="0"/>
    <xf numFmtId="0" fontId="6" fillId="31" borderId="1" applyNumberFormat="0" applyBorder="0" applyAlignment="0" applyProtection="0"/>
    <xf numFmtId="0" fontId="6" fillId="31" borderId="1" applyNumberFormat="0" applyBorder="0" applyAlignment="0" applyProtection="0"/>
    <xf numFmtId="0" fontId="6" fillId="31" borderId="1" applyNumberFormat="0" applyBorder="0" applyAlignment="0" applyProtection="0"/>
    <xf numFmtId="0" fontId="6" fillId="31" borderId="1" applyNumberFormat="0" applyBorder="0" applyAlignment="0" applyProtection="0"/>
    <xf numFmtId="0" fontId="6" fillId="31" borderId="1" applyNumberFormat="0" applyBorder="0" applyAlignment="0" applyProtection="0"/>
    <xf numFmtId="0" fontId="6" fillId="31" borderId="1" applyNumberFormat="0" applyBorder="0" applyAlignment="0" applyProtection="0"/>
    <xf numFmtId="0" fontId="6" fillId="31" borderId="1" applyNumberFormat="0" applyBorder="0" applyAlignment="0" applyProtection="0"/>
    <xf numFmtId="0" fontId="6" fillId="31" borderId="1" applyNumberFormat="0" applyBorder="0" applyAlignment="0" applyProtection="0"/>
    <xf numFmtId="0" fontId="6" fillId="31" borderId="1" applyNumberFormat="0" applyBorder="0" applyAlignment="0" applyProtection="0"/>
    <xf numFmtId="0" fontId="6" fillId="31" borderId="1" applyNumberFormat="0" applyBorder="0" applyAlignment="0" applyProtection="0"/>
    <xf numFmtId="0" fontId="6" fillId="31" borderId="1" applyNumberFormat="0" applyBorder="0" applyAlignment="0" applyProtection="0"/>
    <xf numFmtId="0" fontId="6" fillId="31" borderId="1" applyNumberFormat="0" applyBorder="0" applyAlignment="0" applyProtection="0"/>
    <xf numFmtId="0" fontId="6" fillId="31" borderId="1" applyNumberFormat="0" applyBorder="0" applyAlignment="0" applyProtection="0"/>
    <xf numFmtId="0" fontId="6" fillId="31" borderId="1" applyNumberFormat="0" applyBorder="0" applyAlignment="0" applyProtection="0"/>
    <xf numFmtId="0" fontId="6" fillId="31" borderId="1" applyNumberFormat="0" applyBorder="0" applyAlignment="0" applyProtection="0"/>
    <xf numFmtId="0" fontId="6" fillId="31" borderId="1" applyNumberFormat="0" applyBorder="0" applyAlignment="0" applyProtection="0"/>
    <xf numFmtId="0" fontId="6" fillId="31" borderId="1" applyNumberFormat="0" applyBorder="0" applyAlignment="0" applyProtection="0"/>
    <xf numFmtId="0" fontId="6" fillId="31" borderId="1" applyNumberFormat="0" applyBorder="0" applyAlignment="0" applyProtection="0"/>
    <xf numFmtId="0" fontId="6" fillId="35" borderId="1" applyNumberFormat="0" applyBorder="0" applyAlignment="0" applyProtection="0"/>
    <xf numFmtId="0" fontId="6" fillId="35" borderId="1" applyNumberFormat="0" applyBorder="0" applyAlignment="0" applyProtection="0"/>
    <xf numFmtId="0" fontId="6" fillId="35" borderId="1" applyNumberFormat="0" applyBorder="0" applyAlignment="0" applyProtection="0"/>
    <xf numFmtId="0" fontId="6" fillId="35" borderId="1" applyNumberFormat="0" applyBorder="0" applyAlignment="0" applyProtection="0"/>
    <xf numFmtId="0" fontId="6" fillId="35" borderId="1" applyNumberFormat="0" applyBorder="0" applyAlignment="0" applyProtection="0"/>
    <xf numFmtId="0" fontId="6" fillId="35" borderId="1" applyNumberFormat="0" applyBorder="0" applyAlignment="0" applyProtection="0"/>
    <xf numFmtId="0" fontId="6" fillId="35" borderId="1" applyNumberFormat="0" applyBorder="0" applyAlignment="0" applyProtection="0"/>
    <xf numFmtId="0" fontId="6" fillId="35" borderId="1" applyNumberFormat="0" applyBorder="0" applyAlignment="0" applyProtection="0"/>
    <xf numFmtId="0" fontId="6" fillId="35" borderId="1" applyNumberFormat="0" applyBorder="0" applyAlignment="0" applyProtection="0"/>
    <xf numFmtId="0" fontId="6" fillId="35" borderId="1" applyNumberFormat="0" applyBorder="0" applyAlignment="0" applyProtection="0"/>
    <xf numFmtId="0" fontId="6" fillId="35" borderId="1" applyNumberFormat="0" applyBorder="0" applyAlignment="0" applyProtection="0"/>
    <xf numFmtId="0" fontId="6" fillId="35" borderId="1" applyNumberFormat="0" applyBorder="0" applyAlignment="0" applyProtection="0"/>
    <xf numFmtId="0" fontId="6" fillId="35" borderId="1" applyNumberFormat="0" applyBorder="0" applyAlignment="0" applyProtection="0"/>
    <xf numFmtId="0" fontId="6" fillId="35" borderId="1" applyNumberFormat="0" applyBorder="0" applyAlignment="0" applyProtection="0"/>
    <xf numFmtId="0" fontId="6" fillId="35" borderId="1" applyNumberFormat="0" applyBorder="0" applyAlignment="0" applyProtection="0"/>
    <xf numFmtId="0" fontId="6" fillId="35" borderId="1" applyNumberFormat="0" applyBorder="0" applyAlignment="0" applyProtection="0"/>
    <xf numFmtId="0" fontId="6" fillId="35" borderId="1" applyNumberFormat="0" applyBorder="0" applyAlignment="0" applyProtection="0"/>
    <xf numFmtId="0" fontId="6" fillId="35" borderId="1" applyNumberFormat="0" applyBorder="0" applyAlignment="0" applyProtection="0"/>
    <xf numFmtId="0" fontId="6" fillId="35" borderId="1" applyNumberFormat="0" applyBorder="0" applyAlignment="0" applyProtection="0"/>
    <xf numFmtId="0" fontId="6" fillId="35" borderId="1" applyNumberFormat="0" applyBorder="0" applyAlignment="0" applyProtection="0"/>
    <xf numFmtId="0" fontId="6" fillId="35" borderId="1" applyNumberFormat="0" applyBorder="0" applyAlignment="0" applyProtection="0"/>
    <xf numFmtId="0" fontId="6" fillId="35" borderId="1" applyNumberFormat="0" applyBorder="0" applyAlignment="0" applyProtection="0"/>
    <xf numFmtId="0" fontId="6" fillId="35" borderId="1" applyNumberFormat="0" applyBorder="0" applyAlignment="0" applyProtection="0"/>
    <xf numFmtId="0" fontId="6" fillId="35" borderId="1" applyNumberFormat="0" applyBorder="0" applyAlignment="0" applyProtection="0"/>
    <xf numFmtId="0" fontId="6" fillId="35" borderId="1" applyNumberFormat="0" applyBorder="0" applyAlignment="0" applyProtection="0"/>
    <xf numFmtId="0" fontId="6" fillId="35" borderId="1" applyNumberFormat="0" applyBorder="0" applyAlignment="0" applyProtection="0"/>
    <xf numFmtId="0" fontId="6" fillId="35" borderId="1" applyNumberFormat="0" applyBorder="0" applyAlignment="0" applyProtection="0"/>
    <xf numFmtId="0" fontId="6" fillId="35" borderId="1" applyNumberFormat="0" applyBorder="0" applyAlignment="0" applyProtection="0"/>
    <xf numFmtId="0" fontId="6" fillId="35" borderId="1" applyNumberFormat="0" applyBorder="0" applyAlignment="0" applyProtection="0"/>
    <xf numFmtId="0" fontId="6" fillId="35" borderId="1" applyNumberFormat="0" applyBorder="0" applyAlignment="0" applyProtection="0"/>
    <xf numFmtId="0" fontId="6" fillId="35" borderId="1" applyNumberFormat="0" applyBorder="0" applyAlignment="0" applyProtection="0"/>
    <xf numFmtId="0" fontId="6" fillId="16" borderId="1" applyNumberFormat="0" applyBorder="0" applyAlignment="0" applyProtection="0"/>
    <xf numFmtId="0" fontId="6" fillId="16" borderId="1" applyNumberFormat="0" applyBorder="0" applyAlignment="0" applyProtection="0"/>
    <xf numFmtId="0" fontId="6" fillId="16" borderId="1" applyNumberFormat="0" applyBorder="0" applyAlignment="0" applyProtection="0"/>
    <xf numFmtId="0" fontId="6" fillId="16" borderId="1" applyNumberFormat="0" applyBorder="0" applyAlignment="0" applyProtection="0"/>
    <xf numFmtId="0" fontId="6" fillId="16" borderId="1" applyNumberFormat="0" applyBorder="0" applyAlignment="0" applyProtection="0"/>
    <xf numFmtId="0" fontId="6" fillId="16" borderId="1" applyNumberFormat="0" applyBorder="0" applyAlignment="0" applyProtection="0"/>
    <xf numFmtId="0" fontId="6" fillId="16" borderId="1" applyNumberFormat="0" applyBorder="0" applyAlignment="0" applyProtection="0"/>
    <xf numFmtId="0" fontId="6" fillId="16" borderId="1" applyNumberFormat="0" applyBorder="0" applyAlignment="0" applyProtection="0"/>
    <xf numFmtId="0" fontId="6" fillId="16" borderId="1" applyNumberFormat="0" applyBorder="0" applyAlignment="0" applyProtection="0"/>
    <xf numFmtId="0" fontId="6" fillId="16" borderId="1" applyNumberFormat="0" applyBorder="0" applyAlignment="0" applyProtection="0"/>
    <xf numFmtId="0" fontId="6" fillId="16" borderId="1" applyNumberFormat="0" applyBorder="0" applyAlignment="0" applyProtection="0"/>
    <xf numFmtId="0" fontId="6" fillId="16" borderId="1" applyNumberFormat="0" applyBorder="0" applyAlignment="0" applyProtection="0"/>
    <xf numFmtId="0" fontId="6" fillId="16" borderId="1" applyNumberFormat="0" applyBorder="0" applyAlignment="0" applyProtection="0"/>
    <xf numFmtId="0" fontId="6" fillId="16" borderId="1" applyNumberFormat="0" applyBorder="0" applyAlignment="0" applyProtection="0"/>
    <xf numFmtId="0" fontId="6" fillId="16" borderId="1" applyNumberFormat="0" applyBorder="0" applyAlignment="0" applyProtection="0"/>
    <xf numFmtId="0" fontId="6" fillId="16" borderId="1" applyNumberFormat="0" applyBorder="0" applyAlignment="0" applyProtection="0"/>
    <xf numFmtId="0" fontId="6" fillId="16" borderId="1" applyNumberFormat="0" applyBorder="0" applyAlignment="0" applyProtection="0"/>
    <xf numFmtId="0" fontId="6" fillId="16" borderId="1" applyNumberFormat="0" applyBorder="0" applyAlignment="0" applyProtection="0"/>
    <xf numFmtId="0" fontId="6" fillId="16" borderId="1" applyNumberFormat="0" applyBorder="0" applyAlignment="0" applyProtection="0"/>
    <xf numFmtId="0" fontId="6" fillId="16" borderId="1" applyNumberFormat="0" applyBorder="0" applyAlignment="0" applyProtection="0"/>
    <xf numFmtId="0" fontId="6" fillId="16" borderId="1" applyNumberFormat="0" applyBorder="0" applyAlignment="0" applyProtection="0"/>
    <xf numFmtId="0" fontId="6" fillId="16" borderId="1" applyNumberFormat="0" applyBorder="0" applyAlignment="0" applyProtection="0"/>
    <xf numFmtId="0" fontId="6" fillId="16" borderId="1" applyNumberFormat="0" applyBorder="0" applyAlignment="0" applyProtection="0"/>
    <xf numFmtId="0" fontId="6" fillId="16" borderId="1" applyNumberFormat="0" applyBorder="0" applyAlignment="0" applyProtection="0"/>
    <xf numFmtId="0" fontId="6" fillId="16" borderId="1" applyNumberFormat="0" applyBorder="0" applyAlignment="0" applyProtection="0"/>
    <xf numFmtId="0" fontId="6" fillId="16" borderId="1" applyNumberFormat="0" applyBorder="0" applyAlignment="0" applyProtection="0"/>
    <xf numFmtId="0" fontId="6" fillId="16" borderId="1" applyNumberFormat="0" applyBorder="0" applyAlignment="0" applyProtection="0"/>
    <xf numFmtId="0" fontId="6" fillId="16" borderId="1" applyNumberFormat="0" applyBorder="0" applyAlignment="0" applyProtection="0"/>
    <xf numFmtId="0" fontId="6" fillId="16" borderId="1" applyNumberFormat="0" applyBorder="0" applyAlignment="0" applyProtection="0"/>
    <xf numFmtId="0" fontId="6" fillId="16" borderId="1" applyNumberFormat="0" applyBorder="0" applyAlignment="0" applyProtection="0"/>
    <xf numFmtId="0" fontId="6" fillId="16" borderId="1" applyNumberFormat="0" applyBorder="0" applyAlignment="0" applyProtection="0"/>
    <xf numFmtId="0" fontId="6" fillId="20" borderId="1" applyNumberFormat="0" applyBorder="0" applyAlignment="0" applyProtection="0"/>
    <xf numFmtId="0" fontId="6" fillId="20" borderId="1" applyNumberFormat="0" applyBorder="0" applyAlignment="0" applyProtection="0"/>
    <xf numFmtId="0" fontId="6" fillId="20" borderId="1" applyNumberFormat="0" applyBorder="0" applyAlignment="0" applyProtection="0"/>
    <xf numFmtId="0" fontId="6" fillId="20" borderId="1" applyNumberFormat="0" applyBorder="0" applyAlignment="0" applyProtection="0"/>
    <xf numFmtId="0" fontId="6" fillId="20" borderId="1" applyNumberFormat="0" applyBorder="0" applyAlignment="0" applyProtection="0"/>
    <xf numFmtId="0" fontId="6" fillId="20" borderId="1" applyNumberFormat="0" applyBorder="0" applyAlignment="0" applyProtection="0"/>
    <xf numFmtId="0" fontId="6" fillId="20" borderId="1" applyNumberFormat="0" applyBorder="0" applyAlignment="0" applyProtection="0"/>
    <xf numFmtId="0" fontId="6" fillId="20" borderId="1" applyNumberFormat="0" applyBorder="0" applyAlignment="0" applyProtection="0"/>
    <xf numFmtId="0" fontId="6" fillId="20" borderId="1" applyNumberFormat="0" applyBorder="0" applyAlignment="0" applyProtection="0"/>
    <xf numFmtId="0" fontId="6" fillId="20" borderId="1" applyNumberFormat="0" applyBorder="0" applyAlignment="0" applyProtection="0"/>
    <xf numFmtId="0" fontId="6" fillId="20" borderId="1" applyNumberFormat="0" applyBorder="0" applyAlignment="0" applyProtection="0"/>
    <xf numFmtId="0" fontId="6" fillId="20" borderId="1" applyNumberFormat="0" applyBorder="0" applyAlignment="0" applyProtection="0"/>
    <xf numFmtId="0" fontId="6" fillId="20" borderId="1" applyNumberFormat="0" applyBorder="0" applyAlignment="0" applyProtection="0"/>
    <xf numFmtId="0" fontId="6" fillId="20" borderId="1" applyNumberFormat="0" applyBorder="0" applyAlignment="0" applyProtection="0"/>
    <xf numFmtId="0" fontId="6" fillId="20" borderId="1" applyNumberFormat="0" applyBorder="0" applyAlignment="0" applyProtection="0"/>
    <xf numFmtId="0" fontId="6" fillId="20" borderId="1" applyNumberFormat="0" applyBorder="0" applyAlignment="0" applyProtection="0"/>
    <xf numFmtId="0" fontId="6" fillId="20" borderId="1" applyNumberFormat="0" applyBorder="0" applyAlignment="0" applyProtection="0"/>
    <xf numFmtId="0" fontId="6" fillId="20" borderId="1" applyNumberFormat="0" applyBorder="0" applyAlignment="0" applyProtection="0"/>
    <xf numFmtId="0" fontId="6" fillId="20" borderId="1" applyNumberFormat="0" applyBorder="0" applyAlignment="0" applyProtection="0"/>
    <xf numFmtId="0" fontId="6" fillId="20" borderId="1" applyNumberFormat="0" applyBorder="0" applyAlignment="0" applyProtection="0"/>
    <xf numFmtId="0" fontId="6" fillId="20" borderId="1" applyNumberFormat="0" applyBorder="0" applyAlignment="0" applyProtection="0"/>
    <xf numFmtId="0" fontId="6" fillId="20" borderId="1" applyNumberFormat="0" applyBorder="0" applyAlignment="0" applyProtection="0"/>
    <xf numFmtId="0" fontId="6" fillId="20" borderId="1" applyNumberFormat="0" applyBorder="0" applyAlignment="0" applyProtection="0"/>
    <xf numFmtId="0" fontId="6" fillId="20" borderId="1" applyNumberFormat="0" applyBorder="0" applyAlignment="0" applyProtection="0"/>
    <xf numFmtId="0" fontId="6" fillId="20" borderId="1" applyNumberFormat="0" applyBorder="0" applyAlignment="0" applyProtection="0"/>
    <xf numFmtId="0" fontId="6" fillId="20" borderId="1" applyNumberFormat="0" applyBorder="0" applyAlignment="0" applyProtection="0"/>
    <xf numFmtId="0" fontId="6" fillId="20" borderId="1" applyNumberFormat="0" applyBorder="0" applyAlignment="0" applyProtection="0"/>
    <xf numFmtId="0" fontId="6" fillId="20" borderId="1" applyNumberFormat="0" applyBorder="0" applyAlignment="0" applyProtection="0"/>
    <xf numFmtId="0" fontId="6" fillId="20" borderId="1" applyNumberFormat="0" applyBorder="0" applyAlignment="0" applyProtection="0"/>
    <xf numFmtId="0" fontId="6" fillId="20" borderId="1" applyNumberFormat="0" applyBorder="0" applyAlignment="0" applyProtection="0"/>
    <xf numFmtId="0" fontId="6" fillId="20" borderId="1" applyNumberFormat="0" applyBorder="0" applyAlignment="0" applyProtection="0"/>
    <xf numFmtId="0" fontId="6" fillId="24" borderId="1" applyNumberFormat="0" applyBorder="0" applyAlignment="0" applyProtection="0"/>
    <xf numFmtId="0" fontId="6" fillId="24" borderId="1" applyNumberFormat="0" applyBorder="0" applyAlignment="0" applyProtection="0"/>
    <xf numFmtId="0" fontId="6" fillId="24" borderId="1" applyNumberFormat="0" applyBorder="0" applyAlignment="0" applyProtection="0"/>
    <xf numFmtId="0" fontId="6" fillId="24" borderId="1" applyNumberFormat="0" applyBorder="0" applyAlignment="0" applyProtection="0"/>
    <xf numFmtId="0" fontId="6" fillId="24" borderId="1" applyNumberFormat="0" applyBorder="0" applyAlignment="0" applyProtection="0"/>
    <xf numFmtId="0" fontId="6" fillId="24" borderId="1" applyNumberFormat="0" applyBorder="0" applyAlignment="0" applyProtection="0"/>
    <xf numFmtId="0" fontId="6" fillId="24" borderId="1" applyNumberFormat="0" applyBorder="0" applyAlignment="0" applyProtection="0"/>
    <xf numFmtId="0" fontId="6" fillId="24" borderId="1" applyNumberFormat="0" applyBorder="0" applyAlignment="0" applyProtection="0"/>
    <xf numFmtId="0" fontId="6" fillId="24" borderId="1" applyNumberFormat="0" applyBorder="0" applyAlignment="0" applyProtection="0"/>
    <xf numFmtId="0" fontId="6" fillId="24" borderId="1" applyNumberFormat="0" applyBorder="0" applyAlignment="0" applyProtection="0"/>
    <xf numFmtId="0" fontId="6" fillId="24" borderId="1" applyNumberFormat="0" applyBorder="0" applyAlignment="0" applyProtection="0"/>
    <xf numFmtId="0" fontId="6" fillId="24" borderId="1" applyNumberFormat="0" applyBorder="0" applyAlignment="0" applyProtection="0"/>
    <xf numFmtId="0" fontId="6" fillId="24" borderId="1" applyNumberFormat="0" applyBorder="0" applyAlignment="0" applyProtection="0"/>
    <xf numFmtId="0" fontId="6" fillId="24" borderId="1" applyNumberFormat="0" applyBorder="0" applyAlignment="0" applyProtection="0"/>
    <xf numFmtId="0" fontId="6" fillId="24" borderId="1" applyNumberFormat="0" applyBorder="0" applyAlignment="0" applyProtection="0"/>
    <xf numFmtId="0" fontId="6" fillId="24" borderId="1" applyNumberFormat="0" applyBorder="0" applyAlignment="0" applyProtection="0"/>
    <xf numFmtId="0" fontId="6" fillId="24" borderId="1" applyNumberFormat="0" applyBorder="0" applyAlignment="0" applyProtection="0"/>
    <xf numFmtId="0" fontId="6" fillId="24" borderId="1" applyNumberFormat="0" applyBorder="0" applyAlignment="0" applyProtection="0"/>
    <xf numFmtId="0" fontId="6" fillId="24" borderId="1" applyNumberFormat="0" applyBorder="0" applyAlignment="0" applyProtection="0"/>
    <xf numFmtId="0" fontId="6" fillId="24" borderId="1" applyNumberFormat="0" applyBorder="0" applyAlignment="0" applyProtection="0"/>
    <xf numFmtId="0" fontId="6" fillId="24" borderId="1" applyNumberFormat="0" applyBorder="0" applyAlignment="0" applyProtection="0"/>
    <xf numFmtId="0" fontId="6" fillId="24" borderId="1" applyNumberFormat="0" applyBorder="0" applyAlignment="0" applyProtection="0"/>
    <xf numFmtId="0" fontId="6" fillId="24" borderId="1" applyNumberFormat="0" applyBorder="0" applyAlignment="0" applyProtection="0"/>
    <xf numFmtId="0" fontId="6" fillId="24" borderId="1" applyNumberFormat="0" applyBorder="0" applyAlignment="0" applyProtection="0"/>
    <xf numFmtId="0" fontId="6" fillId="24" borderId="1" applyNumberFormat="0" applyBorder="0" applyAlignment="0" applyProtection="0"/>
    <xf numFmtId="0" fontId="6" fillId="24" borderId="1" applyNumberFormat="0" applyBorder="0" applyAlignment="0" applyProtection="0"/>
    <xf numFmtId="0" fontId="6" fillId="24" borderId="1" applyNumberFormat="0" applyBorder="0" applyAlignment="0" applyProtection="0"/>
    <xf numFmtId="0" fontId="6" fillId="24" borderId="1" applyNumberFormat="0" applyBorder="0" applyAlignment="0" applyProtection="0"/>
    <xf numFmtId="0" fontId="6" fillId="24" borderId="1" applyNumberFormat="0" applyBorder="0" applyAlignment="0" applyProtection="0"/>
    <xf numFmtId="0" fontId="6" fillId="24" borderId="1" applyNumberFormat="0" applyBorder="0" applyAlignment="0" applyProtection="0"/>
    <xf numFmtId="0" fontId="6" fillId="24" borderId="1" applyNumberFormat="0" applyBorder="0" applyAlignment="0" applyProtection="0"/>
    <xf numFmtId="0" fontId="6" fillId="28" borderId="1" applyNumberFormat="0" applyBorder="0" applyAlignment="0" applyProtection="0"/>
    <xf numFmtId="0" fontId="6" fillId="28" borderId="1" applyNumberFormat="0" applyBorder="0" applyAlignment="0" applyProtection="0"/>
    <xf numFmtId="0" fontId="6" fillId="28" borderId="1" applyNumberFormat="0" applyBorder="0" applyAlignment="0" applyProtection="0"/>
    <xf numFmtId="0" fontId="6" fillId="28" borderId="1" applyNumberFormat="0" applyBorder="0" applyAlignment="0" applyProtection="0"/>
    <xf numFmtId="0" fontId="6" fillId="28" borderId="1" applyNumberFormat="0" applyBorder="0" applyAlignment="0" applyProtection="0"/>
    <xf numFmtId="0" fontId="6" fillId="28" borderId="1" applyNumberFormat="0" applyBorder="0" applyAlignment="0" applyProtection="0"/>
    <xf numFmtId="0" fontId="6" fillId="28" borderId="1" applyNumberFormat="0" applyBorder="0" applyAlignment="0" applyProtection="0"/>
    <xf numFmtId="0" fontId="6" fillId="28" borderId="1" applyNumberFormat="0" applyBorder="0" applyAlignment="0" applyProtection="0"/>
    <xf numFmtId="0" fontId="6" fillId="28" borderId="1" applyNumberFormat="0" applyBorder="0" applyAlignment="0" applyProtection="0"/>
    <xf numFmtId="0" fontId="6" fillId="28" borderId="1" applyNumberFormat="0" applyBorder="0" applyAlignment="0" applyProtection="0"/>
    <xf numFmtId="0" fontId="6" fillId="28" borderId="1" applyNumberFormat="0" applyBorder="0" applyAlignment="0" applyProtection="0"/>
    <xf numFmtId="0" fontId="6" fillId="28" borderId="1" applyNumberFormat="0" applyBorder="0" applyAlignment="0" applyProtection="0"/>
    <xf numFmtId="0" fontId="6" fillId="28" borderId="1" applyNumberFormat="0" applyBorder="0" applyAlignment="0" applyProtection="0"/>
    <xf numFmtId="0" fontId="6" fillId="28" borderId="1" applyNumberFormat="0" applyBorder="0" applyAlignment="0" applyProtection="0"/>
    <xf numFmtId="0" fontId="6" fillId="28" borderId="1" applyNumberFormat="0" applyBorder="0" applyAlignment="0" applyProtection="0"/>
    <xf numFmtId="0" fontId="6" fillId="28" borderId="1" applyNumberFormat="0" applyBorder="0" applyAlignment="0" applyProtection="0"/>
    <xf numFmtId="0" fontId="6" fillId="28" borderId="1" applyNumberFormat="0" applyBorder="0" applyAlignment="0" applyProtection="0"/>
    <xf numFmtId="0" fontId="6" fillId="28" borderId="1" applyNumberFormat="0" applyBorder="0" applyAlignment="0" applyProtection="0"/>
    <xf numFmtId="0" fontId="6" fillId="28" borderId="1" applyNumberFormat="0" applyBorder="0" applyAlignment="0" applyProtection="0"/>
    <xf numFmtId="0" fontId="6" fillId="28" borderId="1" applyNumberFormat="0" applyBorder="0" applyAlignment="0" applyProtection="0"/>
    <xf numFmtId="0" fontId="6" fillId="28" borderId="1" applyNumberFormat="0" applyBorder="0" applyAlignment="0" applyProtection="0"/>
    <xf numFmtId="0" fontId="6" fillId="28" borderId="1" applyNumberFormat="0" applyBorder="0" applyAlignment="0" applyProtection="0"/>
    <xf numFmtId="0" fontId="6" fillId="28" borderId="1" applyNumberFormat="0" applyBorder="0" applyAlignment="0" applyProtection="0"/>
    <xf numFmtId="0" fontId="6" fillId="28" borderId="1" applyNumberFormat="0" applyBorder="0" applyAlignment="0" applyProtection="0"/>
    <xf numFmtId="0" fontId="6" fillId="28" borderId="1" applyNumberFormat="0" applyBorder="0" applyAlignment="0" applyProtection="0"/>
    <xf numFmtId="0" fontId="6" fillId="28" borderId="1" applyNumberFormat="0" applyBorder="0" applyAlignment="0" applyProtection="0"/>
    <xf numFmtId="0" fontId="6" fillId="28" borderId="1" applyNumberFormat="0" applyBorder="0" applyAlignment="0" applyProtection="0"/>
    <xf numFmtId="0" fontId="6" fillId="28" borderId="1" applyNumberFormat="0" applyBorder="0" applyAlignment="0" applyProtection="0"/>
    <xf numFmtId="0" fontId="6" fillId="28" borderId="1" applyNumberFormat="0" applyBorder="0" applyAlignment="0" applyProtection="0"/>
    <xf numFmtId="0" fontId="6" fillId="28" borderId="1" applyNumberFormat="0" applyBorder="0" applyAlignment="0" applyProtection="0"/>
    <xf numFmtId="0" fontId="6" fillId="28" borderId="1" applyNumberFormat="0" applyBorder="0" applyAlignment="0" applyProtection="0"/>
    <xf numFmtId="0" fontId="6" fillId="32" borderId="1" applyNumberFormat="0" applyBorder="0" applyAlignment="0" applyProtection="0"/>
    <xf numFmtId="0" fontId="6" fillId="32" borderId="1" applyNumberFormat="0" applyBorder="0" applyAlignment="0" applyProtection="0"/>
    <xf numFmtId="0" fontId="6" fillId="32" borderId="1" applyNumberFormat="0" applyBorder="0" applyAlignment="0" applyProtection="0"/>
    <xf numFmtId="0" fontId="6" fillId="32" borderId="1" applyNumberFormat="0" applyBorder="0" applyAlignment="0" applyProtection="0"/>
    <xf numFmtId="0" fontId="6" fillId="32" borderId="1" applyNumberFormat="0" applyBorder="0" applyAlignment="0" applyProtection="0"/>
    <xf numFmtId="0" fontId="6" fillId="32" borderId="1" applyNumberFormat="0" applyBorder="0" applyAlignment="0" applyProtection="0"/>
    <xf numFmtId="0" fontId="6" fillId="32" borderId="1" applyNumberFormat="0" applyBorder="0" applyAlignment="0" applyProtection="0"/>
    <xf numFmtId="0" fontId="6" fillId="32" borderId="1" applyNumberFormat="0" applyBorder="0" applyAlignment="0" applyProtection="0"/>
    <xf numFmtId="0" fontId="6" fillId="32" borderId="1" applyNumberFormat="0" applyBorder="0" applyAlignment="0" applyProtection="0"/>
    <xf numFmtId="0" fontId="6" fillId="32" borderId="1" applyNumberFormat="0" applyBorder="0" applyAlignment="0" applyProtection="0"/>
    <xf numFmtId="0" fontId="6" fillId="32" borderId="1" applyNumberFormat="0" applyBorder="0" applyAlignment="0" applyProtection="0"/>
    <xf numFmtId="0" fontId="6" fillId="32" borderId="1" applyNumberFormat="0" applyBorder="0" applyAlignment="0" applyProtection="0"/>
    <xf numFmtId="0" fontId="6" fillId="32" borderId="1" applyNumberFormat="0" applyBorder="0" applyAlignment="0" applyProtection="0"/>
    <xf numFmtId="0" fontId="6" fillId="32" borderId="1" applyNumberFormat="0" applyBorder="0" applyAlignment="0" applyProtection="0"/>
    <xf numFmtId="0" fontId="6" fillId="32" borderId="1" applyNumberFormat="0" applyBorder="0" applyAlignment="0" applyProtection="0"/>
    <xf numFmtId="0" fontId="6" fillId="32" borderId="1" applyNumberFormat="0" applyBorder="0" applyAlignment="0" applyProtection="0"/>
    <xf numFmtId="0" fontId="6" fillId="32" borderId="1" applyNumberFormat="0" applyBorder="0" applyAlignment="0" applyProtection="0"/>
    <xf numFmtId="0" fontId="6" fillId="32" borderId="1" applyNumberFormat="0" applyBorder="0" applyAlignment="0" applyProtection="0"/>
    <xf numFmtId="0" fontId="6" fillId="32" borderId="1" applyNumberFormat="0" applyBorder="0" applyAlignment="0" applyProtection="0"/>
    <xf numFmtId="0" fontId="6" fillId="32" borderId="1" applyNumberFormat="0" applyBorder="0" applyAlignment="0" applyProtection="0"/>
    <xf numFmtId="0" fontId="6" fillId="32" borderId="1" applyNumberFormat="0" applyBorder="0" applyAlignment="0" applyProtection="0"/>
    <xf numFmtId="0" fontId="6" fillId="32" borderId="1" applyNumberFormat="0" applyBorder="0" applyAlignment="0" applyProtection="0"/>
    <xf numFmtId="0" fontId="6" fillId="32" borderId="1" applyNumberFormat="0" applyBorder="0" applyAlignment="0" applyProtection="0"/>
    <xf numFmtId="0" fontId="6" fillId="32" borderId="1" applyNumberFormat="0" applyBorder="0" applyAlignment="0" applyProtection="0"/>
    <xf numFmtId="0" fontId="6" fillId="32" borderId="1" applyNumberFormat="0" applyBorder="0" applyAlignment="0" applyProtection="0"/>
    <xf numFmtId="0" fontId="6" fillId="32" borderId="1" applyNumberFormat="0" applyBorder="0" applyAlignment="0" applyProtection="0"/>
    <xf numFmtId="0" fontId="6" fillId="32" borderId="1" applyNumberFormat="0" applyBorder="0" applyAlignment="0" applyProtection="0"/>
    <xf numFmtId="0" fontId="6" fillId="32" borderId="1" applyNumberFormat="0" applyBorder="0" applyAlignment="0" applyProtection="0"/>
    <xf numFmtId="0" fontId="6" fillId="32" borderId="1" applyNumberFormat="0" applyBorder="0" applyAlignment="0" applyProtection="0"/>
    <xf numFmtId="0" fontId="6" fillId="32" borderId="1" applyNumberFormat="0" applyBorder="0" applyAlignment="0" applyProtection="0"/>
    <xf numFmtId="0" fontId="6" fillId="32" borderId="1" applyNumberFormat="0" applyBorder="0" applyAlignment="0" applyProtection="0"/>
    <xf numFmtId="0" fontId="6" fillId="36" borderId="1" applyNumberFormat="0" applyBorder="0" applyAlignment="0" applyProtection="0"/>
    <xf numFmtId="0" fontId="6" fillId="36" borderId="1" applyNumberFormat="0" applyBorder="0" applyAlignment="0" applyProtection="0"/>
    <xf numFmtId="0" fontId="6" fillId="36" borderId="1" applyNumberFormat="0" applyBorder="0" applyAlignment="0" applyProtection="0"/>
    <xf numFmtId="0" fontId="6" fillId="36" borderId="1" applyNumberFormat="0" applyBorder="0" applyAlignment="0" applyProtection="0"/>
    <xf numFmtId="0" fontId="6" fillId="36" borderId="1" applyNumberFormat="0" applyBorder="0" applyAlignment="0" applyProtection="0"/>
    <xf numFmtId="0" fontId="6" fillId="36" borderId="1" applyNumberFormat="0" applyBorder="0" applyAlignment="0" applyProtection="0"/>
    <xf numFmtId="0" fontId="6" fillId="36" borderId="1" applyNumberFormat="0" applyBorder="0" applyAlignment="0" applyProtection="0"/>
    <xf numFmtId="0" fontId="6" fillId="36" borderId="1" applyNumberFormat="0" applyBorder="0" applyAlignment="0" applyProtection="0"/>
    <xf numFmtId="0" fontId="6" fillId="36" borderId="1" applyNumberFormat="0" applyBorder="0" applyAlignment="0" applyProtection="0"/>
    <xf numFmtId="0" fontId="6" fillId="36" borderId="1" applyNumberFormat="0" applyBorder="0" applyAlignment="0" applyProtection="0"/>
    <xf numFmtId="0" fontId="6" fillId="36" borderId="1" applyNumberFormat="0" applyBorder="0" applyAlignment="0" applyProtection="0"/>
    <xf numFmtId="0" fontId="6" fillId="36" borderId="1" applyNumberFormat="0" applyBorder="0" applyAlignment="0" applyProtection="0"/>
    <xf numFmtId="0" fontId="6" fillId="36" borderId="1" applyNumberFormat="0" applyBorder="0" applyAlignment="0" applyProtection="0"/>
    <xf numFmtId="0" fontId="6" fillId="36" borderId="1" applyNumberFormat="0" applyBorder="0" applyAlignment="0" applyProtection="0"/>
    <xf numFmtId="0" fontId="6" fillId="36" borderId="1" applyNumberFormat="0" applyBorder="0" applyAlignment="0" applyProtection="0"/>
    <xf numFmtId="0" fontId="6" fillId="36" borderId="1" applyNumberFormat="0" applyBorder="0" applyAlignment="0" applyProtection="0"/>
    <xf numFmtId="0" fontId="6" fillId="36" borderId="1" applyNumberFormat="0" applyBorder="0" applyAlignment="0" applyProtection="0"/>
    <xf numFmtId="0" fontId="6" fillId="36" borderId="1" applyNumberFormat="0" applyBorder="0" applyAlignment="0" applyProtection="0"/>
    <xf numFmtId="0" fontId="6" fillId="36" borderId="1" applyNumberFormat="0" applyBorder="0" applyAlignment="0" applyProtection="0"/>
    <xf numFmtId="0" fontId="6" fillId="36" borderId="1" applyNumberFormat="0" applyBorder="0" applyAlignment="0" applyProtection="0"/>
    <xf numFmtId="0" fontId="6" fillId="36" borderId="1" applyNumberFormat="0" applyBorder="0" applyAlignment="0" applyProtection="0"/>
    <xf numFmtId="0" fontId="6" fillId="36" borderId="1" applyNumberFormat="0" applyBorder="0" applyAlignment="0" applyProtection="0"/>
    <xf numFmtId="0" fontId="6" fillId="36" borderId="1" applyNumberFormat="0" applyBorder="0" applyAlignment="0" applyProtection="0"/>
    <xf numFmtId="0" fontId="6" fillId="36" borderId="1" applyNumberFormat="0" applyBorder="0" applyAlignment="0" applyProtection="0"/>
    <xf numFmtId="0" fontId="6" fillId="36" borderId="1" applyNumberFormat="0" applyBorder="0" applyAlignment="0" applyProtection="0"/>
    <xf numFmtId="0" fontId="6" fillId="36" borderId="1" applyNumberFormat="0" applyBorder="0" applyAlignment="0" applyProtection="0"/>
    <xf numFmtId="0" fontId="6" fillId="36" borderId="1" applyNumberFormat="0" applyBorder="0" applyAlignment="0" applyProtection="0"/>
    <xf numFmtId="0" fontId="6" fillId="36" borderId="1" applyNumberFormat="0" applyBorder="0" applyAlignment="0" applyProtection="0"/>
    <xf numFmtId="0" fontId="6" fillId="36" borderId="1" applyNumberFormat="0" applyBorder="0" applyAlignment="0" applyProtection="0"/>
    <xf numFmtId="0" fontId="6" fillId="36" borderId="1" applyNumberFormat="0" applyBorder="0" applyAlignment="0" applyProtection="0"/>
    <xf numFmtId="0" fontId="6" fillId="36" borderId="1" applyNumberFormat="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43" fontId="88" fillId="0" borderId="1" applyFont="0" applyFill="0" applyBorder="0" applyAlignment="0" applyProtection="0"/>
    <xf numFmtId="43" fontId="6" fillId="0" borderId="1" applyFont="0" applyFill="0" applyBorder="0" applyAlignment="0" applyProtection="0"/>
    <xf numFmtId="43" fontId="6" fillId="0" borderId="1" applyFont="0" applyFill="0" applyBorder="0" applyAlignment="0" applyProtection="0"/>
    <xf numFmtId="43" fontId="6" fillId="0" borderId="1" applyFont="0" applyFill="0" applyBorder="0" applyAlignment="0" applyProtection="0"/>
    <xf numFmtId="43"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43" fontId="6" fillId="0" borderId="1" applyFont="0" applyFill="0" applyBorder="0" applyAlignment="0" applyProtection="0"/>
    <xf numFmtId="165" fontId="6" fillId="0" borderId="1" applyFont="0" applyFill="0" applyBorder="0" applyAlignment="0" applyProtection="0"/>
    <xf numFmtId="43" fontId="83" fillId="0" borderId="1" applyFont="0" applyFill="0" applyBorder="0" applyAlignment="0" applyProtection="0"/>
    <xf numFmtId="43" fontId="83"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43" fontId="6" fillId="0" borderId="1" applyFont="0" applyFill="0" applyBorder="0" applyAlignment="0" applyProtection="0"/>
    <xf numFmtId="43" fontId="6" fillId="0" borderId="1" applyFont="0" applyFill="0" applyBorder="0" applyAlignment="0" applyProtection="0"/>
    <xf numFmtId="43" fontId="6" fillId="0" borderId="1" applyFont="0" applyFill="0" applyBorder="0" applyAlignment="0" applyProtection="0"/>
    <xf numFmtId="43"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5" fontId="88" fillId="0" borderId="1" applyFont="0" applyFill="0" applyBorder="0" applyAlignment="0" applyProtection="0">
      <alignment wrapText="1"/>
    </xf>
    <xf numFmtId="43" fontId="6" fillId="0" borderId="1" applyFont="0" applyFill="0" applyBorder="0" applyAlignment="0" applyProtection="0"/>
    <xf numFmtId="43"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43" fontId="99" fillId="0" borderId="1" applyFont="0" applyFill="0" applyBorder="0" applyAlignment="0" applyProtection="0"/>
    <xf numFmtId="43" fontId="99"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43" fontId="6" fillId="0" borderId="1" applyFont="0" applyFill="0" applyBorder="0" applyAlignment="0" applyProtection="0"/>
    <xf numFmtId="43"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43" fontId="6" fillId="0" borderId="1" applyFont="0" applyFill="0" applyBorder="0" applyAlignment="0" applyProtection="0"/>
    <xf numFmtId="43" fontId="6" fillId="0" borderId="1" applyFont="0" applyFill="0" applyBorder="0" applyAlignment="0" applyProtection="0"/>
    <xf numFmtId="43" fontId="6" fillId="0" borderId="1" applyFont="0" applyFill="0" applyBorder="0" applyAlignment="0" applyProtection="0"/>
    <xf numFmtId="43"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43" fontId="6" fillId="0" borderId="1" applyFont="0" applyFill="0" applyBorder="0" applyAlignment="0" applyProtection="0"/>
    <xf numFmtId="43"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43" fontId="6" fillId="0" borderId="1" applyFont="0" applyFill="0" applyBorder="0" applyAlignment="0" applyProtection="0"/>
    <xf numFmtId="43"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43" fontId="6" fillId="0" borderId="1" applyFont="0" applyFill="0" applyBorder="0" applyAlignment="0" applyProtection="0"/>
    <xf numFmtId="43" fontId="6" fillId="0" borderId="1" applyFont="0" applyFill="0" applyBorder="0" applyAlignment="0" applyProtection="0"/>
    <xf numFmtId="43" fontId="6" fillId="0" borderId="1" applyFont="0" applyFill="0" applyBorder="0" applyAlignment="0" applyProtection="0"/>
    <xf numFmtId="43"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43" fontId="6" fillId="0" borderId="1" applyFont="0" applyFill="0" applyBorder="0" applyAlignment="0" applyProtection="0"/>
    <xf numFmtId="43"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43" fontId="83" fillId="0" borderId="1" applyFont="0" applyFill="0" applyBorder="0" applyAlignment="0" applyProtection="0"/>
    <xf numFmtId="43" fontId="83" fillId="0" borderId="1" applyFont="0" applyFill="0" applyBorder="0" applyAlignment="0" applyProtection="0"/>
    <xf numFmtId="43" fontId="83" fillId="0" borderId="1" applyFont="0" applyFill="0" applyBorder="0" applyAlignment="0" applyProtection="0"/>
    <xf numFmtId="43" fontId="6" fillId="0" borderId="1" applyFont="0" applyFill="0" applyBorder="0" applyAlignment="0" applyProtection="0"/>
    <xf numFmtId="43" fontId="6" fillId="0" borderId="1" applyFont="0" applyFill="0" applyBorder="0" applyAlignment="0" applyProtection="0"/>
    <xf numFmtId="43" fontId="6" fillId="0" borderId="1" applyFont="0" applyFill="0" applyBorder="0" applyAlignment="0" applyProtection="0"/>
    <xf numFmtId="43" fontId="6" fillId="0" borderId="1" applyFont="0" applyFill="0" applyBorder="0" applyAlignment="0" applyProtection="0"/>
    <xf numFmtId="43" fontId="83" fillId="0" borderId="1" applyFont="0" applyFill="0" applyBorder="0" applyAlignment="0" applyProtection="0"/>
    <xf numFmtId="43"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43" fontId="6" fillId="0" borderId="1" applyFont="0" applyFill="0" applyBorder="0" applyAlignment="0" applyProtection="0"/>
    <xf numFmtId="43"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43" fontId="6" fillId="0" borderId="1" applyFont="0" applyFill="0" applyBorder="0" applyAlignment="0" applyProtection="0"/>
    <xf numFmtId="43" fontId="6" fillId="0" borderId="1" applyFont="0" applyFill="0" applyBorder="0" applyAlignment="0" applyProtection="0"/>
    <xf numFmtId="43" fontId="6" fillId="0" borderId="1" applyFont="0" applyFill="0" applyBorder="0" applyAlignment="0" applyProtection="0"/>
    <xf numFmtId="43"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43" fontId="6" fillId="0" borderId="1" applyFont="0" applyFill="0" applyBorder="0" applyAlignment="0" applyProtection="0"/>
    <xf numFmtId="43"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43" fontId="6" fillId="0" borderId="1" applyFont="0" applyFill="0" applyBorder="0" applyAlignment="0" applyProtection="0"/>
    <xf numFmtId="43"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43" fontId="6" fillId="0" borderId="1" applyFont="0" applyFill="0" applyBorder="0" applyAlignment="0" applyProtection="0"/>
    <xf numFmtId="43" fontId="6" fillId="0" borderId="1" applyFont="0" applyFill="0" applyBorder="0" applyAlignment="0" applyProtection="0"/>
    <xf numFmtId="43" fontId="6" fillId="0" borderId="1" applyFont="0" applyFill="0" applyBorder="0" applyAlignment="0" applyProtection="0"/>
    <xf numFmtId="43"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43" fontId="6" fillId="0" borderId="1" applyFont="0" applyFill="0" applyBorder="0" applyAlignment="0" applyProtection="0"/>
    <xf numFmtId="43"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43" fontId="6" fillId="0" borderId="1" applyFont="0" applyFill="0" applyBorder="0" applyAlignment="0" applyProtection="0"/>
    <xf numFmtId="43"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43" fontId="6" fillId="0" borderId="1" applyFont="0" applyFill="0" applyBorder="0" applyAlignment="0" applyProtection="0"/>
    <xf numFmtId="43" fontId="6" fillId="0" borderId="1" applyFont="0" applyFill="0" applyBorder="0" applyAlignment="0" applyProtection="0"/>
    <xf numFmtId="43" fontId="6" fillId="0" borderId="1" applyFont="0" applyFill="0" applyBorder="0" applyAlignment="0" applyProtection="0"/>
    <xf numFmtId="43"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43" fontId="6" fillId="0" borderId="1" applyFont="0" applyFill="0" applyBorder="0" applyAlignment="0" applyProtection="0"/>
    <xf numFmtId="43"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43" fontId="6" fillId="0" borderId="1" applyFont="0" applyFill="0" applyBorder="0" applyAlignment="0" applyProtection="0"/>
    <xf numFmtId="43"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43" fontId="6" fillId="0" borderId="1" applyFont="0" applyFill="0" applyBorder="0" applyAlignment="0" applyProtection="0"/>
    <xf numFmtId="43" fontId="6" fillId="0" borderId="1" applyFont="0" applyFill="0" applyBorder="0" applyAlignment="0" applyProtection="0"/>
    <xf numFmtId="43" fontId="6" fillId="0" borderId="1" applyFont="0" applyFill="0" applyBorder="0" applyAlignment="0" applyProtection="0"/>
    <xf numFmtId="43"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43" fontId="88" fillId="0" borderId="1" applyFont="0" applyFill="0" applyBorder="0" applyAlignment="0" applyProtection="0"/>
    <xf numFmtId="43" fontId="6" fillId="0" borderId="1" applyFont="0" applyFill="0" applyBorder="0" applyAlignment="0" applyProtection="0"/>
    <xf numFmtId="43"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43" fontId="6" fillId="0" borderId="1" applyFont="0" applyFill="0" applyBorder="0" applyAlignment="0" applyProtection="0"/>
    <xf numFmtId="43"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43" fontId="6" fillId="0" borderId="1" applyFont="0" applyFill="0" applyBorder="0" applyAlignment="0" applyProtection="0"/>
    <xf numFmtId="43" fontId="6" fillId="0" borderId="1" applyFont="0" applyFill="0" applyBorder="0" applyAlignment="0" applyProtection="0"/>
    <xf numFmtId="43" fontId="6" fillId="0" borderId="1" applyFont="0" applyFill="0" applyBorder="0" applyAlignment="0" applyProtection="0"/>
    <xf numFmtId="43"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43" fontId="6" fillId="0" borderId="1" applyFont="0" applyFill="0" applyBorder="0" applyAlignment="0" applyProtection="0"/>
    <xf numFmtId="43"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165" fontId="6" fillId="0" borderId="1" applyFont="0" applyFill="0" applyBorder="0" applyAlignment="0" applyProtection="0"/>
    <xf numFmtId="43" fontId="6" fillId="0" borderId="1" applyFont="0" applyFill="0" applyBorder="0" applyAlignment="0" applyProtection="0"/>
    <xf numFmtId="43" fontId="6" fillId="0" borderId="1" applyFont="0" applyFill="0" applyBorder="0" applyAlignment="0" applyProtection="0"/>
    <xf numFmtId="165" fontId="6" fillId="0" borderId="1" applyFont="0" applyFill="0" applyBorder="0" applyAlignment="0" applyProtection="0"/>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18"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18"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0" borderId="1"/>
    <xf numFmtId="0" fontId="6" fillId="13" borderId="83" applyNumberFormat="0" applyFont="0" applyAlignment="0" applyProtection="0"/>
    <xf numFmtId="0" fontId="6" fillId="13" borderId="83" applyNumberFormat="0" applyFont="0" applyAlignment="0" applyProtection="0"/>
    <xf numFmtId="0" fontId="6" fillId="13" borderId="83" applyNumberFormat="0" applyFont="0" applyAlignment="0" applyProtection="0"/>
    <xf numFmtId="0" fontId="6" fillId="13" borderId="83" applyNumberFormat="0" applyFont="0" applyAlignment="0" applyProtection="0"/>
    <xf numFmtId="0" fontId="6" fillId="13" borderId="83" applyNumberFormat="0" applyFont="0" applyAlignment="0" applyProtection="0"/>
    <xf numFmtId="0" fontId="6" fillId="13" borderId="83" applyNumberFormat="0" applyFont="0" applyAlignment="0" applyProtection="0"/>
    <xf numFmtId="0" fontId="6" fillId="13" borderId="83" applyNumberFormat="0" applyFont="0" applyAlignment="0" applyProtection="0"/>
    <xf numFmtId="0" fontId="6" fillId="13" borderId="83" applyNumberFormat="0" applyFont="0" applyAlignment="0" applyProtection="0"/>
    <xf numFmtId="0" fontId="6" fillId="13" borderId="83" applyNumberFormat="0" applyFont="0" applyAlignment="0" applyProtection="0"/>
    <xf numFmtId="0" fontId="6" fillId="13" borderId="83" applyNumberFormat="0" applyFont="0" applyAlignment="0" applyProtection="0"/>
    <xf numFmtId="0" fontId="6" fillId="13" borderId="83" applyNumberFormat="0" applyFont="0" applyAlignment="0" applyProtection="0"/>
    <xf numFmtId="0" fontId="6" fillId="13" borderId="83" applyNumberFormat="0" applyFont="0" applyAlignment="0" applyProtection="0"/>
    <xf numFmtId="0" fontId="6" fillId="13" borderId="83" applyNumberFormat="0" applyFont="0" applyAlignment="0" applyProtection="0"/>
    <xf numFmtId="0" fontId="6" fillId="13" borderId="83" applyNumberFormat="0" applyFont="0" applyAlignment="0" applyProtection="0"/>
    <xf numFmtId="0" fontId="6" fillId="13" borderId="83" applyNumberFormat="0" applyFont="0" applyAlignment="0" applyProtection="0"/>
    <xf numFmtId="0" fontId="6" fillId="13" borderId="83" applyNumberFormat="0" applyFont="0" applyAlignment="0" applyProtection="0"/>
    <xf numFmtId="0" fontId="6" fillId="13" borderId="83" applyNumberFormat="0" applyFont="0" applyAlignment="0" applyProtection="0"/>
    <xf numFmtId="0" fontId="6" fillId="13" borderId="83" applyNumberFormat="0" applyFont="0" applyAlignment="0" applyProtection="0"/>
    <xf numFmtId="0" fontId="6" fillId="13" borderId="83" applyNumberFormat="0" applyFont="0" applyAlignment="0" applyProtection="0"/>
    <xf numFmtId="0" fontId="6" fillId="13" borderId="83" applyNumberFormat="0" applyFont="0" applyAlignment="0" applyProtection="0"/>
    <xf numFmtId="0" fontId="6" fillId="13" borderId="83" applyNumberFormat="0" applyFont="0" applyAlignment="0" applyProtection="0"/>
    <xf numFmtId="0" fontId="6" fillId="13" borderId="83" applyNumberFormat="0" applyFont="0" applyAlignment="0" applyProtection="0"/>
    <xf numFmtId="0" fontId="6" fillId="13" borderId="83" applyNumberFormat="0" applyFont="0" applyAlignment="0" applyProtection="0"/>
    <xf numFmtId="0" fontId="6" fillId="13" borderId="83" applyNumberFormat="0" applyFont="0" applyAlignment="0" applyProtection="0"/>
    <xf numFmtId="0" fontId="6" fillId="13" borderId="83" applyNumberFormat="0" applyFont="0" applyAlignment="0" applyProtection="0"/>
    <xf numFmtId="0" fontId="6" fillId="13" borderId="83" applyNumberFormat="0" applyFont="0" applyAlignment="0" applyProtection="0"/>
    <xf numFmtId="0" fontId="6" fillId="13" borderId="83" applyNumberFormat="0" applyFont="0" applyAlignment="0" applyProtection="0"/>
    <xf numFmtId="0" fontId="6" fillId="13" borderId="83" applyNumberFormat="0" applyFont="0" applyAlignment="0" applyProtection="0"/>
    <xf numFmtId="0" fontId="6" fillId="13" borderId="83" applyNumberFormat="0" applyFont="0" applyAlignment="0" applyProtection="0"/>
    <xf numFmtId="0" fontId="6" fillId="13" borderId="83" applyNumberFormat="0" applyFont="0" applyAlignment="0" applyProtection="0"/>
    <xf numFmtId="0" fontId="6" fillId="13" borderId="83" applyNumberFormat="0" applyFont="0" applyAlignment="0" applyProtection="0"/>
    <xf numFmtId="0" fontId="6" fillId="13" borderId="83" applyNumberFormat="0" applyFont="0" applyAlignment="0" applyProtection="0"/>
    <xf numFmtId="0" fontId="6" fillId="13" borderId="83" applyNumberFormat="0" applyFont="0" applyAlignment="0" applyProtection="0"/>
    <xf numFmtId="0" fontId="6" fillId="13" borderId="83" applyNumberFormat="0" applyFont="0" applyAlignment="0" applyProtection="0"/>
    <xf numFmtId="0" fontId="6" fillId="13" borderId="83" applyNumberFormat="0" applyFont="0" applyAlignment="0" applyProtection="0"/>
    <xf numFmtId="0" fontId="6" fillId="13" borderId="83" applyNumberFormat="0" applyFont="0" applyAlignment="0" applyProtection="0"/>
    <xf numFmtId="0" fontId="6" fillId="13" borderId="83" applyNumberFormat="0" applyFont="0" applyAlignment="0" applyProtection="0"/>
    <xf numFmtId="0" fontId="6" fillId="13" borderId="83" applyNumberFormat="0" applyFont="0" applyAlignment="0" applyProtection="0"/>
    <xf numFmtId="0" fontId="6" fillId="13" borderId="83" applyNumberFormat="0" applyFont="0" applyAlignment="0" applyProtection="0"/>
    <xf numFmtId="0" fontId="6" fillId="13" borderId="83" applyNumberFormat="0" applyFont="0" applyAlignment="0" applyProtection="0"/>
    <xf numFmtId="0" fontId="6" fillId="13" borderId="83" applyNumberFormat="0" applyFont="0" applyAlignment="0" applyProtection="0"/>
    <xf numFmtId="0" fontId="6" fillId="13" borderId="83" applyNumberFormat="0" applyFont="0" applyAlignment="0" applyProtection="0"/>
    <xf numFmtId="0" fontId="6" fillId="13" borderId="83" applyNumberFormat="0" applyFont="0" applyAlignment="0" applyProtection="0"/>
    <xf numFmtId="0" fontId="6" fillId="13" borderId="83" applyNumberFormat="0" applyFont="0" applyAlignment="0" applyProtection="0"/>
    <xf numFmtId="0" fontId="6" fillId="13" borderId="83" applyNumberFormat="0" applyFont="0" applyAlignment="0" applyProtection="0"/>
    <xf numFmtId="0" fontId="6" fillId="13" borderId="83" applyNumberFormat="0" applyFont="0" applyAlignment="0" applyProtection="0"/>
    <xf numFmtId="0" fontId="6" fillId="13" borderId="83" applyNumberFormat="0" applyFont="0" applyAlignment="0" applyProtection="0"/>
    <xf numFmtId="0" fontId="6" fillId="13" borderId="83" applyNumberFormat="0" applyFont="0" applyAlignment="0" applyProtection="0"/>
    <xf numFmtId="0" fontId="6" fillId="13" borderId="83" applyNumberFormat="0" applyFont="0" applyAlignment="0" applyProtection="0"/>
    <xf numFmtId="0" fontId="6" fillId="13" borderId="83" applyNumberFormat="0" applyFont="0" applyAlignment="0" applyProtection="0"/>
    <xf numFmtId="0" fontId="6" fillId="13" borderId="83" applyNumberFormat="0" applyFont="0" applyAlignment="0" applyProtection="0"/>
    <xf numFmtId="0" fontId="6" fillId="13" borderId="83" applyNumberFormat="0" applyFont="0" applyAlignment="0" applyProtection="0"/>
    <xf numFmtId="0" fontId="6" fillId="13" borderId="83" applyNumberFormat="0" applyFont="0" applyAlignment="0" applyProtection="0"/>
    <xf numFmtId="0" fontId="6" fillId="13" borderId="83" applyNumberFormat="0" applyFont="0" applyAlignment="0" applyProtection="0"/>
    <xf numFmtId="0" fontId="6" fillId="13" borderId="83" applyNumberFormat="0" applyFont="0" applyAlignment="0" applyProtection="0"/>
    <xf numFmtId="0" fontId="6" fillId="13" borderId="83" applyNumberFormat="0" applyFont="0" applyAlignment="0" applyProtection="0"/>
    <xf numFmtId="0" fontId="6" fillId="13" borderId="83" applyNumberFormat="0" applyFont="0" applyAlignment="0" applyProtection="0"/>
    <xf numFmtId="0" fontId="6" fillId="13" borderId="83" applyNumberFormat="0" applyFont="0" applyAlignment="0" applyProtection="0"/>
    <xf numFmtId="0" fontId="6" fillId="13" borderId="83" applyNumberFormat="0" applyFont="0" applyAlignment="0" applyProtection="0"/>
    <xf numFmtId="9" fontId="6" fillId="0" borderId="1" applyFont="0" applyFill="0" applyBorder="0" applyAlignment="0" applyProtection="0"/>
    <xf numFmtId="9" fontId="6" fillId="0" borderId="1" applyFont="0" applyFill="0" applyBorder="0" applyAlignment="0" applyProtection="0"/>
    <xf numFmtId="9" fontId="6" fillId="0" borderId="1" applyFont="0" applyFill="0" applyBorder="0" applyAlignment="0" applyProtection="0"/>
    <xf numFmtId="9" fontId="6" fillId="0" borderId="1" applyFont="0" applyFill="0" applyBorder="0" applyAlignment="0" applyProtection="0"/>
    <xf numFmtId="9" fontId="6" fillId="0" borderId="1" applyFont="0" applyFill="0" applyBorder="0" applyAlignment="0" applyProtection="0"/>
    <xf numFmtId="9" fontId="6" fillId="0" borderId="1" applyFont="0" applyFill="0" applyBorder="0" applyAlignment="0" applyProtection="0"/>
    <xf numFmtId="9" fontId="6" fillId="0" borderId="1" applyFont="0" applyFill="0" applyBorder="0" applyAlignment="0" applyProtection="0"/>
    <xf numFmtId="9" fontId="6" fillId="0" borderId="1" applyFont="0" applyFill="0" applyBorder="0" applyAlignment="0" applyProtection="0"/>
    <xf numFmtId="9" fontId="6" fillId="0" borderId="1" applyFont="0" applyFill="0" applyBorder="0" applyAlignment="0" applyProtection="0"/>
    <xf numFmtId="9" fontId="6" fillId="0" borderId="1" applyFont="0" applyFill="0" applyBorder="0" applyAlignment="0" applyProtection="0"/>
    <xf numFmtId="9" fontId="6" fillId="0" borderId="1" applyFont="0" applyFill="0" applyBorder="0" applyAlignment="0" applyProtection="0"/>
    <xf numFmtId="9" fontId="6" fillId="0" borderId="1" applyFont="0" applyFill="0" applyBorder="0" applyAlignment="0" applyProtection="0"/>
    <xf numFmtId="9" fontId="6" fillId="0" borderId="1" applyFont="0" applyFill="0" applyBorder="0" applyAlignment="0" applyProtection="0"/>
    <xf numFmtId="9" fontId="6" fillId="0" borderId="1" applyFont="0" applyFill="0" applyBorder="0" applyAlignment="0" applyProtection="0"/>
    <xf numFmtId="9" fontId="6" fillId="0" borderId="1" applyFont="0" applyFill="0" applyBorder="0" applyAlignment="0" applyProtection="0"/>
    <xf numFmtId="9" fontId="6" fillId="0" borderId="1" applyFont="0" applyFill="0" applyBorder="0" applyAlignment="0" applyProtection="0"/>
    <xf numFmtId="9" fontId="6" fillId="0" borderId="1" applyFont="0" applyFill="0" applyBorder="0" applyAlignment="0" applyProtection="0"/>
    <xf numFmtId="9" fontId="6" fillId="0" borderId="1" applyFont="0" applyFill="0" applyBorder="0" applyAlignment="0" applyProtection="0"/>
    <xf numFmtId="9" fontId="6" fillId="0" borderId="1" applyFont="0" applyFill="0" applyBorder="0" applyAlignment="0" applyProtection="0"/>
    <xf numFmtId="9" fontId="6" fillId="0" borderId="1" applyFont="0" applyFill="0" applyBorder="0" applyAlignment="0" applyProtection="0"/>
    <xf numFmtId="9" fontId="6" fillId="0" borderId="1" applyFont="0" applyFill="0" applyBorder="0" applyAlignment="0" applyProtection="0"/>
    <xf numFmtId="9" fontId="6" fillId="0" borderId="1" applyFont="0" applyFill="0" applyBorder="0" applyAlignment="0" applyProtection="0"/>
    <xf numFmtId="9" fontId="6" fillId="0" borderId="1" applyFont="0" applyFill="0" applyBorder="0" applyAlignment="0" applyProtection="0"/>
    <xf numFmtId="9" fontId="6" fillId="0" borderId="1" applyFont="0" applyFill="0" applyBorder="0" applyAlignment="0" applyProtection="0"/>
    <xf numFmtId="9" fontId="6" fillId="0" borderId="1" applyFont="0" applyFill="0" applyBorder="0" applyAlignment="0" applyProtection="0"/>
    <xf numFmtId="9" fontId="6" fillId="0" borderId="1" applyFont="0" applyFill="0" applyBorder="0" applyAlignment="0" applyProtection="0"/>
    <xf numFmtId="9" fontId="6" fillId="0" borderId="1" applyFont="0" applyFill="0" applyBorder="0" applyAlignment="0" applyProtection="0"/>
    <xf numFmtId="9" fontId="6" fillId="0" borderId="1" applyFont="0" applyFill="0" applyBorder="0" applyAlignment="0" applyProtection="0"/>
    <xf numFmtId="9" fontId="6" fillId="0" borderId="1" applyFont="0" applyFill="0" applyBorder="0" applyAlignment="0" applyProtection="0"/>
    <xf numFmtId="9" fontId="6" fillId="0" borderId="1" applyFont="0" applyFill="0" applyBorder="0" applyAlignment="0" applyProtection="0"/>
    <xf numFmtId="9" fontId="6" fillId="0" borderId="1" applyFont="0" applyFill="0" applyBorder="0" applyAlignment="0" applyProtection="0"/>
    <xf numFmtId="9" fontId="6" fillId="0" borderId="1" applyFont="0" applyFill="0" applyBorder="0" applyAlignment="0" applyProtection="0"/>
    <xf numFmtId="9" fontId="6" fillId="0" borderId="1" applyFont="0" applyFill="0" applyBorder="0" applyAlignment="0" applyProtection="0"/>
    <xf numFmtId="9" fontId="6" fillId="0" borderId="1" applyFont="0" applyFill="0" applyBorder="0" applyAlignment="0" applyProtection="0"/>
    <xf numFmtId="9" fontId="6" fillId="0" borderId="1" applyFont="0" applyFill="0" applyBorder="0" applyAlignment="0" applyProtection="0"/>
    <xf numFmtId="9" fontId="6" fillId="0" borderId="1" applyFont="0" applyFill="0" applyBorder="0" applyAlignment="0" applyProtection="0"/>
    <xf numFmtId="9" fontId="6" fillId="0" borderId="1" applyFont="0" applyFill="0" applyBorder="0" applyAlignment="0" applyProtection="0"/>
    <xf numFmtId="9" fontId="6" fillId="0" borderId="1" applyFont="0" applyFill="0" applyBorder="0" applyAlignment="0" applyProtection="0"/>
    <xf numFmtId="9" fontId="6" fillId="0" borderId="1" applyFont="0" applyFill="0" applyBorder="0" applyAlignment="0" applyProtection="0"/>
    <xf numFmtId="9" fontId="6" fillId="0" borderId="1" applyFont="0" applyFill="0" applyBorder="0" applyAlignment="0" applyProtection="0"/>
    <xf numFmtId="9" fontId="6" fillId="0" borderId="1" applyFont="0" applyFill="0" applyBorder="0" applyAlignment="0" applyProtection="0"/>
    <xf numFmtId="9" fontId="6" fillId="0" borderId="1" applyFont="0" applyFill="0" applyBorder="0" applyAlignment="0" applyProtection="0"/>
    <xf numFmtId="9" fontId="6" fillId="0" borderId="1" applyFont="0" applyFill="0" applyBorder="0" applyAlignment="0" applyProtection="0"/>
    <xf numFmtId="9" fontId="6" fillId="0" borderId="1" applyFont="0" applyFill="0" applyBorder="0" applyAlignment="0" applyProtection="0"/>
    <xf numFmtId="9" fontId="6" fillId="0" borderId="1" applyFont="0" applyFill="0" applyBorder="0" applyAlignment="0" applyProtection="0"/>
    <xf numFmtId="9" fontId="6" fillId="0" borderId="1" applyFont="0" applyFill="0" applyBorder="0" applyAlignment="0" applyProtection="0"/>
    <xf numFmtId="9" fontId="6" fillId="0" borderId="1" applyFont="0" applyFill="0" applyBorder="0" applyAlignment="0" applyProtection="0"/>
    <xf numFmtId="9" fontId="6" fillId="0" borderId="1" applyFont="0" applyFill="0" applyBorder="0" applyAlignment="0" applyProtection="0"/>
    <xf numFmtId="9" fontId="6" fillId="0" borderId="1" applyFont="0" applyFill="0" applyBorder="0" applyAlignment="0" applyProtection="0"/>
    <xf numFmtId="9" fontId="6" fillId="0" borderId="1" applyFont="0" applyFill="0" applyBorder="0" applyAlignment="0" applyProtection="0"/>
    <xf numFmtId="9" fontId="6" fillId="0" borderId="1" applyFont="0" applyFill="0" applyBorder="0" applyAlignment="0" applyProtection="0"/>
    <xf numFmtId="9" fontId="6" fillId="0" borderId="1" applyFont="0" applyFill="0" applyBorder="0" applyAlignment="0" applyProtection="0"/>
    <xf numFmtId="9" fontId="6" fillId="0" borderId="1" applyFont="0" applyFill="0" applyBorder="0" applyAlignment="0" applyProtection="0"/>
    <xf numFmtId="9" fontId="6" fillId="0" borderId="1" applyFont="0" applyFill="0" applyBorder="0" applyAlignment="0" applyProtection="0"/>
    <xf numFmtId="9" fontId="6" fillId="0" borderId="1" applyFont="0" applyFill="0" applyBorder="0" applyAlignment="0" applyProtection="0"/>
    <xf numFmtId="9" fontId="6" fillId="0" borderId="1" applyFont="0" applyFill="0" applyBorder="0" applyAlignment="0" applyProtection="0"/>
    <xf numFmtId="0" fontId="18" fillId="0" borderId="1"/>
    <xf numFmtId="0" fontId="18" fillId="0" borderId="1"/>
    <xf numFmtId="0" fontId="18" fillId="0" borderId="1"/>
    <xf numFmtId="43" fontId="18" fillId="0" borderId="1" applyFont="0" applyFill="0" applyBorder="0" applyAlignment="0" applyProtection="0"/>
    <xf numFmtId="0" fontId="18" fillId="0" borderId="1"/>
    <xf numFmtId="0" fontId="18" fillId="0" borderId="1"/>
    <xf numFmtId="0" fontId="18" fillId="0" borderId="1"/>
    <xf numFmtId="0" fontId="18" fillId="0" borderId="1"/>
    <xf numFmtId="0" fontId="18" fillId="0" borderId="1"/>
    <xf numFmtId="0" fontId="5" fillId="0" borderId="1"/>
    <xf numFmtId="43" fontId="5" fillId="0" borderId="1" applyFont="0" applyFill="0" applyBorder="0" applyAlignment="0" applyProtection="0"/>
    <xf numFmtId="0" fontId="18" fillId="0" borderId="1"/>
    <xf numFmtId="0" fontId="4" fillId="0" borderId="1"/>
    <xf numFmtId="165" fontId="4" fillId="0" borderId="1" applyFont="0" applyFill="0" applyBorder="0" applyAlignment="0" applyProtection="0"/>
    <xf numFmtId="0" fontId="4" fillId="15" borderId="1" applyNumberFormat="0" applyBorder="0" applyAlignment="0" applyProtection="0"/>
    <xf numFmtId="0" fontId="4" fillId="15" borderId="1" applyNumberFormat="0" applyBorder="0" applyAlignment="0" applyProtection="0"/>
    <xf numFmtId="0" fontId="4" fillId="15" borderId="1" applyNumberFormat="0" applyBorder="0" applyAlignment="0" applyProtection="0"/>
    <xf numFmtId="0" fontId="4" fillId="15" borderId="1" applyNumberFormat="0" applyBorder="0" applyAlignment="0" applyProtection="0"/>
    <xf numFmtId="0" fontId="4" fillId="15" borderId="1" applyNumberFormat="0" applyBorder="0" applyAlignment="0" applyProtection="0"/>
    <xf numFmtId="0" fontId="4" fillId="15" borderId="1" applyNumberFormat="0" applyBorder="0" applyAlignment="0" applyProtection="0"/>
    <xf numFmtId="0" fontId="4" fillId="15" borderId="1" applyNumberFormat="0" applyBorder="0" applyAlignment="0" applyProtection="0"/>
    <xf numFmtId="0" fontId="4" fillId="15" borderId="1" applyNumberFormat="0" applyBorder="0" applyAlignment="0" applyProtection="0"/>
    <xf numFmtId="0" fontId="4" fillId="15" borderId="1" applyNumberFormat="0" applyBorder="0" applyAlignment="0" applyProtection="0"/>
    <xf numFmtId="0" fontId="4" fillId="15" borderId="1" applyNumberFormat="0" applyBorder="0" applyAlignment="0" applyProtection="0"/>
    <xf numFmtId="0" fontId="4" fillId="15" borderId="1" applyNumberFormat="0" applyBorder="0" applyAlignment="0" applyProtection="0"/>
    <xf numFmtId="0" fontId="4" fillId="15" borderId="1" applyNumberFormat="0" applyBorder="0" applyAlignment="0" applyProtection="0"/>
    <xf numFmtId="0" fontId="4" fillId="15" borderId="1" applyNumberFormat="0" applyBorder="0" applyAlignment="0" applyProtection="0"/>
    <xf numFmtId="0" fontId="4" fillId="15" borderId="1" applyNumberFormat="0" applyBorder="0" applyAlignment="0" applyProtection="0"/>
    <xf numFmtId="0" fontId="4" fillId="15" borderId="1" applyNumberFormat="0" applyBorder="0" applyAlignment="0" applyProtection="0"/>
    <xf numFmtId="0" fontId="4" fillId="15" borderId="1" applyNumberFormat="0" applyBorder="0" applyAlignment="0" applyProtection="0"/>
    <xf numFmtId="0" fontId="4" fillId="15" borderId="1" applyNumberFormat="0" applyBorder="0" applyAlignment="0" applyProtection="0"/>
    <xf numFmtId="0" fontId="4" fillId="15" borderId="1" applyNumberFormat="0" applyBorder="0" applyAlignment="0" applyProtection="0"/>
    <xf numFmtId="0" fontId="4" fillId="15" borderId="1" applyNumberFormat="0" applyBorder="0" applyAlignment="0" applyProtection="0"/>
    <xf numFmtId="0" fontId="4" fillId="15" borderId="1" applyNumberFormat="0" applyBorder="0" applyAlignment="0" applyProtection="0"/>
    <xf numFmtId="0" fontId="4" fillId="15" borderId="1" applyNumberFormat="0" applyBorder="0" applyAlignment="0" applyProtection="0"/>
    <xf numFmtId="0" fontId="4" fillId="15" borderId="1" applyNumberFormat="0" applyBorder="0" applyAlignment="0" applyProtection="0"/>
    <xf numFmtId="0" fontId="4" fillId="15" borderId="1" applyNumberFormat="0" applyBorder="0" applyAlignment="0" applyProtection="0"/>
    <xf numFmtId="0" fontId="4" fillId="15" borderId="1" applyNumberFormat="0" applyBorder="0" applyAlignment="0" applyProtection="0"/>
    <xf numFmtId="0" fontId="4" fillId="15" borderId="1" applyNumberFormat="0" applyBorder="0" applyAlignment="0" applyProtection="0"/>
    <xf numFmtId="0" fontId="4" fillId="15" borderId="1" applyNumberFormat="0" applyBorder="0" applyAlignment="0" applyProtection="0"/>
    <xf numFmtId="0" fontId="4" fillId="15" borderId="1" applyNumberFormat="0" applyBorder="0" applyAlignment="0" applyProtection="0"/>
    <xf numFmtId="0" fontId="4" fillId="15" borderId="1" applyNumberFormat="0" applyBorder="0" applyAlignment="0" applyProtection="0"/>
    <xf numFmtId="0" fontId="4" fillId="15" borderId="1" applyNumberFormat="0" applyBorder="0" applyAlignment="0" applyProtection="0"/>
    <xf numFmtId="0" fontId="4" fillId="15" borderId="1" applyNumberFormat="0" applyBorder="0" applyAlignment="0" applyProtection="0"/>
    <xf numFmtId="0" fontId="4" fillId="15" borderId="1" applyNumberFormat="0" applyBorder="0" applyAlignment="0" applyProtection="0"/>
    <xf numFmtId="0" fontId="4" fillId="19" borderId="1" applyNumberFormat="0" applyBorder="0" applyAlignment="0" applyProtection="0"/>
    <xf numFmtId="0" fontId="4" fillId="19" borderId="1" applyNumberFormat="0" applyBorder="0" applyAlignment="0" applyProtection="0"/>
    <xf numFmtId="0" fontId="4" fillId="19" borderId="1" applyNumberFormat="0" applyBorder="0" applyAlignment="0" applyProtection="0"/>
    <xf numFmtId="0" fontId="4" fillId="19" borderId="1" applyNumberFormat="0" applyBorder="0" applyAlignment="0" applyProtection="0"/>
    <xf numFmtId="0" fontId="4" fillId="19" borderId="1" applyNumberFormat="0" applyBorder="0" applyAlignment="0" applyProtection="0"/>
    <xf numFmtId="0" fontId="4" fillId="19" borderId="1" applyNumberFormat="0" applyBorder="0" applyAlignment="0" applyProtection="0"/>
    <xf numFmtId="0" fontId="4" fillId="19" borderId="1" applyNumberFormat="0" applyBorder="0" applyAlignment="0" applyProtection="0"/>
    <xf numFmtId="0" fontId="4" fillId="19" borderId="1" applyNumberFormat="0" applyBorder="0" applyAlignment="0" applyProtection="0"/>
    <xf numFmtId="0" fontId="4" fillId="19" borderId="1" applyNumberFormat="0" applyBorder="0" applyAlignment="0" applyProtection="0"/>
    <xf numFmtId="0" fontId="4" fillId="19" borderId="1" applyNumberFormat="0" applyBorder="0" applyAlignment="0" applyProtection="0"/>
    <xf numFmtId="0" fontId="4" fillId="19" borderId="1" applyNumberFormat="0" applyBorder="0" applyAlignment="0" applyProtection="0"/>
    <xf numFmtId="0" fontId="4" fillId="19" borderId="1" applyNumberFormat="0" applyBorder="0" applyAlignment="0" applyProtection="0"/>
    <xf numFmtId="0" fontId="4" fillId="19" borderId="1" applyNumberFormat="0" applyBorder="0" applyAlignment="0" applyProtection="0"/>
    <xf numFmtId="0" fontId="4" fillId="19" borderId="1" applyNumberFormat="0" applyBorder="0" applyAlignment="0" applyProtection="0"/>
    <xf numFmtId="0" fontId="4" fillId="19" borderId="1" applyNumberFormat="0" applyBorder="0" applyAlignment="0" applyProtection="0"/>
    <xf numFmtId="0" fontId="4" fillId="19" borderId="1" applyNumberFormat="0" applyBorder="0" applyAlignment="0" applyProtection="0"/>
    <xf numFmtId="0" fontId="4" fillId="19" borderId="1" applyNumberFormat="0" applyBorder="0" applyAlignment="0" applyProtection="0"/>
    <xf numFmtId="0" fontId="4" fillId="19" borderId="1" applyNumberFormat="0" applyBorder="0" applyAlignment="0" applyProtection="0"/>
    <xf numFmtId="0" fontId="4" fillId="19" borderId="1" applyNumberFormat="0" applyBorder="0" applyAlignment="0" applyProtection="0"/>
    <xf numFmtId="0" fontId="4" fillId="19" borderId="1" applyNumberFormat="0" applyBorder="0" applyAlignment="0" applyProtection="0"/>
    <xf numFmtId="0" fontId="4" fillId="19" borderId="1" applyNumberFormat="0" applyBorder="0" applyAlignment="0" applyProtection="0"/>
    <xf numFmtId="0" fontId="4" fillId="19" borderId="1" applyNumberFormat="0" applyBorder="0" applyAlignment="0" applyProtection="0"/>
    <xf numFmtId="0" fontId="4" fillId="19" borderId="1" applyNumberFormat="0" applyBorder="0" applyAlignment="0" applyProtection="0"/>
    <xf numFmtId="0" fontId="4" fillId="19" borderId="1" applyNumberFormat="0" applyBorder="0" applyAlignment="0" applyProtection="0"/>
    <xf numFmtId="0" fontId="4" fillId="19" borderId="1" applyNumberFormat="0" applyBorder="0" applyAlignment="0" applyProtection="0"/>
    <xf numFmtId="0" fontId="4" fillId="19" borderId="1" applyNumberFormat="0" applyBorder="0" applyAlignment="0" applyProtection="0"/>
    <xf numFmtId="0" fontId="4" fillId="19" borderId="1" applyNumberFormat="0" applyBorder="0" applyAlignment="0" applyProtection="0"/>
    <xf numFmtId="0" fontId="4" fillId="19" borderId="1" applyNumberFormat="0" applyBorder="0" applyAlignment="0" applyProtection="0"/>
    <xf numFmtId="0" fontId="4" fillId="19" borderId="1" applyNumberFormat="0" applyBorder="0" applyAlignment="0" applyProtection="0"/>
    <xf numFmtId="0" fontId="4" fillId="19" borderId="1" applyNumberFormat="0" applyBorder="0" applyAlignment="0" applyProtection="0"/>
    <xf numFmtId="0" fontId="4" fillId="19" borderId="1" applyNumberFormat="0" applyBorder="0" applyAlignment="0" applyProtection="0"/>
    <xf numFmtId="0" fontId="4" fillId="23" borderId="1" applyNumberFormat="0" applyBorder="0" applyAlignment="0" applyProtection="0"/>
    <xf numFmtId="0" fontId="4" fillId="23" borderId="1" applyNumberFormat="0" applyBorder="0" applyAlignment="0" applyProtection="0"/>
    <xf numFmtId="0" fontId="4" fillId="23" borderId="1" applyNumberFormat="0" applyBorder="0" applyAlignment="0" applyProtection="0"/>
    <xf numFmtId="0" fontId="4" fillId="23" borderId="1" applyNumberFormat="0" applyBorder="0" applyAlignment="0" applyProtection="0"/>
    <xf numFmtId="0" fontId="4" fillId="23" borderId="1" applyNumberFormat="0" applyBorder="0" applyAlignment="0" applyProtection="0"/>
    <xf numFmtId="0" fontId="4" fillId="23" borderId="1" applyNumberFormat="0" applyBorder="0" applyAlignment="0" applyProtection="0"/>
    <xf numFmtId="0" fontId="4" fillId="23" borderId="1" applyNumberFormat="0" applyBorder="0" applyAlignment="0" applyProtection="0"/>
    <xf numFmtId="0" fontId="4" fillId="23" borderId="1" applyNumberFormat="0" applyBorder="0" applyAlignment="0" applyProtection="0"/>
    <xf numFmtId="0" fontId="4" fillId="23" borderId="1" applyNumberFormat="0" applyBorder="0" applyAlignment="0" applyProtection="0"/>
    <xf numFmtId="0" fontId="4" fillId="23" borderId="1" applyNumberFormat="0" applyBorder="0" applyAlignment="0" applyProtection="0"/>
    <xf numFmtId="0" fontId="4" fillId="23" borderId="1" applyNumberFormat="0" applyBorder="0" applyAlignment="0" applyProtection="0"/>
    <xf numFmtId="0" fontId="4" fillId="23" borderId="1" applyNumberFormat="0" applyBorder="0" applyAlignment="0" applyProtection="0"/>
    <xf numFmtId="0" fontId="4" fillId="23" borderId="1" applyNumberFormat="0" applyBorder="0" applyAlignment="0" applyProtection="0"/>
    <xf numFmtId="0" fontId="4" fillId="23" borderId="1" applyNumberFormat="0" applyBorder="0" applyAlignment="0" applyProtection="0"/>
    <xf numFmtId="0" fontId="4" fillId="23" borderId="1" applyNumberFormat="0" applyBorder="0" applyAlignment="0" applyProtection="0"/>
    <xf numFmtId="0" fontId="4" fillId="23" borderId="1" applyNumberFormat="0" applyBorder="0" applyAlignment="0" applyProtection="0"/>
    <xf numFmtId="0" fontId="4" fillId="23" borderId="1" applyNumberFormat="0" applyBorder="0" applyAlignment="0" applyProtection="0"/>
    <xf numFmtId="0" fontId="4" fillId="23" borderId="1" applyNumberFormat="0" applyBorder="0" applyAlignment="0" applyProtection="0"/>
    <xf numFmtId="0" fontId="4" fillId="23" borderId="1" applyNumberFormat="0" applyBorder="0" applyAlignment="0" applyProtection="0"/>
    <xf numFmtId="0" fontId="4" fillId="23" borderId="1" applyNumberFormat="0" applyBorder="0" applyAlignment="0" applyProtection="0"/>
    <xf numFmtId="0" fontId="4" fillId="23" borderId="1" applyNumberFormat="0" applyBorder="0" applyAlignment="0" applyProtection="0"/>
    <xf numFmtId="0" fontId="4" fillId="23" borderId="1" applyNumberFormat="0" applyBorder="0" applyAlignment="0" applyProtection="0"/>
    <xf numFmtId="0" fontId="4" fillId="23" borderId="1" applyNumberFormat="0" applyBorder="0" applyAlignment="0" applyProtection="0"/>
    <xf numFmtId="0" fontId="4" fillId="23" borderId="1" applyNumberFormat="0" applyBorder="0" applyAlignment="0" applyProtection="0"/>
    <xf numFmtId="0" fontId="4" fillId="23" borderId="1" applyNumberFormat="0" applyBorder="0" applyAlignment="0" applyProtection="0"/>
    <xf numFmtId="0" fontId="4" fillId="23" borderId="1" applyNumberFormat="0" applyBorder="0" applyAlignment="0" applyProtection="0"/>
    <xf numFmtId="0" fontId="4" fillId="23" borderId="1" applyNumberFormat="0" applyBorder="0" applyAlignment="0" applyProtection="0"/>
    <xf numFmtId="0" fontId="4" fillId="23" borderId="1" applyNumberFormat="0" applyBorder="0" applyAlignment="0" applyProtection="0"/>
    <xf numFmtId="0" fontId="4" fillId="23" borderId="1" applyNumberFormat="0" applyBorder="0" applyAlignment="0" applyProtection="0"/>
    <xf numFmtId="0" fontId="4" fillId="23" borderId="1" applyNumberFormat="0" applyBorder="0" applyAlignment="0" applyProtection="0"/>
    <xf numFmtId="0" fontId="4" fillId="23" borderId="1" applyNumberFormat="0" applyBorder="0" applyAlignment="0" applyProtection="0"/>
    <xf numFmtId="0" fontId="4" fillId="27" borderId="1" applyNumberFormat="0" applyBorder="0" applyAlignment="0" applyProtection="0"/>
    <xf numFmtId="0" fontId="4" fillId="27" borderId="1" applyNumberFormat="0" applyBorder="0" applyAlignment="0" applyProtection="0"/>
    <xf numFmtId="0" fontId="4" fillId="27" borderId="1" applyNumberFormat="0" applyBorder="0" applyAlignment="0" applyProtection="0"/>
    <xf numFmtId="0" fontId="4" fillId="27" borderId="1" applyNumberFormat="0" applyBorder="0" applyAlignment="0" applyProtection="0"/>
    <xf numFmtId="0" fontId="4" fillId="27" borderId="1" applyNumberFormat="0" applyBorder="0" applyAlignment="0" applyProtection="0"/>
    <xf numFmtId="0" fontId="4" fillId="27" borderId="1" applyNumberFormat="0" applyBorder="0" applyAlignment="0" applyProtection="0"/>
    <xf numFmtId="0" fontId="4" fillId="27" borderId="1" applyNumberFormat="0" applyBorder="0" applyAlignment="0" applyProtection="0"/>
    <xf numFmtId="0" fontId="4" fillId="27" borderId="1" applyNumberFormat="0" applyBorder="0" applyAlignment="0" applyProtection="0"/>
    <xf numFmtId="0" fontId="4" fillId="27" borderId="1" applyNumberFormat="0" applyBorder="0" applyAlignment="0" applyProtection="0"/>
    <xf numFmtId="0" fontId="4" fillId="27" borderId="1" applyNumberFormat="0" applyBorder="0" applyAlignment="0" applyProtection="0"/>
    <xf numFmtId="0" fontId="4" fillId="27" borderId="1" applyNumberFormat="0" applyBorder="0" applyAlignment="0" applyProtection="0"/>
    <xf numFmtId="0" fontId="4" fillId="27" borderId="1" applyNumberFormat="0" applyBorder="0" applyAlignment="0" applyProtection="0"/>
    <xf numFmtId="0" fontId="4" fillId="27" borderId="1" applyNumberFormat="0" applyBorder="0" applyAlignment="0" applyProtection="0"/>
    <xf numFmtId="0" fontId="4" fillId="27" borderId="1" applyNumberFormat="0" applyBorder="0" applyAlignment="0" applyProtection="0"/>
    <xf numFmtId="0" fontId="4" fillId="27" borderId="1" applyNumberFormat="0" applyBorder="0" applyAlignment="0" applyProtection="0"/>
    <xf numFmtId="0" fontId="4" fillId="27" borderId="1" applyNumberFormat="0" applyBorder="0" applyAlignment="0" applyProtection="0"/>
    <xf numFmtId="0" fontId="4" fillId="27" borderId="1" applyNumberFormat="0" applyBorder="0" applyAlignment="0" applyProtection="0"/>
    <xf numFmtId="0" fontId="4" fillId="27" borderId="1" applyNumberFormat="0" applyBorder="0" applyAlignment="0" applyProtection="0"/>
    <xf numFmtId="0" fontId="4" fillId="27" borderId="1" applyNumberFormat="0" applyBorder="0" applyAlignment="0" applyProtection="0"/>
    <xf numFmtId="0" fontId="4" fillId="27" borderId="1" applyNumberFormat="0" applyBorder="0" applyAlignment="0" applyProtection="0"/>
    <xf numFmtId="0" fontId="4" fillId="27" borderId="1" applyNumberFormat="0" applyBorder="0" applyAlignment="0" applyProtection="0"/>
    <xf numFmtId="0" fontId="4" fillId="27" borderId="1" applyNumberFormat="0" applyBorder="0" applyAlignment="0" applyProtection="0"/>
    <xf numFmtId="0" fontId="4" fillId="27" borderId="1" applyNumberFormat="0" applyBorder="0" applyAlignment="0" applyProtection="0"/>
    <xf numFmtId="0" fontId="4" fillId="27" borderId="1" applyNumberFormat="0" applyBorder="0" applyAlignment="0" applyProtection="0"/>
    <xf numFmtId="0" fontId="4" fillId="27" borderId="1" applyNumberFormat="0" applyBorder="0" applyAlignment="0" applyProtection="0"/>
    <xf numFmtId="0" fontId="4" fillId="27" borderId="1" applyNumberFormat="0" applyBorder="0" applyAlignment="0" applyProtection="0"/>
    <xf numFmtId="0" fontId="4" fillId="27" borderId="1" applyNumberFormat="0" applyBorder="0" applyAlignment="0" applyProtection="0"/>
    <xf numFmtId="0" fontId="4" fillId="27" borderId="1" applyNumberFormat="0" applyBorder="0" applyAlignment="0" applyProtection="0"/>
    <xf numFmtId="0" fontId="4" fillId="27" borderId="1" applyNumberFormat="0" applyBorder="0" applyAlignment="0" applyProtection="0"/>
    <xf numFmtId="0" fontId="4" fillId="27" borderId="1" applyNumberFormat="0" applyBorder="0" applyAlignment="0" applyProtection="0"/>
    <xf numFmtId="0" fontId="4" fillId="27" borderId="1" applyNumberFormat="0" applyBorder="0" applyAlignment="0" applyProtection="0"/>
    <xf numFmtId="0" fontId="4" fillId="31" borderId="1" applyNumberFormat="0" applyBorder="0" applyAlignment="0" applyProtection="0"/>
    <xf numFmtId="0" fontId="4" fillId="31" borderId="1" applyNumberFormat="0" applyBorder="0" applyAlignment="0" applyProtection="0"/>
    <xf numFmtId="0" fontId="4" fillId="31" borderId="1" applyNumberFormat="0" applyBorder="0" applyAlignment="0" applyProtection="0"/>
    <xf numFmtId="0" fontId="4" fillId="31" borderId="1" applyNumberFormat="0" applyBorder="0" applyAlignment="0" applyProtection="0"/>
    <xf numFmtId="0" fontId="4" fillId="31" borderId="1" applyNumberFormat="0" applyBorder="0" applyAlignment="0" applyProtection="0"/>
    <xf numFmtId="0" fontId="4" fillId="31" borderId="1" applyNumberFormat="0" applyBorder="0" applyAlignment="0" applyProtection="0"/>
    <xf numFmtId="0" fontId="4" fillId="31" borderId="1" applyNumberFormat="0" applyBorder="0" applyAlignment="0" applyProtection="0"/>
    <xf numFmtId="0" fontId="4" fillId="31" borderId="1" applyNumberFormat="0" applyBorder="0" applyAlignment="0" applyProtection="0"/>
    <xf numFmtId="0" fontId="4" fillId="31" borderId="1" applyNumberFormat="0" applyBorder="0" applyAlignment="0" applyProtection="0"/>
    <xf numFmtId="0" fontId="4" fillId="31" borderId="1" applyNumberFormat="0" applyBorder="0" applyAlignment="0" applyProtection="0"/>
    <xf numFmtId="0" fontId="4" fillId="31" borderId="1" applyNumberFormat="0" applyBorder="0" applyAlignment="0" applyProtection="0"/>
    <xf numFmtId="0" fontId="4" fillId="31" borderId="1" applyNumberFormat="0" applyBorder="0" applyAlignment="0" applyProtection="0"/>
    <xf numFmtId="0" fontId="4" fillId="31" borderId="1" applyNumberFormat="0" applyBorder="0" applyAlignment="0" applyProtection="0"/>
    <xf numFmtId="0" fontId="4" fillId="31" borderId="1" applyNumberFormat="0" applyBorder="0" applyAlignment="0" applyProtection="0"/>
    <xf numFmtId="0" fontId="4" fillId="31" borderId="1" applyNumberFormat="0" applyBorder="0" applyAlignment="0" applyProtection="0"/>
    <xf numFmtId="0" fontId="4" fillId="31" borderId="1" applyNumberFormat="0" applyBorder="0" applyAlignment="0" applyProtection="0"/>
    <xf numFmtId="0" fontId="4" fillId="31" borderId="1" applyNumberFormat="0" applyBorder="0" applyAlignment="0" applyProtection="0"/>
    <xf numFmtId="0" fontId="4" fillId="31" borderId="1" applyNumberFormat="0" applyBorder="0" applyAlignment="0" applyProtection="0"/>
    <xf numFmtId="0" fontId="4" fillId="31" borderId="1" applyNumberFormat="0" applyBorder="0" applyAlignment="0" applyProtection="0"/>
    <xf numFmtId="0" fontId="4" fillId="31" borderId="1" applyNumberFormat="0" applyBorder="0" applyAlignment="0" applyProtection="0"/>
    <xf numFmtId="0" fontId="4" fillId="31" borderId="1" applyNumberFormat="0" applyBorder="0" applyAlignment="0" applyProtection="0"/>
    <xf numFmtId="0" fontId="4" fillId="31" borderId="1" applyNumberFormat="0" applyBorder="0" applyAlignment="0" applyProtection="0"/>
    <xf numFmtId="0" fontId="4" fillId="31" borderId="1" applyNumberFormat="0" applyBorder="0" applyAlignment="0" applyProtection="0"/>
    <xf numFmtId="0" fontId="4" fillId="31" borderId="1" applyNumberFormat="0" applyBorder="0" applyAlignment="0" applyProtection="0"/>
    <xf numFmtId="0" fontId="4" fillId="31" borderId="1" applyNumberFormat="0" applyBorder="0" applyAlignment="0" applyProtection="0"/>
    <xf numFmtId="0" fontId="4" fillId="31" borderId="1" applyNumberFormat="0" applyBorder="0" applyAlignment="0" applyProtection="0"/>
    <xf numFmtId="0" fontId="4" fillId="31" borderId="1" applyNumberFormat="0" applyBorder="0" applyAlignment="0" applyProtection="0"/>
    <xf numFmtId="0" fontId="4" fillId="31" borderId="1" applyNumberFormat="0" applyBorder="0" applyAlignment="0" applyProtection="0"/>
    <xf numFmtId="0" fontId="4" fillId="31" borderId="1" applyNumberFormat="0" applyBorder="0" applyAlignment="0" applyProtection="0"/>
    <xf numFmtId="0" fontId="4" fillId="31" borderId="1" applyNumberFormat="0" applyBorder="0" applyAlignment="0" applyProtection="0"/>
    <xf numFmtId="0" fontId="4" fillId="31" borderId="1" applyNumberFormat="0" applyBorder="0" applyAlignment="0" applyProtection="0"/>
    <xf numFmtId="0" fontId="4" fillId="35" borderId="1" applyNumberFormat="0" applyBorder="0" applyAlignment="0" applyProtection="0"/>
    <xf numFmtId="0" fontId="4" fillId="35" borderId="1" applyNumberFormat="0" applyBorder="0" applyAlignment="0" applyProtection="0"/>
    <xf numFmtId="0" fontId="4" fillId="35" borderId="1" applyNumberFormat="0" applyBorder="0" applyAlignment="0" applyProtection="0"/>
    <xf numFmtId="0" fontId="4" fillId="35" borderId="1" applyNumberFormat="0" applyBorder="0" applyAlignment="0" applyProtection="0"/>
    <xf numFmtId="0" fontId="4" fillId="35" borderId="1" applyNumberFormat="0" applyBorder="0" applyAlignment="0" applyProtection="0"/>
    <xf numFmtId="0" fontId="4" fillId="35" borderId="1" applyNumberFormat="0" applyBorder="0" applyAlignment="0" applyProtection="0"/>
    <xf numFmtId="0" fontId="4" fillId="35" borderId="1" applyNumberFormat="0" applyBorder="0" applyAlignment="0" applyProtection="0"/>
    <xf numFmtId="0" fontId="4" fillId="35" borderId="1" applyNumberFormat="0" applyBorder="0" applyAlignment="0" applyProtection="0"/>
    <xf numFmtId="0" fontId="4" fillId="35" borderId="1" applyNumberFormat="0" applyBorder="0" applyAlignment="0" applyProtection="0"/>
    <xf numFmtId="0" fontId="4" fillId="35" borderId="1" applyNumberFormat="0" applyBorder="0" applyAlignment="0" applyProtection="0"/>
    <xf numFmtId="0" fontId="4" fillId="35" borderId="1" applyNumberFormat="0" applyBorder="0" applyAlignment="0" applyProtection="0"/>
    <xf numFmtId="0" fontId="4" fillId="35" borderId="1" applyNumberFormat="0" applyBorder="0" applyAlignment="0" applyProtection="0"/>
    <xf numFmtId="0" fontId="4" fillId="35" borderId="1" applyNumberFormat="0" applyBorder="0" applyAlignment="0" applyProtection="0"/>
    <xf numFmtId="0" fontId="4" fillId="35" borderId="1" applyNumberFormat="0" applyBorder="0" applyAlignment="0" applyProtection="0"/>
    <xf numFmtId="0" fontId="4" fillId="35" borderId="1" applyNumberFormat="0" applyBorder="0" applyAlignment="0" applyProtection="0"/>
    <xf numFmtId="0" fontId="4" fillId="35" borderId="1" applyNumberFormat="0" applyBorder="0" applyAlignment="0" applyProtection="0"/>
    <xf numFmtId="0" fontId="4" fillId="35" borderId="1" applyNumberFormat="0" applyBorder="0" applyAlignment="0" applyProtection="0"/>
    <xf numFmtId="0" fontId="4" fillId="35" borderId="1" applyNumberFormat="0" applyBorder="0" applyAlignment="0" applyProtection="0"/>
    <xf numFmtId="0" fontId="4" fillId="35" borderId="1" applyNumberFormat="0" applyBorder="0" applyAlignment="0" applyProtection="0"/>
    <xf numFmtId="0" fontId="4" fillId="35" borderId="1" applyNumberFormat="0" applyBorder="0" applyAlignment="0" applyProtection="0"/>
    <xf numFmtId="0" fontId="4" fillId="35" borderId="1" applyNumberFormat="0" applyBorder="0" applyAlignment="0" applyProtection="0"/>
    <xf numFmtId="0" fontId="4" fillId="35" borderId="1" applyNumberFormat="0" applyBorder="0" applyAlignment="0" applyProtection="0"/>
    <xf numFmtId="0" fontId="4" fillId="35" borderId="1" applyNumberFormat="0" applyBorder="0" applyAlignment="0" applyProtection="0"/>
    <xf numFmtId="0" fontId="4" fillId="35" borderId="1" applyNumberFormat="0" applyBorder="0" applyAlignment="0" applyProtection="0"/>
    <xf numFmtId="0" fontId="4" fillId="35" borderId="1" applyNumberFormat="0" applyBorder="0" applyAlignment="0" applyProtection="0"/>
    <xf numFmtId="0" fontId="4" fillId="35" borderId="1" applyNumberFormat="0" applyBorder="0" applyAlignment="0" applyProtection="0"/>
    <xf numFmtId="0" fontId="4" fillId="35" borderId="1" applyNumberFormat="0" applyBorder="0" applyAlignment="0" applyProtection="0"/>
    <xf numFmtId="0" fontId="4" fillId="35" borderId="1" applyNumberFormat="0" applyBorder="0" applyAlignment="0" applyProtection="0"/>
    <xf numFmtId="0" fontId="4" fillId="35" borderId="1" applyNumberFormat="0" applyBorder="0" applyAlignment="0" applyProtection="0"/>
    <xf numFmtId="0" fontId="4" fillId="35" borderId="1" applyNumberFormat="0" applyBorder="0" applyAlignment="0" applyProtection="0"/>
    <xf numFmtId="0" fontId="4" fillId="35" borderId="1" applyNumberFormat="0" applyBorder="0" applyAlignment="0" applyProtection="0"/>
    <xf numFmtId="0" fontId="4" fillId="16" borderId="1" applyNumberFormat="0" applyBorder="0" applyAlignment="0" applyProtection="0"/>
    <xf numFmtId="0" fontId="4" fillId="16" borderId="1" applyNumberFormat="0" applyBorder="0" applyAlignment="0" applyProtection="0"/>
    <xf numFmtId="0" fontId="4" fillId="16" borderId="1" applyNumberFormat="0" applyBorder="0" applyAlignment="0" applyProtection="0"/>
    <xf numFmtId="0" fontId="4" fillId="16" borderId="1" applyNumberFormat="0" applyBorder="0" applyAlignment="0" applyProtection="0"/>
    <xf numFmtId="0" fontId="4" fillId="16" borderId="1" applyNumberFormat="0" applyBorder="0" applyAlignment="0" applyProtection="0"/>
    <xf numFmtId="0" fontId="4" fillId="16" borderId="1" applyNumberFormat="0" applyBorder="0" applyAlignment="0" applyProtection="0"/>
    <xf numFmtId="0" fontId="4" fillId="16" borderId="1" applyNumberFormat="0" applyBorder="0" applyAlignment="0" applyProtection="0"/>
    <xf numFmtId="0" fontId="4" fillId="16" borderId="1" applyNumberFormat="0" applyBorder="0" applyAlignment="0" applyProtection="0"/>
    <xf numFmtId="0" fontId="4" fillId="16" borderId="1" applyNumberFormat="0" applyBorder="0" applyAlignment="0" applyProtection="0"/>
    <xf numFmtId="0" fontId="4" fillId="16" borderId="1" applyNumberFormat="0" applyBorder="0" applyAlignment="0" applyProtection="0"/>
    <xf numFmtId="0" fontId="4" fillId="16" borderId="1" applyNumberFormat="0" applyBorder="0" applyAlignment="0" applyProtection="0"/>
    <xf numFmtId="0" fontId="4" fillId="16" borderId="1" applyNumberFormat="0" applyBorder="0" applyAlignment="0" applyProtection="0"/>
    <xf numFmtId="0" fontId="4" fillId="16" borderId="1" applyNumberFormat="0" applyBorder="0" applyAlignment="0" applyProtection="0"/>
    <xf numFmtId="0" fontId="4" fillId="16" borderId="1" applyNumberFormat="0" applyBorder="0" applyAlignment="0" applyProtection="0"/>
    <xf numFmtId="0" fontId="4" fillId="16" borderId="1" applyNumberFormat="0" applyBorder="0" applyAlignment="0" applyProtection="0"/>
    <xf numFmtId="0" fontId="4" fillId="16" borderId="1" applyNumberFormat="0" applyBorder="0" applyAlignment="0" applyProtection="0"/>
    <xf numFmtId="0" fontId="4" fillId="16" borderId="1" applyNumberFormat="0" applyBorder="0" applyAlignment="0" applyProtection="0"/>
    <xf numFmtId="0" fontId="4" fillId="16" borderId="1" applyNumberFormat="0" applyBorder="0" applyAlignment="0" applyProtection="0"/>
    <xf numFmtId="0" fontId="4" fillId="16" borderId="1" applyNumberFormat="0" applyBorder="0" applyAlignment="0" applyProtection="0"/>
    <xf numFmtId="0" fontId="4" fillId="16" borderId="1" applyNumberFormat="0" applyBorder="0" applyAlignment="0" applyProtection="0"/>
    <xf numFmtId="0" fontId="4" fillId="16" borderId="1" applyNumberFormat="0" applyBorder="0" applyAlignment="0" applyProtection="0"/>
    <xf numFmtId="0" fontId="4" fillId="16" borderId="1" applyNumberFormat="0" applyBorder="0" applyAlignment="0" applyProtection="0"/>
    <xf numFmtId="0" fontId="4" fillId="16" borderId="1" applyNumberFormat="0" applyBorder="0" applyAlignment="0" applyProtection="0"/>
    <xf numFmtId="0" fontId="4" fillId="16" borderId="1" applyNumberFormat="0" applyBorder="0" applyAlignment="0" applyProtection="0"/>
    <xf numFmtId="0" fontId="4" fillId="16" borderId="1" applyNumberFormat="0" applyBorder="0" applyAlignment="0" applyProtection="0"/>
    <xf numFmtId="0" fontId="4" fillId="16" borderId="1" applyNumberFormat="0" applyBorder="0" applyAlignment="0" applyProtection="0"/>
    <xf numFmtId="0" fontId="4" fillId="16" borderId="1" applyNumberFormat="0" applyBorder="0" applyAlignment="0" applyProtection="0"/>
    <xf numFmtId="0" fontId="4" fillId="16" borderId="1" applyNumberFormat="0" applyBorder="0" applyAlignment="0" applyProtection="0"/>
    <xf numFmtId="0" fontId="4" fillId="16" borderId="1" applyNumberFormat="0" applyBorder="0" applyAlignment="0" applyProtection="0"/>
    <xf numFmtId="0" fontId="4" fillId="16" borderId="1" applyNumberFormat="0" applyBorder="0" applyAlignment="0" applyProtection="0"/>
    <xf numFmtId="0" fontId="4" fillId="16" borderId="1" applyNumberFormat="0" applyBorder="0" applyAlignment="0" applyProtection="0"/>
    <xf numFmtId="0" fontId="4" fillId="20" borderId="1" applyNumberFormat="0" applyBorder="0" applyAlignment="0" applyProtection="0"/>
    <xf numFmtId="0" fontId="4" fillId="20" borderId="1" applyNumberFormat="0" applyBorder="0" applyAlignment="0" applyProtection="0"/>
    <xf numFmtId="0" fontId="4" fillId="20" borderId="1" applyNumberFormat="0" applyBorder="0" applyAlignment="0" applyProtection="0"/>
    <xf numFmtId="0" fontId="4" fillId="20" borderId="1" applyNumberFormat="0" applyBorder="0" applyAlignment="0" applyProtection="0"/>
    <xf numFmtId="0" fontId="4" fillId="20" borderId="1" applyNumberFormat="0" applyBorder="0" applyAlignment="0" applyProtection="0"/>
    <xf numFmtId="0" fontId="4" fillId="20" borderId="1" applyNumberFormat="0" applyBorder="0" applyAlignment="0" applyProtection="0"/>
    <xf numFmtId="0" fontId="4" fillId="20" borderId="1" applyNumberFormat="0" applyBorder="0" applyAlignment="0" applyProtection="0"/>
    <xf numFmtId="0" fontId="4" fillId="20" borderId="1" applyNumberFormat="0" applyBorder="0" applyAlignment="0" applyProtection="0"/>
    <xf numFmtId="0" fontId="4" fillId="20" borderId="1" applyNumberFormat="0" applyBorder="0" applyAlignment="0" applyProtection="0"/>
    <xf numFmtId="0" fontId="4" fillId="20" borderId="1" applyNumberFormat="0" applyBorder="0" applyAlignment="0" applyProtection="0"/>
    <xf numFmtId="0" fontId="4" fillId="20" borderId="1" applyNumberFormat="0" applyBorder="0" applyAlignment="0" applyProtection="0"/>
    <xf numFmtId="0" fontId="4" fillId="20" borderId="1" applyNumberFormat="0" applyBorder="0" applyAlignment="0" applyProtection="0"/>
    <xf numFmtId="0" fontId="4" fillId="20" borderId="1" applyNumberFormat="0" applyBorder="0" applyAlignment="0" applyProtection="0"/>
    <xf numFmtId="0" fontId="4" fillId="20" borderId="1" applyNumberFormat="0" applyBorder="0" applyAlignment="0" applyProtection="0"/>
    <xf numFmtId="0" fontId="4" fillId="20" borderId="1" applyNumberFormat="0" applyBorder="0" applyAlignment="0" applyProtection="0"/>
    <xf numFmtId="0" fontId="4" fillId="20" borderId="1" applyNumberFormat="0" applyBorder="0" applyAlignment="0" applyProtection="0"/>
    <xf numFmtId="0" fontId="4" fillId="20" borderId="1" applyNumberFormat="0" applyBorder="0" applyAlignment="0" applyProtection="0"/>
    <xf numFmtId="0" fontId="4" fillId="20" borderId="1" applyNumberFormat="0" applyBorder="0" applyAlignment="0" applyProtection="0"/>
    <xf numFmtId="0" fontId="4" fillId="20" borderId="1" applyNumberFormat="0" applyBorder="0" applyAlignment="0" applyProtection="0"/>
    <xf numFmtId="0" fontId="4" fillId="20" borderId="1" applyNumberFormat="0" applyBorder="0" applyAlignment="0" applyProtection="0"/>
    <xf numFmtId="0" fontId="4" fillId="20" borderId="1" applyNumberFormat="0" applyBorder="0" applyAlignment="0" applyProtection="0"/>
    <xf numFmtId="0" fontId="4" fillId="20" borderId="1" applyNumberFormat="0" applyBorder="0" applyAlignment="0" applyProtection="0"/>
    <xf numFmtId="0" fontId="4" fillId="20" borderId="1" applyNumberFormat="0" applyBorder="0" applyAlignment="0" applyProtection="0"/>
    <xf numFmtId="0" fontId="4" fillId="20" borderId="1" applyNumberFormat="0" applyBorder="0" applyAlignment="0" applyProtection="0"/>
    <xf numFmtId="0" fontId="4" fillId="20" borderId="1" applyNumberFormat="0" applyBorder="0" applyAlignment="0" applyProtection="0"/>
    <xf numFmtId="0" fontId="4" fillId="20" borderId="1" applyNumberFormat="0" applyBorder="0" applyAlignment="0" applyProtection="0"/>
    <xf numFmtId="0" fontId="4" fillId="20" borderId="1" applyNumberFormat="0" applyBorder="0" applyAlignment="0" applyProtection="0"/>
    <xf numFmtId="0" fontId="4" fillId="20" borderId="1" applyNumberFormat="0" applyBorder="0" applyAlignment="0" applyProtection="0"/>
    <xf numFmtId="0" fontId="4" fillId="20" borderId="1" applyNumberFormat="0" applyBorder="0" applyAlignment="0" applyProtection="0"/>
    <xf numFmtId="0" fontId="4" fillId="20" borderId="1" applyNumberFormat="0" applyBorder="0" applyAlignment="0" applyProtection="0"/>
    <xf numFmtId="0" fontId="4" fillId="20" borderId="1" applyNumberFormat="0" applyBorder="0" applyAlignment="0" applyProtection="0"/>
    <xf numFmtId="0" fontId="4" fillId="24" borderId="1" applyNumberFormat="0" applyBorder="0" applyAlignment="0" applyProtection="0"/>
    <xf numFmtId="0" fontId="4" fillId="24" borderId="1" applyNumberFormat="0" applyBorder="0" applyAlignment="0" applyProtection="0"/>
    <xf numFmtId="0" fontId="4" fillId="24" borderId="1" applyNumberFormat="0" applyBorder="0" applyAlignment="0" applyProtection="0"/>
    <xf numFmtId="0" fontId="4" fillId="24" borderId="1" applyNumberFormat="0" applyBorder="0" applyAlignment="0" applyProtection="0"/>
    <xf numFmtId="0" fontId="4" fillId="24" borderId="1" applyNumberFormat="0" applyBorder="0" applyAlignment="0" applyProtection="0"/>
    <xf numFmtId="0" fontId="4" fillId="24" borderId="1" applyNumberFormat="0" applyBorder="0" applyAlignment="0" applyProtection="0"/>
    <xf numFmtId="0" fontId="4" fillId="24" borderId="1" applyNumberFormat="0" applyBorder="0" applyAlignment="0" applyProtection="0"/>
    <xf numFmtId="0" fontId="4" fillId="24" borderId="1" applyNumberFormat="0" applyBorder="0" applyAlignment="0" applyProtection="0"/>
    <xf numFmtId="0" fontId="4" fillId="24" borderId="1" applyNumberFormat="0" applyBorder="0" applyAlignment="0" applyProtection="0"/>
    <xf numFmtId="0" fontId="4" fillId="24" borderId="1" applyNumberFormat="0" applyBorder="0" applyAlignment="0" applyProtection="0"/>
    <xf numFmtId="0" fontId="4" fillId="24" borderId="1" applyNumberFormat="0" applyBorder="0" applyAlignment="0" applyProtection="0"/>
    <xf numFmtId="0" fontId="4" fillId="24" borderId="1" applyNumberFormat="0" applyBorder="0" applyAlignment="0" applyProtection="0"/>
    <xf numFmtId="0" fontId="4" fillId="24" borderId="1" applyNumberFormat="0" applyBorder="0" applyAlignment="0" applyProtection="0"/>
    <xf numFmtId="0" fontId="4" fillId="24" borderId="1" applyNumberFormat="0" applyBorder="0" applyAlignment="0" applyProtection="0"/>
    <xf numFmtId="0" fontId="4" fillId="24" borderId="1" applyNumberFormat="0" applyBorder="0" applyAlignment="0" applyProtection="0"/>
    <xf numFmtId="0" fontId="4" fillId="24" borderId="1" applyNumberFormat="0" applyBorder="0" applyAlignment="0" applyProtection="0"/>
    <xf numFmtId="0" fontId="4" fillId="24" borderId="1" applyNumberFormat="0" applyBorder="0" applyAlignment="0" applyProtection="0"/>
    <xf numFmtId="0" fontId="4" fillId="24" borderId="1" applyNumberFormat="0" applyBorder="0" applyAlignment="0" applyProtection="0"/>
    <xf numFmtId="0" fontId="4" fillId="24" borderId="1" applyNumberFormat="0" applyBorder="0" applyAlignment="0" applyProtection="0"/>
    <xf numFmtId="0" fontId="4" fillId="24" borderId="1" applyNumberFormat="0" applyBorder="0" applyAlignment="0" applyProtection="0"/>
    <xf numFmtId="0" fontId="4" fillId="24" borderId="1" applyNumberFormat="0" applyBorder="0" applyAlignment="0" applyProtection="0"/>
    <xf numFmtId="0" fontId="4" fillId="24" borderId="1" applyNumberFormat="0" applyBorder="0" applyAlignment="0" applyProtection="0"/>
    <xf numFmtId="0" fontId="4" fillId="24" borderId="1" applyNumberFormat="0" applyBorder="0" applyAlignment="0" applyProtection="0"/>
    <xf numFmtId="0" fontId="4" fillId="24" borderId="1" applyNumberFormat="0" applyBorder="0" applyAlignment="0" applyProtection="0"/>
    <xf numFmtId="0" fontId="4" fillId="24" borderId="1" applyNumberFormat="0" applyBorder="0" applyAlignment="0" applyProtection="0"/>
    <xf numFmtId="0" fontId="4" fillId="24" borderId="1" applyNumberFormat="0" applyBorder="0" applyAlignment="0" applyProtection="0"/>
    <xf numFmtId="0" fontId="4" fillId="24" borderId="1" applyNumberFormat="0" applyBorder="0" applyAlignment="0" applyProtection="0"/>
    <xf numFmtId="0" fontId="4" fillId="24" borderId="1" applyNumberFormat="0" applyBorder="0" applyAlignment="0" applyProtection="0"/>
    <xf numFmtId="0" fontId="4" fillId="24" borderId="1" applyNumberFormat="0" applyBorder="0" applyAlignment="0" applyProtection="0"/>
    <xf numFmtId="0" fontId="4" fillId="24" borderId="1" applyNumberFormat="0" applyBorder="0" applyAlignment="0" applyProtection="0"/>
    <xf numFmtId="0" fontId="4" fillId="24" borderId="1" applyNumberFormat="0" applyBorder="0" applyAlignment="0" applyProtection="0"/>
    <xf numFmtId="0" fontId="4" fillId="28" borderId="1" applyNumberFormat="0" applyBorder="0" applyAlignment="0" applyProtection="0"/>
    <xf numFmtId="0" fontId="4" fillId="28" borderId="1" applyNumberFormat="0" applyBorder="0" applyAlignment="0" applyProtection="0"/>
    <xf numFmtId="0" fontId="4" fillId="28" borderId="1" applyNumberFormat="0" applyBorder="0" applyAlignment="0" applyProtection="0"/>
    <xf numFmtId="0" fontId="4" fillId="28" borderId="1" applyNumberFormat="0" applyBorder="0" applyAlignment="0" applyProtection="0"/>
    <xf numFmtId="0" fontId="4" fillId="28" borderId="1" applyNumberFormat="0" applyBorder="0" applyAlignment="0" applyProtection="0"/>
    <xf numFmtId="0" fontId="4" fillId="28" borderId="1" applyNumberFormat="0" applyBorder="0" applyAlignment="0" applyProtection="0"/>
    <xf numFmtId="0" fontId="4" fillId="28" borderId="1" applyNumberFormat="0" applyBorder="0" applyAlignment="0" applyProtection="0"/>
    <xf numFmtId="0" fontId="4" fillId="28" borderId="1" applyNumberFormat="0" applyBorder="0" applyAlignment="0" applyProtection="0"/>
    <xf numFmtId="0" fontId="4" fillId="28" borderId="1" applyNumberFormat="0" applyBorder="0" applyAlignment="0" applyProtection="0"/>
    <xf numFmtId="0" fontId="4" fillId="28" borderId="1" applyNumberFormat="0" applyBorder="0" applyAlignment="0" applyProtection="0"/>
    <xf numFmtId="0" fontId="4" fillId="28" borderId="1" applyNumberFormat="0" applyBorder="0" applyAlignment="0" applyProtection="0"/>
    <xf numFmtId="0" fontId="4" fillId="28" borderId="1" applyNumberFormat="0" applyBorder="0" applyAlignment="0" applyProtection="0"/>
    <xf numFmtId="0" fontId="4" fillId="28" borderId="1" applyNumberFormat="0" applyBorder="0" applyAlignment="0" applyProtection="0"/>
    <xf numFmtId="0" fontId="4" fillId="28" borderId="1" applyNumberFormat="0" applyBorder="0" applyAlignment="0" applyProtection="0"/>
    <xf numFmtId="0" fontId="4" fillId="28" borderId="1" applyNumberFormat="0" applyBorder="0" applyAlignment="0" applyProtection="0"/>
    <xf numFmtId="0" fontId="4" fillId="28" borderId="1" applyNumberFormat="0" applyBorder="0" applyAlignment="0" applyProtection="0"/>
    <xf numFmtId="0" fontId="4" fillId="28" borderId="1" applyNumberFormat="0" applyBorder="0" applyAlignment="0" applyProtection="0"/>
    <xf numFmtId="0" fontId="4" fillId="28" borderId="1" applyNumberFormat="0" applyBorder="0" applyAlignment="0" applyProtection="0"/>
    <xf numFmtId="0" fontId="4" fillId="28" borderId="1" applyNumberFormat="0" applyBorder="0" applyAlignment="0" applyProtection="0"/>
    <xf numFmtId="0" fontId="4" fillId="28" borderId="1" applyNumberFormat="0" applyBorder="0" applyAlignment="0" applyProtection="0"/>
    <xf numFmtId="0" fontId="4" fillId="28" borderId="1" applyNumberFormat="0" applyBorder="0" applyAlignment="0" applyProtection="0"/>
    <xf numFmtId="0" fontId="4" fillId="28" borderId="1" applyNumberFormat="0" applyBorder="0" applyAlignment="0" applyProtection="0"/>
    <xf numFmtId="0" fontId="4" fillId="28" borderId="1" applyNumberFormat="0" applyBorder="0" applyAlignment="0" applyProtection="0"/>
    <xf numFmtId="0" fontId="4" fillId="28" borderId="1" applyNumberFormat="0" applyBorder="0" applyAlignment="0" applyProtection="0"/>
    <xf numFmtId="0" fontId="4" fillId="28" borderId="1" applyNumberFormat="0" applyBorder="0" applyAlignment="0" applyProtection="0"/>
    <xf numFmtId="0" fontId="4" fillId="28" borderId="1" applyNumberFormat="0" applyBorder="0" applyAlignment="0" applyProtection="0"/>
    <xf numFmtId="0" fontId="4" fillId="28" borderId="1" applyNumberFormat="0" applyBorder="0" applyAlignment="0" applyProtection="0"/>
    <xf numFmtId="0" fontId="4" fillId="28" borderId="1" applyNumberFormat="0" applyBorder="0" applyAlignment="0" applyProtection="0"/>
    <xf numFmtId="0" fontId="4" fillId="28" borderId="1" applyNumberFormat="0" applyBorder="0" applyAlignment="0" applyProtection="0"/>
    <xf numFmtId="0" fontId="4" fillId="28" borderId="1" applyNumberFormat="0" applyBorder="0" applyAlignment="0" applyProtection="0"/>
    <xf numFmtId="0" fontId="4" fillId="28" borderId="1" applyNumberFormat="0" applyBorder="0" applyAlignment="0" applyProtection="0"/>
    <xf numFmtId="0" fontId="4" fillId="32" borderId="1" applyNumberFormat="0" applyBorder="0" applyAlignment="0" applyProtection="0"/>
    <xf numFmtId="0" fontId="4" fillId="32" borderId="1" applyNumberFormat="0" applyBorder="0" applyAlignment="0" applyProtection="0"/>
    <xf numFmtId="0" fontId="4" fillId="32" borderId="1" applyNumberFormat="0" applyBorder="0" applyAlignment="0" applyProtection="0"/>
    <xf numFmtId="0" fontId="4" fillId="32" borderId="1" applyNumberFormat="0" applyBorder="0" applyAlignment="0" applyProtection="0"/>
    <xf numFmtId="0" fontId="4" fillId="32" borderId="1" applyNumberFormat="0" applyBorder="0" applyAlignment="0" applyProtection="0"/>
    <xf numFmtId="0" fontId="4" fillId="32" borderId="1" applyNumberFormat="0" applyBorder="0" applyAlignment="0" applyProtection="0"/>
    <xf numFmtId="0" fontId="4" fillId="32" borderId="1" applyNumberFormat="0" applyBorder="0" applyAlignment="0" applyProtection="0"/>
    <xf numFmtId="0" fontId="4" fillId="32" borderId="1" applyNumberFormat="0" applyBorder="0" applyAlignment="0" applyProtection="0"/>
    <xf numFmtId="0" fontId="4" fillId="32" borderId="1" applyNumberFormat="0" applyBorder="0" applyAlignment="0" applyProtection="0"/>
    <xf numFmtId="0" fontId="4" fillId="32" borderId="1" applyNumberFormat="0" applyBorder="0" applyAlignment="0" applyProtection="0"/>
    <xf numFmtId="0" fontId="4" fillId="32" borderId="1" applyNumberFormat="0" applyBorder="0" applyAlignment="0" applyProtection="0"/>
    <xf numFmtId="0" fontId="4" fillId="32" borderId="1" applyNumberFormat="0" applyBorder="0" applyAlignment="0" applyProtection="0"/>
    <xf numFmtId="0" fontId="4" fillId="32" borderId="1" applyNumberFormat="0" applyBorder="0" applyAlignment="0" applyProtection="0"/>
    <xf numFmtId="0" fontId="4" fillId="32" borderId="1" applyNumberFormat="0" applyBorder="0" applyAlignment="0" applyProtection="0"/>
    <xf numFmtId="0" fontId="4" fillId="32" borderId="1" applyNumberFormat="0" applyBorder="0" applyAlignment="0" applyProtection="0"/>
    <xf numFmtId="0" fontId="4" fillId="32" borderId="1" applyNumberFormat="0" applyBorder="0" applyAlignment="0" applyProtection="0"/>
    <xf numFmtId="0" fontId="4" fillId="32" borderId="1" applyNumberFormat="0" applyBorder="0" applyAlignment="0" applyProtection="0"/>
    <xf numFmtId="0" fontId="4" fillId="32" borderId="1" applyNumberFormat="0" applyBorder="0" applyAlignment="0" applyProtection="0"/>
    <xf numFmtId="0" fontId="4" fillId="32" borderId="1" applyNumberFormat="0" applyBorder="0" applyAlignment="0" applyProtection="0"/>
    <xf numFmtId="0" fontId="4" fillId="32" borderId="1" applyNumberFormat="0" applyBorder="0" applyAlignment="0" applyProtection="0"/>
    <xf numFmtId="0" fontId="4" fillId="32" borderId="1" applyNumberFormat="0" applyBorder="0" applyAlignment="0" applyProtection="0"/>
    <xf numFmtId="0" fontId="4" fillId="32" borderId="1" applyNumberFormat="0" applyBorder="0" applyAlignment="0" applyProtection="0"/>
    <xf numFmtId="0" fontId="4" fillId="32" borderId="1" applyNumberFormat="0" applyBorder="0" applyAlignment="0" applyProtection="0"/>
    <xf numFmtId="0" fontId="4" fillId="32" borderId="1" applyNumberFormat="0" applyBorder="0" applyAlignment="0" applyProtection="0"/>
    <xf numFmtId="0" fontId="4" fillId="32" borderId="1" applyNumberFormat="0" applyBorder="0" applyAlignment="0" applyProtection="0"/>
    <xf numFmtId="0" fontId="4" fillId="32" borderId="1" applyNumberFormat="0" applyBorder="0" applyAlignment="0" applyProtection="0"/>
    <xf numFmtId="0" fontId="4" fillId="32" borderId="1" applyNumberFormat="0" applyBorder="0" applyAlignment="0" applyProtection="0"/>
    <xf numFmtId="0" fontId="4" fillId="32" borderId="1" applyNumberFormat="0" applyBorder="0" applyAlignment="0" applyProtection="0"/>
    <xf numFmtId="0" fontId="4" fillId="32" borderId="1" applyNumberFormat="0" applyBorder="0" applyAlignment="0" applyProtection="0"/>
    <xf numFmtId="0" fontId="4" fillId="32" borderId="1" applyNumberFormat="0" applyBorder="0" applyAlignment="0" applyProtection="0"/>
    <xf numFmtId="0" fontId="4" fillId="32" borderId="1" applyNumberFormat="0" applyBorder="0" applyAlignment="0" applyProtection="0"/>
    <xf numFmtId="0" fontId="4" fillId="36" borderId="1" applyNumberFormat="0" applyBorder="0" applyAlignment="0" applyProtection="0"/>
    <xf numFmtId="0" fontId="4" fillId="36" borderId="1" applyNumberFormat="0" applyBorder="0" applyAlignment="0" applyProtection="0"/>
    <xf numFmtId="0" fontId="4" fillId="36" borderId="1" applyNumberFormat="0" applyBorder="0" applyAlignment="0" applyProtection="0"/>
    <xf numFmtId="0" fontId="4" fillId="36" borderId="1" applyNumberFormat="0" applyBorder="0" applyAlignment="0" applyProtection="0"/>
    <xf numFmtId="0" fontId="4" fillId="36" borderId="1" applyNumberFormat="0" applyBorder="0" applyAlignment="0" applyProtection="0"/>
    <xf numFmtId="0" fontId="4" fillId="36" borderId="1" applyNumberFormat="0" applyBorder="0" applyAlignment="0" applyProtection="0"/>
    <xf numFmtId="0" fontId="4" fillId="36" borderId="1" applyNumberFormat="0" applyBorder="0" applyAlignment="0" applyProtection="0"/>
    <xf numFmtId="0" fontId="4" fillId="36" borderId="1" applyNumberFormat="0" applyBorder="0" applyAlignment="0" applyProtection="0"/>
    <xf numFmtId="0" fontId="4" fillId="36" borderId="1" applyNumberFormat="0" applyBorder="0" applyAlignment="0" applyProtection="0"/>
    <xf numFmtId="0" fontId="4" fillId="36" borderId="1" applyNumberFormat="0" applyBorder="0" applyAlignment="0" applyProtection="0"/>
    <xf numFmtId="0" fontId="4" fillId="36" borderId="1" applyNumberFormat="0" applyBorder="0" applyAlignment="0" applyProtection="0"/>
    <xf numFmtId="0" fontId="4" fillId="36" borderId="1" applyNumberFormat="0" applyBorder="0" applyAlignment="0" applyProtection="0"/>
    <xf numFmtId="0" fontId="4" fillId="36" borderId="1" applyNumberFormat="0" applyBorder="0" applyAlignment="0" applyProtection="0"/>
    <xf numFmtId="0" fontId="4" fillId="36" borderId="1" applyNumberFormat="0" applyBorder="0" applyAlignment="0" applyProtection="0"/>
    <xf numFmtId="0" fontId="4" fillId="36" borderId="1" applyNumberFormat="0" applyBorder="0" applyAlignment="0" applyProtection="0"/>
    <xf numFmtId="0" fontId="4" fillId="36" borderId="1" applyNumberFormat="0" applyBorder="0" applyAlignment="0" applyProtection="0"/>
    <xf numFmtId="0" fontId="4" fillId="36" borderId="1" applyNumberFormat="0" applyBorder="0" applyAlignment="0" applyProtection="0"/>
    <xf numFmtId="0" fontId="4" fillId="36" borderId="1" applyNumberFormat="0" applyBorder="0" applyAlignment="0" applyProtection="0"/>
    <xf numFmtId="0" fontId="4" fillId="36" borderId="1" applyNumberFormat="0" applyBorder="0" applyAlignment="0" applyProtection="0"/>
    <xf numFmtId="0" fontId="4" fillId="36" borderId="1" applyNumberFormat="0" applyBorder="0" applyAlignment="0" applyProtection="0"/>
    <xf numFmtId="0" fontId="4" fillId="36" borderId="1" applyNumberFormat="0" applyBorder="0" applyAlignment="0" applyProtection="0"/>
    <xf numFmtId="0" fontId="4" fillId="36" borderId="1" applyNumberFormat="0" applyBorder="0" applyAlignment="0" applyProtection="0"/>
    <xf numFmtId="0" fontId="4" fillId="36" borderId="1" applyNumberFormat="0" applyBorder="0" applyAlignment="0" applyProtection="0"/>
    <xf numFmtId="0" fontId="4" fillId="36" borderId="1" applyNumberFormat="0" applyBorder="0" applyAlignment="0" applyProtection="0"/>
    <xf numFmtId="0" fontId="4" fillId="36" borderId="1" applyNumberFormat="0" applyBorder="0" applyAlignment="0" applyProtection="0"/>
    <xf numFmtId="0" fontId="4" fillId="36" borderId="1" applyNumberFormat="0" applyBorder="0" applyAlignment="0" applyProtection="0"/>
    <xf numFmtId="0" fontId="4" fillId="36" borderId="1" applyNumberFormat="0" applyBorder="0" applyAlignment="0" applyProtection="0"/>
    <xf numFmtId="0" fontId="4" fillId="36" borderId="1" applyNumberFormat="0" applyBorder="0" applyAlignment="0" applyProtection="0"/>
    <xf numFmtId="0" fontId="4" fillId="36" borderId="1" applyNumberFormat="0" applyBorder="0" applyAlignment="0" applyProtection="0"/>
    <xf numFmtId="0" fontId="4" fillId="36" borderId="1" applyNumberFormat="0" applyBorder="0" applyAlignment="0" applyProtection="0"/>
    <xf numFmtId="0" fontId="4" fillId="36" borderId="1" applyNumberFormat="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0" fontId="18" fillId="0" borderId="1"/>
    <xf numFmtId="0" fontId="4" fillId="0" borderId="1"/>
    <xf numFmtId="0" fontId="4" fillId="15" borderId="1" applyNumberFormat="0" applyBorder="0" applyAlignment="0" applyProtection="0"/>
    <xf numFmtId="0" fontId="4" fillId="19" borderId="1" applyNumberFormat="0" applyBorder="0" applyAlignment="0" applyProtection="0"/>
    <xf numFmtId="0" fontId="4" fillId="23" borderId="1" applyNumberFormat="0" applyBorder="0" applyAlignment="0" applyProtection="0"/>
    <xf numFmtId="0" fontId="4" fillId="27" borderId="1" applyNumberFormat="0" applyBorder="0" applyAlignment="0" applyProtection="0"/>
    <xf numFmtId="0" fontId="4" fillId="31" borderId="1" applyNumberFormat="0" applyBorder="0" applyAlignment="0" applyProtection="0"/>
    <xf numFmtId="0" fontId="4" fillId="35" borderId="1" applyNumberFormat="0" applyBorder="0" applyAlignment="0" applyProtection="0"/>
    <xf numFmtId="0" fontId="4" fillId="16" borderId="1" applyNumberFormat="0" applyBorder="0" applyAlignment="0" applyProtection="0"/>
    <xf numFmtId="0" fontId="4" fillId="20" borderId="1" applyNumberFormat="0" applyBorder="0" applyAlignment="0" applyProtection="0"/>
    <xf numFmtId="0" fontId="4" fillId="24" borderId="1" applyNumberFormat="0" applyBorder="0" applyAlignment="0" applyProtection="0"/>
    <xf numFmtId="0" fontId="4" fillId="28" borderId="1" applyNumberFormat="0" applyBorder="0" applyAlignment="0" applyProtection="0"/>
    <xf numFmtId="0" fontId="4" fillId="32" borderId="1" applyNumberFormat="0" applyBorder="0" applyAlignment="0" applyProtection="0"/>
    <xf numFmtId="0" fontId="4" fillId="36" borderId="1" applyNumberFormat="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0" fontId="4" fillId="0" borderId="1"/>
    <xf numFmtId="0" fontId="4" fillId="0" borderId="1"/>
    <xf numFmtId="0" fontId="4" fillId="0" borderId="1"/>
    <xf numFmtId="0" fontId="4" fillId="0" borderId="1"/>
    <xf numFmtId="0" fontId="4" fillId="0" borderId="1"/>
    <xf numFmtId="0" fontId="4" fillId="13" borderId="83" applyNumberFormat="0" applyFont="0" applyAlignment="0" applyProtection="0"/>
    <xf numFmtId="0" fontId="4" fillId="13" borderId="83" applyNumberFormat="0" applyFont="0" applyAlignment="0" applyProtection="0"/>
    <xf numFmtId="9" fontId="4" fillId="0" borderId="1" applyFont="0" applyFill="0" applyBorder="0" applyAlignment="0" applyProtection="0"/>
    <xf numFmtId="9" fontId="4" fillId="0" borderId="1" applyFont="0" applyFill="0" applyBorder="0" applyAlignment="0" applyProtection="0"/>
    <xf numFmtId="0" fontId="4" fillId="0" borderId="1"/>
    <xf numFmtId="0" fontId="4" fillId="15" borderId="1" applyNumberFormat="0" applyBorder="0" applyAlignment="0" applyProtection="0"/>
    <xf numFmtId="0" fontId="4" fillId="19" borderId="1" applyNumberFormat="0" applyBorder="0" applyAlignment="0" applyProtection="0"/>
    <xf numFmtId="0" fontId="4" fillId="23" borderId="1" applyNumberFormat="0" applyBorder="0" applyAlignment="0" applyProtection="0"/>
    <xf numFmtId="0" fontId="4" fillId="27" borderId="1" applyNumberFormat="0" applyBorder="0" applyAlignment="0" applyProtection="0"/>
    <xf numFmtId="0" fontId="4" fillId="31" borderId="1" applyNumberFormat="0" applyBorder="0" applyAlignment="0" applyProtection="0"/>
    <xf numFmtId="0" fontId="4" fillId="35" borderId="1" applyNumberFormat="0" applyBorder="0" applyAlignment="0" applyProtection="0"/>
    <xf numFmtId="0" fontId="4" fillId="16" borderId="1" applyNumberFormat="0" applyBorder="0" applyAlignment="0" applyProtection="0"/>
    <xf numFmtId="0" fontId="4" fillId="20" borderId="1" applyNumberFormat="0" applyBorder="0" applyAlignment="0" applyProtection="0"/>
    <xf numFmtId="0" fontId="4" fillId="24" borderId="1" applyNumberFormat="0" applyBorder="0" applyAlignment="0" applyProtection="0"/>
    <xf numFmtId="0" fontId="4" fillId="28" borderId="1" applyNumberFormat="0" applyBorder="0" applyAlignment="0" applyProtection="0"/>
    <xf numFmtId="0" fontId="4" fillId="32" borderId="1" applyNumberFormat="0" applyBorder="0" applyAlignment="0" applyProtection="0"/>
    <xf numFmtId="0" fontId="4" fillId="36" borderId="1" applyNumberFormat="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0" fontId="4" fillId="0" borderId="1"/>
    <xf numFmtId="0" fontId="4" fillId="0" borderId="1"/>
    <xf numFmtId="0" fontId="4" fillId="0" borderId="1"/>
    <xf numFmtId="0" fontId="4" fillId="0" borderId="1"/>
    <xf numFmtId="0" fontId="4" fillId="0" borderId="1"/>
    <xf numFmtId="0" fontId="4" fillId="13" borderId="83" applyNumberFormat="0" applyFont="0" applyAlignment="0" applyProtection="0"/>
    <xf numFmtId="0" fontId="4" fillId="13" borderId="83" applyNumberFormat="0" applyFont="0" applyAlignment="0" applyProtection="0"/>
    <xf numFmtId="9" fontId="4" fillId="0" borderId="1" applyFont="0" applyFill="0" applyBorder="0" applyAlignment="0" applyProtection="0"/>
    <xf numFmtId="9"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0" fontId="4" fillId="0" borderId="1"/>
    <xf numFmtId="0" fontId="4" fillId="15" borderId="1" applyNumberFormat="0" applyBorder="0" applyAlignment="0" applyProtection="0"/>
    <xf numFmtId="0" fontId="4" fillId="16" borderId="1" applyNumberFormat="0" applyBorder="0" applyAlignment="0" applyProtection="0"/>
    <xf numFmtId="0" fontId="4" fillId="19" borderId="1" applyNumberFormat="0" applyBorder="0" applyAlignment="0" applyProtection="0"/>
    <xf numFmtId="0" fontId="4" fillId="20" borderId="1" applyNumberFormat="0" applyBorder="0" applyAlignment="0" applyProtection="0"/>
    <xf numFmtId="0" fontId="4" fillId="23" borderId="1" applyNumberFormat="0" applyBorder="0" applyAlignment="0" applyProtection="0"/>
    <xf numFmtId="0" fontId="4" fillId="24" borderId="1" applyNumberFormat="0" applyBorder="0" applyAlignment="0" applyProtection="0"/>
    <xf numFmtId="0" fontId="4" fillId="27" borderId="1" applyNumberFormat="0" applyBorder="0" applyAlignment="0" applyProtection="0"/>
    <xf numFmtId="0" fontId="4" fillId="28" borderId="1" applyNumberFormat="0" applyBorder="0" applyAlignment="0" applyProtection="0"/>
    <xf numFmtId="0" fontId="4" fillId="31" borderId="1" applyNumberFormat="0" applyBorder="0" applyAlignment="0" applyProtection="0"/>
    <xf numFmtId="0" fontId="4" fillId="32" borderId="1" applyNumberFormat="0" applyBorder="0" applyAlignment="0" applyProtection="0"/>
    <xf numFmtId="0" fontId="4" fillId="35" borderId="1" applyNumberFormat="0" applyBorder="0" applyAlignment="0" applyProtection="0"/>
    <xf numFmtId="0" fontId="4" fillId="36" borderId="1" applyNumberFormat="0" applyBorder="0" applyAlignment="0" applyProtection="0"/>
    <xf numFmtId="0" fontId="4" fillId="0" borderId="1"/>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0" fontId="4" fillId="0" borderId="1"/>
    <xf numFmtId="0" fontId="4" fillId="0" borderId="1"/>
    <xf numFmtId="0" fontId="4" fillId="0" borderId="1"/>
    <xf numFmtId="0" fontId="4" fillId="0" borderId="1"/>
    <xf numFmtId="0" fontId="4" fillId="0" borderId="1"/>
    <xf numFmtId="0" fontId="4" fillId="13" borderId="83" applyNumberFormat="0" applyFont="0" applyAlignment="0" applyProtection="0"/>
    <xf numFmtId="0" fontId="4" fillId="13" borderId="83" applyNumberFormat="0" applyFont="0" applyAlignment="0" applyProtection="0"/>
    <xf numFmtId="9" fontId="4" fillId="0" borderId="1" applyFont="0" applyFill="0" applyBorder="0" applyAlignment="0" applyProtection="0"/>
    <xf numFmtId="9" fontId="4" fillId="0" borderId="1" applyFont="0" applyFill="0" applyBorder="0" applyAlignment="0" applyProtection="0"/>
    <xf numFmtId="0" fontId="4" fillId="0" borderId="1"/>
    <xf numFmtId="0" fontId="4" fillId="15" borderId="1" applyNumberFormat="0" applyBorder="0" applyAlignment="0" applyProtection="0"/>
    <xf numFmtId="0" fontId="4" fillId="19" borderId="1" applyNumberFormat="0" applyBorder="0" applyAlignment="0" applyProtection="0"/>
    <xf numFmtId="0" fontId="4" fillId="23" borderId="1" applyNumberFormat="0" applyBorder="0" applyAlignment="0" applyProtection="0"/>
    <xf numFmtId="0" fontId="4" fillId="27" borderId="1" applyNumberFormat="0" applyBorder="0" applyAlignment="0" applyProtection="0"/>
    <xf numFmtId="0" fontId="4" fillId="31" borderId="1" applyNumberFormat="0" applyBorder="0" applyAlignment="0" applyProtection="0"/>
    <xf numFmtId="0" fontId="4" fillId="35" borderId="1" applyNumberFormat="0" applyBorder="0" applyAlignment="0" applyProtection="0"/>
    <xf numFmtId="0" fontId="4" fillId="16" borderId="1" applyNumberFormat="0" applyBorder="0" applyAlignment="0" applyProtection="0"/>
    <xf numFmtId="0" fontId="4" fillId="20" borderId="1" applyNumberFormat="0" applyBorder="0" applyAlignment="0" applyProtection="0"/>
    <xf numFmtId="0" fontId="4" fillId="24" borderId="1" applyNumberFormat="0" applyBorder="0" applyAlignment="0" applyProtection="0"/>
    <xf numFmtId="0" fontId="4" fillId="28" borderId="1" applyNumberFormat="0" applyBorder="0" applyAlignment="0" applyProtection="0"/>
    <xf numFmtId="0" fontId="4" fillId="32" borderId="1" applyNumberFormat="0" applyBorder="0" applyAlignment="0" applyProtection="0"/>
    <xf numFmtId="0" fontId="4" fillId="36" borderId="1" applyNumberFormat="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0" fontId="4" fillId="0" borderId="1"/>
    <xf numFmtId="0" fontId="4" fillId="0" borderId="1"/>
    <xf numFmtId="0" fontId="4" fillId="0" borderId="1"/>
    <xf numFmtId="0" fontId="4" fillId="0" borderId="1"/>
    <xf numFmtId="0" fontId="4" fillId="0" borderId="1"/>
    <xf numFmtId="0" fontId="4" fillId="13" borderId="83" applyNumberFormat="0" applyFont="0" applyAlignment="0" applyProtection="0"/>
    <xf numFmtId="0" fontId="4" fillId="13" borderId="83" applyNumberFormat="0" applyFont="0" applyAlignment="0" applyProtection="0"/>
    <xf numFmtId="9" fontId="4" fillId="0" borderId="1" applyFont="0" applyFill="0" applyBorder="0" applyAlignment="0" applyProtection="0"/>
    <xf numFmtId="9"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0" fontId="4" fillId="0" borderId="1"/>
    <xf numFmtId="0" fontId="4" fillId="15" borderId="1" applyNumberFormat="0" applyBorder="0" applyAlignment="0" applyProtection="0"/>
    <xf numFmtId="0" fontId="4" fillId="16" borderId="1" applyNumberFormat="0" applyBorder="0" applyAlignment="0" applyProtection="0"/>
    <xf numFmtId="0" fontId="4" fillId="19" borderId="1" applyNumberFormat="0" applyBorder="0" applyAlignment="0" applyProtection="0"/>
    <xf numFmtId="0" fontId="4" fillId="20" borderId="1" applyNumberFormat="0" applyBorder="0" applyAlignment="0" applyProtection="0"/>
    <xf numFmtId="0" fontId="4" fillId="23" borderId="1" applyNumberFormat="0" applyBorder="0" applyAlignment="0" applyProtection="0"/>
    <xf numFmtId="0" fontId="4" fillId="24" borderId="1" applyNumberFormat="0" applyBorder="0" applyAlignment="0" applyProtection="0"/>
    <xf numFmtId="0" fontId="4" fillId="27" borderId="1" applyNumberFormat="0" applyBorder="0" applyAlignment="0" applyProtection="0"/>
    <xf numFmtId="0" fontId="4" fillId="28" borderId="1" applyNumberFormat="0" applyBorder="0" applyAlignment="0" applyProtection="0"/>
    <xf numFmtId="0" fontId="4" fillId="31" borderId="1" applyNumberFormat="0" applyBorder="0" applyAlignment="0" applyProtection="0"/>
    <xf numFmtId="0" fontId="4" fillId="32" borderId="1" applyNumberFormat="0" applyBorder="0" applyAlignment="0" applyProtection="0"/>
    <xf numFmtId="0" fontId="4" fillId="35" borderId="1" applyNumberFormat="0" applyBorder="0" applyAlignment="0" applyProtection="0"/>
    <xf numFmtId="0" fontId="4" fillId="36" borderId="1" applyNumberFormat="0" applyBorder="0" applyAlignment="0" applyProtection="0"/>
    <xf numFmtId="0" fontId="4" fillId="0" borderId="1"/>
    <xf numFmtId="0" fontId="4" fillId="0" borderId="1"/>
    <xf numFmtId="165" fontId="4" fillId="0" borderId="1" applyFont="0" applyFill="0" applyBorder="0" applyAlignment="0" applyProtection="0"/>
    <xf numFmtId="0" fontId="4" fillId="0" borderId="1"/>
    <xf numFmtId="165" fontId="4" fillId="0" borderId="1" applyFont="0" applyFill="0" applyBorder="0" applyAlignment="0" applyProtection="0"/>
    <xf numFmtId="9" fontId="4" fillId="0" borderId="1" applyFont="0" applyFill="0" applyBorder="0" applyAlignment="0" applyProtection="0"/>
    <xf numFmtId="0" fontId="4" fillId="13" borderId="83" applyNumberFormat="0" applyFont="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0" fontId="4" fillId="0" borderId="1"/>
    <xf numFmtId="0" fontId="4" fillId="0" borderId="1"/>
    <xf numFmtId="0" fontId="4" fillId="0" borderId="1"/>
    <xf numFmtId="0" fontId="4" fillId="0" borderId="1"/>
    <xf numFmtId="0" fontId="4" fillId="0" borderId="1"/>
    <xf numFmtId="0" fontId="4" fillId="15" borderId="1" applyNumberFormat="0" applyBorder="0" applyAlignment="0" applyProtection="0"/>
    <xf numFmtId="0" fontId="4" fillId="19" borderId="1" applyNumberFormat="0" applyBorder="0" applyAlignment="0" applyProtection="0"/>
    <xf numFmtId="0" fontId="4" fillId="23" borderId="1" applyNumberFormat="0" applyBorder="0" applyAlignment="0" applyProtection="0"/>
    <xf numFmtId="0" fontId="4" fillId="27" borderId="1" applyNumberFormat="0" applyBorder="0" applyAlignment="0" applyProtection="0"/>
    <xf numFmtId="0" fontId="4" fillId="31" borderId="1" applyNumberFormat="0" applyBorder="0" applyAlignment="0" applyProtection="0"/>
    <xf numFmtId="0" fontId="4" fillId="35" borderId="1" applyNumberFormat="0" applyBorder="0" applyAlignment="0" applyProtection="0"/>
    <xf numFmtId="0" fontId="4" fillId="16" borderId="1" applyNumberFormat="0" applyBorder="0" applyAlignment="0" applyProtection="0"/>
    <xf numFmtId="0" fontId="4" fillId="20" borderId="1" applyNumberFormat="0" applyBorder="0" applyAlignment="0" applyProtection="0"/>
    <xf numFmtId="0" fontId="4" fillId="24" borderId="1" applyNumberFormat="0" applyBorder="0" applyAlignment="0" applyProtection="0"/>
    <xf numFmtId="0" fontId="4" fillId="28" borderId="1" applyNumberFormat="0" applyBorder="0" applyAlignment="0" applyProtection="0"/>
    <xf numFmtId="0" fontId="4" fillId="32" borderId="1" applyNumberFormat="0" applyBorder="0" applyAlignment="0" applyProtection="0"/>
    <xf numFmtId="0" fontId="4" fillId="36" borderId="1" applyNumberFormat="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0" fontId="4" fillId="0" borderId="1"/>
    <xf numFmtId="0" fontId="4" fillId="0" borderId="1"/>
    <xf numFmtId="0" fontId="4" fillId="0" borderId="1"/>
    <xf numFmtId="0" fontId="4" fillId="0" borderId="1"/>
    <xf numFmtId="0" fontId="4" fillId="0" borderId="1"/>
    <xf numFmtId="0" fontId="4" fillId="13" borderId="83" applyNumberFormat="0" applyFont="0" applyAlignment="0" applyProtection="0"/>
    <xf numFmtId="0" fontId="4" fillId="13" borderId="83" applyNumberFormat="0" applyFont="0" applyAlignment="0" applyProtection="0"/>
    <xf numFmtId="9" fontId="4" fillId="0" borderId="1" applyFont="0" applyFill="0" applyBorder="0" applyAlignment="0" applyProtection="0"/>
    <xf numFmtId="9"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0" fontId="4" fillId="0" borderId="1"/>
    <xf numFmtId="0" fontId="4" fillId="15" borderId="1" applyNumberFormat="0" applyBorder="0" applyAlignment="0" applyProtection="0"/>
    <xf numFmtId="0" fontId="4" fillId="16" borderId="1" applyNumberFormat="0" applyBorder="0" applyAlignment="0" applyProtection="0"/>
    <xf numFmtId="0" fontId="4" fillId="19" borderId="1" applyNumberFormat="0" applyBorder="0" applyAlignment="0" applyProtection="0"/>
    <xf numFmtId="0" fontId="4" fillId="20" borderId="1" applyNumberFormat="0" applyBorder="0" applyAlignment="0" applyProtection="0"/>
    <xf numFmtId="0" fontId="4" fillId="23" borderId="1" applyNumberFormat="0" applyBorder="0" applyAlignment="0" applyProtection="0"/>
    <xf numFmtId="0" fontId="4" fillId="24" borderId="1" applyNumberFormat="0" applyBorder="0" applyAlignment="0" applyProtection="0"/>
    <xf numFmtId="0" fontId="4" fillId="27" borderId="1" applyNumberFormat="0" applyBorder="0" applyAlignment="0" applyProtection="0"/>
    <xf numFmtId="0" fontId="4" fillId="28" borderId="1" applyNumberFormat="0" applyBorder="0" applyAlignment="0" applyProtection="0"/>
    <xf numFmtId="0" fontId="4" fillId="31" borderId="1" applyNumberFormat="0" applyBorder="0" applyAlignment="0" applyProtection="0"/>
    <xf numFmtId="0" fontId="4" fillId="32" borderId="1" applyNumberFormat="0" applyBorder="0" applyAlignment="0" applyProtection="0"/>
    <xf numFmtId="0" fontId="4" fillId="35" borderId="1" applyNumberFormat="0" applyBorder="0" applyAlignment="0" applyProtection="0"/>
    <xf numFmtId="0" fontId="4" fillId="36" borderId="1" applyNumberFormat="0" applyBorder="0" applyAlignment="0" applyProtection="0"/>
    <xf numFmtId="0" fontId="4" fillId="0" borderId="1"/>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0" fontId="4" fillId="0" borderId="1"/>
    <xf numFmtId="0" fontId="4" fillId="0" borderId="1"/>
    <xf numFmtId="0" fontId="4" fillId="0" borderId="1"/>
    <xf numFmtId="0" fontId="4" fillId="0" borderId="1"/>
    <xf numFmtId="0" fontId="4" fillId="0" borderId="1"/>
    <xf numFmtId="0" fontId="4" fillId="13" borderId="83" applyNumberFormat="0" applyFont="0" applyAlignment="0" applyProtection="0"/>
    <xf numFmtId="0" fontId="4" fillId="13" borderId="83" applyNumberFormat="0" applyFont="0" applyAlignment="0" applyProtection="0"/>
    <xf numFmtId="9" fontId="4" fillId="0" borderId="1" applyFont="0" applyFill="0" applyBorder="0" applyAlignment="0" applyProtection="0"/>
    <xf numFmtId="9" fontId="4" fillId="0" borderId="1" applyFont="0" applyFill="0" applyBorder="0" applyAlignment="0" applyProtection="0"/>
    <xf numFmtId="0" fontId="4" fillId="0" borderId="1"/>
    <xf numFmtId="0" fontId="4" fillId="15" borderId="1" applyNumberFormat="0" applyBorder="0" applyAlignment="0" applyProtection="0"/>
    <xf numFmtId="0" fontId="4" fillId="19" borderId="1" applyNumberFormat="0" applyBorder="0" applyAlignment="0" applyProtection="0"/>
    <xf numFmtId="0" fontId="4" fillId="23" borderId="1" applyNumberFormat="0" applyBorder="0" applyAlignment="0" applyProtection="0"/>
    <xf numFmtId="0" fontId="4" fillId="27" borderId="1" applyNumberFormat="0" applyBorder="0" applyAlignment="0" applyProtection="0"/>
    <xf numFmtId="0" fontId="4" fillId="31" borderId="1" applyNumberFormat="0" applyBorder="0" applyAlignment="0" applyProtection="0"/>
    <xf numFmtId="0" fontId="4" fillId="35" borderId="1" applyNumberFormat="0" applyBorder="0" applyAlignment="0" applyProtection="0"/>
    <xf numFmtId="0" fontId="4" fillId="16" borderId="1" applyNumberFormat="0" applyBorder="0" applyAlignment="0" applyProtection="0"/>
    <xf numFmtId="0" fontId="4" fillId="20" borderId="1" applyNumberFormat="0" applyBorder="0" applyAlignment="0" applyProtection="0"/>
    <xf numFmtId="0" fontId="4" fillId="24" borderId="1" applyNumberFormat="0" applyBorder="0" applyAlignment="0" applyProtection="0"/>
    <xf numFmtId="0" fontId="4" fillId="28" borderId="1" applyNumberFormat="0" applyBorder="0" applyAlignment="0" applyProtection="0"/>
    <xf numFmtId="0" fontId="4" fillId="32" borderId="1" applyNumberFormat="0" applyBorder="0" applyAlignment="0" applyProtection="0"/>
    <xf numFmtId="0" fontId="4" fillId="36" borderId="1" applyNumberFormat="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0" fontId="4" fillId="0" borderId="1"/>
    <xf numFmtId="0" fontId="4" fillId="0" borderId="1"/>
    <xf numFmtId="0" fontId="4" fillId="0" borderId="1"/>
    <xf numFmtId="0" fontId="4" fillId="0" borderId="1"/>
    <xf numFmtId="0" fontId="4" fillId="0" borderId="1"/>
    <xf numFmtId="0" fontId="4" fillId="13" borderId="83" applyNumberFormat="0" applyFont="0" applyAlignment="0" applyProtection="0"/>
    <xf numFmtId="0" fontId="4" fillId="13" borderId="83" applyNumberFormat="0" applyFont="0" applyAlignment="0" applyProtection="0"/>
    <xf numFmtId="9" fontId="4" fillId="0" borderId="1" applyFont="0" applyFill="0" applyBorder="0" applyAlignment="0" applyProtection="0"/>
    <xf numFmtId="9" fontId="4" fillId="0" borderId="1" applyFont="0" applyFill="0" applyBorder="0" applyAlignment="0" applyProtection="0"/>
    <xf numFmtId="165" fontId="4" fillId="0" borderId="1" applyFont="0" applyFill="0" applyBorder="0" applyAlignment="0" applyProtection="0"/>
    <xf numFmtId="0" fontId="4" fillId="0" borderId="1"/>
    <xf numFmtId="0" fontId="4" fillId="15" borderId="1" applyNumberFormat="0" applyBorder="0" applyAlignment="0" applyProtection="0"/>
    <xf numFmtId="0" fontId="4" fillId="15" borderId="1" applyNumberFormat="0" applyBorder="0" applyAlignment="0" applyProtection="0"/>
    <xf numFmtId="0" fontId="4" fillId="19" borderId="1" applyNumberFormat="0" applyBorder="0" applyAlignment="0" applyProtection="0"/>
    <xf numFmtId="0" fontId="4" fillId="19" borderId="1" applyNumberFormat="0" applyBorder="0" applyAlignment="0" applyProtection="0"/>
    <xf numFmtId="0" fontId="4" fillId="23" borderId="1" applyNumberFormat="0" applyBorder="0" applyAlignment="0" applyProtection="0"/>
    <xf numFmtId="0" fontId="4" fillId="23" borderId="1" applyNumberFormat="0" applyBorder="0" applyAlignment="0" applyProtection="0"/>
    <xf numFmtId="0" fontId="4" fillId="27" borderId="1" applyNumberFormat="0" applyBorder="0" applyAlignment="0" applyProtection="0"/>
    <xf numFmtId="0" fontId="4" fillId="27" borderId="1" applyNumberFormat="0" applyBorder="0" applyAlignment="0" applyProtection="0"/>
    <xf numFmtId="0" fontId="4" fillId="31" borderId="1" applyNumberFormat="0" applyBorder="0" applyAlignment="0" applyProtection="0"/>
    <xf numFmtId="0" fontId="4" fillId="31" borderId="1" applyNumberFormat="0" applyBorder="0" applyAlignment="0" applyProtection="0"/>
    <xf numFmtId="0" fontId="4" fillId="35" borderId="1" applyNumberFormat="0" applyBorder="0" applyAlignment="0" applyProtection="0"/>
    <xf numFmtId="0" fontId="4" fillId="35" borderId="1" applyNumberFormat="0" applyBorder="0" applyAlignment="0" applyProtection="0"/>
    <xf numFmtId="0" fontId="4" fillId="16" borderId="1" applyNumberFormat="0" applyBorder="0" applyAlignment="0" applyProtection="0"/>
    <xf numFmtId="0" fontId="4" fillId="16" borderId="1" applyNumberFormat="0" applyBorder="0" applyAlignment="0" applyProtection="0"/>
    <xf numFmtId="0" fontId="4" fillId="20" borderId="1" applyNumberFormat="0" applyBorder="0" applyAlignment="0" applyProtection="0"/>
    <xf numFmtId="0" fontId="4" fillId="20" borderId="1" applyNumberFormat="0" applyBorder="0" applyAlignment="0" applyProtection="0"/>
    <xf numFmtId="0" fontId="4" fillId="24" borderId="1" applyNumberFormat="0" applyBorder="0" applyAlignment="0" applyProtection="0"/>
    <xf numFmtId="0" fontId="4" fillId="24" borderId="1" applyNumberFormat="0" applyBorder="0" applyAlignment="0" applyProtection="0"/>
    <xf numFmtId="0" fontId="4" fillId="28" borderId="1" applyNumberFormat="0" applyBorder="0" applyAlignment="0" applyProtection="0"/>
    <xf numFmtId="0" fontId="4" fillId="28" borderId="1" applyNumberFormat="0" applyBorder="0" applyAlignment="0" applyProtection="0"/>
    <xf numFmtId="0" fontId="4" fillId="32" borderId="1" applyNumberFormat="0" applyBorder="0" applyAlignment="0" applyProtection="0"/>
    <xf numFmtId="0" fontId="4" fillId="32" borderId="1" applyNumberFormat="0" applyBorder="0" applyAlignment="0" applyProtection="0"/>
    <xf numFmtId="0" fontId="4" fillId="36" borderId="1" applyNumberFormat="0" applyBorder="0" applyAlignment="0" applyProtection="0"/>
    <xf numFmtId="0" fontId="4" fillId="36" borderId="1" applyNumberFormat="0" applyBorder="0" applyAlignment="0" applyProtection="0"/>
    <xf numFmtId="165" fontId="4" fillId="0" borderId="1" applyFont="0" applyFill="0" applyBorder="0" applyAlignment="0" applyProtection="0"/>
    <xf numFmtId="165" fontId="4" fillId="0" borderId="1" applyFont="0" applyFill="0" applyBorder="0" applyAlignment="0" applyProtection="0"/>
    <xf numFmtId="0" fontId="4" fillId="0" borderId="1"/>
    <xf numFmtId="0" fontId="4" fillId="0" borderId="1"/>
    <xf numFmtId="0" fontId="4" fillId="0" borderId="1"/>
    <xf numFmtId="0" fontId="4" fillId="0" borderId="1"/>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9"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0" fontId="4" fillId="0" borderId="1"/>
    <xf numFmtId="0" fontId="4" fillId="0" borderId="1"/>
    <xf numFmtId="0" fontId="4" fillId="0" borderId="1"/>
    <xf numFmtId="0" fontId="4" fillId="0" borderId="1"/>
    <xf numFmtId="0" fontId="4" fillId="0" borderId="1"/>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0" fontId="4" fillId="0" borderId="1"/>
    <xf numFmtId="0" fontId="4" fillId="0" borderId="1"/>
    <xf numFmtId="0" fontId="4" fillId="0" borderId="1"/>
    <xf numFmtId="0" fontId="4" fillId="0" borderId="1"/>
    <xf numFmtId="0" fontId="4" fillId="0" borderId="1"/>
    <xf numFmtId="0" fontId="4" fillId="13" borderId="83" applyNumberFormat="0" applyFont="0" applyAlignment="0" applyProtection="0"/>
    <xf numFmtId="9" fontId="4" fillId="0" borderId="1" applyFont="0" applyFill="0" applyBorder="0" applyAlignment="0" applyProtection="0"/>
    <xf numFmtId="9" fontId="4" fillId="0" borderId="1" applyFont="0" applyFill="0" applyBorder="0" applyAlignment="0" applyProtection="0"/>
    <xf numFmtId="0" fontId="4" fillId="0" borderId="1"/>
    <xf numFmtId="0" fontId="4" fillId="15" borderId="1" applyNumberFormat="0" applyBorder="0" applyAlignment="0" applyProtection="0"/>
    <xf numFmtId="0" fontId="4" fillId="16" borderId="1" applyNumberFormat="0" applyBorder="0" applyAlignment="0" applyProtection="0"/>
    <xf numFmtId="0" fontId="4" fillId="19" borderId="1" applyNumberFormat="0" applyBorder="0" applyAlignment="0" applyProtection="0"/>
    <xf numFmtId="0" fontId="4" fillId="20" borderId="1" applyNumberFormat="0" applyBorder="0" applyAlignment="0" applyProtection="0"/>
    <xf numFmtId="0" fontId="4" fillId="23" borderId="1" applyNumberFormat="0" applyBorder="0" applyAlignment="0" applyProtection="0"/>
    <xf numFmtId="0" fontId="4" fillId="24" borderId="1" applyNumberFormat="0" applyBorder="0" applyAlignment="0" applyProtection="0"/>
    <xf numFmtId="0" fontId="4" fillId="27" borderId="1" applyNumberFormat="0" applyBorder="0" applyAlignment="0" applyProtection="0"/>
    <xf numFmtId="0" fontId="4" fillId="28" borderId="1" applyNumberFormat="0" applyBorder="0" applyAlignment="0" applyProtection="0"/>
    <xf numFmtId="0" fontId="4" fillId="31" borderId="1" applyNumberFormat="0" applyBorder="0" applyAlignment="0" applyProtection="0"/>
    <xf numFmtId="0" fontId="4" fillId="32" borderId="1" applyNumberFormat="0" applyBorder="0" applyAlignment="0" applyProtection="0"/>
    <xf numFmtId="0" fontId="4" fillId="35" borderId="1" applyNumberFormat="0" applyBorder="0" applyAlignment="0" applyProtection="0"/>
    <xf numFmtId="0" fontId="4" fillId="36" borderId="1" applyNumberFormat="0" applyBorder="0" applyAlignment="0" applyProtection="0"/>
    <xf numFmtId="0" fontId="4" fillId="0" borderId="1"/>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0" fontId="4" fillId="0" borderId="1"/>
    <xf numFmtId="0" fontId="4" fillId="0" borderId="1"/>
    <xf numFmtId="0" fontId="4" fillId="0" borderId="1"/>
    <xf numFmtId="0" fontId="4" fillId="0" borderId="1"/>
    <xf numFmtId="0" fontId="4" fillId="0" borderId="1"/>
    <xf numFmtId="0" fontId="4" fillId="13" borderId="83" applyNumberFormat="0" applyFont="0" applyAlignment="0" applyProtection="0"/>
    <xf numFmtId="0" fontId="4" fillId="13" borderId="83" applyNumberFormat="0" applyFont="0" applyAlignment="0" applyProtection="0"/>
    <xf numFmtId="9" fontId="4" fillId="0" borderId="1" applyFont="0" applyFill="0" applyBorder="0" applyAlignment="0" applyProtection="0"/>
    <xf numFmtId="9" fontId="4" fillId="0" borderId="1" applyFont="0" applyFill="0" applyBorder="0" applyAlignment="0" applyProtection="0"/>
    <xf numFmtId="0" fontId="4" fillId="0" borderId="1"/>
    <xf numFmtId="0" fontId="4" fillId="15" borderId="1" applyNumberFormat="0" applyBorder="0" applyAlignment="0" applyProtection="0"/>
    <xf numFmtId="0" fontId="4" fillId="19" borderId="1" applyNumberFormat="0" applyBorder="0" applyAlignment="0" applyProtection="0"/>
    <xf numFmtId="0" fontId="4" fillId="23" borderId="1" applyNumberFormat="0" applyBorder="0" applyAlignment="0" applyProtection="0"/>
    <xf numFmtId="0" fontId="4" fillId="27" borderId="1" applyNumberFormat="0" applyBorder="0" applyAlignment="0" applyProtection="0"/>
    <xf numFmtId="0" fontId="4" fillId="31" borderId="1" applyNumberFormat="0" applyBorder="0" applyAlignment="0" applyProtection="0"/>
    <xf numFmtId="0" fontId="4" fillId="35" borderId="1" applyNumberFormat="0" applyBorder="0" applyAlignment="0" applyProtection="0"/>
    <xf numFmtId="0" fontId="4" fillId="16" borderId="1" applyNumberFormat="0" applyBorder="0" applyAlignment="0" applyProtection="0"/>
    <xf numFmtId="0" fontId="4" fillId="20" borderId="1" applyNumberFormat="0" applyBorder="0" applyAlignment="0" applyProtection="0"/>
    <xf numFmtId="0" fontId="4" fillId="24" borderId="1" applyNumberFormat="0" applyBorder="0" applyAlignment="0" applyProtection="0"/>
    <xf numFmtId="0" fontId="4" fillId="28" borderId="1" applyNumberFormat="0" applyBorder="0" applyAlignment="0" applyProtection="0"/>
    <xf numFmtId="0" fontId="4" fillId="32" borderId="1" applyNumberFormat="0" applyBorder="0" applyAlignment="0" applyProtection="0"/>
    <xf numFmtId="0" fontId="4" fillId="36" borderId="1" applyNumberFormat="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0" fontId="4" fillId="0" borderId="1"/>
    <xf numFmtId="0" fontId="4" fillId="0" borderId="1"/>
    <xf numFmtId="0" fontId="4" fillId="0" borderId="1"/>
    <xf numFmtId="0" fontId="4" fillId="0" borderId="1"/>
    <xf numFmtId="0" fontId="4" fillId="0" borderId="1"/>
    <xf numFmtId="0" fontId="4" fillId="13" borderId="83" applyNumberFormat="0" applyFont="0" applyAlignment="0" applyProtection="0"/>
    <xf numFmtId="0" fontId="4" fillId="13" borderId="83" applyNumberFormat="0" applyFont="0" applyAlignment="0" applyProtection="0"/>
    <xf numFmtId="9" fontId="4" fillId="0" borderId="1" applyFont="0" applyFill="0" applyBorder="0" applyAlignment="0" applyProtection="0"/>
    <xf numFmtId="9"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0" fontId="4" fillId="0" borderId="1"/>
    <xf numFmtId="0" fontId="4" fillId="15" borderId="1" applyNumberFormat="0" applyBorder="0" applyAlignment="0" applyProtection="0"/>
    <xf numFmtId="0" fontId="4" fillId="16" borderId="1" applyNumberFormat="0" applyBorder="0" applyAlignment="0" applyProtection="0"/>
    <xf numFmtId="0" fontId="4" fillId="19" borderId="1" applyNumberFormat="0" applyBorder="0" applyAlignment="0" applyProtection="0"/>
    <xf numFmtId="0" fontId="4" fillId="20" borderId="1" applyNumberFormat="0" applyBorder="0" applyAlignment="0" applyProtection="0"/>
    <xf numFmtId="0" fontId="4" fillId="23" borderId="1" applyNumberFormat="0" applyBorder="0" applyAlignment="0" applyProtection="0"/>
    <xf numFmtId="0" fontId="4" fillId="24" borderId="1" applyNumberFormat="0" applyBorder="0" applyAlignment="0" applyProtection="0"/>
    <xf numFmtId="0" fontId="4" fillId="27" borderId="1" applyNumberFormat="0" applyBorder="0" applyAlignment="0" applyProtection="0"/>
    <xf numFmtId="0" fontId="4" fillId="28" borderId="1" applyNumberFormat="0" applyBorder="0" applyAlignment="0" applyProtection="0"/>
    <xf numFmtId="0" fontId="4" fillId="31" borderId="1" applyNumberFormat="0" applyBorder="0" applyAlignment="0" applyProtection="0"/>
    <xf numFmtId="0" fontId="4" fillId="32" borderId="1" applyNumberFormat="0" applyBorder="0" applyAlignment="0" applyProtection="0"/>
    <xf numFmtId="0" fontId="4" fillId="35" borderId="1" applyNumberFormat="0" applyBorder="0" applyAlignment="0" applyProtection="0"/>
    <xf numFmtId="0" fontId="4" fillId="36" borderId="1" applyNumberFormat="0" applyBorder="0" applyAlignment="0" applyProtection="0"/>
    <xf numFmtId="0" fontId="4" fillId="0" borderId="1"/>
    <xf numFmtId="0" fontId="4" fillId="0" borderId="1"/>
    <xf numFmtId="165" fontId="4" fillId="0" borderId="1" applyFont="0" applyFill="0" applyBorder="0" applyAlignment="0" applyProtection="0"/>
    <xf numFmtId="0" fontId="4" fillId="0" borderId="1"/>
    <xf numFmtId="9" fontId="4" fillId="0" borderId="1" applyFont="0" applyFill="0" applyBorder="0" applyAlignment="0" applyProtection="0"/>
    <xf numFmtId="0" fontId="4" fillId="13" borderId="83" applyNumberFormat="0" applyFont="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0" fontId="4" fillId="0" borderId="1"/>
    <xf numFmtId="0" fontId="4" fillId="0" borderId="1"/>
    <xf numFmtId="0" fontId="4" fillId="0" borderId="1"/>
    <xf numFmtId="0" fontId="4" fillId="0" borderId="1"/>
    <xf numFmtId="0" fontId="4" fillId="0" borderId="1"/>
    <xf numFmtId="0" fontId="4" fillId="15" borderId="1" applyNumberFormat="0" applyBorder="0" applyAlignment="0" applyProtection="0"/>
    <xf numFmtId="0" fontId="4" fillId="19" borderId="1" applyNumberFormat="0" applyBorder="0" applyAlignment="0" applyProtection="0"/>
    <xf numFmtId="0" fontId="4" fillId="23" borderId="1" applyNumberFormat="0" applyBorder="0" applyAlignment="0" applyProtection="0"/>
    <xf numFmtId="0" fontId="4" fillId="27" borderId="1" applyNumberFormat="0" applyBorder="0" applyAlignment="0" applyProtection="0"/>
    <xf numFmtId="0" fontId="4" fillId="31" borderId="1" applyNumberFormat="0" applyBorder="0" applyAlignment="0" applyProtection="0"/>
    <xf numFmtId="0" fontId="4" fillId="35" borderId="1" applyNumberFormat="0" applyBorder="0" applyAlignment="0" applyProtection="0"/>
    <xf numFmtId="0" fontId="4" fillId="16" borderId="1" applyNumberFormat="0" applyBorder="0" applyAlignment="0" applyProtection="0"/>
    <xf numFmtId="0" fontId="4" fillId="20" borderId="1" applyNumberFormat="0" applyBorder="0" applyAlignment="0" applyProtection="0"/>
    <xf numFmtId="0" fontId="4" fillId="24" borderId="1" applyNumberFormat="0" applyBorder="0" applyAlignment="0" applyProtection="0"/>
    <xf numFmtId="0" fontId="4" fillId="28" borderId="1" applyNumberFormat="0" applyBorder="0" applyAlignment="0" applyProtection="0"/>
    <xf numFmtId="0" fontId="4" fillId="32" borderId="1" applyNumberFormat="0" applyBorder="0" applyAlignment="0" applyProtection="0"/>
    <xf numFmtId="0" fontId="4" fillId="36" borderId="1" applyNumberFormat="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0" fontId="4" fillId="0" borderId="1"/>
    <xf numFmtId="0" fontId="4" fillId="0" borderId="1"/>
    <xf numFmtId="0" fontId="4" fillId="0" borderId="1"/>
    <xf numFmtId="0" fontId="4" fillId="0" borderId="1"/>
    <xf numFmtId="0" fontId="4" fillId="0" borderId="1"/>
    <xf numFmtId="0" fontId="4" fillId="13" borderId="83" applyNumberFormat="0" applyFont="0" applyAlignment="0" applyProtection="0"/>
    <xf numFmtId="0" fontId="4" fillId="13" borderId="83" applyNumberFormat="0" applyFont="0" applyAlignment="0" applyProtection="0"/>
    <xf numFmtId="9" fontId="4" fillId="0" borderId="1" applyFont="0" applyFill="0" applyBorder="0" applyAlignment="0" applyProtection="0"/>
    <xf numFmtId="9"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0" fontId="4" fillId="0" borderId="1"/>
    <xf numFmtId="0" fontId="4" fillId="15" borderId="1" applyNumberFormat="0" applyBorder="0" applyAlignment="0" applyProtection="0"/>
    <xf numFmtId="0" fontId="4" fillId="16" borderId="1" applyNumberFormat="0" applyBorder="0" applyAlignment="0" applyProtection="0"/>
    <xf numFmtId="0" fontId="4" fillId="19" borderId="1" applyNumberFormat="0" applyBorder="0" applyAlignment="0" applyProtection="0"/>
    <xf numFmtId="0" fontId="4" fillId="20" borderId="1" applyNumberFormat="0" applyBorder="0" applyAlignment="0" applyProtection="0"/>
    <xf numFmtId="0" fontId="4" fillId="23" borderId="1" applyNumberFormat="0" applyBorder="0" applyAlignment="0" applyProtection="0"/>
    <xf numFmtId="0" fontId="4" fillId="24" borderId="1" applyNumberFormat="0" applyBorder="0" applyAlignment="0" applyProtection="0"/>
    <xf numFmtId="0" fontId="4" fillId="27" borderId="1" applyNumberFormat="0" applyBorder="0" applyAlignment="0" applyProtection="0"/>
    <xf numFmtId="0" fontId="4" fillId="28" borderId="1" applyNumberFormat="0" applyBorder="0" applyAlignment="0" applyProtection="0"/>
    <xf numFmtId="0" fontId="4" fillId="31" borderId="1" applyNumberFormat="0" applyBorder="0" applyAlignment="0" applyProtection="0"/>
    <xf numFmtId="0" fontId="4" fillId="32" borderId="1" applyNumberFormat="0" applyBorder="0" applyAlignment="0" applyProtection="0"/>
    <xf numFmtId="0" fontId="4" fillId="35" borderId="1" applyNumberFormat="0" applyBorder="0" applyAlignment="0" applyProtection="0"/>
    <xf numFmtId="0" fontId="4" fillId="36" borderId="1" applyNumberFormat="0" applyBorder="0" applyAlignment="0" applyProtection="0"/>
    <xf numFmtId="0" fontId="4" fillId="0" borderId="1"/>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0" fontId="4" fillId="0" borderId="1"/>
    <xf numFmtId="0" fontId="4" fillId="0" borderId="1"/>
    <xf numFmtId="0" fontId="4" fillId="0" borderId="1"/>
    <xf numFmtId="0" fontId="4" fillId="0" borderId="1"/>
    <xf numFmtId="0" fontId="4" fillId="0" borderId="1"/>
    <xf numFmtId="0" fontId="4" fillId="13" borderId="83" applyNumberFormat="0" applyFont="0" applyAlignment="0" applyProtection="0"/>
    <xf numFmtId="0" fontId="4" fillId="13" borderId="83" applyNumberFormat="0" applyFont="0" applyAlignment="0" applyProtection="0"/>
    <xf numFmtId="9" fontId="4" fillId="0" borderId="1" applyFont="0" applyFill="0" applyBorder="0" applyAlignment="0" applyProtection="0"/>
    <xf numFmtId="9" fontId="4" fillId="0" borderId="1" applyFont="0" applyFill="0" applyBorder="0" applyAlignment="0" applyProtection="0"/>
    <xf numFmtId="0" fontId="4" fillId="0" borderId="1"/>
    <xf numFmtId="0" fontId="4" fillId="15" borderId="1" applyNumberFormat="0" applyBorder="0" applyAlignment="0" applyProtection="0"/>
    <xf numFmtId="0" fontId="4" fillId="19" borderId="1" applyNumberFormat="0" applyBorder="0" applyAlignment="0" applyProtection="0"/>
    <xf numFmtId="0" fontId="4" fillId="23" borderId="1" applyNumberFormat="0" applyBorder="0" applyAlignment="0" applyProtection="0"/>
    <xf numFmtId="0" fontId="4" fillId="27" borderId="1" applyNumberFormat="0" applyBorder="0" applyAlignment="0" applyProtection="0"/>
    <xf numFmtId="0" fontId="4" fillId="31" borderId="1" applyNumberFormat="0" applyBorder="0" applyAlignment="0" applyProtection="0"/>
    <xf numFmtId="0" fontId="4" fillId="35" borderId="1" applyNumberFormat="0" applyBorder="0" applyAlignment="0" applyProtection="0"/>
    <xf numFmtId="0" fontId="4" fillId="16" borderId="1" applyNumberFormat="0" applyBorder="0" applyAlignment="0" applyProtection="0"/>
    <xf numFmtId="0" fontId="4" fillId="20" borderId="1" applyNumberFormat="0" applyBorder="0" applyAlignment="0" applyProtection="0"/>
    <xf numFmtId="0" fontId="4" fillId="24" borderId="1" applyNumberFormat="0" applyBorder="0" applyAlignment="0" applyProtection="0"/>
    <xf numFmtId="0" fontId="4" fillId="28" borderId="1" applyNumberFormat="0" applyBorder="0" applyAlignment="0" applyProtection="0"/>
    <xf numFmtId="0" fontId="4" fillId="32" borderId="1" applyNumberFormat="0" applyBorder="0" applyAlignment="0" applyProtection="0"/>
    <xf numFmtId="0" fontId="4" fillId="36" borderId="1" applyNumberFormat="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0" fontId="4" fillId="0" borderId="1"/>
    <xf numFmtId="0" fontId="4" fillId="0" borderId="1"/>
    <xf numFmtId="0" fontId="4" fillId="0" borderId="1"/>
    <xf numFmtId="0" fontId="4" fillId="0" borderId="1"/>
    <xf numFmtId="0" fontId="4" fillId="0" borderId="1"/>
    <xf numFmtId="0" fontId="4" fillId="13" borderId="83" applyNumberFormat="0" applyFont="0" applyAlignment="0" applyProtection="0"/>
    <xf numFmtId="0" fontId="4" fillId="13" borderId="83" applyNumberFormat="0" applyFont="0" applyAlignment="0" applyProtection="0"/>
    <xf numFmtId="9" fontId="4" fillId="0" borderId="1" applyFont="0" applyFill="0" applyBorder="0" applyAlignment="0" applyProtection="0"/>
    <xf numFmtId="9"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0" fontId="4" fillId="0" borderId="1"/>
    <xf numFmtId="0" fontId="4" fillId="15" borderId="1" applyNumberFormat="0" applyBorder="0" applyAlignment="0" applyProtection="0"/>
    <xf numFmtId="0" fontId="4" fillId="15" borderId="1" applyNumberFormat="0" applyBorder="0" applyAlignment="0" applyProtection="0"/>
    <xf numFmtId="0" fontId="4" fillId="19" borderId="1" applyNumberFormat="0" applyBorder="0" applyAlignment="0" applyProtection="0"/>
    <xf numFmtId="0" fontId="4" fillId="19" borderId="1" applyNumberFormat="0" applyBorder="0" applyAlignment="0" applyProtection="0"/>
    <xf numFmtId="0" fontId="4" fillId="23" borderId="1" applyNumberFormat="0" applyBorder="0" applyAlignment="0" applyProtection="0"/>
    <xf numFmtId="0" fontId="4" fillId="23" borderId="1" applyNumberFormat="0" applyBorder="0" applyAlignment="0" applyProtection="0"/>
    <xf numFmtId="0" fontId="4" fillId="27" borderId="1" applyNumberFormat="0" applyBorder="0" applyAlignment="0" applyProtection="0"/>
    <xf numFmtId="0" fontId="4" fillId="27" borderId="1" applyNumberFormat="0" applyBorder="0" applyAlignment="0" applyProtection="0"/>
    <xf numFmtId="0" fontId="4" fillId="31" borderId="1" applyNumberFormat="0" applyBorder="0" applyAlignment="0" applyProtection="0"/>
    <xf numFmtId="0" fontId="4" fillId="31" borderId="1" applyNumberFormat="0" applyBorder="0" applyAlignment="0" applyProtection="0"/>
    <xf numFmtId="0" fontId="4" fillId="35" borderId="1" applyNumberFormat="0" applyBorder="0" applyAlignment="0" applyProtection="0"/>
    <xf numFmtId="0" fontId="4" fillId="35" borderId="1" applyNumberFormat="0" applyBorder="0" applyAlignment="0" applyProtection="0"/>
    <xf numFmtId="0" fontId="4" fillId="16" borderId="1" applyNumberFormat="0" applyBorder="0" applyAlignment="0" applyProtection="0"/>
    <xf numFmtId="0" fontId="4" fillId="16" borderId="1" applyNumberFormat="0" applyBorder="0" applyAlignment="0" applyProtection="0"/>
    <xf numFmtId="0" fontId="4" fillId="20" borderId="1" applyNumberFormat="0" applyBorder="0" applyAlignment="0" applyProtection="0"/>
    <xf numFmtId="0" fontId="4" fillId="20" borderId="1" applyNumberFormat="0" applyBorder="0" applyAlignment="0" applyProtection="0"/>
    <xf numFmtId="0" fontId="4" fillId="24" borderId="1" applyNumberFormat="0" applyBorder="0" applyAlignment="0" applyProtection="0"/>
    <xf numFmtId="0" fontId="4" fillId="24" borderId="1" applyNumberFormat="0" applyBorder="0" applyAlignment="0" applyProtection="0"/>
    <xf numFmtId="0" fontId="4" fillId="28" borderId="1" applyNumberFormat="0" applyBorder="0" applyAlignment="0" applyProtection="0"/>
    <xf numFmtId="0" fontId="4" fillId="28" borderId="1" applyNumberFormat="0" applyBorder="0" applyAlignment="0" applyProtection="0"/>
    <xf numFmtId="0" fontId="4" fillId="32" borderId="1" applyNumberFormat="0" applyBorder="0" applyAlignment="0" applyProtection="0"/>
    <xf numFmtId="0" fontId="4" fillId="32" borderId="1" applyNumberFormat="0" applyBorder="0" applyAlignment="0" applyProtection="0"/>
    <xf numFmtId="0" fontId="4" fillId="36" borderId="1" applyNumberFormat="0" applyBorder="0" applyAlignment="0" applyProtection="0"/>
    <xf numFmtId="0" fontId="4" fillId="36" borderId="1" applyNumberFormat="0" applyBorder="0" applyAlignment="0" applyProtection="0"/>
    <xf numFmtId="165" fontId="4" fillId="0" borderId="1" applyFont="0" applyFill="0" applyBorder="0" applyAlignment="0" applyProtection="0"/>
    <xf numFmtId="165" fontId="4" fillId="0" borderId="1" applyFont="0" applyFill="0" applyBorder="0" applyAlignment="0" applyProtection="0"/>
    <xf numFmtId="0" fontId="4" fillId="0" borderId="1"/>
    <xf numFmtId="0" fontId="4" fillId="0" borderId="1"/>
    <xf numFmtId="0" fontId="4" fillId="0" borderId="1"/>
    <xf numFmtId="0" fontId="4" fillId="0" borderId="1"/>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9"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0" fontId="4" fillId="0" borderId="1"/>
    <xf numFmtId="0" fontId="4" fillId="0" borderId="1"/>
    <xf numFmtId="0" fontId="4" fillId="0" borderId="1"/>
    <xf numFmtId="0" fontId="4" fillId="0" borderId="1"/>
    <xf numFmtId="0" fontId="4" fillId="0" borderId="1"/>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0" fontId="4" fillId="0" borderId="1"/>
    <xf numFmtId="0" fontId="4" fillId="0" borderId="1"/>
    <xf numFmtId="0" fontId="4" fillId="0" borderId="1"/>
    <xf numFmtId="0" fontId="4" fillId="0" borderId="1"/>
    <xf numFmtId="0" fontId="4" fillId="0" borderId="1"/>
    <xf numFmtId="0" fontId="4" fillId="13" borderId="83" applyNumberFormat="0" applyFont="0" applyAlignment="0" applyProtection="0"/>
    <xf numFmtId="9" fontId="4" fillId="0" borderId="1" applyFont="0" applyFill="0" applyBorder="0" applyAlignment="0" applyProtection="0"/>
    <xf numFmtId="9"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0" fontId="4" fillId="0" borderId="1"/>
    <xf numFmtId="0" fontId="4" fillId="15" borderId="1" applyNumberFormat="0" applyBorder="0" applyAlignment="0" applyProtection="0"/>
    <xf numFmtId="0" fontId="4" fillId="16" borderId="1" applyNumberFormat="0" applyBorder="0" applyAlignment="0" applyProtection="0"/>
    <xf numFmtId="0" fontId="4" fillId="19" borderId="1" applyNumberFormat="0" applyBorder="0" applyAlignment="0" applyProtection="0"/>
    <xf numFmtId="0" fontId="4" fillId="20" borderId="1" applyNumberFormat="0" applyBorder="0" applyAlignment="0" applyProtection="0"/>
    <xf numFmtId="0" fontId="4" fillId="23" borderId="1" applyNumberFormat="0" applyBorder="0" applyAlignment="0" applyProtection="0"/>
    <xf numFmtId="0" fontId="4" fillId="24" borderId="1" applyNumberFormat="0" applyBorder="0" applyAlignment="0" applyProtection="0"/>
    <xf numFmtId="0" fontId="4" fillId="27" borderId="1" applyNumberFormat="0" applyBorder="0" applyAlignment="0" applyProtection="0"/>
    <xf numFmtId="0" fontId="4" fillId="28" borderId="1" applyNumberFormat="0" applyBorder="0" applyAlignment="0" applyProtection="0"/>
    <xf numFmtId="0" fontId="4" fillId="31" borderId="1" applyNumberFormat="0" applyBorder="0" applyAlignment="0" applyProtection="0"/>
    <xf numFmtId="0" fontId="4" fillId="32" borderId="1" applyNumberFormat="0" applyBorder="0" applyAlignment="0" applyProtection="0"/>
    <xf numFmtId="0" fontId="4" fillId="35" borderId="1" applyNumberFormat="0" applyBorder="0" applyAlignment="0" applyProtection="0"/>
    <xf numFmtId="0" fontId="4" fillId="36" borderId="1" applyNumberFormat="0" applyBorder="0" applyAlignment="0" applyProtection="0"/>
    <xf numFmtId="0" fontId="4" fillId="0" borderId="1"/>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0" fontId="4" fillId="0" borderId="1"/>
    <xf numFmtId="0" fontId="4" fillId="0" borderId="1"/>
    <xf numFmtId="0" fontId="4" fillId="0" borderId="1"/>
    <xf numFmtId="0" fontId="4" fillId="0" borderId="1"/>
    <xf numFmtId="0" fontId="4" fillId="0" borderId="1"/>
    <xf numFmtId="0" fontId="4" fillId="13" borderId="83" applyNumberFormat="0" applyFont="0" applyAlignment="0" applyProtection="0"/>
    <xf numFmtId="0" fontId="4" fillId="13" borderId="83" applyNumberFormat="0" applyFont="0" applyAlignment="0" applyProtection="0"/>
    <xf numFmtId="9" fontId="4" fillId="0" borderId="1" applyFont="0" applyFill="0" applyBorder="0" applyAlignment="0" applyProtection="0"/>
    <xf numFmtId="9" fontId="4" fillId="0" borderId="1" applyFont="0" applyFill="0" applyBorder="0" applyAlignment="0" applyProtection="0"/>
    <xf numFmtId="0" fontId="4" fillId="0" borderId="1"/>
    <xf numFmtId="0" fontId="4" fillId="15" borderId="1" applyNumberFormat="0" applyBorder="0" applyAlignment="0" applyProtection="0"/>
    <xf numFmtId="0" fontId="4" fillId="19" borderId="1" applyNumberFormat="0" applyBorder="0" applyAlignment="0" applyProtection="0"/>
    <xf numFmtId="0" fontId="4" fillId="23" borderId="1" applyNumberFormat="0" applyBorder="0" applyAlignment="0" applyProtection="0"/>
    <xf numFmtId="0" fontId="4" fillId="27" borderId="1" applyNumberFormat="0" applyBorder="0" applyAlignment="0" applyProtection="0"/>
    <xf numFmtId="0" fontId="4" fillId="31" borderId="1" applyNumberFormat="0" applyBorder="0" applyAlignment="0" applyProtection="0"/>
    <xf numFmtId="0" fontId="4" fillId="35" borderId="1" applyNumberFormat="0" applyBorder="0" applyAlignment="0" applyProtection="0"/>
    <xf numFmtId="0" fontId="4" fillId="16" borderId="1" applyNumberFormat="0" applyBorder="0" applyAlignment="0" applyProtection="0"/>
    <xf numFmtId="0" fontId="4" fillId="20" borderId="1" applyNumberFormat="0" applyBorder="0" applyAlignment="0" applyProtection="0"/>
    <xf numFmtId="0" fontId="4" fillId="24" borderId="1" applyNumberFormat="0" applyBorder="0" applyAlignment="0" applyProtection="0"/>
    <xf numFmtId="0" fontId="4" fillId="28" borderId="1" applyNumberFormat="0" applyBorder="0" applyAlignment="0" applyProtection="0"/>
    <xf numFmtId="0" fontId="4" fillId="32" borderId="1" applyNumberFormat="0" applyBorder="0" applyAlignment="0" applyProtection="0"/>
    <xf numFmtId="0" fontId="4" fillId="36" borderId="1" applyNumberFormat="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0" fontId="4" fillId="0" borderId="1"/>
    <xf numFmtId="0" fontId="4" fillId="0" borderId="1"/>
    <xf numFmtId="0" fontId="4" fillId="0" borderId="1"/>
    <xf numFmtId="0" fontId="4" fillId="0" borderId="1"/>
    <xf numFmtId="0" fontId="4" fillId="0" borderId="1"/>
    <xf numFmtId="0" fontId="4" fillId="13" borderId="83" applyNumberFormat="0" applyFont="0" applyAlignment="0" applyProtection="0"/>
    <xf numFmtId="0" fontId="4" fillId="13" borderId="83" applyNumberFormat="0" applyFont="0" applyAlignment="0" applyProtection="0"/>
    <xf numFmtId="9" fontId="4" fillId="0" borderId="1" applyFont="0" applyFill="0" applyBorder="0" applyAlignment="0" applyProtection="0"/>
    <xf numFmtId="9"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0" fontId="4" fillId="0" borderId="1"/>
    <xf numFmtId="0" fontId="4" fillId="15" borderId="1" applyNumberFormat="0" applyBorder="0" applyAlignment="0" applyProtection="0"/>
    <xf numFmtId="0" fontId="4" fillId="16" borderId="1" applyNumberFormat="0" applyBorder="0" applyAlignment="0" applyProtection="0"/>
    <xf numFmtId="0" fontId="4" fillId="19" borderId="1" applyNumberFormat="0" applyBorder="0" applyAlignment="0" applyProtection="0"/>
    <xf numFmtId="0" fontId="4" fillId="20" borderId="1" applyNumberFormat="0" applyBorder="0" applyAlignment="0" applyProtection="0"/>
    <xf numFmtId="0" fontId="4" fillId="23" borderId="1" applyNumberFormat="0" applyBorder="0" applyAlignment="0" applyProtection="0"/>
    <xf numFmtId="0" fontId="4" fillId="24" borderId="1" applyNumberFormat="0" applyBorder="0" applyAlignment="0" applyProtection="0"/>
    <xf numFmtId="0" fontId="4" fillId="27" borderId="1" applyNumberFormat="0" applyBorder="0" applyAlignment="0" applyProtection="0"/>
    <xf numFmtId="0" fontId="4" fillId="28" borderId="1" applyNumberFormat="0" applyBorder="0" applyAlignment="0" applyProtection="0"/>
    <xf numFmtId="0" fontId="4" fillId="31" borderId="1" applyNumberFormat="0" applyBorder="0" applyAlignment="0" applyProtection="0"/>
    <xf numFmtId="0" fontId="4" fillId="32" borderId="1" applyNumberFormat="0" applyBorder="0" applyAlignment="0" applyProtection="0"/>
    <xf numFmtId="0" fontId="4" fillId="35" borderId="1" applyNumberFormat="0" applyBorder="0" applyAlignment="0" applyProtection="0"/>
    <xf numFmtId="0" fontId="4" fillId="36" borderId="1" applyNumberFormat="0" applyBorder="0" applyAlignment="0" applyProtection="0"/>
    <xf numFmtId="0" fontId="4" fillId="0" borderId="1"/>
    <xf numFmtId="0" fontId="4" fillId="0" borderId="1"/>
    <xf numFmtId="165" fontId="4" fillId="0" borderId="1" applyFont="0" applyFill="0" applyBorder="0" applyAlignment="0" applyProtection="0"/>
    <xf numFmtId="0" fontId="4" fillId="0" borderId="1"/>
    <xf numFmtId="165" fontId="4" fillId="0" borderId="1" applyFont="0" applyFill="0" applyBorder="0" applyAlignment="0" applyProtection="0"/>
    <xf numFmtId="9" fontId="4" fillId="0" borderId="1" applyFont="0" applyFill="0" applyBorder="0" applyAlignment="0" applyProtection="0"/>
    <xf numFmtId="0" fontId="4" fillId="13" borderId="83" applyNumberFormat="0" applyFont="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0" fontId="4" fillId="0" borderId="1"/>
    <xf numFmtId="0" fontId="4" fillId="0" borderId="1"/>
    <xf numFmtId="0" fontId="4" fillId="0" borderId="1"/>
    <xf numFmtId="0" fontId="4" fillId="0" borderId="1"/>
    <xf numFmtId="0" fontId="4" fillId="0" borderId="1"/>
    <xf numFmtId="0" fontId="4" fillId="15" borderId="1" applyNumberFormat="0" applyBorder="0" applyAlignment="0" applyProtection="0"/>
    <xf numFmtId="0" fontId="4" fillId="19" borderId="1" applyNumberFormat="0" applyBorder="0" applyAlignment="0" applyProtection="0"/>
    <xf numFmtId="0" fontId="4" fillId="23" borderId="1" applyNumberFormat="0" applyBorder="0" applyAlignment="0" applyProtection="0"/>
    <xf numFmtId="0" fontId="4" fillId="27" borderId="1" applyNumberFormat="0" applyBorder="0" applyAlignment="0" applyProtection="0"/>
    <xf numFmtId="0" fontId="4" fillId="31" borderId="1" applyNumberFormat="0" applyBorder="0" applyAlignment="0" applyProtection="0"/>
    <xf numFmtId="0" fontId="4" fillId="35" borderId="1" applyNumberFormat="0" applyBorder="0" applyAlignment="0" applyProtection="0"/>
    <xf numFmtId="0" fontId="4" fillId="16" borderId="1" applyNumberFormat="0" applyBorder="0" applyAlignment="0" applyProtection="0"/>
    <xf numFmtId="0" fontId="4" fillId="20" borderId="1" applyNumberFormat="0" applyBorder="0" applyAlignment="0" applyProtection="0"/>
    <xf numFmtId="0" fontId="4" fillId="24" borderId="1" applyNumberFormat="0" applyBorder="0" applyAlignment="0" applyProtection="0"/>
    <xf numFmtId="0" fontId="4" fillId="28" borderId="1" applyNumberFormat="0" applyBorder="0" applyAlignment="0" applyProtection="0"/>
    <xf numFmtId="0" fontId="4" fillId="32" borderId="1" applyNumberFormat="0" applyBorder="0" applyAlignment="0" applyProtection="0"/>
    <xf numFmtId="0" fontId="4" fillId="36" borderId="1" applyNumberFormat="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0" fontId="4" fillId="0" borderId="1"/>
    <xf numFmtId="0" fontId="4" fillId="0" borderId="1"/>
    <xf numFmtId="0" fontId="4" fillId="0" borderId="1"/>
    <xf numFmtId="0" fontId="4" fillId="0" borderId="1"/>
    <xf numFmtId="0" fontId="4" fillId="0" borderId="1"/>
    <xf numFmtId="0" fontId="4" fillId="13" borderId="83" applyNumberFormat="0" applyFont="0" applyAlignment="0" applyProtection="0"/>
    <xf numFmtId="0" fontId="4" fillId="13" borderId="83" applyNumberFormat="0" applyFont="0" applyAlignment="0" applyProtection="0"/>
    <xf numFmtId="9" fontId="4" fillId="0" borderId="1" applyFont="0" applyFill="0" applyBorder="0" applyAlignment="0" applyProtection="0"/>
    <xf numFmtId="9"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0" fontId="4" fillId="0" borderId="1"/>
    <xf numFmtId="0" fontId="4" fillId="15" borderId="1" applyNumberFormat="0" applyBorder="0" applyAlignment="0" applyProtection="0"/>
    <xf numFmtId="0" fontId="4" fillId="16" borderId="1" applyNumberFormat="0" applyBorder="0" applyAlignment="0" applyProtection="0"/>
    <xf numFmtId="0" fontId="4" fillId="19" borderId="1" applyNumberFormat="0" applyBorder="0" applyAlignment="0" applyProtection="0"/>
    <xf numFmtId="0" fontId="4" fillId="20" borderId="1" applyNumberFormat="0" applyBorder="0" applyAlignment="0" applyProtection="0"/>
    <xf numFmtId="0" fontId="4" fillId="23" borderId="1" applyNumberFormat="0" applyBorder="0" applyAlignment="0" applyProtection="0"/>
    <xf numFmtId="0" fontId="4" fillId="24" borderId="1" applyNumberFormat="0" applyBorder="0" applyAlignment="0" applyProtection="0"/>
    <xf numFmtId="0" fontId="4" fillId="27" borderId="1" applyNumberFormat="0" applyBorder="0" applyAlignment="0" applyProtection="0"/>
    <xf numFmtId="0" fontId="4" fillId="28" borderId="1" applyNumberFormat="0" applyBorder="0" applyAlignment="0" applyProtection="0"/>
    <xf numFmtId="0" fontId="4" fillId="31" borderId="1" applyNumberFormat="0" applyBorder="0" applyAlignment="0" applyProtection="0"/>
    <xf numFmtId="0" fontId="4" fillId="32" borderId="1" applyNumberFormat="0" applyBorder="0" applyAlignment="0" applyProtection="0"/>
    <xf numFmtId="0" fontId="4" fillId="35" borderId="1" applyNumberFormat="0" applyBorder="0" applyAlignment="0" applyProtection="0"/>
    <xf numFmtId="0" fontId="4" fillId="36" borderId="1" applyNumberFormat="0" applyBorder="0" applyAlignment="0" applyProtection="0"/>
    <xf numFmtId="0" fontId="4" fillId="0" borderId="1"/>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0" fontId="4" fillId="0" borderId="1"/>
    <xf numFmtId="0" fontId="4" fillId="0" borderId="1"/>
    <xf numFmtId="0" fontId="4" fillId="0" borderId="1"/>
    <xf numFmtId="0" fontId="4" fillId="0" borderId="1"/>
    <xf numFmtId="0" fontId="4" fillId="0" borderId="1"/>
    <xf numFmtId="0" fontId="4" fillId="13" borderId="83" applyNumberFormat="0" applyFont="0" applyAlignment="0" applyProtection="0"/>
    <xf numFmtId="0" fontId="4" fillId="13" borderId="83" applyNumberFormat="0" applyFont="0" applyAlignment="0" applyProtection="0"/>
    <xf numFmtId="9" fontId="4" fillId="0" borderId="1" applyFont="0" applyFill="0" applyBorder="0" applyAlignment="0" applyProtection="0"/>
    <xf numFmtId="9" fontId="4" fillId="0" borderId="1" applyFont="0" applyFill="0" applyBorder="0" applyAlignment="0" applyProtection="0"/>
    <xf numFmtId="0" fontId="4" fillId="0" borderId="1"/>
    <xf numFmtId="0" fontId="4" fillId="15" borderId="1" applyNumberFormat="0" applyBorder="0" applyAlignment="0" applyProtection="0"/>
    <xf numFmtId="0" fontId="4" fillId="19" borderId="1" applyNumberFormat="0" applyBorder="0" applyAlignment="0" applyProtection="0"/>
    <xf numFmtId="0" fontId="4" fillId="23" borderId="1" applyNumberFormat="0" applyBorder="0" applyAlignment="0" applyProtection="0"/>
    <xf numFmtId="0" fontId="4" fillId="27" borderId="1" applyNumberFormat="0" applyBorder="0" applyAlignment="0" applyProtection="0"/>
    <xf numFmtId="0" fontId="4" fillId="31" borderId="1" applyNumberFormat="0" applyBorder="0" applyAlignment="0" applyProtection="0"/>
    <xf numFmtId="0" fontId="4" fillId="35" borderId="1" applyNumberFormat="0" applyBorder="0" applyAlignment="0" applyProtection="0"/>
    <xf numFmtId="0" fontId="4" fillId="16" borderId="1" applyNumberFormat="0" applyBorder="0" applyAlignment="0" applyProtection="0"/>
    <xf numFmtId="0" fontId="4" fillId="20" borderId="1" applyNumberFormat="0" applyBorder="0" applyAlignment="0" applyProtection="0"/>
    <xf numFmtId="0" fontId="4" fillId="24" borderId="1" applyNumberFormat="0" applyBorder="0" applyAlignment="0" applyProtection="0"/>
    <xf numFmtId="0" fontId="4" fillId="28" borderId="1" applyNumberFormat="0" applyBorder="0" applyAlignment="0" applyProtection="0"/>
    <xf numFmtId="0" fontId="4" fillId="32" borderId="1" applyNumberFormat="0" applyBorder="0" applyAlignment="0" applyProtection="0"/>
    <xf numFmtId="0" fontId="4" fillId="36" borderId="1" applyNumberFormat="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0" fontId="4" fillId="0" borderId="1"/>
    <xf numFmtId="0" fontId="4" fillId="0" borderId="1"/>
    <xf numFmtId="0" fontId="4" fillId="0" borderId="1"/>
    <xf numFmtId="0" fontId="4" fillId="0" borderId="1"/>
    <xf numFmtId="0" fontId="4" fillId="0" borderId="1"/>
    <xf numFmtId="0" fontId="4" fillId="13" borderId="83" applyNumberFormat="0" applyFont="0" applyAlignment="0" applyProtection="0"/>
    <xf numFmtId="0" fontId="4" fillId="13" borderId="83" applyNumberFormat="0" applyFont="0" applyAlignment="0" applyProtection="0"/>
    <xf numFmtId="9" fontId="4" fillId="0" borderId="1" applyFont="0" applyFill="0" applyBorder="0" applyAlignment="0" applyProtection="0"/>
    <xf numFmtId="9" fontId="4" fillId="0" borderId="1" applyFont="0" applyFill="0" applyBorder="0" applyAlignment="0" applyProtection="0"/>
    <xf numFmtId="165" fontId="4" fillId="0" borderId="1" applyFont="0" applyFill="0" applyBorder="0" applyAlignment="0" applyProtection="0"/>
    <xf numFmtId="0" fontId="4" fillId="0" borderId="1"/>
    <xf numFmtId="0" fontId="4" fillId="15" borderId="1" applyNumberFormat="0" applyBorder="0" applyAlignment="0" applyProtection="0"/>
    <xf numFmtId="0" fontId="4" fillId="15" borderId="1" applyNumberFormat="0" applyBorder="0" applyAlignment="0" applyProtection="0"/>
    <xf numFmtId="0" fontId="4" fillId="19" borderId="1" applyNumberFormat="0" applyBorder="0" applyAlignment="0" applyProtection="0"/>
    <xf numFmtId="0" fontId="4" fillId="19" borderId="1" applyNumberFormat="0" applyBorder="0" applyAlignment="0" applyProtection="0"/>
    <xf numFmtId="0" fontId="4" fillId="23" borderId="1" applyNumberFormat="0" applyBorder="0" applyAlignment="0" applyProtection="0"/>
    <xf numFmtId="0" fontId="4" fillId="23" borderId="1" applyNumberFormat="0" applyBorder="0" applyAlignment="0" applyProtection="0"/>
    <xf numFmtId="0" fontId="4" fillId="27" borderId="1" applyNumberFormat="0" applyBorder="0" applyAlignment="0" applyProtection="0"/>
    <xf numFmtId="0" fontId="4" fillId="27" borderId="1" applyNumberFormat="0" applyBorder="0" applyAlignment="0" applyProtection="0"/>
    <xf numFmtId="0" fontId="4" fillId="31" borderId="1" applyNumberFormat="0" applyBorder="0" applyAlignment="0" applyProtection="0"/>
    <xf numFmtId="0" fontId="4" fillId="31" borderId="1" applyNumberFormat="0" applyBorder="0" applyAlignment="0" applyProtection="0"/>
    <xf numFmtId="0" fontId="4" fillId="35" borderId="1" applyNumberFormat="0" applyBorder="0" applyAlignment="0" applyProtection="0"/>
    <xf numFmtId="0" fontId="4" fillId="35" borderId="1" applyNumberFormat="0" applyBorder="0" applyAlignment="0" applyProtection="0"/>
    <xf numFmtId="0" fontId="4" fillId="16" borderId="1" applyNumberFormat="0" applyBorder="0" applyAlignment="0" applyProtection="0"/>
    <xf numFmtId="0" fontId="4" fillId="16" borderId="1" applyNumberFormat="0" applyBorder="0" applyAlignment="0" applyProtection="0"/>
    <xf numFmtId="0" fontId="4" fillId="20" borderId="1" applyNumberFormat="0" applyBorder="0" applyAlignment="0" applyProtection="0"/>
    <xf numFmtId="0" fontId="4" fillId="20" borderId="1" applyNumberFormat="0" applyBorder="0" applyAlignment="0" applyProtection="0"/>
    <xf numFmtId="0" fontId="4" fillId="24" borderId="1" applyNumberFormat="0" applyBorder="0" applyAlignment="0" applyProtection="0"/>
    <xf numFmtId="0" fontId="4" fillId="24" borderId="1" applyNumberFormat="0" applyBorder="0" applyAlignment="0" applyProtection="0"/>
    <xf numFmtId="0" fontId="4" fillId="28" borderId="1" applyNumberFormat="0" applyBorder="0" applyAlignment="0" applyProtection="0"/>
    <xf numFmtId="0" fontId="4" fillId="28" borderId="1" applyNumberFormat="0" applyBorder="0" applyAlignment="0" applyProtection="0"/>
    <xf numFmtId="0" fontId="4" fillId="32" borderId="1" applyNumberFormat="0" applyBorder="0" applyAlignment="0" applyProtection="0"/>
    <xf numFmtId="0" fontId="4" fillId="32" borderId="1" applyNumberFormat="0" applyBorder="0" applyAlignment="0" applyProtection="0"/>
    <xf numFmtId="0" fontId="4" fillId="36" borderId="1" applyNumberFormat="0" applyBorder="0" applyAlignment="0" applyProtection="0"/>
    <xf numFmtId="0" fontId="4" fillId="36" borderId="1" applyNumberFormat="0" applyBorder="0" applyAlignment="0" applyProtection="0"/>
    <xf numFmtId="165" fontId="4" fillId="0" borderId="1" applyFont="0" applyFill="0" applyBorder="0" applyAlignment="0" applyProtection="0"/>
    <xf numFmtId="165" fontId="4" fillId="0" borderId="1" applyFont="0" applyFill="0" applyBorder="0" applyAlignment="0" applyProtection="0"/>
    <xf numFmtId="0" fontId="4" fillId="0" borderId="1"/>
    <xf numFmtId="0" fontId="4" fillId="0" borderId="1"/>
    <xf numFmtId="0" fontId="4" fillId="0" borderId="1"/>
    <xf numFmtId="0" fontId="4" fillId="0" borderId="1"/>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9"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0" fontId="4" fillId="0" borderId="1"/>
    <xf numFmtId="0" fontId="4" fillId="0" borderId="1"/>
    <xf numFmtId="0" fontId="4" fillId="0" borderId="1"/>
    <xf numFmtId="0" fontId="4" fillId="0" borderId="1"/>
    <xf numFmtId="0" fontId="4" fillId="0" borderId="1"/>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0" fontId="4" fillId="0" borderId="1"/>
    <xf numFmtId="0" fontId="4" fillId="0" borderId="1"/>
    <xf numFmtId="0" fontId="4" fillId="0" borderId="1"/>
    <xf numFmtId="0" fontId="4" fillId="0" borderId="1"/>
    <xf numFmtId="0" fontId="4" fillId="0" borderId="1"/>
    <xf numFmtId="0" fontId="4" fillId="13" borderId="83" applyNumberFormat="0" applyFont="0" applyAlignment="0" applyProtection="0"/>
    <xf numFmtId="9" fontId="4" fillId="0" borderId="1" applyFont="0" applyFill="0" applyBorder="0" applyAlignment="0" applyProtection="0"/>
    <xf numFmtId="9" fontId="4" fillId="0" borderId="1" applyFont="0" applyFill="0" applyBorder="0" applyAlignment="0" applyProtection="0"/>
    <xf numFmtId="0" fontId="4" fillId="0" borderId="1"/>
    <xf numFmtId="0" fontId="4" fillId="15" borderId="1" applyNumberFormat="0" applyBorder="0" applyAlignment="0" applyProtection="0"/>
    <xf numFmtId="0" fontId="4" fillId="16" borderId="1" applyNumberFormat="0" applyBorder="0" applyAlignment="0" applyProtection="0"/>
    <xf numFmtId="0" fontId="4" fillId="19" borderId="1" applyNumberFormat="0" applyBorder="0" applyAlignment="0" applyProtection="0"/>
    <xf numFmtId="0" fontId="4" fillId="20" borderId="1" applyNumberFormat="0" applyBorder="0" applyAlignment="0" applyProtection="0"/>
    <xf numFmtId="0" fontId="4" fillId="23" borderId="1" applyNumberFormat="0" applyBorder="0" applyAlignment="0" applyProtection="0"/>
    <xf numFmtId="0" fontId="4" fillId="24" borderId="1" applyNumberFormat="0" applyBorder="0" applyAlignment="0" applyProtection="0"/>
    <xf numFmtId="0" fontId="4" fillId="27" borderId="1" applyNumberFormat="0" applyBorder="0" applyAlignment="0" applyProtection="0"/>
    <xf numFmtId="0" fontId="4" fillId="28" borderId="1" applyNumberFormat="0" applyBorder="0" applyAlignment="0" applyProtection="0"/>
    <xf numFmtId="0" fontId="4" fillId="31" borderId="1" applyNumberFormat="0" applyBorder="0" applyAlignment="0" applyProtection="0"/>
    <xf numFmtId="0" fontId="4" fillId="32" borderId="1" applyNumberFormat="0" applyBorder="0" applyAlignment="0" applyProtection="0"/>
    <xf numFmtId="0" fontId="4" fillId="35" borderId="1" applyNumberFormat="0" applyBorder="0" applyAlignment="0" applyProtection="0"/>
    <xf numFmtId="0" fontId="4" fillId="36" borderId="1" applyNumberFormat="0" applyBorder="0" applyAlignment="0" applyProtection="0"/>
    <xf numFmtId="0" fontId="4" fillId="0" borderId="1"/>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0" fontId="4" fillId="0" borderId="1"/>
    <xf numFmtId="0" fontId="4" fillId="0" borderId="1"/>
    <xf numFmtId="0" fontId="4" fillId="0" borderId="1"/>
    <xf numFmtId="0" fontId="4" fillId="0" borderId="1"/>
    <xf numFmtId="0" fontId="4" fillId="0" borderId="1"/>
    <xf numFmtId="0" fontId="4" fillId="13" borderId="83" applyNumberFormat="0" applyFont="0" applyAlignment="0" applyProtection="0"/>
    <xf numFmtId="0" fontId="4" fillId="13" borderId="83" applyNumberFormat="0" applyFont="0" applyAlignment="0" applyProtection="0"/>
    <xf numFmtId="9" fontId="4" fillId="0" borderId="1" applyFont="0" applyFill="0" applyBorder="0" applyAlignment="0" applyProtection="0"/>
    <xf numFmtId="9" fontId="4" fillId="0" borderId="1" applyFont="0" applyFill="0" applyBorder="0" applyAlignment="0" applyProtection="0"/>
    <xf numFmtId="0" fontId="4" fillId="0" borderId="1"/>
    <xf numFmtId="0" fontId="4" fillId="15" borderId="1" applyNumberFormat="0" applyBorder="0" applyAlignment="0" applyProtection="0"/>
    <xf numFmtId="0" fontId="4" fillId="19" borderId="1" applyNumberFormat="0" applyBorder="0" applyAlignment="0" applyProtection="0"/>
    <xf numFmtId="0" fontId="4" fillId="23" borderId="1" applyNumberFormat="0" applyBorder="0" applyAlignment="0" applyProtection="0"/>
    <xf numFmtId="0" fontId="4" fillId="27" borderId="1" applyNumberFormat="0" applyBorder="0" applyAlignment="0" applyProtection="0"/>
    <xf numFmtId="0" fontId="4" fillId="31" borderId="1" applyNumberFormat="0" applyBorder="0" applyAlignment="0" applyProtection="0"/>
    <xf numFmtId="0" fontId="4" fillId="35" borderId="1" applyNumberFormat="0" applyBorder="0" applyAlignment="0" applyProtection="0"/>
    <xf numFmtId="0" fontId="4" fillId="16" borderId="1" applyNumberFormat="0" applyBorder="0" applyAlignment="0" applyProtection="0"/>
    <xf numFmtId="0" fontId="4" fillId="20" borderId="1" applyNumberFormat="0" applyBorder="0" applyAlignment="0" applyProtection="0"/>
    <xf numFmtId="0" fontId="4" fillId="24" borderId="1" applyNumberFormat="0" applyBorder="0" applyAlignment="0" applyProtection="0"/>
    <xf numFmtId="0" fontId="4" fillId="28" borderId="1" applyNumberFormat="0" applyBorder="0" applyAlignment="0" applyProtection="0"/>
    <xf numFmtId="0" fontId="4" fillId="32" borderId="1" applyNumberFormat="0" applyBorder="0" applyAlignment="0" applyProtection="0"/>
    <xf numFmtId="0" fontId="4" fillId="36" borderId="1" applyNumberFormat="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0" fontId="4" fillId="0" borderId="1"/>
    <xf numFmtId="0" fontId="4" fillId="0" borderId="1"/>
    <xf numFmtId="0" fontId="4" fillId="0" borderId="1"/>
    <xf numFmtId="0" fontId="4" fillId="0" borderId="1"/>
    <xf numFmtId="0" fontId="4" fillId="0" borderId="1"/>
    <xf numFmtId="0" fontId="4" fillId="13" borderId="83" applyNumberFormat="0" applyFont="0" applyAlignment="0" applyProtection="0"/>
    <xf numFmtId="0" fontId="4" fillId="13" borderId="83" applyNumberFormat="0" applyFont="0" applyAlignment="0" applyProtection="0"/>
    <xf numFmtId="9" fontId="4" fillId="0" borderId="1" applyFont="0" applyFill="0" applyBorder="0" applyAlignment="0" applyProtection="0"/>
    <xf numFmtId="9"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0" fontId="4" fillId="0" borderId="1"/>
    <xf numFmtId="0" fontId="4" fillId="15" borderId="1" applyNumberFormat="0" applyBorder="0" applyAlignment="0" applyProtection="0"/>
    <xf numFmtId="0" fontId="4" fillId="16" borderId="1" applyNumberFormat="0" applyBorder="0" applyAlignment="0" applyProtection="0"/>
    <xf numFmtId="0" fontId="4" fillId="19" borderId="1" applyNumberFormat="0" applyBorder="0" applyAlignment="0" applyProtection="0"/>
    <xf numFmtId="0" fontId="4" fillId="20" borderId="1" applyNumberFormat="0" applyBorder="0" applyAlignment="0" applyProtection="0"/>
    <xf numFmtId="0" fontId="4" fillId="23" borderId="1" applyNumberFormat="0" applyBorder="0" applyAlignment="0" applyProtection="0"/>
    <xf numFmtId="0" fontId="4" fillId="24" borderId="1" applyNumberFormat="0" applyBorder="0" applyAlignment="0" applyProtection="0"/>
    <xf numFmtId="0" fontId="4" fillId="27" borderId="1" applyNumberFormat="0" applyBorder="0" applyAlignment="0" applyProtection="0"/>
    <xf numFmtId="0" fontId="4" fillId="28" borderId="1" applyNumberFormat="0" applyBorder="0" applyAlignment="0" applyProtection="0"/>
    <xf numFmtId="0" fontId="4" fillId="31" borderId="1" applyNumberFormat="0" applyBorder="0" applyAlignment="0" applyProtection="0"/>
    <xf numFmtId="0" fontId="4" fillId="32" borderId="1" applyNumberFormat="0" applyBorder="0" applyAlignment="0" applyProtection="0"/>
    <xf numFmtId="0" fontId="4" fillId="35" borderId="1" applyNumberFormat="0" applyBorder="0" applyAlignment="0" applyProtection="0"/>
    <xf numFmtId="0" fontId="4" fillId="36" borderId="1" applyNumberFormat="0" applyBorder="0" applyAlignment="0" applyProtection="0"/>
    <xf numFmtId="0" fontId="4" fillId="0" borderId="1"/>
    <xf numFmtId="0" fontId="4" fillId="0" borderId="1"/>
    <xf numFmtId="165" fontId="4" fillId="0" borderId="1" applyFont="0" applyFill="0" applyBorder="0" applyAlignment="0" applyProtection="0"/>
    <xf numFmtId="0" fontId="4" fillId="0" borderId="1"/>
    <xf numFmtId="9" fontId="4" fillId="0" borderId="1" applyFont="0" applyFill="0" applyBorder="0" applyAlignment="0" applyProtection="0"/>
    <xf numFmtId="0" fontId="4" fillId="13" borderId="83" applyNumberFormat="0" applyFont="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0" fontId="4" fillId="0" borderId="1"/>
    <xf numFmtId="0" fontId="4" fillId="0" borderId="1"/>
    <xf numFmtId="0" fontId="4" fillId="0" borderId="1"/>
    <xf numFmtId="0" fontId="4" fillId="0" borderId="1"/>
    <xf numFmtId="0" fontId="4" fillId="0" borderId="1"/>
    <xf numFmtId="0" fontId="4" fillId="15" borderId="1" applyNumberFormat="0" applyBorder="0" applyAlignment="0" applyProtection="0"/>
    <xf numFmtId="0" fontId="4" fillId="19" borderId="1" applyNumberFormat="0" applyBorder="0" applyAlignment="0" applyProtection="0"/>
    <xf numFmtId="0" fontId="4" fillId="23" borderId="1" applyNumberFormat="0" applyBorder="0" applyAlignment="0" applyProtection="0"/>
    <xf numFmtId="0" fontId="4" fillId="27" borderId="1" applyNumberFormat="0" applyBorder="0" applyAlignment="0" applyProtection="0"/>
    <xf numFmtId="0" fontId="4" fillId="31" borderId="1" applyNumberFormat="0" applyBorder="0" applyAlignment="0" applyProtection="0"/>
    <xf numFmtId="0" fontId="4" fillId="35" borderId="1" applyNumberFormat="0" applyBorder="0" applyAlignment="0" applyProtection="0"/>
    <xf numFmtId="0" fontId="4" fillId="16" borderId="1" applyNumberFormat="0" applyBorder="0" applyAlignment="0" applyProtection="0"/>
    <xf numFmtId="0" fontId="4" fillId="20" borderId="1" applyNumberFormat="0" applyBorder="0" applyAlignment="0" applyProtection="0"/>
    <xf numFmtId="0" fontId="4" fillId="24" borderId="1" applyNumberFormat="0" applyBorder="0" applyAlignment="0" applyProtection="0"/>
    <xf numFmtId="0" fontId="4" fillId="28" borderId="1" applyNumberFormat="0" applyBorder="0" applyAlignment="0" applyProtection="0"/>
    <xf numFmtId="0" fontId="4" fillId="32" borderId="1" applyNumberFormat="0" applyBorder="0" applyAlignment="0" applyProtection="0"/>
    <xf numFmtId="0" fontId="4" fillId="36" borderId="1" applyNumberFormat="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0" fontId="4" fillId="0" borderId="1"/>
    <xf numFmtId="0" fontId="4" fillId="0" borderId="1"/>
    <xf numFmtId="0" fontId="4" fillId="0" borderId="1"/>
    <xf numFmtId="0" fontId="4" fillId="0" borderId="1"/>
    <xf numFmtId="0" fontId="4" fillId="0" borderId="1"/>
    <xf numFmtId="0" fontId="4" fillId="13" borderId="83" applyNumberFormat="0" applyFont="0" applyAlignment="0" applyProtection="0"/>
    <xf numFmtId="0" fontId="4" fillId="13" borderId="83" applyNumberFormat="0" applyFont="0" applyAlignment="0" applyProtection="0"/>
    <xf numFmtId="9" fontId="4" fillId="0" borderId="1" applyFont="0" applyFill="0" applyBorder="0" applyAlignment="0" applyProtection="0"/>
    <xf numFmtId="9"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0" fontId="4" fillId="0" borderId="1"/>
    <xf numFmtId="0" fontId="4" fillId="15" borderId="1" applyNumberFormat="0" applyBorder="0" applyAlignment="0" applyProtection="0"/>
    <xf numFmtId="0" fontId="4" fillId="16" borderId="1" applyNumberFormat="0" applyBorder="0" applyAlignment="0" applyProtection="0"/>
    <xf numFmtId="0" fontId="4" fillId="19" borderId="1" applyNumberFormat="0" applyBorder="0" applyAlignment="0" applyProtection="0"/>
    <xf numFmtId="0" fontId="4" fillId="20" borderId="1" applyNumberFormat="0" applyBorder="0" applyAlignment="0" applyProtection="0"/>
    <xf numFmtId="0" fontId="4" fillId="23" borderId="1" applyNumberFormat="0" applyBorder="0" applyAlignment="0" applyProtection="0"/>
    <xf numFmtId="0" fontId="4" fillId="24" borderId="1" applyNumberFormat="0" applyBorder="0" applyAlignment="0" applyProtection="0"/>
    <xf numFmtId="0" fontId="4" fillId="27" borderId="1" applyNumberFormat="0" applyBorder="0" applyAlignment="0" applyProtection="0"/>
    <xf numFmtId="0" fontId="4" fillId="28" borderId="1" applyNumberFormat="0" applyBorder="0" applyAlignment="0" applyProtection="0"/>
    <xf numFmtId="0" fontId="4" fillId="31" borderId="1" applyNumberFormat="0" applyBorder="0" applyAlignment="0" applyProtection="0"/>
    <xf numFmtId="0" fontId="4" fillId="32" borderId="1" applyNumberFormat="0" applyBorder="0" applyAlignment="0" applyProtection="0"/>
    <xf numFmtId="0" fontId="4" fillId="35" borderId="1" applyNumberFormat="0" applyBorder="0" applyAlignment="0" applyProtection="0"/>
    <xf numFmtId="0" fontId="4" fillId="36" borderId="1" applyNumberFormat="0" applyBorder="0" applyAlignment="0" applyProtection="0"/>
    <xf numFmtId="0" fontId="4" fillId="0" borderId="1"/>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0" fontId="4" fillId="0" borderId="1"/>
    <xf numFmtId="0" fontId="4" fillId="0" borderId="1"/>
    <xf numFmtId="0" fontId="4" fillId="0" borderId="1"/>
    <xf numFmtId="0" fontId="4" fillId="0" borderId="1"/>
    <xf numFmtId="0" fontId="4" fillId="0" borderId="1"/>
    <xf numFmtId="0" fontId="4" fillId="13" borderId="83" applyNumberFormat="0" applyFont="0" applyAlignment="0" applyProtection="0"/>
    <xf numFmtId="0" fontId="4" fillId="13" borderId="83" applyNumberFormat="0" applyFont="0" applyAlignment="0" applyProtection="0"/>
    <xf numFmtId="9" fontId="4" fillId="0" borderId="1" applyFont="0" applyFill="0" applyBorder="0" applyAlignment="0" applyProtection="0"/>
    <xf numFmtId="9" fontId="4" fillId="0" borderId="1" applyFont="0" applyFill="0" applyBorder="0" applyAlignment="0" applyProtection="0"/>
    <xf numFmtId="0" fontId="4" fillId="0" borderId="1"/>
    <xf numFmtId="0" fontId="4" fillId="15" borderId="1" applyNumberFormat="0" applyBorder="0" applyAlignment="0" applyProtection="0"/>
    <xf numFmtId="0" fontId="4" fillId="19" borderId="1" applyNumberFormat="0" applyBorder="0" applyAlignment="0" applyProtection="0"/>
    <xf numFmtId="0" fontId="4" fillId="23" borderId="1" applyNumberFormat="0" applyBorder="0" applyAlignment="0" applyProtection="0"/>
    <xf numFmtId="0" fontId="4" fillId="27" borderId="1" applyNumberFormat="0" applyBorder="0" applyAlignment="0" applyProtection="0"/>
    <xf numFmtId="0" fontId="4" fillId="31" borderId="1" applyNumberFormat="0" applyBorder="0" applyAlignment="0" applyProtection="0"/>
    <xf numFmtId="0" fontId="4" fillId="35" borderId="1" applyNumberFormat="0" applyBorder="0" applyAlignment="0" applyProtection="0"/>
    <xf numFmtId="0" fontId="4" fillId="16" borderId="1" applyNumberFormat="0" applyBorder="0" applyAlignment="0" applyProtection="0"/>
    <xf numFmtId="0" fontId="4" fillId="20" borderId="1" applyNumberFormat="0" applyBorder="0" applyAlignment="0" applyProtection="0"/>
    <xf numFmtId="0" fontId="4" fillId="24" borderId="1" applyNumberFormat="0" applyBorder="0" applyAlignment="0" applyProtection="0"/>
    <xf numFmtId="0" fontId="4" fillId="28" borderId="1" applyNumberFormat="0" applyBorder="0" applyAlignment="0" applyProtection="0"/>
    <xf numFmtId="0" fontId="4" fillId="32" borderId="1" applyNumberFormat="0" applyBorder="0" applyAlignment="0" applyProtection="0"/>
    <xf numFmtId="0" fontId="4" fillId="36" borderId="1" applyNumberFormat="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0" fontId="4" fillId="0" borderId="1"/>
    <xf numFmtId="0" fontId="4" fillId="0" borderId="1"/>
    <xf numFmtId="0" fontId="4" fillId="0" borderId="1"/>
    <xf numFmtId="0" fontId="4" fillId="0" borderId="1"/>
    <xf numFmtId="0" fontId="4" fillId="0" borderId="1"/>
    <xf numFmtId="0" fontId="4" fillId="13" borderId="83" applyNumberFormat="0" applyFont="0" applyAlignment="0" applyProtection="0"/>
    <xf numFmtId="0" fontId="4" fillId="13" borderId="83" applyNumberFormat="0" applyFont="0" applyAlignment="0" applyProtection="0"/>
    <xf numFmtId="9" fontId="4" fillId="0" borderId="1" applyFont="0" applyFill="0" applyBorder="0" applyAlignment="0" applyProtection="0"/>
    <xf numFmtId="9"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0" fontId="4" fillId="0" borderId="1"/>
    <xf numFmtId="165" fontId="4" fillId="0" borderId="1" applyFont="0" applyFill="0" applyBorder="0" applyAlignment="0" applyProtection="0"/>
    <xf numFmtId="0" fontId="4" fillId="15" borderId="1" applyNumberFormat="0" applyBorder="0" applyAlignment="0" applyProtection="0"/>
    <xf numFmtId="0" fontId="4" fillId="15" borderId="1" applyNumberFormat="0" applyBorder="0" applyAlignment="0" applyProtection="0"/>
    <xf numFmtId="0" fontId="4" fillId="15" borderId="1" applyNumberFormat="0" applyBorder="0" applyAlignment="0" applyProtection="0"/>
    <xf numFmtId="0" fontId="4" fillId="15" borderId="1" applyNumberFormat="0" applyBorder="0" applyAlignment="0" applyProtection="0"/>
    <xf numFmtId="0" fontId="4" fillId="15" borderId="1" applyNumberFormat="0" applyBorder="0" applyAlignment="0" applyProtection="0"/>
    <xf numFmtId="0" fontId="4" fillId="15" borderId="1" applyNumberFormat="0" applyBorder="0" applyAlignment="0" applyProtection="0"/>
    <xf numFmtId="0" fontId="4" fillId="15" borderId="1" applyNumberFormat="0" applyBorder="0" applyAlignment="0" applyProtection="0"/>
    <xf numFmtId="0" fontId="4" fillId="15" borderId="1" applyNumberFormat="0" applyBorder="0" applyAlignment="0" applyProtection="0"/>
    <xf numFmtId="0" fontId="4" fillId="15" borderId="1" applyNumberFormat="0" applyBorder="0" applyAlignment="0" applyProtection="0"/>
    <xf numFmtId="0" fontId="4" fillId="15" borderId="1" applyNumberFormat="0" applyBorder="0" applyAlignment="0" applyProtection="0"/>
    <xf numFmtId="0" fontId="4" fillId="15" borderId="1" applyNumberFormat="0" applyBorder="0" applyAlignment="0" applyProtection="0"/>
    <xf numFmtId="0" fontId="4" fillId="15" borderId="1" applyNumberFormat="0" applyBorder="0" applyAlignment="0" applyProtection="0"/>
    <xf numFmtId="0" fontId="4" fillId="15" borderId="1" applyNumberFormat="0" applyBorder="0" applyAlignment="0" applyProtection="0"/>
    <xf numFmtId="0" fontId="4" fillId="15" borderId="1" applyNumberFormat="0" applyBorder="0" applyAlignment="0" applyProtection="0"/>
    <xf numFmtId="0" fontId="4" fillId="15" borderId="1" applyNumberFormat="0" applyBorder="0" applyAlignment="0" applyProtection="0"/>
    <xf numFmtId="0" fontId="4" fillId="15" borderId="1" applyNumberFormat="0" applyBorder="0" applyAlignment="0" applyProtection="0"/>
    <xf numFmtId="0" fontId="4" fillId="15" borderId="1" applyNumberFormat="0" applyBorder="0" applyAlignment="0" applyProtection="0"/>
    <xf numFmtId="0" fontId="4" fillId="15" borderId="1" applyNumberFormat="0" applyBorder="0" applyAlignment="0" applyProtection="0"/>
    <xf numFmtId="0" fontId="4" fillId="15" borderId="1" applyNumberFormat="0" applyBorder="0" applyAlignment="0" applyProtection="0"/>
    <xf numFmtId="0" fontId="4" fillId="15" borderId="1" applyNumberFormat="0" applyBorder="0" applyAlignment="0" applyProtection="0"/>
    <xf numFmtId="0" fontId="4" fillId="15" borderId="1" applyNumberFormat="0" applyBorder="0" applyAlignment="0" applyProtection="0"/>
    <xf numFmtId="0" fontId="4" fillId="15" borderId="1" applyNumberFormat="0" applyBorder="0" applyAlignment="0" applyProtection="0"/>
    <xf numFmtId="0" fontId="4" fillId="15" borderId="1" applyNumberFormat="0" applyBorder="0" applyAlignment="0" applyProtection="0"/>
    <xf numFmtId="0" fontId="4" fillId="15" borderId="1" applyNumberFormat="0" applyBorder="0" applyAlignment="0" applyProtection="0"/>
    <xf numFmtId="0" fontId="4" fillId="15" borderId="1" applyNumberFormat="0" applyBorder="0" applyAlignment="0" applyProtection="0"/>
    <xf numFmtId="0" fontId="4" fillId="15" borderId="1" applyNumberFormat="0" applyBorder="0" applyAlignment="0" applyProtection="0"/>
    <xf numFmtId="0" fontId="4" fillId="15" borderId="1" applyNumberFormat="0" applyBorder="0" applyAlignment="0" applyProtection="0"/>
    <xf numFmtId="0" fontId="4" fillId="15" borderId="1" applyNumberFormat="0" applyBorder="0" applyAlignment="0" applyProtection="0"/>
    <xf numFmtId="0" fontId="4" fillId="15" borderId="1" applyNumberFormat="0" applyBorder="0" applyAlignment="0" applyProtection="0"/>
    <xf numFmtId="0" fontId="4" fillId="15" borderId="1" applyNumberFormat="0" applyBorder="0" applyAlignment="0" applyProtection="0"/>
    <xf numFmtId="0" fontId="4" fillId="15" borderId="1" applyNumberFormat="0" applyBorder="0" applyAlignment="0" applyProtection="0"/>
    <xf numFmtId="0" fontId="4" fillId="19" borderId="1" applyNumberFormat="0" applyBorder="0" applyAlignment="0" applyProtection="0"/>
    <xf numFmtId="0" fontId="4" fillId="19" borderId="1" applyNumberFormat="0" applyBorder="0" applyAlignment="0" applyProtection="0"/>
    <xf numFmtId="0" fontId="4" fillId="19" borderId="1" applyNumberFormat="0" applyBorder="0" applyAlignment="0" applyProtection="0"/>
    <xf numFmtId="0" fontId="4" fillId="19" borderId="1" applyNumberFormat="0" applyBorder="0" applyAlignment="0" applyProtection="0"/>
    <xf numFmtId="0" fontId="4" fillId="19" borderId="1" applyNumberFormat="0" applyBorder="0" applyAlignment="0" applyProtection="0"/>
    <xf numFmtId="0" fontId="4" fillId="19" borderId="1" applyNumberFormat="0" applyBorder="0" applyAlignment="0" applyProtection="0"/>
    <xf numFmtId="0" fontId="4" fillId="19" borderId="1" applyNumberFormat="0" applyBorder="0" applyAlignment="0" applyProtection="0"/>
    <xf numFmtId="0" fontId="4" fillId="19" borderId="1" applyNumberFormat="0" applyBorder="0" applyAlignment="0" applyProtection="0"/>
    <xf numFmtId="0" fontId="4" fillId="19" borderId="1" applyNumberFormat="0" applyBorder="0" applyAlignment="0" applyProtection="0"/>
    <xf numFmtId="0" fontId="4" fillId="19" borderId="1" applyNumberFormat="0" applyBorder="0" applyAlignment="0" applyProtection="0"/>
    <xf numFmtId="0" fontId="4" fillId="19" borderId="1" applyNumberFormat="0" applyBorder="0" applyAlignment="0" applyProtection="0"/>
    <xf numFmtId="0" fontId="4" fillId="19" borderId="1" applyNumberFormat="0" applyBorder="0" applyAlignment="0" applyProtection="0"/>
    <xf numFmtId="0" fontId="4" fillId="19" borderId="1" applyNumberFormat="0" applyBorder="0" applyAlignment="0" applyProtection="0"/>
    <xf numFmtId="0" fontId="4" fillId="19" borderId="1" applyNumberFormat="0" applyBorder="0" applyAlignment="0" applyProtection="0"/>
    <xf numFmtId="0" fontId="4" fillId="19" borderId="1" applyNumberFormat="0" applyBorder="0" applyAlignment="0" applyProtection="0"/>
    <xf numFmtId="0" fontId="4" fillId="19" borderId="1" applyNumberFormat="0" applyBorder="0" applyAlignment="0" applyProtection="0"/>
    <xf numFmtId="0" fontId="4" fillId="19" borderId="1" applyNumberFormat="0" applyBorder="0" applyAlignment="0" applyProtection="0"/>
    <xf numFmtId="0" fontId="4" fillId="19" borderId="1" applyNumberFormat="0" applyBorder="0" applyAlignment="0" applyProtection="0"/>
    <xf numFmtId="0" fontId="4" fillId="19" borderId="1" applyNumberFormat="0" applyBorder="0" applyAlignment="0" applyProtection="0"/>
    <xf numFmtId="0" fontId="4" fillId="19" borderId="1" applyNumberFormat="0" applyBorder="0" applyAlignment="0" applyProtection="0"/>
    <xf numFmtId="0" fontId="4" fillId="19" borderId="1" applyNumberFormat="0" applyBorder="0" applyAlignment="0" applyProtection="0"/>
    <xf numFmtId="0" fontId="4" fillId="19" borderId="1" applyNumberFormat="0" applyBorder="0" applyAlignment="0" applyProtection="0"/>
    <xf numFmtId="0" fontId="4" fillId="19" borderId="1" applyNumberFormat="0" applyBorder="0" applyAlignment="0" applyProtection="0"/>
    <xf numFmtId="0" fontId="4" fillId="19" borderId="1" applyNumberFormat="0" applyBorder="0" applyAlignment="0" applyProtection="0"/>
    <xf numFmtId="0" fontId="4" fillId="19" borderId="1" applyNumberFormat="0" applyBorder="0" applyAlignment="0" applyProtection="0"/>
    <xf numFmtId="0" fontId="4" fillId="19" borderId="1" applyNumberFormat="0" applyBorder="0" applyAlignment="0" applyProtection="0"/>
    <xf numFmtId="0" fontId="4" fillId="19" borderId="1" applyNumberFormat="0" applyBorder="0" applyAlignment="0" applyProtection="0"/>
    <xf numFmtId="0" fontId="4" fillId="19" borderId="1" applyNumberFormat="0" applyBorder="0" applyAlignment="0" applyProtection="0"/>
    <xf numFmtId="0" fontId="4" fillId="19" borderId="1" applyNumberFormat="0" applyBorder="0" applyAlignment="0" applyProtection="0"/>
    <xf numFmtId="0" fontId="4" fillId="19" borderId="1" applyNumberFormat="0" applyBorder="0" applyAlignment="0" applyProtection="0"/>
    <xf numFmtId="0" fontId="4" fillId="19" borderId="1" applyNumberFormat="0" applyBorder="0" applyAlignment="0" applyProtection="0"/>
    <xf numFmtId="0" fontId="4" fillId="23" borderId="1" applyNumberFormat="0" applyBorder="0" applyAlignment="0" applyProtection="0"/>
    <xf numFmtId="0" fontId="4" fillId="23" borderId="1" applyNumberFormat="0" applyBorder="0" applyAlignment="0" applyProtection="0"/>
    <xf numFmtId="0" fontId="4" fillId="23" borderId="1" applyNumberFormat="0" applyBorder="0" applyAlignment="0" applyProtection="0"/>
    <xf numFmtId="0" fontId="4" fillId="23" borderId="1" applyNumberFormat="0" applyBorder="0" applyAlignment="0" applyProtection="0"/>
    <xf numFmtId="0" fontId="4" fillId="23" borderId="1" applyNumberFormat="0" applyBorder="0" applyAlignment="0" applyProtection="0"/>
    <xf numFmtId="0" fontId="4" fillId="23" borderId="1" applyNumberFormat="0" applyBorder="0" applyAlignment="0" applyProtection="0"/>
    <xf numFmtId="0" fontId="4" fillId="23" borderId="1" applyNumberFormat="0" applyBorder="0" applyAlignment="0" applyProtection="0"/>
    <xf numFmtId="0" fontId="4" fillId="23" borderId="1" applyNumberFormat="0" applyBorder="0" applyAlignment="0" applyProtection="0"/>
    <xf numFmtId="0" fontId="4" fillId="23" borderId="1" applyNumberFormat="0" applyBorder="0" applyAlignment="0" applyProtection="0"/>
    <xf numFmtId="0" fontId="4" fillId="23" borderId="1" applyNumberFormat="0" applyBorder="0" applyAlignment="0" applyProtection="0"/>
    <xf numFmtId="0" fontId="4" fillId="23" borderId="1" applyNumberFormat="0" applyBorder="0" applyAlignment="0" applyProtection="0"/>
    <xf numFmtId="0" fontId="4" fillId="23" borderId="1" applyNumberFormat="0" applyBorder="0" applyAlignment="0" applyProtection="0"/>
    <xf numFmtId="0" fontId="4" fillId="23" borderId="1" applyNumberFormat="0" applyBorder="0" applyAlignment="0" applyProtection="0"/>
    <xf numFmtId="0" fontId="4" fillId="23" borderId="1" applyNumberFormat="0" applyBorder="0" applyAlignment="0" applyProtection="0"/>
    <xf numFmtId="0" fontId="4" fillId="23" borderId="1" applyNumberFormat="0" applyBorder="0" applyAlignment="0" applyProtection="0"/>
    <xf numFmtId="0" fontId="4" fillId="23" borderId="1" applyNumberFormat="0" applyBorder="0" applyAlignment="0" applyProtection="0"/>
    <xf numFmtId="0" fontId="4" fillId="23" borderId="1" applyNumberFormat="0" applyBorder="0" applyAlignment="0" applyProtection="0"/>
    <xf numFmtId="0" fontId="4" fillId="23" borderId="1" applyNumberFormat="0" applyBorder="0" applyAlignment="0" applyProtection="0"/>
    <xf numFmtId="0" fontId="4" fillId="23" borderId="1" applyNumberFormat="0" applyBorder="0" applyAlignment="0" applyProtection="0"/>
    <xf numFmtId="0" fontId="4" fillId="23" borderId="1" applyNumberFormat="0" applyBorder="0" applyAlignment="0" applyProtection="0"/>
    <xf numFmtId="0" fontId="4" fillId="23" borderId="1" applyNumberFormat="0" applyBorder="0" applyAlignment="0" applyProtection="0"/>
    <xf numFmtId="0" fontId="4" fillId="23" borderId="1" applyNumberFormat="0" applyBorder="0" applyAlignment="0" applyProtection="0"/>
    <xf numFmtId="0" fontId="4" fillId="23" borderId="1" applyNumberFormat="0" applyBorder="0" applyAlignment="0" applyProtection="0"/>
    <xf numFmtId="0" fontId="4" fillId="23" borderId="1" applyNumberFormat="0" applyBorder="0" applyAlignment="0" applyProtection="0"/>
    <xf numFmtId="0" fontId="4" fillId="23" borderId="1" applyNumberFormat="0" applyBorder="0" applyAlignment="0" applyProtection="0"/>
    <xf numFmtId="0" fontId="4" fillId="23" borderId="1" applyNumberFormat="0" applyBorder="0" applyAlignment="0" applyProtection="0"/>
    <xf numFmtId="0" fontId="4" fillId="23" borderId="1" applyNumberFormat="0" applyBorder="0" applyAlignment="0" applyProtection="0"/>
    <xf numFmtId="0" fontId="4" fillId="23" borderId="1" applyNumberFormat="0" applyBorder="0" applyAlignment="0" applyProtection="0"/>
    <xf numFmtId="0" fontId="4" fillId="23" borderId="1" applyNumberFormat="0" applyBorder="0" applyAlignment="0" applyProtection="0"/>
    <xf numFmtId="0" fontId="4" fillId="23" borderId="1" applyNumberFormat="0" applyBorder="0" applyAlignment="0" applyProtection="0"/>
    <xf numFmtId="0" fontId="4" fillId="23" borderId="1" applyNumberFormat="0" applyBorder="0" applyAlignment="0" applyProtection="0"/>
    <xf numFmtId="0" fontId="4" fillId="27" borderId="1" applyNumberFormat="0" applyBorder="0" applyAlignment="0" applyProtection="0"/>
    <xf numFmtId="0" fontId="4" fillId="27" borderId="1" applyNumberFormat="0" applyBorder="0" applyAlignment="0" applyProtection="0"/>
    <xf numFmtId="0" fontId="4" fillId="27" borderId="1" applyNumberFormat="0" applyBorder="0" applyAlignment="0" applyProtection="0"/>
    <xf numFmtId="0" fontId="4" fillId="27" borderId="1" applyNumberFormat="0" applyBorder="0" applyAlignment="0" applyProtection="0"/>
    <xf numFmtId="0" fontId="4" fillId="27" borderId="1" applyNumberFormat="0" applyBorder="0" applyAlignment="0" applyProtection="0"/>
    <xf numFmtId="0" fontId="4" fillId="27" borderId="1" applyNumberFormat="0" applyBorder="0" applyAlignment="0" applyProtection="0"/>
    <xf numFmtId="0" fontId="4" fillId="27" borderId="1" applyNumberFormat="0" applyBorder="0" applyAlignment="0" applyProtection="0"/>
    <xf numFmtId="0" fontId="4" fillId="27" borderId="1" applyNumberFormat="0" applyBorder="0" applyAlignment="0" applyProtection="0"/>
    <xf numFmtId="0" fontId="4" fillId="27" borderId="1" applyNumberFormat="0" applyBorder="0" applyAlignment="0" applyProtection="0"/>
    <xf numFmtId="0" fontId="4" fillId="27" borderId="1" applyNumberFormat="0" applyBorder="0" applyAlignment="0" applyProtection="0"/>
    <xf numFmtId="0" fontId="4" fillId="27" borderId="1" applyNumberFormat="0" applyBorder="0" applyAlignment="0" applyProtection="0"/>
    <xf numFmtId="0" fontId="4" fillId="27" borderId="1" applyNumberFormat="0" applyBorder="0" applyAlignment="0" applyProtection="0"/>
    <xf numFmtId="0" fontId="4" fillId="27" borderId="1" applyNumberFormat="0" applyBorder="0" applyAlignment="0" applyProtection="0"/>
    <xf numFmtId="0" fontId="4" fillId="27" borderId="1" applyNumberFormat="0" applyBorder="0" applyAlignment="0" applyProtection="0"/>
    <xf numFmtId="0" fontId="4" fillId="27" borderId="1" applyNumberFormat="0" applyBorder="0" applyAlignment="0" applyProtection="0"/>
    <xf numFmtId="0" fontId="4" fillId="27" borderId="1" applyNumberFormat="0" applyBorder="0" applyAlignment="0" applyProtection="0"/>
    <xf numFmtId="0" fontId="4" fillId="27" borderId="1" applyNumberFormat="0" applyBorder="0" applyAlignment="0" applyProtection="0"/>
    <xf numFmtId="0" fontId="4" fillId="27" borderId="1" applyNumberFormat="0" applyBorder="0" applyAlignment="0" applyProtection="0"/>
    <xf numFmtId="0" fontId="4" fillId="27" borderId="1" applyNumberFormat="0" applyBorder="0" applyAlignment="0" applyProtection="0"/>
    <xf numFmtId="0" fontId="4" fillId="27" borderId="1" applyNumberFormat="0" applyBorder="0" applyAlignment="0" applyProtection="0"/>
    <xf numFmtId="0" fontId="4" fillId="27" borderId="1" applyNumberFormat="0" applyBorder="0" applyAlignment="0" applyProtection="0"/>
    <xf numFmtId="0" fontId="4" fillId="27" borderId="1" applyNumberFormat="0" applyBorder="0" applyAlignment="0" applyProtection="0"/>
    <xf numFmtId="0" fontId="4" fillId="27" borderId="1" applyNumberFormat="0" applyBorder="0" applyAlignment="0" applyProtection="0"/>
    <xf numFmtId="0" fontId="4" fillId="27" borderId="1" applyNumberFormat="0" applyBorder="0" applyAlignment="0" applyProtection="0"/>
    <xf numFmtId="0" fontId="4" fillId="27" borderId="1" applyNumberFormat="0" applyBorder="0" applyAlignment="0" applyProtection="0"/>
    <xf numFmtId="0" fontId="4" fillId="27" borderId="1" applyNumberFormat="0" applyBorder="0" applyAlignment="0" applyProtection="0"/>
    <xf numFmtId="0" fontId="4" fillId="27" borderId="1" applyNumberFormat="0" applyBorder="0" applyAlignment="0" applyProtection="0"/>
    <xf numFmtId="0" fontId="4" fillId="27" borderId="1" applyNumberFormat="0" applyBorder="0" applyAlignment="0" applyProtection="0"/>
    <xf numFmtId="0" fontId="4" fillId="27" borderId="1" applyNumberFormat="0" applyBorder="0" applyAlignment="0" applyProtection="0"/>
    <xf numFmtId="0" fontId="4" fillId="27" borderId="1" applyNumberFormat="0" applyBorder="0" applyAlignment="0" applyProtection="0"/>
    <xf numFmtId="0" fontId="4" fillId="27" borderId="1" applyNumberFormat="0" applyBorder="0" applyAlignment="0" applyProtection="0"/>
    <xf numFmtId="0" fontId="4" fillId="31" borderId="1" applyNumberFormat="0" applyBorder="0" applyAlignment="0" applyProtection="0"/>
    <xf numFmtId="0" fontId="4" fillId="31" borderId="1" applyNumberFormat="0" applyBorder="0" applyAlignment="0" applyProtection="0"/>
    <xf numFmtId="0" fontId="4" fillId="31" borderId="1" applyNumberFormat="0" applyBorder="0" applyAlignment="0" applyProtection="0"/>
    <xf numFmtId="0" fontId="4" fillId="31" borderId="1" applyNumberFormat="0" applyBorder="0" applyAlignment="0" applyProtection="0"/>
    <xf numFmtId="0" fontId="4" fillId="31" borderId="1" applyNumberFormat="0" applyBorder="0" applyAlignment="0" applyProtection="0"/>
    <xf numFmtId="0" fontId="4" fillId="31" borderId="1" applyNumberFormat="0" applyBorder="0" applyAlignment="0" applyProtection="0"/>
    <xf numFmtId="0" fontId="4" fillId="31" borderId="1" applyNumberFormat="0" applyBorder="0" applyAlignment="0" applyProtection="0"/>
    <xf numFmtId="0" fontId="4" fillId="31" borderId="1" applyNumberFormat="0" applyBorder="0" applyAlignment="0" applyProtection="0"/>
    <xf numFmtId="0" fontId="4" fillId="31" borderId="1" applyNumberFormat="0" applyBorder="0" applyAlignment="0" applyProtection="0"/>
    <xf numFmtId="0" fontId="4" fillId="31" borderId="1" applyNumberFormat="0" applyBorder="0" applyAlignment="0" applyProtection="0"/>
    <xf numFmtId="0" fontId="4" fillId="31" borderId="1" applyNumberFormat="0" applyBorder="0" applyAlignment="0" applyProtection="0"/>
    <xf numFmtId="0" fontId="4" fillId="31" borderId="1" applyNumberFormat="0" applyBorder="0" applyAlignment="0" applyProtection="0"/>
    <xf numFmtId="0" fontId="4" fillId="31" borderId="1" applyNumberFormat="0" applyBorder="0" applyAlignment="0" applyProtection="0"/>
    <xf numFmtId="0" fontId="4" fillId="31" borderId="1" applyNumberFormat="0" applyBorder="0" applyAlignment="0" applyProtection="0"/>
    <xf numFmtId="0" fontId="4" fillId="31" borderId="1" applyNumberFormat="0" applyBorder="0" applyAlignment="0" applyProtection="0"/>
    <xf numFmtId="0" fontId="4" fillId="31" borderId="1" applyNumberFormat="0" applyBorder="0" applyAlignment="0" applyProtection="0"/>
    <xf numFmtId="0" fontId="4" fillId="31" borderId="1" applyNumberFormat="0" applyBorder="0" applyAlignment="0" applyProtection="0"/>
    <xf numFmtId="0" fontId="4" fillId="31" borderId="1" applyNumberFormat="0" applyBorder="0" applyAlignment="0" applyProtection="0"/>
    <xf numFmtId="0" fontId="4" fillId="31" borderId="1" applyNumberFormat="0" applyBorder="0" applyAlignment="0" applyProtection="0"/>
    <xf numFmtId="0" fontId="4" fillId="31" borderId="1" applyNumberFormat="0" applyBorder="0" applyAlignment="0" applyProtection="0"/>
    <xf numFmtId="0" fontId="4" fillId="31" borderId="1" applyNumberFormat="0" applyBorder="0" applyAlignment="0" applyProtection="0"/>
    <xf numFmtId="0" fontId="4" fillId="31" borderId="1" applyNumberFormat="0" applyBorder="0" applyAlignment="0" applyProtection="0"/>
    <xf numFmtId="0" fontId="4" fillId="31" borderId="1" applyNumberFormat="0" applyBorder="0" applyAlignment="0" applyProtection="0"/>
    <xf numFmtId="0" fontId="4" fillId="31" borderId="1" applyNumberFormat="0" applyBorder="0" applyAlignment="0" applyProtection="0"/>
    <xf numFmtId="0" fontId="4" fillId="31" borderId="1" applyNumberFormat="0" applyBorder="0" applyAlignment="0" applyProtection="0"/>
    <xf numFmtId="0" fontId="4" fillId="31" borderId="1" applyNumberFormat="0" applyBorder="0" applyAlignment="0" applyProtection="0"/>
    <xf numFmtId="0" fontId="4" fillId="31" borderId="1" applyNumberFormat="0" applyBorder="0" applyAlignment="0" applyProtection="0"/>
    <xf numFmtId="0" fontId="4" fillId="31" borderId="1" applyNumberFormat="0" applyBorder="0" applyAlignment="0" applyProtection="0"/>
    <xf numFmtId="0" fontId="4" fillId="31" borderId="1" applyNumberFormat="0" applyBorder="0" applyAlignment="0" applyProtection="0"/>
    <xf numFmtId="0" fontId="4" fillId="31" borderId="1" applyNumberFormat="0" applyBorder="0" applyAlignment="0" applyProtection="0"/>
    <xf numFmtId="0" fontId="4" fillId="31" borderId="1" applyNumberFormat="0" applyBorder="0" applyAlignment="0" applyProtection="0"/>
    <xf numFmtId="0" fontId="4" fillId="35" borderId="1" applyNumberFormat="0" applyBorder="0" applyAlignment="0" applyProtection="0"/>
    <xf numFmtId="0" fontId="4" fillId="35" borderId="1" applyNumberFormat="0" applyBorder="0" applyAlignment="0" applyProtection="0"/>
    <xf numFmtId="0" fontId="4" fillId="35" borderId="1" applyNumberFormat="0" applyBorder="0" applyAlignment="0" applyProtection="0"/>
    <xf numFmtId="0" fontId="4" fillId="35" borderId="1" applyNumberFormat="0" applyBorder="0" applyAlignment="0" applyProtection="0"/>
    <xf numFmtId="0" fontId="4" fillId="35" borderId="1" applyNumberFormat="0" applyBorder="0" applyAlignment="0" applyProtection="0"/>
    <xf numFmtId="0" fontId="4" fillId="35" borderId="1" applyNumberFormat="0" applyBorder="0" applyAlignment="0" applyProtection="0"/>
    <xf numFmtId="0" fontId="4" fillId="35" borderId="1" applyNumberFormat="0" applyBorder="0" applyAlignment="0" applyProtection="0"/>
    <xf numFmtId="0" fontId="4" fillId="35" borderId="1" applyNumberFormat="0" applyBorder="0" applyAlignment="0" applyProtection="0"/>
    <xf numFmtId="0" fontId="4" fillId="35" borderId="1" applyNumberFormat="0" applyBorder="0" applyAlignment="0" applyProtection="0"/>
    <xf numFmtId="0" fontId="4" fillId="35" borderId="1" applyNumberFormat="0" applyBorder="0" applyAlignment="0" applyProtection="0"/>
    <xf numFmtId="0" fontId="4" fillId="35" borderId="1" applyNumberFormat="0" applyBorder="0" applyAlignment="0" applyProtection="0"/>
    <xf numFmtId="0" fontId="4" fillId="35" borderId="1" applyNumberFormat="0" applyBorder="0" applyAlignment="0" applyProtection="0"/>
    <xf numFmtId="0" fontId="4" fillId="35" borderId="1" applyNumberFormat="0" applyBorder="0" applyAlignment="0" applyProtection="0"/>
    <xf numFmtId="0" fontId="4" fillId="35" borderId="1" applyNumberFormat="0" applyBorder="0" applyAlignment="0" applyProtection="0"/>
    <xf numFmtId="0" fontId="4" fillId="35" borderId="1" applyNumberFormat="0" applyBorder="0" applyAlignment="0" applyProtection="0"/>
    <xf numFmtId="0" fontId="4" fillId="35" borderId="1" applyNumberFormat="0" applyBorder="0" applyAlignment="0" applyProtection="0"/>
    <xf numFmtId="0" fontId="4" fillId="35" borderId="1" applyNumberFormat="0" applyBorder="0" applyAlignment="0" applyProtection="0"/>
    <xf numFmtId="0" fontId="4" fillId="35" borderId="1" applyNumberFormat="0" applyBorder="0" applyAlignment="0" applyProtection="0"/>
    <xf numFmtId="0" fontId="4" fillId="35" borderId="1" applyNumberFormat="0" applyBorder="0" applyAlignment="0" applyProtection="0"/>
    <xf numFmtId="0" fontId="4" fillId="35" borderId="1" applyNumberFormat="0" applyBorder="0" applyAlignment="0" applyProtection="0"/>
    <xf numFmtId="0" fontId="4" fillId="35" borderId="1" applyNumberFormat="0" applyBorder="0" applyAlignment="0" applyProtection="0"/>
    <xf numFmtId="0" fontId="4" fillId="35" borderId="1" applyNumberFormat="0" applyBorder="0" applyAlignment="0" applyProtection="0"/>
    <xf numFmtId="0" fontId="4" fillId="35" borderId="1" applyNumberFormat="0" applyBorder="0" applyAlignment="0" applyProtection="0"/>
    <xf numFmtId="0" fontId="4" fillId="35" borderId="1" applyNumberFormat="0" applyBorder="0" applyAlignment="0" applyProtection="0"/>
    <xf numFmtId="0" fontId="4" fillId="35" borderId="1" applyNumberFormat="0" applyBorder="0" applyAlignment="0" applyProtection="0"/>
    <xf numFmtId="0" fontId="4" fillId="35" borderId="1" applyNumberFormat="0" applyBorder="0" applyAlignment="0" applyProtection="0"/>
    <xf numFmtId="0" fontId="4" fillId="35" borderId="1" applyNumberFormat="0" applyBorder="0" applyAlignment="0" applyProtection="0"/>
    <xf numFmtId="0" fontId="4" fillId="35" borderId="1" applyNumberFormat="0" applyBorder="0" applyAlignment="0" applyProtection="0"/>
    <xf numFmtId="0" fontId="4" fillId="35" borderId="1" applyNumberFormat="0" applyBorder="0" applyAlignment="0" applyProtection="0"/>
    <xf numFmtId="0" fontId="4" fillId="35" borderId="1" applyNumberFormat="0" applyBorder="0" applyAlignment="0" applyProtection="0"/>
    <xf numFmtId="0" fontId="4" fillId="35" borderId="1" applyNumberFormat="0" applyBorder="0" applyAlignment="0" applyProtection="0"/>
    <xf numFmtId="0" fontId="4" fillId="16" borderId="1" applyNumberFormat="0" applyBorder="0" applyAlignment="0" applyProtection="0"/>
    <xf numFmtId="0" fontId="4" fillId="16" borderId="1" applyNumberFormat="0" applyBorder="0" applyAlignment="0" applyProtection="0"/>
    <xf numFmtId="0" fontId="4" fillId="16" borderId="1" applyNumberFormat="0" applyBorder="0" applyAlignment="0" applyProtection="0"/>
    <xf numFmtId="0" fontId="4" fillId="16" borderId="1" applyNumberFormat="0" applyBorder="0" applyAlignment="0" applyProtection="0"/>
    <xf numFmtId="0" fontId="4" fillId="16" borderId="1" applyNumberFormat="0" applyBorder="0" applyAlignment="0" applyProtection="0"/>
    <xf numFmtId="0" fontId="4" fillId="16" borderId="1" applyNumberFormat="0" applyBorder="0" applyAlignment="0" applyProtection="0"/>
    <xf numFmtId="0" fontId="4" fillId="16" borderId="1" applyNumberFormat="0" applyBorder="0" applyAlignment="0" applyProtection="0"/>
    <xf numFmtId="0" fontId="4" fillId="16" borderId="1" applyNumberFormat="0" applyBorder="0" applyAlignment="0" applyProtection="0"/>
    <xf numFmtId="0" fontId="4" fillId="16" borderId="1" applyNumberFormat="0" applyBorder="0" applyAlignment="0" applyProtection="0"/>
    <xf numFmtId="0" fontId="4" fillId="16" borderId="1" applyNumberFormat="0" applyBorder="0" applyAlignment="0" applyProtection="0"/>
    <xf numFmtId="0" fontId="4" fillId="16" borderId="1" applyNumberFormat="0" applyBorder="0" applyAlignment="0" applyProtection="0"/>
    <xf numFmtId="0" fontId="4" fillId="16" borderId="1" applyNumberFormat="0" applyBorder="0" applyAlignment="0" applyProtection="0"/>
    <xf numFmtId="0" fontId="4" fillId="16" borderId="1" applyNumberFormat="0" applyBorder="0" applyAlignment="0" applyProtection="0"/>
    <xf numFmtId="0" fontId="4" fillId="16" borderId="1" applyNumberFormat="0" applyBorder="0" applyAlignment="0" applyProtection="0"/>
    <xf numFmtId="0" fontId="4" fillId="16" borderId="1" applyNumberFormat="0" applyBorder="0" applyAlignment="0" applyProtection="0"/>
    <xf numFmtId="0" fontId="4" fillId="16" borderId="1" applyNumberFormat="0" applyBorder="0" applyAlignment="0" applyProtection="0"/>
    <xf numFmtId="0" fontId="4" fillId="16" borderId="1" applyNumberFormat="0" applyBorder="0" applyAlignment="0" applyProtection="0"/>
    <xf numFmtId="0" fontId="4" fillId="16" borderId="1" applyNumberFormat="0" applyBorder="0" applyAlignment="0" applyProtection="0"/>
    <xf numFmtId="0" fontId="4" fillId="16" borderId="1" applyNumberFormat="0" applyBorder="0" applyAlignment="0" applyProtection="0"/>
    <xf numFmtId="0" fontId="4" fillId="16" borderId="1" applyNumberFormat="0" applyBorder="0" applyAlignment="0" applyProtection="0"/>
    <xf numFmtId="0" fontId="4" fillId="16" borderId="1" applyNumberFormat="0" applyBorder="0" applyAlignment="0" applyProtection="0"/>
    <xf numFmtId="0" fontId="4" fillId="16" borderId="1" applyNumberFormat="0" applyBorder="0" applyAlignment="0" applyProtection="0"/>
    <xf numFmtId="0" fontId="4" fillId="16" borderId="1" applyNumberFormat="0" applyBorder="0" applyAlignment="0" applyProtection="0"/>
    <xf numFmtId="0" fontId="4" fillId="16" borderId="1" applyNumberFormat="0" applyBorder="0" applyAlignment="0" applyProtection="0"/>
    <xf numFmtId="0" fontId="4" fillId="16" borderId="1" applyNumberFormat="0" applyBorder="0" applyAlignment="0" applyProtection="0"/>
    <xf numFmtId="0" fontId="4" fillId="16" borderId="1" applyNumberFormat="0" applyBorder="0" applyAlignment="0" applyProtection="0"/>
    <xf numFmtId="0" fontId="4" fillId="16" borderId="1" applyNumberFormat="0" applyBorder="0" applyAlignment="0" applyProtection="0"/>
    <xf numFmtId="0" fontId="4" fillId="16" borderId="1" applyNumberFormat="0" applyBorder="0" applyAlignment="0" applyProtection="0"/>
    <xf numFmtId="0" fontId="4" fillId="16" borderId="1" applyNumberFormat="0" applyBorder="0" applyAlignment="0" applyProtection="0"/>
    <xf numFmtId="0" fontId="4" fillId="16" borderId="1" applyNumberFormat="0" applyBorder="0" applyAlignment="0" applyProtection="0"/>
    <xf numFmtId="0" fontId="4" fillId="16" borderId="1" applyNumberFormat="0" applyBorder="0" applyAlignment="0" applyProtection="0"/>
    <xf numFmtId="0" fontId="4" fillId="20" borderId="1" applyNumberFormat="0" applyBorder="0" applyAlignment="0" applyProtection="0"/>
    <xf numFmtId="0" fontId="4" fillId="20" borderId="1" applyNumberFormat="0" applyBorder="0" applyAlignment="0" applyProtection="0"/>
    <xf numFmtId="0" fontId="4" fillId="20" borderId="1" applyNumberFormat="0" applyBorder="0" applyAlignment="0" applyProtection="0"/>
    <xf numFmtId="0" fontId="4" fillId="20" borderId="1" applyNumberFormat="0" applyBorder="0" applyAlignment="0" applyProtection="0"/>
    <xf numFmtId="0" fontId="4" fillId="20" borderId="1" applyNumberFormat="0" applyBorder="0" applyAlignment="0" applyProtection="0"/>
    <xf numFmtId="0" fontId="4" fillId="20" borderId="1" applyNumberFormat="0" applyBorder="0" applyAlignment="0" applyProtection="0"/>
    <xf numFmtId="0" fontId="4" fillId="20" borderId="1" applyNumberFormat="0" applyBorder="0" applyAlignment="0" applyProtection="0"/>
    <xf numFmtId="0" fontId="4" fillId="20" borderId="1" applyNumberFormat="0" applyBorder="0" applyAlignment="0" applyProtection="0"/>
    <xf numFmtId="0" fontId="4" fillId="20" borderId="1" applyNumberFormat="0" applyBorder="0" applyAlignment="0" applyProtection="0"/>
    <xf numFmtId="0" fontId="4" fillId="20" borderId="1" applyNumberFormat="0" applyBorder="0" applyAlignment="0" applyProtection="0"/>
    <xf numFmtId="0" fontId="4" fillId="20" borderId="1" applyNumberFormat="0" applyBorder="0" applyAlignment="0" applyProtection="0"/>
    <xf numFmtId="0" fontId="4" fillId="20" borderId="1" applyNumberFormat="0" applyBorder="0" applyAlignment="0" applyProtection="0"/>
    <xf numFmtId="0" fontId="4" fillId="20" borderId="1" applyNumberFormat="0" applyBorder="0" applyAlignment="0" applyProtection="0"/>
    <xf numFmtId="0" fontId="4" fillId="20" borderId="1" applyNumberFormat="0" applyBorder="0" applyAlignment="0" applyProtection="0"/>
    <xf numFmtId="0" fontId="4" fillId="20" borderId="1" applyNumberFormat="0" applyBorder="0" applyAlignment="0" applyProtection="0"/>
    <xf numFmtId="0" fontId="4" fillId="20" borderId="1" applyNumberFormat="0" applyBorder="0" applyAlignment="0" applyProtection="0"/>
    <xf numFmtId="0" fontId="4" fillId="20" borderId="1" applyNumberFormat="0" applyBorder="0" applyAlignment="0" applyProtection="0"/>
    <xf numFmtId="0" fontId="4" fillId="20" borderId="1" applyNumberFormat="0" applyBorder="0" applyAlignment="0" applyProtection="0"/>
    <xf numFmtId="0" fontId="4" fillId="20" borderId="1" applyNumberFormat="0" applyBorder="0" applyAlignment="0" applyProtection="0"/>
    <xf numFmtId="0" fontId="4" fillId="20" borderId="1" applyNumberFormat="0" applyBorder="0" applyAlignment="0" applyProtection="0"/>
    <xf numFmtId="0" fontId="4" fillId="20" borderId="1" applyNumberFormat="0" applyBorder="0" applyAlignment="0" applyProtection="0"/>
    <xf numFmtId="0" fontId="4" fillId="20" borderId="1" applyNumberFormat="0" applyBorder="0" applyAlignment="0" applyProtection="0"/>
    <xf numFmtId="0" fontId="4" fillId="20" borderId="1" applyNumberFormat="0" applyBorder="0" applyAlignment="0" applyProtection="0"/>
    <xf numFmtId="0" fontId="4" fillId="20" borderId="1" applyNumberFormat="0" applyBorder="0" applyAlignment="0" applyProtection="0"/>
    <xf numFmtId="0" fontId="4" fillId="20" borderId="1" applyNumberFormat="0" applyBorder="0" applyAlignment="0" applyProtection="0"/>
    <xf numFmtId="0" fontId="4" fillId="20" borderId="1" applyNumberFormat="0" applyBorder="0" applyAlignment="0" applyProtection="0"/>
    <xf numFmtId="0" fontId="4" fillId="20" borderId="1" applyNumberFormat="0" applyBorder="0" applyAlignment="0" applyProtection="0"/>
    <xf numFmtId="0" fontId="4" fillId="20" borderId="1" applyNumberFormat="0" applyBorder="0" applyAlignment="0" applyProtection="0"/>
    <xf numFmtId="0" fontId="4" fillId="20" borderId="1" applyNumberFormat="0" applyBorder="0" applyAlignment="0" applyProtection="0"/>
    <xf numFmtId="0" fontId="4" fillId="20" borderId="1" applyNumberFormat="0" applyBorder="0" applyAlignment="0" applyProtection="0"/>
    <xf numFmtId="0" fontId="4" fillId="20" borderId="1" applyNumberFormat="0" applyBorder="0" applyAlignment="0" applyProtection="0"/>
    <xf numFmtId="0" fontId="4" fillId="24" borderId="1" applyNumberFormat="0" applyBorder="0" applyAlignment="0" applyProtection="0"/>
    <xf numFmtId="0" fontId="4" fillId="24" borderId="1" applyNumberFormat="0" applyBorder="0" applyAlignment="0" applyProtection="0"/>
    <xf numFmtId="0" fontId="4" fillId="24" borderId="1" applyNumberFormat="0" applyBorder="0" applyAlignment="0" applyProtection="0"/>
    <xf numFmtId="0" fontId="4" fillId="24" borderId="1" applyNumberFormat="0" applyBorder="0" applyAlignment="0" applyProtection="0"/>
    <xf numFmtId="0" fontId="4" fillId="24" borderId="1" applyNumberFormat="0" applyBorder="0" applyAlignment="0" applyProtection="0"/>
    <xf numFmtId="0" fontId="4" fillId="24" borderId="1" applyNumberFormat="0" applyBorder="0" applyAlignment="0" applyProtection="0"/>
    <xf numFmtId="0" fontId="4" fillId="24" borderId="1" applyNumberFormat="0" applyBorder="0" applyAlignment="0" applyProtection="0"/>
    <xf numFmtId="0" fontId="4" fillId="24" borderId="1" applyNumberFormat="0" applyBorder="0" applyAlignment="0" applyProtection="0"/>
    <xf numFmtId="0" fontId="4" fillId="24" borderId="1" applyNumberFormat="0" applyBorder="0" applyAlignment="0" applyProtection="0"/>
    <xf numFmtId="0" fontId="4" fillId="24" borderId="1" applyNumberFormat="0" applyBorder="0" applyAlignment="0" applyProtection="0"/>
    <xf numFmtId="0" fontId="4" fillId="24" borderId="1" applyNumberFormat="0" applyBorder="0" applyAlignment="0" applyProtection="0"/>
    <xf numFmtId="0" fontId="4" fillId="24" borderId="1" applyNumberFormat="0" applyBorder="0" applyAlignment="0" applyProtection="0"/>
    <xf numFmtId="0" fontId="4" fillId="24" borderId="1" applyNumberFormat="0" applyBorder="0" applyAlignment="0" applyProtection="0"/>
    <xf numFmtId="0" fontId="4" fillId="24" borderId="1" applyNumberFormat="0" applyBorder="0" applyAlignment="0" applyProtection="0"/>
    <xf numFmtId="0" fontId="4" fillId="24" borderId="1" applyNumberFormat="0" applyBorder="0" applyAlignment="0" applyProtection="0"/>
    <xf numFmtId="0" fontId="4" fillId="24" borderId="1" applyNumberFormat="0" applyBorder="0" applyAlignment="0" applyProtection="0"/>
    <xf numFmtId="0" fontId="4" fillId="24" borderId="1" applyNumberFormat="0" applyBorder="0" applyAlignment="0" applyProtection="0"/>
    <xf numFmtId="0" fontId="4" fillId="24" borderId="1" applyNumberFormat="0" applyBorder="0" applyAlignment="0" applyProtection="0"/>
    <xf numFmtId="0" fontId="4" fillId="24" borderId="1" applyNumberFormat="0" applyBorder="0" applyAlignment="0" applyProtection="0"/>
    <xf numFmtId="0" fontId="4" fillId="24" borderId="1" applyNumberFormat="0" applyBorder="0" applyAlignment="0" applyProtection="0"/>
    <xf numFmtId="0" fontId="4" fillId="24" borderId="1" applyNumberFormat="0" applyBorder="0" applyAlignment="0" applyProtection="0"/>
    <xf numFmtId="0" fontId="4" fillId="24" borderId="1" applyNumberFormat="0" applyBorder="0" applyAlignment="0" applyProtection="0"/>
    <xf numFmtId="0" fontId="4" fillId="24" borderId="1" applyNumberFormat="0" applyBorder="0" applyAlignment="0" applyProtection="0"/>
    <xf numFmtId="0" fontId="4" fillId="24" borderId="1" applyNumberFormat="0" applyBorder="0" applyAlignment="0" applyProtection="0"/>
    <xf numFmtId="0" fontId="4" fillId="24" borderId="1" applyNumberFormat="0" applyBorder="0" applyAlignment="0" applyProtection="0"/>
    <xf numFmtId="0" fontId="4" fillId="24" borderId="1" applyNumberFormat="0" applyBorder="0" applyAlignment="0" applyProtection="0"/>
    <xf numFmtId="0" fontId="4" fillId="24" borderId="1" applyNumberFormat="0" applyBorder="0" applyAlignment="0" applyProtection="0"/>
    <xf numFmtId="0" fontId="4" fillId="24" borderId="1" applyNumberFormat="0" applyBorder="0" applyAlignment="0" applyProtection="0"/>
    <xf numFmtId="0" fontId="4" fillId="24" borderId="1" applyNumberFormat="0" applyBorder="0" applyAlignment="0" applyProtection="0"/>
    <xf numFmtId="0" fontId="4" fillId="24" borderId="1" applyNumberFormat="0" applyBorder="0" applyAlignment="0" applyProtection="0"/>
    <xf numFmtId="0" fontId="4" fillId="24" borderId="1" applyNumberFormat="0" applyBorder="0" applyAlignment="0" applyProtection="0"/>
    <xf numFmtId="0" fontId="4" fillId="28" borderId="1" applyNumberFormat="0" applyBorder="0" applyAlignment="0" applyProtection="0"/>
    <xf numFmtId="0" fontId="4" fillId="28" borderId="1" applyNumberFormat="0" applyBorder="0" applyAlignment="0" applyProtection="0"/>
    <xf numFmtId="0" fontId="4" fillId="28" borderId="1" applyNumberFormat="0" applyBorder="0" applyAlignment="0" applyProtection="0"/>
    <xf numFmtId="0" fontId="4" fillId="28" borderId="1" applyNumberFormat="0" applyBorder="0" applyAlignment="0" applyProtection="0"/>
    <xf numFmtId="0" fontId="4" fillId="28" borderId="1" applyNumberFormat="0" applyBorder="0" applyAlignment="0" applyProtection="0"/>
    <xf numFmtId="0" fontId="4" fillId="28" borderId="1" applyNumberFormat="0" applyBorder="0" applyAlignment="0" applyProtection="0"/>
    <xf numFmtId="0" fontId="4" fillId="28" borderId="1" applyNumberFormat="0" applyBorder="0" applyAlignment="0" applyProtection="0"/>
    <xf numFmtId="0" fontId="4" fillId="28" borderId="1" applyNumberFormat="0" applyBorder="0" applyAlignment="0" applyProtection="0"/>
    <xf numFmtId="0" fontId="4" fillId="28" borderId="1" applyNumberFormat="0" applyBorder="0" applyAlignment="0" applyProtection="0"/>
    <xf numFmtId="0" fontId="4" fillId="28" borderId="1" applyNumberFormat="0" applyBorder="0" applyAlignment="0" applyProtection="0"/>
    <xf numFmtId="0" fontId="4" fillId="28" borderId="1" applyNumberFormat="0" applyBorder="0" applyAlignment="0" applyProtection="0"/>
    <xf numFmtId="0" fontId="4" fillId="28" borderId="1" applyNumberFormat="0" applyBorder="0" applyAlignment="0" applyProtection="0"/>
    <xf numFmtId="0" fontId="4" fillId="28" borderId="1" applyNumberFormat="0" applyBorder="0" applyAlignment="0" applyProtection="0"/>
    <xf numFmtId="0" fontId="4" fillId="28" borderId="1" applyNumberFormat="0" applyBorder="0" applyAlignment="0" applyProtection="0"/>
    <xf numFmtId="0" fontId="4" fillId="28" borderId="1" applyNumberFormat="0" applyBorder="0" applyAlignment="0" applyProtection="0"/>
    <xf numFmtId="0" fontId="4" fillId="28" borderId="1" applyNumberFormat="0" applyBorder="0" applyAlignment="0" applyProtection="0"/>
    <xf numFmtId="0" fontId="4" fillId="28" borderId="1" applyNumberFormat="0" applyBorder="0" applyAlignment="0" applyProtection="0"/>
    <xf numFmtId="0" fontId="4" fillId="28" borderId="1" applyNumberFormat="0" applyBorder="0" applyAlignment="0" applyProtection="0"/>
    <xf numFmtId="0" fontId="4" fillId="28" borderId="1" applyNumberFormat="0" applyBorder="0" applyAlignment="0" applyProtection="0"/>
    <xf numFmtId="0" fontId="4" fillId="28" borderId="1" applyNumberFormat="0" applyBorder="0" applyAlignment="0" applyProtection="0"/>
    <xf numFmtId="0" fontId="4" fillId="28" borderId="1" applyNumberFormat="0" applyBorder="0" applyAlignment="0" applyProtection="0"/>
    <xf numFmtId="0" fontId="4" fillId="28" borderId="1" applyNumberFormat="0" applyBorder="0" applyAlignment="0" applyProtection="0"/>
    <xf numFmtId="0" fontId="4" fillId="28" borderId="1" applyNumberFormat="0" applyBorder="0" applyAlignment="0" applyProtection="0"/>
    <xf numFmtId="0" fontId="4" fillId="28" borderId="1" applyNumberFormat="0" applyBorder="0" applyAlignment="0" applyProtection="0"/>
    <xf numFmtId="0" fontId="4" fillId="28" borderId="1" applyNumberFormat="0" applyBorder="0" applyAlignment="0" applyProtection="0"/>
    <xf numFmtId="0" fontId="4" fillId="28" borderId="1" applyNumberFormat="0" applyBorder="0" applyAlignment="0" applyProtection="0"/>
    <xf numFmtId="0" fontId="4" fillId="28" borderId="1" applyNumberFormat="0" applyBorder="0" applyAlignment="0" applyProtection="0"/>
    <xf numFmtId="0" fontId="4" fillId="28" borderId="1" applyNumberFormat="0" applyBorder="0" applyAlignment="0" applyProtection="0"/>
    <xf numFmtId="0" fontId="4" fillId="28" borderId="1" applyNumberFormat="0" applyBorder="0" applyAlignment="0" applyProtection="0"/>
    <xf numFmtId="0" fontId="4" fillId="28" borderId="1" applyNumberFormat="0" applyBorder="0" applyAlignment="0" applyProtection="0"/>
    <xf numFmtId="0" fontId="4" fillId="28" borderId="1" applyNumberFormat="0" applyBorder="0" applyAlignment="0" applyProtection="0"/>
    <xf numFmtId="0" fontId="4" fillId="32" borderId="1" applyNumberFormat="0" applyBorder="0" applyAlignment="0" applyProtection="0"/>
    <xf numFmtId="0" fontId="4" fillId="32" borderId="1" applyNumberFormat="0" applyBorder="0" applyAlignment="0" applyProtection="0"/>
    <xf numFmtId="0" fontId="4" fillId="32" borderId="1" applyNumberFormat="0" applyBorder="0" applyAlignment="0" applyProtection="0"/>
    <xf numFmtId="0" fontId="4" fillId="32" borderId="1" applyNumberFormat="0" applyBorder="0" applyAlignment="0" applyProtection="0"/>
    <xf numFmtId="0" fontId="4" fillId="32" borderId="1" applyNumberFormat="0" applyBorder="0" applyAlignment="0" applyProtection="0"/>
    <xf numFmtId="0" fontId="4" fillId="32" borderId="1" applyNumberFormat="0" applyBorder="0" applyAlignment="0" applyProtection="0"/>
    <xf numFmtId="0" fontId="4" fillId="32" borderId="1" applyNumberFormat="0" applyBorder="0" applyAlignment="0" applyProtection="0"/>
    <xf numFmtId="0" fontId="4" fillId="32" borderId="1" applyNumberFormat="0" applyBorder="0" applyAlignment="0" applyProtection="0"/>
    <xf numFmtId="0" fontId="4" fillId="32" borderId="1" applyNumberFormat="0" applyBorder="0" applyAlignment="0" applyProtection="0"/>
    <xf numFmtId="0" fontId="4" fillId="32" borderId="1" applyNumberFormat="0" applyBorder="0" applyAlignment="0" applyProtection="0"/>
    <xf numFmtId="0" fontId="4" fillId="32" borderId="1" applyNumberFormat="0" applyBorder="0" applyAlignment="0" applyProtection="0"/>
    <xf numFmtId="0" fontId="4" fillId="32" borderId="1" applyNumberFormat="0" applyBorder="0" applyAlignment="0" applyProtection="0"/>
    <xf numFmtId="0" fontId="4" fillId="32" borderId="1" applyNumberFormat="0" applyBorder="0" applyAlignment="0" applyProtection="0"/>
    <xf numFmtId="0" fontId="4" fillId="32" borderId="1" applyNumberFormat="0" applyBorder="0" applyAlignment="0" applyProtection="0"/>
    <xf numFmtId="0" fontId="4" fillId="32" borderId="1" applyNumberFormat="0" applyBorder="0" applyAlignment="0" applyProtection="0"/>
    <xf numFmtId="0" fontId="4" fillId="32" borderId="1" applyNumberFormat="0" applyBorder="0" applyAlignment="0" applyProtection="0"/>
    <xf numFmtId="0" fontId="4" fillId="32" borderId="1" applyNumberFormat="0" applyBorder="0" applyAlignment="0" applyProtection="0"/>
    <xf numFmtId="0" fontId="4" fillId="32" borderId="1" applyNumberFormat="0" applyBorder="0" applyAlignment="0" applyProtection="0"/>
    <xf numFmtId="0" fontId="4" fillId="32" borderId="1" applyNumberFormat="0" applyBorder="0" applyAlignment="0" applyProtection="0"/>
    <xf numFmtId="0" fontId="4" fillId="32" borderId="1" applyNumberFormat="0" applyBorder="0" applyAlignment="0" applyProtection="0"/>
    <xf numFmtId="0" fontId="4" fillId="32" borderId="1" applyNumberFormat="0" applyBorder="0" applyAlignment="0" applyProtection="0"/>
    <xf numFmtId="0" fontId="4" fillId="32" borderId="1" applyNumberFormat="0" applyBorder="0" applyAlignment="0" applyProtection="0"/>
    <xf numFmtId="0" fontId="4" fillId="32" borderId="1" applyNumberFormat="0" applyBorder="0" applyAlignment="0" applyProtection="0"/>
    <xf numFmtId="0" fontId="4" fillId="32" borderId="1" applyNumberFormat="0" applyBorder="0" applyAlignment="0" applyProtection="0"/>
    <xf numFmtId="0" fontId="4" fillId="32" borderId="1" applyNumberFormat="0" applyBorder="0" applyAlignment="0" applyProtection="0"/>
    <xf numFmtId="0" fontId="4" fillId="32" borderId="1" applyNumberFormat="0" applyBorder="0" applyAlignment="0" applyProtection="0"/>
    <xf numFmtId="0" fontId="4" fillId="32" borderId="1" applyNumberFormat="0" applyBorder="0" applyAlignment="0" applyProtection="0"/>
    <xf numFmtId="0" fontId="4" fillId="32" borderId="1" applyNumberFormat="0" applyBorder="0" applyAlignment="0" applyProtection="0"/>
    <xf numFmtId="0" fontId="4" fillId="32" borderId="1" applyNumberFormat="0" applyBorder="0" applyAlignment="0" applyProtection="0"/>
    <xf numFmtId="0" fontId="4" fillId="32" borderId="1" applyNumberFormat="0" applyBorder="0" applyAlignment="0" applyProtection="0"/>
    <xf numFmtId="0" fontId="4" fillId="32" borderId="1" applyNumberFormat="0" applyBorder="0" applyAlignment="0" applyProtection="0"/>
    <xf numFmtId="0" fontId="4" fillId="36" borderId="1" applyNumberFormat="0" applyBorder="0" applyAlignment="0" applyProtection="0"/>
    <xf numFmtId="0" fontId="4" fillId="36" borderId="1" applyNumberFormat="0" applyBorder="0" applyAlignment="0" applyProtection="0"/>
    <xf numFmtId="0" fontId="4" fillId="36" borderId="1" applyNumberFormat="0" applyBorder="0" applyAlignment="0" applyProtection="0"/>
    <xf numFmtId="0" fontId="4" fillId="36" borderId="1" applyNumberFormat="0" applyBorder="0" applyAlignment="0" applyProtection="0"/>
    <xf numFmtId="0" fontId="4" fillId="36" borderId="1" applyNumberFormat="0" applyBorder="0" applyAlignment="0" applyProtection="0"/>
    <xf numFmtId="0" fontId="4" fillId="36" borderId="1" applyNumberFormat="0" applyBorder="0" applyAlignment="0" applyProtection="0"/>
    <xf numFmtId="0" fontId="4" fillId="36" borderId="1" applyNumberFormat="0" applyBorder="0" applyAlignment="0" applyProtection="0"/>
    <xf numFmtId="0" fontId="4" fillId="36" borderId="1" applyNumberFormat="0" applyBorder="0" applyAlignment="0" applyProtection="0"/>
    <xf numFmtId="0" fontId="4" fillId="36" borderId="1" applyNumberFormat="0" applyBorder="0" applyAlignment="0" applyProtection="0"/>
    <xf numFmtId="0" fontId="4" fillId="36" borderId="1" applyNumberFormat="0" applyBorder="0" applyAlignment="0" applyProtection="0"/>
    <xf numFmtId="0" fontId="4" fillId="36" borderId="1" applyNumberFormat="0" applyBorder="0" applyAlignment="0" applyProtection="0"/>
    <xf numFmtId="0" fontId="4" fillId="36" borderId="1" applyNumberFormat="0" applyBorder="0" applyAlignment="0" applyProtection="0"/>
    <xf numFmtId="0" fontId="4" fillId="36" borderId="1" applyNumberFormat="0" applyBorder="0" applyAlignment="0" applyProtection="0"/>
    <xf numFmtId="0" fontId="4" fillId="36" borderId="1" applyNumberFormat="0" applyBorder="0" applyAlignment="0" applyProtection="0"/>
    <xf numFmtId="0" fontId="4" fillId="36" borderId="1" applyNumberFormat="0" applyBorder="0" applyAlignment="0" applyProtection="0"/>
    <xf numFmtId="0" fontId="4" fillId="36" borderId="1" applyNumberFormat="0" applyBorder="0" applyAlignment="0" applyProtection="0"/>
    <xf numFmtId="0" fontId="4" fillId="36" borderId="1" applyNumberFormat="0" applyBorder="0" applyAlignment="0" applyProtection="0"/>
    <xf numFmtId="0" fontId="4" fillId="36" borderId="1" applyNumberFormat="0" applyBorder="0" applyAlignment="0" applyProtection="0"/>
    <xf numFmtId="0" fontId="4" fillId="36" borderId="1" applyNumberFormat="0" applyBorder="0" applyAlignment="0" applyProtection="0"/>
    <xf numFmtId="0" fontId="4" fillId="36" borderId="1" applyNumberFormat="0" applyBorder="0" applyAlignment="0" applyProtection="0"/>
    <xf numFmtId="0" fontId="4" fillId="36" borderId="1" applyNumberFormat="0" applyBorder="0" applyAlignment="0" applyProtection="0"/>
    <xf numFmtId="0" fontId="4" fillId="36" borderId="1" applyNumberFormat="0" applyBorder="0" applyAlignment="0" applyProtection="0"/>
    <xf numFmtId="0" fontId="4" fillId="36" borderId="1" applyNumberFormat="0" applyBorder="0" applyAlignment="0" applyProtection="0"/>
    <xf numFmtId="0" fontId="4" fillId="36" borderId="1" applyNumberFormat="0" applyBorder="0" applyAlignment="0" applyProtection="0"/>
    <xf numFmtId="0" fontId="4" fillId="36" borderId="1" applyNumberFormat="0" applyBorder="0" applyAlignment="0" applyProtection="0"/>
    <xf numFmtId="0" fontId="4" fillId="36" borderId="1" applyNumberFormat="0" applyBorder="0" applyAlignment="0" applyProtection="0"/>
    <xf numFmtId="0" fontId="4" fillId="36" borderId="1" applyNumberFormat="0" applyBorder="0" applyAlignment="0" applyProtection="0"/>
    <xf numFmtId="0" fontId="4" fillId="36" borderId="1" applyNumberFormat="0" applyBorder="0" applyAlignment="0" applyProtection="0"/>
    <xf numFmtId="0" fontId="4" fillId="36" borderId="1" applyNumberFormat="0" applyBorder="0" applyAlignment="0" applyProtection="0"/>
    <xf numFmtId="0" fontId="4" fillId="36" borderId="1" applyNumberFormat="0" applyBorder="0" applyAlignment="0" applyProtection="0"/>
    <xf numFmtId="0" fontId="4" fillId="36" borderId="1" applyNumberFormat="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43" fontId="4" fillId="0" borderId="1" applyFont="0" applyFill="0" applyBorder="0" applyAlignment="0" applyProtection="0"/>
    <xf numFmtId="43" fontId="4" fillId="0" borderId="1" applyFont="0" applyFill="0" applyBorder="0" applyAlignment="0" applyProtection="0"/>
    <xf numFmtId="43" fontId="4" fillId="0" borderId="1" applyFont="0" applyFill="0" applyBorder="0" applyAlignment="0" applyProtection="0"/>
    <xf numFmtId="43"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43"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43" fontId="4" fillId="0" borderId="1" applyFont="0" applyFill="0" applyBorder="0" applyAlignment="0" applyProtection="0"/>
    <xf numFmtId="43" fontId="4" fillId="0" borderId="1" applyFont="0" applyFill="0" applyBorder="0" applyAlignment="0" applyProtection="0"/>
    <xf numFmtId="43" fontId="4" fillId="0" borderId="1" applyFont="0" applyFill="0" applyBorder="0" applyAlignment="0" applyProtection="0"/>
    <xf numFmtId="43"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43" fontId="4" fillId="0" borderId="1" applyFont="0" applyFill="0" applyBorder="0" applyAlignment="0" applyProtection="0"/>
    <xf numFmtId="43"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43" fontId="4" fillId="0" borderId="1" applyFont="0" applyFill="0" applyBorder="0" applyAlignment="0" applyProtection="0"/>
    <xf numFmtId="43"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43" fontId="4" fillId="0" borderId="1" applyFont="0" applyFill="0" applyBorder="0" applyAlignment="0" applyProtection="0"/>
    <xf numFmtId="43" fontId="4" fillId="0" borderId="1" applyFont="0" applyFill="0" applyBorder="0" applyAlignment="0" applyProtection="0"/>
    <xf numFmtId="43" fontId="4" fillId="0" borderId="1" applyFont="0" applyFill="0" applyBorder="0" applyAlignment="0" applyProtection="0"/>
    <xf numFmtId="43"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43" fontId="4" fillId="0" borderId="1" applyFont="0" applyFill="0" applyBorder="0" applyAlignment="0" applyProtection="0"/>
    <xf numFmtId="43"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43" fontId="4" fillId="0" borderId="1" applyFont="0" applyFill="0" applyBorder="0" applyAlignment="0" applyProtection="0"/>
    <xf numFmtId="43"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43" fontId="4" fillId="0" borderId="1" applyFont="0" applyFill="0" applyBorder="0" applyAlignment="0" applyProtection="0"/>
    <xf numFmtId="43" fontId="4" fillId="0" borderId="1" applyFont="0" applyFill="0" applyBorder="0" applyAlignment="0" applyProtection="0"/>
    <xf numFmtId="43" fontId="4" fillId="0" borderId="1" applyFont="0" applyFill="0" applyBorder="0" applyAlignment="0" applyProtection="0"/>
    <xf numFmtId="43"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43" fontId="4" fillId="0" borderId="1" applyFont="0" applyFill="0" applyBorder="0" applyAlignment="0" applyProtection="0"/>
    <xf numFmtId="43"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43" fontId="4" fillId="0" borderId="1" applyFont="0" applyFill="0" applyBorder="0" applyAlignment="0" applyProtection="0"/>
    <xf numFmtId="43" fontId="4" fillId="0" borderId="1" applyFont="0" applyFill="0" applyBorder="0" applyAlignment="0" applyProtection="0"/>
    <xf numFmtId="43" fontId="4" fillId="0" borderId="1" applyFont="0" applyFill="0" applyBorder="0" applyAlignment="0" applyProtection="0"/>
    <xf numFmtId="43" fontId="4" fillId="0" borderId="1" applyFont="0" applyFill="0" applyBorder="0" applyAlignment="0" applyProtection="0"/>
    <xf numFmtId="43"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43" fontId="4" fillId="0" borderId="1" applyFont="0" applyFill="0" applyBorder="0" applyAlignment="0" applyProtection="0"/>
    <xf numFmtId="43"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43" fontId="4" fillId="0" borderId="1" applyFont="0" applyFill="0" applyBorder="0" applyAlignment="0" applyProtection="0"/>
    <xf numFmtId="43" fontId="4" fillId="0" borderId="1" applyFont="0" applyFill="0" applyBorder="0" applyAlignment="0" applyProtection="0"/>
    <xf numFmtId="43" fontId="4" fillId="0" borderId="1" applyFont="0" applyFill="0" applyBorder="0" applyAlignment="0" applyProtection="0"/>
    <xf numFmtId="43"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43" fontId="4" fillId="0" borderId="1" applyFont="0" applyFill="0" applyBorder="0" applyAlignment="0" applyProtection="0"/>
    <xf numFmtId="43"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43" fontId="4" fillId="0" borderId="1" applyFont="0" applyFill="0" applyBorder="0" applyAlignment="0" applyProtection="0"/>
    <xf numFmtId="43"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43" fontId="4" fillId="0" borderId="1" applyFont="0" applyFill="0" applyBorder="0" applyAlignment="0" applyProtection="0"/>
    <xf numFmtId="43" fontId="4" fillId="0" borderId="1" applyFont="0" applyFill="0" applyBorder="0" applyAlignment="0" applyProtection="0"/>
    <xf numFmtId="43" fontId="4" fillId="0" borderId="1" applyFont="0" applyFill="0" applyBorder="0" applyAlignment="0" applyProtection="0"/>
    <xf numFmtId="43"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43" fontId="4" fillId="0" borderId="1" applyFont="0" applyFill="0" applyBorder="0" applyAlignment="0" applyProtection="0"/>
    <xf numFmtId="43"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43" fontId="4" fillId="0" borderId="1" applyFont="0" applyFill="0" applyBorder="0" applyAlignment="0" applyProtection="0"/>
    <xf numFmtId="43"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43" fontId="4" fillId="0" borderId="1" applyFont="0" applyFill="0" applyBorder="0" applyAlignment="0" applyProtection="0"/>
    <xf numFmtId="43" fontId="4" fillId="0" borderId="1" applyFont="0" applyFill="0" applyBorder="0" applyAlignment="0" applyProtection="0"/>
    <xf numFmtId="43" fontId="4" fillId="0" borderId="1" applyFont="0" applyFill="0" applyBorder="0" applyAlignment="0" applyProtection="0"/>
    <xf numFmtId="43"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43" fontId="4" fillId="0" borderId="1" applyFont="0" applyFill="0" applyBorder="0" applyAlignment="0" applyProtection="0"/>
    <xf numFmtId="43"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43" fontId="4" fillId="0" borderId="1" applyFont="0" applyFill="0" applyBorder="0" applyAlignment="0" applyProtection="0"/>
    <xf numFmtId="43"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43" fontId="4" fillId="0" borderId="1" applyFont="0" applyFill="0" applyBorder="0" applyAlignment="0" applyProtection="0"/>
    <xf numFmtId="43" fontId="4" fillId="0" borderId="1" applyFont="0" applyFill="0" applyBorder="0" applyAlignment="0" applyProtection="0"/>
    <xf numFmtId="43" fontId="4" fillId="0" borderId="1" applyFont="0" applyFill="0" applyBorder="0" applyAlignment="0" applyProtection="0"/>
    <xf numFmtId="43"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43" fontId="4" fillId="0" borderId="1" applyFont="0" applyFill="0" applyBorder="0" applyAlignment="0" applyProtection="0"/>
    <xf numFmtId="43"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43" fontId="4" fillId="0" borderId="1" applyFont="0" applyFill="0" applyBorder="0" applyAlignment="0" applyProtection="0"/>
    <xf numFmtId="43"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43" fontId="4" fillId="0" borderId="1" applyFont="0" applyFill="0" applyBorder="0" applyAlignment="0" applyProtection="0"/>
    <xf numFmtId="43" fontId="4" fillId="0" borderId="1" applyFont="0" applyFill="0" applyBorder="0" applyAlignment="0" applyProtection="0"/>
    <xf numFmtId="43" fontId="4" fillId="0" borderId="1" applyFont="0" applyFill="0" applyBorder="0" applyAlignment="0" applyProtection="0"/>
    <xf numFmtId="43"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43" fontId="4" fillId="0" borderId="1" applyFont="0" applyFill="0" applyBorder="0" applyAlignment="0" applyProtection="0"/>
    <xf numFmtId="43"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165" fontId="4" fillId="0" borderId="1" applyFont="0" applyFill="0" applyBorder="0" applyAlignment="0" applyProtection="0"/>
    <xf numFmtId="43" fontId="4" fillId="0" borderId="1" applyFont="0" applyFill="0" applyBorder="0" applyAlignment="0" applyProtection="0"/>
    <xf numFmtId="43" fontId="4" fillId="0" borderId="1" applyFont="0" applyFill="0" applyBorder="0" applyAlignment="0" applyProtection="0"/>
    <xf numFmtId="165" fontId="4" fillId="0" borderId="1" applyFont="0" applyFill="0" applyBorder="0" applyAlignment="0" applyProtection="0"/>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0" fontId="4" fillId="13" borderId="83" applyNumberFormat="0" applyFont="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0" fontId="18" fillId="0" borderId="1"/>
    <xf numFmtId="0" fontId="18" fillId="0" borderId="1"/>
    <xf numFmtId="43" fontId="18" fillId="0" borderId="0" applyFont="0" applyFill="0" applyBorder="0" applyAlignment="0" applyProtection="0"/>
    <xf numFmtId="0" fontId="18" fillId="0" borderId="1"/>
    <xf numFmtId="0" fontId="3" fillId="0" borderId="1"/>
    <xf numFmtId="165" fontId="3" fillId="0" borderId="1" applyFont="0" applyFill="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0" fontId="18" fillId="0" borderId="1"/>
    <xf numFmtId="0" fontId="3" fillId="0" borderId="1"/>
    <xf numFmtId="0" fontId="3" fillId="15" borderId="1" applyNumberFormat="0" applyBorder="0" applyAlignment="0" applyProtection="0"/>
    <xf numFmtId="0" fontId="3" fillId="19" borderId="1" applyNumberFormat="0" applyBorder="0" applyAlignment="0" applyProtection="0"/>
    <xf numFmtId="0" fontId="3" fillId="23" borderId="1" applyNumberFormat="0" applyBorder="0" applyAlignment="0" applyProtection="0"/>
    <xf numFmtId="0" fontId="3" fillId="27" borderId="1" applyNumberFormat="0" applyBorder="0" applyAlignment="0" applyProtection="0"/>
    <xf numFmtId="0" fontId="3" fillId="31" borderId="1" applyNumberFormat="0" applyBorder="0" applyAlignment="0" applyProtection="0"/>
    <xf numFmtId="0" fontId="3" fillId="35" borderId="1" applyNumberFormat="0" applyBorder="0" applyAlignment="0" applyProtection="0"/>
    <xf numFmtId="0" fontId="3" fillId="16" borderId="1" applyNumberFormat="0" applyBorder="0" applyAlignment="0" applyProtection="0"/>
    <xf numFmtId="0" fontId="3" fillId="20" borderId="1" applyNumberFormat="0" applyBorder="0" applyAlignment="0" applyProtection="0"/>
    <xf numFmtId="0" fontId="3" fillId="24" borderId="1" applyNumberFormat="0" applyBorder="0" applyAlignment="0" applyProtection="0"/>
    <xf numFmtId="0" fontId="3" fillId="28" borderId="1" applyNumberFormat="0" applyBorder="0" applyAlignment="0" applyProtection="0"/>
    <xf numFmtId="0" fontId="3" fillId="32" borderId="1" applyNumberFormat="0" applyBorder="0" applyAlignment="0" applyProtection="0"/>
    <xf numFmtId="0" fontId="3" fillId="36" borderId="1" applyNumberFormat="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0" fontId="3" fillId="0" borderId="1"/>
    <xf numFmtId="0" fontId="3" fillId="0" borderId="1"/>
    <xf numFmtId="0" fontId="3" fillId="0" borderId="1"/>
    <xf numFmtId="0" fontId="3" fillId="0" borderId="1"/>
    <xf numFmtId="0" fontId="3" fillId="0" borderId="1"/>
    <xf numFmtId="0" fontId="3" fillId="13" borderId="83" applyNumberFormat="0" applyFont="0" applyAlignment="0" applyProtection="0"/>
    <xf numFmtId="0" fontId="3" fillId="13" borderId="83" applyNumberFormat="0" applyFont="0" applyAlignment="0" applyProtection="0"/>
    <xf numFmtId="9" fontId="3" fillId="0" borderId="1" applyFont="0" applyFill="0" applyBorder="0" applyAlignment="0" applyProtection="0"/>
    <xf numFmtId="9" fontId="3" fillId="0" borderId="1" applyFont="0" applyFill="0" applyBorder="0" applyAlignment="0" applyProtection="0"/>
    <xf numFmtId="0" fontId="3" fillId="0" borderId="1"/>
    <xf numFmtId="0" fontId="3" fillId="15" borderId="1" applyNumberFormat="0" applyBorder="0" applyAlignment="0" applyProtection="0"/>
    <xf numFmtId="0" fontId="3" fillId="19" borderId="1" applyNumberFormat="0" applyBorder="0" applyAlignment="0" applyProtection="0"/>
    <xf numFmtId="0" fontId="3" fillId="23" borderId="1" applyNumberFormat="0" applyBorder="0" applyAlignment="0" applyProtection="0"/>
    <xf numFmtId="0" fontId="3" fillId="27" borderId="1" applyNumberFormat="0" applyBorder="0" applyAlignment="0" applyProtection="0"/>
    <xf numFmtId="0" fontId="3" fillId="31" borderId="1" applyNumberFormat="0" applyBorder="0" applyAlignment="0" applyProtection="0"/>
    <xf numFmtId="0" fontId="3" fillId="35" borderId="1" applyNumberFormat="0" applyBorder="0" applyAlignment="0" applyProtection="0"/>
    <xf numFmtId="0" fontId="3" fillId="16" borderId="1" applyNumberFormat="0" applyBorder="0" applyAlignment="0" applyProtection="0"/>
    <xf numFmtId="0" fontId="3" fillId="20" borderId="1" applyNumberFormat="0" applyBorder="0" applyAlignment="0" applyProtection="0"/>
    <xf numFmtId="0" fontId="3" fillId="24" borderId="1" applyNumberFormat="0" applyBorder="0" applyAlignment="0" applyProtection="0"/>
    <xf numFmtId="0" fontId="3" fillId="28" borderId="1" applyNumberFormat="0" applyBorder="0" applyAlignment="0" applyProtection="0"/>
    <xf numFmtId="0" fontId="3" fillId="32" borderId="1" applyNumberFormat="0" applyBorder="0" applyAlignment="0" applyProtection="0"/>
    <xf numFmtId="0" fontId="3" fillId="36" borderId="1" applyNumberFormat="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0" fontId="3" fillId="0" borderId="1"/>
    <xf numFmtId="0" fontId="3" fillId="0" borderId="1"/>
    <xf numFmtId="0" fontId="3" fillId="0" borderId="1"/>
    <xf numFmtId="0" fontId="3" fillId="0" borderId="1"/>
    <xf numFmtId="0" fontId="3" fillId="0" borderId="1"/>
    <xf numFmtId="0" fontId="3" fillId="13" borderId="83" applyNumberFormat="0" applyFont="0" applyAlignment="0" applyProtection="0"/>
    <xf numFmtId="0" fontId="3" fillId="13" borderId="83" applyNumberFormat="0" applyFont="0" applyAlignment="0" applyProtection="0"/>
    <xf numFmtId="9" fontId="3" fillId="0" borderId="1" applyFont="0" applyFill="0" applyBorder="0" applyAlignment="0" applyProtection="0"/>
    <xf numFmtId="9"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0" fontId="3" fillId="0" borderId="1"/>
    <xf numFmtId="0" fontId="3" fillId="15" borderId="1" applyNumberFormat="0" applyBorder="0" applyAlignment="0" applyProtection="0"/>
    <xf numFmtId="0" fontId="3" fillId="16" borderId="1" applyNumberFormat="0" applyBorder="0" applyAlignment="0" applyProtection="0"/>
    <xf numFmtId="0" fontId="3" fillId="19" borderId="1" applyNumberFormat="0" applyBorder="0" applyAlignment="0" applyProtection="0"/>
    <xf numFmtId="0" fontId="3" fillId="20" borderId="1" applyNumberFormat="0" applyBorder="0" applyAlignment="0" applyProtection="0"/>
    <xf numFmtId="0" fontId="3" fillId="23" borderId="1" applyNumberFormat="0" applyBorder="0" applyAlignment="0" applyProtection="0"/>
    <xf numFmtId="0" fontId="3" fillId="24" borderId="1" applyNumberFormat="0" applyBorder="0" applyAlignment="0" applyProtection="0"/>
    <xf numFmtId="0" fontId="3" fillId="27" borderId="1" applyNumberFormat="0" applyBorder="0" applyAlignment="0" applyProtection="0"/>
    <xf numFmtId="0" fontId="3" fillId="28" borderId="1" applyNumberFormat="0" applyBorder="0" applyAlignment="0" applyProtection="0"/>
    <xf numFmtId="0" fontId="3" fillId="31" borderId="1" applyNumberFormat="0" applyBorder="0" applyAlignment="0" applyProtection="0"/>
    <xf numFmtId="0" fontId="3" fillId="32" borderId="1" applyNumberFormat="0" applyBorder="0" applyAlignment="0" applyProtection="0"/>
    <xf numFmtId="0" fontId="3" fillId="35" borderId="1" applyNumberFormat="0" applyBorder="0" applyAlignment="0" applyProtection="0"/>
    <xf numFmtId="0" fontId="3" fillId="36" borderId="1" applyNumberFormat="0" applyBorder="0" applyAlignment="0" applyProtection="0"/>
    <xf numFmtId="0" fontId="3" fillId="0" borderId="1"/>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0" fontId="3" fillId="0" borderId="1"/>
    <xf numFmtId="0" fontId="3" fillId="0" borderId="1"/>
    <xf numFmtId="0" fontId="3" fillId="0" borderId="1"/>
    <xf numFmtId="0" fontId="3" fillId="0" borderId="1"/>
    <xf numFmtId="0" fontId="3" fillId="0" borderId="1"/>
    <xf numFmtId="0" fontId="3" fillId="13" borderId="83" applyNumberFormat="0" applyFont="0" applyAlignment="0" applyProtection="0"/>
    <xf numFmtId="0" fontId="3" fillId="13" borderId="83" applyNumberFormat="0" applyFont="0" applyAlignment="0" applyProtection="0"/>
    <xf numFmtId="9" fontId="3" fillId="0" borderId="1" applyFont="0" applyFill="0" applyBorder="0" applyAlignment="0" applyProtection="0"/>
    <xf numFmtId="9" fontId="3" fillId="0" borderId="1" applyFont="0" applyFill="0" applyBorder="0" applyAlignment="0" applyProtection="0"/>
    <xf numFmtId="0" fontId="3" fillId="0" borderId="1"/>
    <xf numFmtId="0" fontId="3" fillId="15" borderId="1" applyNumberFormat="0" applyBorder="0" applyAlignment="0" applyProtection="0"/>
    <xf numFmtId="0" fontId="3" fillId="19" borderId="1" applyNumberFormat="0" applyBorder="0" applyAlignment="0" applyProtection="0"/>
    <xf numFmtId="0" fontId="3" fillId="23" borderId="1" applyNumberFormat="0" applyBorder="0" applyAlignment="0" applyProtection="0"/>
    <xf numFmtId="0" fontId="3" fillId="27" borderId="1" applyNumberFormat="0" applyBorder="0" applyAlignment="0" applyProtection="0"/>
    <xf numFmtId="0" fontId="3" fillId="31" borderId="1" applyNumberFormat="0" applyBorder="0" applyAlignment="0" applyProtection="0"/>
    <xf numFmtId="0" fontId="3" fillId="35" borderId="1" applyNumberFormat="0" applyBorder="0" applyAlignment="0" applyProtection="0"/>
    <xf numFmtId="0" fontId="3" fillId="16" borderId="1" applyNumberFormat="0" applyBorder="0" applyAlignment="0" applyProtection="0"/>
    <xf numFmtId="0" fontId="3" fillId="20" borderId="1" applyNumberFormat="0" applyBorder="0" applyAlignment="0" applyProtection="0"/>
    <xf numFmtId="0" fontId="3" fillId="24" borderId="1" applyNumberFormat="0" applyBorder="0" applyAlignment="0" applyProtection="0"/>
    <xf numFmtId="0" fontId="3" fillId="28" borderId="1" applyNumberFormat="0" applyBorder="0" applyAlignment="0" applyProtection="0"/>
    <xf numFmtId="0" fontId="3" fillId="32" borderId="1" applyNumberFormat="0" applyBorder="0" applyAlignment="0" applyProtection="0"/>
    <xf numFmtId="0" fontId="3" fillId="36" borderId="1" applyNumberFormat="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0" fontId="3" fillId="0" borderId="1"/>
    <xf numFmtId="0" fontId="3" fillId="0" borderId="1"/>
    <xf numFmtId="0" fontId="3" fillId="0" borderId="1"/>
    <xf numFmtId="0" fontId="3" fillId="0" borderId="1"/>
    <xf numFmtId="0" fontId="3" fillId="0" borderId="1"/>
    <xf numFmtId="0" fontId="3" fillId="13" borderId="83" applyNumberFormat="0" applyFont="0" applyAlignment="0" applyProtection="0"/>
    <xf numFmtId="0" fontId="3" fillId="13" borderId="83" applyNumberFormat="0" applyFont="0" applyAlignment="0" applyProtection="0"/>
    <xf numFmtId="9" fontId="3" fillId="0" borderId="1" applyFont="0" applyFill="0" applyBorder="0" applyAlignment="0" applyProtection="0"/>
    <xf numFmtId="9"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0" fontId="3" fillId="0" borderId="1"/>
    <xf numFmtId="0" fontId="3" fillId="15" borderId="1" applyNumberFormat="0" applyBorder="0" applyAlignment="0" applyProtection="0"/>
    <xf numFmtId="0" fontId="3" fillId="16" borderId="1" applyNumberFormat="0" applyBorder="0" applyAlignment="0" applyProtection="0"/>
    <xf numFmtId="0" fontId="3" fillId="19" borderId="1" applyNumberFormat="0" applyBorder="0" applyAlignment="0" applyProtection="0"/>
    <xf numFmtId="0" fontId="3" fillId="20" borderId="1" applyNumberFormat="0" applyBorder="0" applyAlignment="0" applyProtection="0"/>
    <xf numFmtId="0" fontId="3" fillId="23" borderId="1" applyNumberFormat="0" applyBorder="0" applyAlignment="0" applyProtection="0"/>
    <xf numFmtId="0" fontId="3" fillId="24" borderId="1" applyNumberFormat="0" applyBorder="0" applyAlignment="0" applyProtection="0"/>
    <xf numFmtId="0" fontId="3" fillId="27" borderId="1" applyNumberFormat="0" applyBorder="0" applyAlignment="0" applyProtection="0"/>
    <xf numFmtId="0" fontId="3" fillId="28" borderId="1" applyNumberFormat="0" applyBorder="0" applyAlignment="0" applyProtection="0"/>
    <xf numFmtId="0" fontId="3" fillId="31" borderId="1" applyNumberFormat="0" applyBorder="0" applyAlignment="0" applyProtection="0"/>
    <xf numFmtId="0" fontId="3" fillId="32" borderId="1" applyNumberFormat="0" applyBorder="0" applyAlignment="0" applyProtection="0"/>
    <xf numFmtId="0" fontId="3" fillId="35" borderId="1" applyNumberFormat="0" applyBorder="0" applyAlignment="0" applyProtection="0"/>
    <xf numFmtId="0" fontId="3" fillId="36" borderId="1" applyNumberFormat="0" applyBorder="0" applyAlignment="0" applyProtection="0"/>
    <xf numFmtId="0" fontId="3" fillId="0" borderId="1"/>
    <xf numFmtId="0" fontId="3" fillId="0" borderId="1"/>
    <xf numFmtId="165" fontId="3" fillId="0" borderId="1" applyFont="0" applyFill="0" applyBorder="0" applyAlignment="0" applyProtection="0"/>
    <xf numFmtId="0" fontId="3" fillId="0" borderId="1"/>
    <xf numFmtId="165" fontId="3" fillId="0" borderId="1" applyFont="0" applyFill="0" applyBorder="0" applyAlignment="0" applyProtection="0"/>
    <xf numFmtId="9" fontId="3" fillId="0" borderId="1" applyFont="0" applyFill="0" applyBorder="0" applyAlignment="0" applyProtection="0"/>
    <xf numFmtId="0" fontId="3" fillId="13" borderId="83" applyNumberFormat="0" applyFont="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0" fontId="3" fillId="0" borderId="1"/>
    <xf numFmtId="0" fontId="3" fillId="0" borderId="1"/>
    <xf numFmtId="0" fontId="3" fillId="0" borderId="1"/>
    <xf numFmtId="0" fontId="3" fillId="0" borderId="1"/>
    <xf numFmtId="0" fontId="3" fillId="0" borderId="1"/>
    <xf numFmtId="0" fontId="3" fillId="15" borderId="1" applyNumberFormat="0" applyBorder="0" applyAlignment="0" applyProtection="0"/>
    <xf numFmtId="0" fontId="3" fillId="19" borderId="1" applyNumberFormat="0" applyBorder="0" applyAlignment="0" applyProtection="0"/>
    <xf numFmtId="0" fontId="3" fillId="23" borderId="1" applyNumberFormat="0" applyBorder="0" applyAlignment="0" applyProtection="0"/>
    <xf numFmtId="0" fontId="3" fillId="27" borderId="1" applyNumberFormat="0" applyBorder="0" applyAlignment="0" applyProtection="0"/>
    <xf numFmtId="0" fontId="3" fillId="31" borderId="1" applyNumberFormat="0" applyBorder="0" applyAlignment="0" applyProtection="0"/>
    <xf numFmtId="0" fontId="3" fillId="35" borderId="1" applyNumberFormat="0" applyBorder="0" applyAlignment="0" applyProtection="0"/>
    <xf numFmtId="0" fontId="3" fillId="16" borderId="1" applyNumberFormat="0" applyBorder="0" applyAlignment="0" applyProtection="0"/>
    <xf numFmtId="0" fontId="3" fillId="20" borderId="1" applyNumberFormat="0" applyBorder="0" applyAlignment="0" applyProtection="0"/>
    <xf numFmtId="0" fontId="3" fillId="24" borderId="1" applyNumberFormat="0" applyBorder="0" applyAlignment="0" applyProtection="0"/>
    <xf numFmtId="0" fontId="3" fillId="28" borderId="1" applyNumberFormat="0" applyBorder="0" applyAlignment="0" applyProtection="0"/>
    <xf numFmtId="0" fontId="3" fillId="32" borderId="1" applyNumberFormat="0" applyBorder="0" applyAlignment="0" applyProtection="0"/>
    <xf numFmtId="0" fontId="3" fillId="36" borderId="1" applyNumberFormat="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0" fontId="3" fillId="0" borderId="1"/>
    <xf numFmtId="0" fontId="3" fillId="0" borderId="1"/>
    <xf numFmtId="0" fontId="3" fillId="0" borderId="1"/>
    <xf numFmtId="0" fontId="3" fillId="0" borderId="1"/>
    <xf numFmtId="0" fontId="3" fillId="0" borderId="1"/>
    <xf numFmtId="0" fontId="3" fillId="13" borderId="83" applyNumberFormat="0" applyFont="0" applyAlignment="0" applyProtection="0"/>
    <xf numFmtId="0" fontId="3" fillId="13" borderId="83" applyNumberFormat="0" applyFont="0" applyAlignment="0" applyProtection="0"/>
    <xf numFmtId="9" fontId="3" fillId="0" borderId="1" applyFont="0" applyFill="0" applyBorder="0" applyAlignment="0" applyProtection="0"/>
    <xf numFmtId="9"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0" fontId="3" fillId="0" borderId="1"/>
    <xf numFmtId="0" fontId="3" fillId="15" borderId="1" applyNumberFormat="0" applyBorder="0" applyAlignment="0" applyProtection="0"/>
    <xf numFmtId="0" fontId="3" fillId="16" borderId="1" applyNumberFormat="0" applyBorder="0" applyAlignment="0" applyProtection="0"/>
    <xf numFmtId="0" fontId="3" fillId="19" borderId="1" applyNumberFormat="0" applyBorder="0" applyAlignment="0" applyProtection="0"/>
    <xf numFmtId="0" fontId="3" fillId="20" borderId="1" applyNumberFormat="0" applyBorder="0" applyAlignment="0" applyProtection="0"/>
    <xf numFmtId="0" fontId="3" fillId="23" borderId="1" applyNumberFormat="0" applyBorder="0" applyAlignment="0" applyProtection="0"/>
    <xf numFmtId="0" fontId="3" fillId="24" borderId="1" applyNumberFormat="0" applyBorder="0" applyAlignment="0" applyProtection="0"/>
    <xf numFmtId="0" fontId="3" fillId="27" borderId="1" applyNumberFormat="0" applyBorder="0" applyAlignment="0" applyProtection="0"/>
    <xf numFmtId="0" fontId="3" fillId="28" borderId="1" applyNumberFormat="0" applyBorder="0" applyAlignment="0" applyProtection="0"/>
    <xf numFmtId="0" fontId="3" fillId="31" borderId="1" applyNumberFormat="0" applyBorder="0" applyAlignment="0" applyProtection="0"/>
    <xf numFmtId="0" fontId="3" fillId="32" borderId="1" applyNumberFormat="0" applyBorder="0" applyAlignment="0" applyProtection="0"/>
    <xf numFmtId="0" fontId="3" fillId="35" borderId="1" applyNumberFormat="0" applyBorder="0" applyAlignment="0" applyProtection="0"/>
    <xf numFmtId="0" fontId="3" fillId="36" borderId="1" applyNumberFormat="0" applyBorder="0" applyAlignment="0" applyProtection="0"/>
    <xf numFmtId="0" fontId="3" fillId="0" borderId="1"/>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0" fontId="3" fillId="0" borderId="1"/>
    <xf numFmtId="0" fontId="3" fillId="0" borderId="1"/>
    <xf numFmtId="0" fontId="3" fillId="0" borderId="1"/>
    <xf numFmtId="0" fontId="3" fillId="0" borderId="1"/>
    <xf numFmtId="0" fontId="3" fillId="0" borderId="1"/>
    <xf numFmtId="0" fontId="3" fillId="13" borderId="83" applyNumberFormat="0" applyFont="0" applyAlignment="0" applyProtection="0"/>
    <xf numFmtId="0" fontId="3" fillId="13" borderId="83" applyNumberFormat="0" applyFont="0" applyAlignment="0" applyProtection="0"/>
    <xf numFmtId="9" fontId="3" fillId="0" borderId="1" applyFont="0" applyFill="0" applyBorder="0" applyAlignment="0" applyProtection="0"/>
    <xf numFmtId="9" fontId="3" fillId="0" borderId="1" applyFont="0" applyFill="0" applyBorder="0" applyAlignment="0" applyProtection="0"/>
    <xf numFmtId="0" fontId="3" fillId="0" borderId="1"/>
    <xf numFmtId="0" fontId="3" fillId="15" borderId="1" applyNumberFormat="0" applyBorder="0" applyAlignment="0" applyProtection="0"/>
    <xf numFmtId="0" fontId="3" fillId="19" borderId="1" applyNumberFormat="0" applyBorder="0" applyAlignment="0" applyProtection="0"/>
    <xf numFmtId="0" fontId="3" fillId="23" borderId="1" applyNumberFormat="0" applyBorder="0" applyAlignment="0" applyProtection="0"/>
    <xf numFmtId="0" fontId="3" fillId="27" borderId="1" applyNumberFormat="0" applyBorder="0" applyAlignment="0" applyProtection="0"/>
    <xf numFmtId="0" fontId="3" fillId="31" borderId="1" applyNumberFormat="0" applyBorder="0" applyAlignment="0" applyProtection="0"/>
    <xf numFmtId="0" fontId="3" fillId="35" borderId="1" applyNumberFormat="0" applyBorder="0" applyAlignment="0" applyProtection="0"/>
    <xf numFmtId="0" fontId="3" fillId="16" borderId="1" applyNumberFormat="0" applyBorder="0" applyAlignment="0" applyProtection="0"/>
    <xf numFmtId="0" fontId="3" fillId="20" borderId="1" applyNumberFormat="0" applyBorder="0" applyAlignment="0" applyProtection="0"/>
    <xf numFmtId="0" fontId="3" fillId="24" borderId="1" applyNumberFormat="0" applyBorder="0" applyAlignment="0" applyProtection="0"/>
    <xf numFmtId="0" fontId="3" fillId="28" borderId="1" applyNumberFormat="0" applyBorder="0" applyAlignment="0" applyProtection="0"/>
    <xf numFmtId="0" fontId="3" fillId="32" borderId="1" applyNumberFormat="0" applyBorder="0" applyAlignment="0" applyProtection="0"/>
    <xf numFmtId="0" fontId="3" fillId="36" borderId="1" applyNumberFormat="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0" fontId="3" fillId="0" borderId="1"/>
    <xf numFmtId="0" fontId="3" fillId="0" borderId="1"/>
    <xf numFmtId="0" fontId="3" fillId="0" borderId="1"/>
    <xf numFmtId="0" fontId="3" fillId="0" borderId="1"/>
    <xf numFmtId="0" fontId="3" fillId="0" borderId="1"/>
    <xf numFmtId="0" fontId="3" fillId="13" borderId="83" applyNumberFormat="0" applyFont="0" applyAlignment="0" applyProtection="0"/>
    <xf numFmtId="0" fontId="3" fillId="13" borderId="83" applyNumberFormat="0" applyFont="0" applyAlignment="0" applyProtection="0"/>
    <xf numFmtId="9" fontId="3" fillId="0" borderId="1" applyFont="0" applyFill="0" applyBorder="0" applyAlignment="0" applyProtection="0"/>
    <xf numFmtId="9" fontId="3" fillId="0" borderId="1" applyFont="0" applyFill="0" applyBorder="0" applyAlignment="0" applyProtection="0"/>
    <xf numFmtId="165" fontId="3" fillId="0" borderId="1" applyFont="0" applyFill="0" applyBorder="0" applyAlignment="0" applyProtection="0"/>
    <xf numFmtId="0" fontId="3" fillId="0" borderId="1"/>
    <xf numFmtId="0" fontId="3" fillId="15" borderId="1" applyNumberFormat="0" applyBorder="0" applyAlignment="0" applyProtection="0"/>
    <xf numFmtId="0" fontId="3" fillId="15"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165" fontId="3" fillId="0" borderId="1" applyFont="0" applyFill="0" applyBorder="0" applyAlignment="0" applyProtection="0"/>
    <xf numFmtId="165" fontId="3" fillId="0" borderId="1" applyFont="0" applyFill="0" applyBorder="0" applyAlignment="0" applyProtection="0"/>
    <xf numFmtId="0" fontId="3" fillId="0" borderId="1"/>
    <xf numFmtId="0" fontId="3" fillId="0" borderId="1"/>
    <xf numFmtId="0" fontId="3" fillId="0" borderId="1"/>
    <xf numFmtId="0" fontId="3" fillId="0" borderId="1"/>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9"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0" fontId="3" fillId="0" borderId="1"/>
    <xf numFmtId="0" fontId="3" fillId="0" borderId="1"/>
    <xf numFmtId="0" fontId="3" fillId="0" borderId="1"/>
    <xf numFmtId="0" fontId="3" fillId="0" borderId="1"/>
    <xf numFmtId="0" fontId="3" fillId="0" borderId="1"/>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0" fontId="3" fillId="0" borderId="1"/>
    <xf numFmtId="0" fontId="3" fillId="0" borderId="1"/>
    <xf numFmtId="0" fontId="3" fillId="0" borderId="1"/>
    <xf numFmtId="0" fontId="3" fillId="0" borderId="1"/>
    <xf numFmtId="0" fontId="3" fillId="0" borderId="1"/>
    <xf numFmtId="0" fontId="3" fillId="13" borderId="83" applyNumberFormat="0" applyFont="0" applyAlignment="0" applyProtection="0"/>
    <xf numFmtId="9" fontId="3" fillId="0" borderId="1" applyFont="0" applyFill="0" applyBorder="0" applyAlignment="0" applyProtection="0"/>
    <xf numFmtId="9" fontId="3" fillId="0" borderId="1" applyFont="0" applyFill="0" applyBorder="0" applyAlignment="0" applyProtection="0"/>
    <xf numFmtId="0" fontId="3" fillId="0" borderId="1"/>
    <xf numFmtId="0" fontId="3" fillId="15" borderId="1" applyNumberFormat="0" applyBorder="0" applyAlignment="0" applyProtection="0"/>
    <xf numFmtId="0" fontId="3" fillId="16" borderId="1" applyNumberFormat="0" applyBorder="0" applyAlignment="0" applyProtection="0"/>
    <xf numFmtId="0" fontId="3" fillId="19" borderId="1" applyNumberFormat="0" applyBorder="0" applyAlignment="0" applyProtection="0"/>
    <xf numFmtId="0" fontId="3" fillId="20" borderId="1" applyNumberFormat="0" applyBorder="0" applyAlignment="0" applyProtection="0"/>
    <xf numFmtId="0" fontId="3" fillId="23" borderId="1" applyNumberFormat="0" applyBorder="0" applyAlignment="0" applyProtection="0"/>
    <xf numFmtId="0" fontId="3" fillId="24" borderId="1" applyNumberFormat="0" applyBorder="0" applyAlignment="0" applyProtection="0"/>
    <xf numFmtId="0" fontId="3" fillId="27" borderId="1" applyNumberFormat="0" applyBorder="0" applyAlignment="0" applyProtection="0"/>
    <xf numFmtId="0" fontId="3" fillId="28" borderId="1" applyNumberFormat="0" applyBorder="0" applyAlignment="0" applyProtection="0"/>
    <xf numFmtId="0" fontId="3" fillId="31" borderId="1" applyNumberFormat="0" applyBorder="0" applyAlignment="0" applyProtection="0"/>
    <xf numFmtId="0" fontId="3" fillId="32" borderId="1" applyNumberFormat="0" applyBorder="0" applyAlignment="0" applyProtection="0"/>
    <xf numFmtId="0" fontId="3" fillId="35" borderId="1" applyNumberFormat="0" applyBorder="0" applyAlignment="0" applyProtection="0"/>
    <xf numFmtId="0" fontId="3" fillId="36" borderId="1" applyNumberFormat="0" applyBorder="0" applyAlignment="0" applyProtection="0"/>
    <xf numFmtId="0" fontId="3" fillId="0" borderId="1"/>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0" fontId="3" fillId="0" borderId="1"/>
    <xf numFmtId="0" fontId="3" fillId="0" borderId="1"/>
    <xf numFmtId="0" fontId="3" fillId="0" borderId="1"/>
    <xf numFmtId="0" fontId="3" fillId="0" borderId="1"/>
    <xf numFmtId="0" fontId="3" fillId="0" borderId="1"/>
    <xf numFmtId="0" fontId="3" fillId="13" borderId="83" applyNumberFormat="0" applyFont="0" applyAlignment="0" applyProtection="0"/>
    <xf numFmtId="0" fontId="3" fillId="13" borderId="83" applyNumberFormat="0" applyFont="0" applyAlignment="0" applyProtection="0"/>
    <xf numFmtId="9" fontId="3" fillId="0" borderId="1" applyFont="0" applyFill="0" applyBorder="0" applyAlignment="0" applyProtection="0"/>
    <xf numFmtId="9" fontId="3" fillId="0" borderId="1" applyFont="0" applyFill="0" applyBorder="0" applyAlignment="0" applyProtection="0"/>
    <xf numFmtId="0" fontId="3" fillId="0" borderId="1"/>
    <xf numFmtId="0" fontId="3" fillId="15" borderId="1" applyNumberFormat="0" applyBorder="0" applyAlignment="0" applyProtection="0"/>
    <xf numFmtId="0" fontId="3" fillId="19" borderId="1" applyNumberFormat="0" applyBorder="0" applyAlignment="0" applyProtection="0"/>
    <xf numFmtId="0" fontId="3" fillId="23" borderId="1" applyNumberFormat="0" applyBorder="0" applyAlignment="0" applyProtection="0"/>
    <xf numFmtId="0" fontId="3" fillId="27" borderId="1" applyNumberFormat="0" applyBorder="0" applyAlignment="0" applyProtection="0"/>
    <xf numFmtId="0" fontId="3" fillId="31" borderId="1" applyNumberFormat="0" applyBorder="0" applyAlignment="0" applyProtection="0"/>
    <xf numFmtId="0" fontId="3" fillId="35" borderId="1" applyNumberFormat="0" applyBorder="0" applyAlignment="0" applyProtection="0"/>
    <xf numFmtId="0" fontId="3" fillId="16" borderId="1" applyNumberFormat="0" applyBorder="0" applyAlignment="0" applyProtection="0"/>
    <xf numFmtId="0" fontId="3" fillId="20" borderId="1" applyNumberFormat="0" applyBorder="0" applyAlignment="0" applyProtection="0"/>
    <xf numFmtId="0" fontId="3" fillId="24" borderId="1" applyNumberFormat="0" applyBorder="0" applyAlignment="0" applyProtection="0"/>
    <xf numFmtId="0" fontId="3" fillId="28" borderId="1" applyNumberFormat="0" applyBorder="0" applyAlignment="0" applyProtection="0"/>
    <xf numFmtId="0" fontId="3" fillId="32" borderId="1" applyNumberFormat="0" applyBorder="0" applyAlignment="0" applyProtection="0"/>
    <xf numFmtId="0" fontId="3" fillId="36" borderId="1" applyNumberFormat="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0" fontId="3" fillId="0" borderId="1"/>
    <xf numFmtId="0" fontId="3" fillId="0" borderId="1"/>
    <xf numFmtId="0" fontId="3" fillId="0" borderId="1"/>
    <xf numFmtId="0" fontId="3" fillId="0" borderId="1"/>
    <xf numFmtId="0" fontId="3" fillId="0" borderId="1"/>
    <xf numFmtId="0" fontId="3" fillId="13" borderId="83" applyNumberFormat="0" applyFont="0" applyAlignment="0" applyProtection="0"/>
    <xf numFmtId="0" fontId="3" fillId="13" borderId="83" applyNumberFormat="0" applyFont="0" applyAlignment="0" applyProtection="0"/>
    <xf numFmtId="9" fontId="3" fillId="0" borderId="1" applyFont="0" applyFill="0" applyBorder="0" applyAlignment="0" applyProtection="0"/>
    <xf numFmtId="9"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0" fontId="3" fillId="0" borderId="1"/>
    <xf numFmtId="0" fontId="3" fillId="15" borderId="1" applyNumberFormat="0" applyBorder="0" applyAlignment="0" applyProtection="0"/>
    <xf numFmtId="0" fontId="3" fillId="16" borderId="1" applyNumberFormat="0" applyBorder="0" applyAlignment="0" applyProtection="0"/>
    <xf numFmtId="0" fontId="3" fillId="19" borderId="1" applyNumberFormat="0" applyBorder="0" applyAlignment="0" applyProtection="0"/>
    <xf numFmtId="0" fontId="3" fillId="20" borderId="1" applyNumberFormat="0" applyBorder="0" applyAlignment="0" applyProtection="0"/>
    <xf numFmtId="0" fontId="3" fillId="23" borderId="1" applyNumberFormat="0" applyBorder="0" applyAlignment="0" applyProtection="0"/>
    <xf numFmtId="0" fontId="3" fillId="24" borderId="1" applyNumberFormat="0" applyBorder="0" applyAlignment="0" applyProtection="0"/>
    <xf numFmtId="0" fontId="3" fillId="27" borderId="1" applyNumberFormat="0" applyBorder="0" applyAlignment="0" applyProtection="0"/>
    <xf numFmtId="0" fontId="3" fillId="28" borderId="1" applyNumberFormat="0" applyBorder="0" applyAlignment="0" applyProtection="0"/>
    <xf numFmtId="0" fontId="3" fillId="31" borderId="1" applyNumberFormat="0" applyBorder="0" applyAlignment="0" applyProtection="0"/>
    <xf numFmtId="0" fontId="3" fillId="32" borderId="1" applyNumberFormat="0" applyBorder="0" applyAlignment="0" applyProtection="0"/>
    <xf numFmtId="0" fontId="3" fillId="35" borderId="1" applyNumberFormat="0" applyBorder="0" applyAlignment="0" applyProtection="0"/>
    <xf numFmtId="0" fontId="3" fillId="36" borderId="1" applyNumberFormat="0" applyBorder="0" applyAlignment="0" applyProtection="0"/>
    <xf numFmtId="0" fontId="3" fillId="0" borderId="1"/>
    <xf numFmtId="0" fontId="3" fillId="0" borderId="1"/>
    <xf numFmtId="165" fontId="3" fillId="0" borderId="1" applyFont="0" applyFill="0" applyBorder="0" applyAlignment="0" applyProtection="0"/>
    <xf numFmtId="0" fontId="3" fillId="0" borderId="1"/>
    <xf numFmtId="9" fontId="3" fillId="0" borderId="1" applyFont="0" applyFill="0" applyBorder="0" applyAlignment="0" applyProtection="0"/>
    <xf numFmtId="0" fontId="3" fillId="13" borderId="83" applyNumberFormat="0" applyFont="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0" fontId="3" fillId="0" borderId="1"/>
    <xf numFmtId="0" fontId="3" fillId="0" borderId="1"/>
    <xf numFmtId="0" fontId="3" fillId="0" borderId="1"/>
    <xf numFmtId="0" fontId="3" fillId="0" borderId="1"/>
    <xf numFmtId="0" fontId="3" fillId="0" borderId="1"/>
    <xf numFmtId="0" fontId="3" fillId="15" borderId="1" applyNumberFormat="0" applyBorder="0" applyAlignment="0" applyProtection="0"/>
    <xf numFmtId="0" fontId="3" fillId="19" borderId="1" applyNumberFormat="0" applyBorder="0" applyAlignment="0" applyProtection="0"/>
    <xf numFmtId="0" fontId="3" fillId="23" borderId="1" applyNumberFormat="0" applyBorder="0" applyAlignment="0" applyProtection="0"/>
    <xf numFmtId="0" fontId="3" fillId="27" borderId="1" applyNumberFormat="0" applyBorder="0" applyAlignment="0" applyProtection="0"/>
    <xf numFmtId="0" fontId="3" fillId="31" borderId="1" applyNumberFormat="0" applyBorder="0" applyAlignment="0" applyProtection="0"/>
    <xf numFmtId="0" fontId="3" fillId="35" borderId="1" applyNumberFormat="0" applyBorder="0" applyAlignment="0" applyProtection="0"/>
    <xf numFmtId="0" fontId="3" fillId="16" borderId="1" applyNumberFormat="0" applyBorder="0" applyAlignment="0" applyProtection="0"/>
    <xf numFmtId="0" fontId="3" fillId="20" borderId="1" applyNumberFormat="0" applyBorder="0" applyAlignment="0" applyProtection="0"/>
    <xf numFmtId="0" fontId="3" fillId="24" borderId="1" applyNumberFormat="0" applyBorder="0" applyAlignment="0" applyProtection="0"/>
    <xf numFmtId="0" fontId="3" fillId="28" borderId="1" applyNumberFormat="0" applyBorder="0" applyAlignment="0" applyProtection="0"/>
    <xf numFmtId="0" fontId="3" fillId="32" borderId="1" applyNumberFormat="0" applyBorder="0" applyAlignment="0" applyProtection="0"/>
    <xf numFmtId="0" fontId="3" fillId="36" borderId="1" applyNumberFormat="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0" fontId="3" fillId="0" borderId="1"/>
    <xf numFmtId="0" fontId="3" fillId="0" borderId="1"/>
    <xf numFmtId="0" fontId="3" fillId="0" borderId="1"/>
    <xf numFmtId="0" fontId="3" fillId="0" borderId="1"/>
    <xf numFmtId="0" fontId="3" fillId="0" borderId="1"/>
    <xf numFmtId="0" fontId="3" fillId="13" borderId="83" applyNumberFormat="0" applyFont="0" applyAlignment="0" applyProtection="0"/>
    <xf numFmtId="0" fontId="3" fillId="13" borderId="83" applyNumberFormat="0" applyFont="0" applyAlignment="0" applyProtection="0"/>
    <xf numFmtId="9" fontId="3" fillId="0" borderId="1" applyFont="0" applyFill="0" applyBorder="0" applyAlignment="0" applyProtection="0"/>
    <xf numFmtId="9"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0" fontId="3" fillId="0" borderId="1"/>
    <xf numFmtId="0" fontId="3" fillId="15" borderId="1" applyNumberFormat="0" applyBorder="0" applyAlignment="0" applyProtection="0"/>
    <xf numFmtId="0" fontId="3" fillId="16" borderId="1" applyNumberFormat="0" applyBorder="0" applyAlignment="0" applyProtection="0"/>
    <xf numFmtId="0" fontId="3" fillId="19" borderId="1" applyNumberFormat="0" applyBorder="0" applyAlignment="0" applyProtection="0"/>
    <xf numFmtId="0" fontId="3" fillId="20" borderId="1" applyNumberFormat="0" applyBorder="0" applyAlignment="0" applyProtection="0"/>
    <xf numFmtId="0" fontId="3" fillId="23" borderId="1" applyNumberFormat="0" applyBorder="0" applyAlignment="0" applyProtection="0"/>
    <xf numFmtId="0" fontId="3" fillId="24" borderId="1" applyNumberFormat="0" applyBorder="0" applyAlignment="0" applyProtection="0"/>
    <xf numFmtId="0" fontId="3" fillId="27" borderId="1" applyNumberFormat="0" applyBorder="0" applyAlignment="0" applyProtection="0"/>
    <xf numFmtId="0" fontId="3" fillId="28" borderId="1" applyNumberFormat="0" applyBorder="0" applyAlignment="0" applyProtection="0"/>
    <xf numFmtId="0" fontId="3" fillId="31" borderId="1" applyNumberFormat="0" applyBorder="0" applyAlignment="0" applyProtection="0"/>
    <xf numFmtId="0" fontId="3" fillId="32" borderId="1" applyNumberFormat="0" applyBorder="0" applyAlignment="0" applyProtection="0"/>
    <xf numFmtId="0" fontId="3" fillId="35" borderId="1" applyNumberFormat="0" applyBorder="0" applyAlignment="0" applyProtection="0"/>
    <xf numFmtId="0" fontId="3" fillId="36" borderId="1" applyNumberFormat="0" applyBorder="0" applyAlignment="0" applyProtection="0"/>
    <xf numFmtId="0" fontId="3" fillId="0" borderId="1"/>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0" fontId="3" fillId="0" borderId="1"/>
    <xf numFmtId="0" fontId="3" fillId="0" borderId="1"/>
    <xf numFmtId="0" fontId="3" fillId="0" borderId="1"/>
    <xf numFmtId="0" fontId="3" fillId="0" borderId="1"/>
    <xf numFmtId="0" fontId="3" fillId="0" borderId="1"/>
    <xf numFmtId="0" fontId="3" fillId="13" borderId="83" applyNumberFormat="0" applyFont="0" applyAlignment="0" applyProtection="0"/>
    <xf numFmtId="0" fontId="3" fillId="13" borderId="83" applyNumberFormat="0" applyFont="0" applyAlignment="0" applyProtection="0"/>
    <xf numFmtId="9" fontId="3" fillId="0" borderId="1" applyFont="0" applyFill="0" applyBorder="0" applyAlignment="0" applyProtection="0"/>
    <xf numFmtId="9" fontId="3" fillId="0" borderId="1" applyFont="0" applyFill="0" applyBorder="0" applyAlignment="0" applyProtection="0"/>
    <xf numFmtId="0" fontId="3" fillId="0" borderId="1"/>
    <xf numFmtId="0" fontId="3" fillId="15" borderId="1" applyNumberFormat="0" applyBorder="0" applyAlignment="0" applyProtection="0"/>
    <xf numFmtId="0" fontId="3" fillId="19" borderId="1" applyNumberFormat="0" applyBorder="0" applyAlignment="0" applyProtection="0"/>
    <xf numFmtId="0" fontId="3" fillId="23" borderId="1" applyNumberFormat="0" applyBorder="0" applyAlignment="0" applyProtection="0"/>
    <xf numFmtId="0" fontId="3" fillId="27" borderId="1" applyNumberFormat="0" applyBorder="0" applyAlignment="0" applyProtection="0"/>
    <xf numFmtId="0" fontId="3" fillId="31" borderId="1" applyNumberFormat="0" applyBorder="0" applyAlignment="0" applyProtection="0"/>
    <xf numFmtId="0" fontId="3" fillId="35" borderId="1" applyNumberFormat="0" applyBorder="0" applyAlignment="0" applyProtection="0"/>
    <xf numFmtId="0" fontId="3" fillId="16" borderId="1" applyNumberFormat="0" applyBorder="0" applyAlignment="0" applyProtection="0"/>
    <xf numFmtId="0" fontId="3" fillId="20" borderId="1" applyNumberFormat="0" applyBorder="0" applyAlignment="0" applyProtection="0"/>
    <xf numFmtId="0" fontId="3" fillId="24" borderId="1" applyNumberFormat="0" applyBorder="0" applyAlignment="0" applyProtection="0"/>
    <xf numFmtId="0" fontId="3" fillId="28" borderId="1" applyNumberFormat="0" applyBorder="0" applyAlignment="0" applyProtection="0"/>
    <xf numFmtId="0" fontId="3" fillId="32" borderId="1" applyNumberFormat="0" applyBorder="0" applyAlignment="0" applyProtection="0"/>
    <xf numFmtId="0" fontId="3" fillId="36" borderId="1" applyNumberFormat="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0" fontId="3" fillId="0" borderId="1"/>
    <xf numFmtId="0" fontId="3" fillId="0" borderId="1"/>
    <xf numFmtId="0" fontId="3" fillId="0" borderId="1"/>
    <xf numFmtId="0" fontId="3" fillId="0" borderId="1"/>
    <xf numFmtId="0" fontId="3" fillId="0" borderId="1"/>
    <xf numFmtId="0" fontId="3" fillId="13" borderId="83" applyNumberFormat="0" applyFont="0" applyAlignment="0" applyProtection="0"/>
    <xf numFmtId="0" fontId="3" fillId="13" borderId="83" applyNumberFormat="0" applyFont="0" applyAlignment="0" applyProtection="0"/>
    <xf numFmtId="9" fontId="3" fillId="0" borderId="1" applyFont="0" applyFill="0" applyBorder="0" applyAlignment="0" applyProtection="0"/>
    <xf numFmtId="9"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0" fontId="3" fillId="0" borderId="1"/>
    <xf numFmtId="0" fontId="3" fillId="15" borderId="1" applyNumberFormat="0" applyBorder="0" applyAlignment="0" applyProtection="0"/>
    <xf numFmtId="0" fontId="3" fillId="15"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165" fontId="3" fillId="0" borderId="1" applyFont="0" applyFill="0" applyBorder="0" applyAlignment="0" applyProtection="0"/>
    <xf numFmtId="165" fontId="3" fillId="0" borderId="1" applyFont="0" applyFill="0" applyBorder="0" applyAlignment="0" applyProtection="0"/>
    <xf numFmtId="0" fontId="3" fillId="0" borderId="1"/>
    <xf numFmtId="0" fontId="3" fillId="0" borderId="1"/>
    <xf numFmtId="0" fontId="3" fillId="0" borderId="1"/>
    <xf numFmtId="0" fontId="3" fillId="0" borderId="1"/>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9"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0" fontId="3" fillId="0" borderId="1"/>
    <xf numFmtId="0" fontId="3" fillId="0" borderId="1"/>
    <xf numFmtId="0" fontId="3" fillId="0" borderId="1"/>
    <xf numFmtId="0" fontId="3" fillId="0" borderId="1"/>
    <xf numFmtId="0" fontId="3" fillId="0" borderId="1"/>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0" fontId="3" fillId="0" borderId="1"/>
    <xf numFmtId="0" fontId="3" fillId="0" borderId="1"/>
    <xf numFmtId="0" fontId="3" fillId="0" borderId="1"/>
    <xf numFmtId="0" fontId="3" fillId="0" borderId="1"/>
    <xf numFmtId="0" fontId="3" fillId="0" borderId="1"/>
    <xf numFmtId="0" fontId="3" fillId="13" borderId="83" applyNumberFormat="0" applyFont="0" applyAlignment="0" applyProtection="0"/>
    <xf numFmtId="9" fontId="3" fillId="0" borderId="1" applyFont="0" applyFill="0" applyBorder="0" applyAlignment="0" applyProtection="0"/>
    <xf numFmtId="9"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0" fontId="3" fillId="0" borderId="1"/>
    <xf numFmtId="0" fontId="3" fillId="15" borderId="1" applyNumberFormat="0" applyBorder="0" applyAlignment="0" applyProtection="0"/>
    <xf numFmtId="0" fontId="3" fillId="16" borderId="1" applyNumberFormat="0" applyBorder="0" applyAlignment="0" applyProtection="0"/>
    <xf numFmtId="0" fontId="3" fillId="19" borderId="1" applyNumberFormat="0" applyBorder="0" applyAlignment="0" applyProtection="0"/>
    <xf numFmtId="0" fontId="3" fillId="20" borderId="1" applyNumberFormat="0" applyBorder="0" applyAlignment="0" applyProtection="0"/>
    <xf numFmtId="0" fontId="3" fillId="23" borderId="1" applyNumberFormat="0" applyBorder="0" applyAlignment="0" applyProtection="0"/>
    <xf numFmtId="0" fontId="3" fillId="24" borderId="1" applyNumberFormat="0" applyBorder="0" applyAlignment="0" applyProtection="0"/>
    <xf numFmtId="0" fontId="3" fillId="27" borderId="1" applyNumberFormat="0" applyBorder="0" applyAlignment="0" applyProtection="0"/>
    <xf numFmtId="0" fontId="3" fillId="28" borderId="1" applyNumberFormat="0" applyBorder="0" applyAlignment="0" applyProtection="0"/>
    <xf numFmtId="0" fontId="3" fillId="31" borderId="1" applyNumberFormat="0" applyBorder="0" applyAlignment="0" applyProtection="0"/>
    <xf numFmtId="0" fontId="3" fillId="32" borderId="1" applyNumberFormat="0" applyBorder="0" applyAlignment="0" applyProtection="0"/>
    <xf numFmtId="0" fontId="3" fillId="35" borderId="1" applyNumberFormat="0" applyBorder="0" applyAlignment="0" applyProtection="0"/>
    <xf numFmtId="0" fontId="3" fillId="36" borderId="1" applyNumberFormat="0" applyBorder="0" applyAlignment="0" applyProtection="0"/>
    <xf numFmtId="0" fontId="3" fillId="0" borderId="1"/>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0" fontId="3" fillId="0" borderId="1"/>
    <xf numFmtId="0" fontId="3" fillId="0" borderId="1"/>
    <xf numFmtId="0" fontId="3" fillId="0" borderId="1"/>
    <xf numFmtId="0" fontId="3" fillId="0" borderId="1"/>
    <xf numFmtId="0" fontId="3" fillId="0" borderId="1"/>
    <xf numFmtId="0" fontId="3" fillId="13" borderId="83" applyNumberFormat="0" applyFont="0" applyAlignment="0" applyProtection="0"/>
    <xf numFmtId="0" fontId="3" fillId="13" borderId="83" applyNumberFormat="0" applyFont="0" applyAlignment="0" applyProtection="0"/>
    <xf numFmtId="9" fontId="3" fillId="0" borderId="1" applyFont="0" applyFill="0" applyBorder="0" applyAlignment="0" applyProtection="0"/>
    <xf numFmtId="9" fontId="3" fillId="0" borderId="1" applyFont="0" applyFill="0" applyBorder="0" applyAlignment="0" applyProtection="0"/>
    <xf numFmtId="0" fontId="3" fillId="0" borderId="1"/>
    <xf numFmtId="0" fontId="3" fillId="15" borderId="1" applyNumberFormat="0" applyBorder="0" applyAlignment="0" applyProtection="0"/>
    <xf numFmtId="0" fontId="3" fillId="19" borderId="1" applyNumberFormat="0" applyBorder="0" applyAlignment="0" applyProtection="0"/>
    <xf numFmtId="0" fontId="3" fillId="23" borderId="1" applyNumberFormat="0" applyBorder="0" applyAlignment="0" applyProtection="0"/>
    <xf numFmtId="0" fontId="3" fillId="27" borderId="1" applyNumberFormat="0" applyBorder="0" applyAlignment="0" applyProtection="0"/>
    <xf numFmtId="0" fontId="3" fillId="31" borderId="1" applyNumberFormat="0" applyBorder="0" applyAlignment="0" applyProtection="0"/>
    <xf numFmtId="0" fontId="3" fillId="35" borderId="1" applyNumberFormat="0" applyBorder="0" applyAlignment="0" applyProtection="0"/>
    <xf numFmtId="0" fontId="3" fillId="16" borderId="1" applyNumberFormat="0" applyBorder="0" applyAlignment="0" applyProtection="0"/>
    <xf numFmtId="0" fontId="3" fillId="20" borderId="1" applyNumberFormat="0" applyBorder="0" applyAlignment="0" applyProtection="0"/>
    <xf numFmtId="0" fontId="3" fillId="24" borderId="1" applyNumberFormat="0" applyBorder="0" applyAlignment="0" applyProtection="0"/>
    <xf numFmtId="0" fontId="3" fillId="28" borderId="1" applyNumberFormat="0" applyBorder="0" applyAlignment="0" applyProtection="0"/>
    <xf numFmtId="0" fontId="3" fillId="32" borderId="1" applyNumberFormat="0" applyBorder="0" applyAlignment="0" applyProtection="0"/>
    <xf numFmtId="0" fontId="3" fillId="36" borderId="1" applyNumberFormat="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0" fontId="3" fillId="0" borderId="1"/>
    <xf numFmtId="0" fontId="3" fillId="0" borderId="1"/>
    <xf numFmtId="0" fontId="3" fillId="0" borderId="1"/>
    <xf numFmtId="0" fontId="3" fillId="0" borderId="1"/>
    <xf numFmtId="0" fontId="3" fillId="0" borderId="1"/>
    <xf numFmtId="0" fontId="3" fillId="13" borderId="83" applyNumberFormat="0" applyFont="0" applyAlignment="0" applyProtection="0"/>
    <xf numFmtId="0" fontId="3" fillId="13" borderId="83" applyNumberFormat="0" applyFont="0" applyAlignment="0" applyProtection="0"/>
    <xf numFmtId="9" fontId="3" fillId="0" borderId="1" applyFont="0" applyFill="0" applyBorder="0" applyAlignment="0" applyProtection="0"/>
    <xf numFmtId="9"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0" fontId="3" fillId="0" borderId="1"/>
    <xf numFmtId="0" fontId="3" fillId="15" borderId="1" applyNumberFormat="0" applyBorder="0" applyAlignment="0" applyProtection="0"/>
    <xf numFmtId="0" fontId="3" fillId="16" borderId="1" applyNumberFormat="0" applyBorder="0" applyAlignment="0" applyProtection="0"/>
    <xf numFmtId="0" fontId="3" fillId="19" borderId="1" applyNumberFormat="0" applyBorder="0" applyAlignment="0" applyProtection="0"/>
    <xf numFmtId="0" fontId="3" fillId="20" borderId="1" applyNumberFormat="0" applyBorder="0" applyAlignment="0" applyProtection="0"/>
    <xf numFmtId="0" fontId="3" fillId="23" borderId="1" applyNumberFormat="0" applyBorder="0" applyAlignment="0" applyProtection="0"/>
    <xf numFmtId="0" fontId="3" fillId="24" borderId="1" applyNumberFormat="0" applyBorder="0" applyAlignment="0" applyProtection="0"/>
    <xf numFmtId="0" fontId="3" fillId="27" borderId="1" applyNumberFormat="0" applyBorder="0" applyAlignment="0" applyProtection="0"/>
    <xf numFmtId="0" fontId="3" fillId="28" borderId="1" applyNumberFormat="0" applyBorder="0" applyAlignment="0" applyProtection="0"/>
    <xf numFmtId="0" fontId="3" fillId="31" borderId="1" applyNumberFormat="0" applyBorder="0" applyAlignment="0" applyProtection="0"/>
    <xf numFmtId="0" fontId="3" fillId="32" borderId="1" applyNumberFormat="0" applyBorder="0" applyAlignment="0" applyProtection="0"/>
    <xf numFmtId="0" fontId="3" fillId="35" borderId="1" applyNumberFormat="0" applyBorder="0" applyAlignment="0" applyProtection="0"/>
    <xf numFmtId="0" fontId="3" fillId="36" borderId="1" applyNumberFormat="0" applyBorder="0" applyAlignment="0" applyProtection="0"/>
    <xf numFmtId="0" fontId="3" fillId="0" borderId="1"/>
    <xf numFmtId="0" fontId="3" fillId="0" borderId="1"/>
    <xf numFmtId="165" fontId="3" fillId="0" borderId="1" applyFont="0" applyFill="0" applyBorder="0" applyAlignment="0" applyProtection="0"/>
    <xf numFmtId="0" fontId="3" fillId="0" borderId="1"/>
    <xf numFmtId="165" fontId="3" fillId="0" borderId="1" applyFont="0" applyFill="0" applyBorder="0" applyAlignment="0" applyProtection="0"/>
    <xf numFmtId="9" fontId="3" fillId="0" borderId="1" applyFont="0" applyFill="0" applyBorder="0" applyAlignment="0" applyProtection="0"/>
    <xf numFmtId="0" fontId="3" fillId="13" borderId="83" applyNumberFormat="0" applyFont="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0" fontId="3" fillId="0" borderId="1"/>
    <xf numFmtId="0" fontId="3" fillId="0" borderId="1"/>
    <xf numFmtId="0" fontId="3" fillId="0" borderId="1"/>
    <xf numFmtId="0" fontId="3" fillId="0" borderId="1"/>
    <xf numFmtId="0" fontId="3" fillId="0" borderId="1"/>
    <xf numFmtId="0" fontId="3" fillId="15" borderId="1" applyNumberFormat="0" applyBorder="0" applyAlignment="0" applyProtection="0"/>
    <xf numFmtId="0" fontId="3" fillId="19" borderId="1" applyNumberFormat="0" applyBorder="0" applyAlignment="0" applyProtection="0"/>
    <xf numFmtId="0" fontId="3" fillId="23" borderId="1" applyNumberFormat="0" applyBorder="0" applyAlignment="0" applyProtection="0"/>
    <xf numFmtId="0" fontId="3" fillId="27" borderId="1" applyNumberFormat="0" applyBorder="0" applyAlignment="0" applyProtection="0"/>
    <xf numFmtId="0" fontId="3" fillId="31" borderId="1" applyNumberFormat="0" applyBorder="0" applyAlignment="0" applyProtection="0"/>
    <xf numFmtId="0" fontId="3" fillId="35" borderId="1" applyNumberFormat="0" applyBorder="0" applyAlignment="0" applyProtection="0"/>
    <xf numFmtId="0" fontId="3" fillId="16" borderId="1" applyNumberFormat="0" applyBorder="0" applyAlignment="0" applyProtection="0"/>
    <xf numFmtId="0" fontId="3" fillId="20" borderId="1" applyNumberFormat="0" applyBorder="0" applyAlignment="0" applyProtection="0"/>
    <xf numFmtId="0" fontId="3" fillId="24" borderId="1" applyNumberFormat="0" applyBorder="0" applyAlignment="0" applyProtection="0"/>
    <xf numFmtId="0" fontId="3" fillId="28" borderId="1" applyNumberFormat="0" applyBorder="0" applyAlignment="0" applyProtection="0"/>
    <xf numFmtId="0" fontId="3" fillId="32" borderId="1" applyNumberFormat="0" applyBorder="0" applyAlignment="0" applyProtection="0"/>
    <xf numFmtId="0" fontId="3" fillId="36" borderId="1" applyNumberFormat="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0" fontId="3" fillId="0" borderId="1"/>
    <xf numFmtId="0" fontId="3" fillId="0" borderId="1"/>
    <xf numFmtId="0" fontId="3" fillId="0" borderId="1"/>
    <xf numFmtId="0" fontId="3" fillId="0" borderId="1"/>
    <xf numFmtId="0" fontId="3" fillId="0" borderId="1"/>
    <xf numFmtId="0" fontId="3" fillId="13" borderId="83" applyNumberFormat="0" applyFont="0" applyAlignment="0" applyProtection="0"/>
    <xf numFmtId="0" fontId="3" fillId="13" borderId="83" applyNumberFormat="0" applyFont="0" applyAlignment="0" applyProtection="0"/>
    <xf numFmtId="9" fontId="3" fillId="0" borderId="1" applyFont="0" applyFill="0" applyBorder="0" applyAlignment="0" applyProtection="0"/>
    <xf numFmtId="9"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0" fontId="3" fillId="0" borderId="1"/>
    <xf numFmtId="0" fontId="3" fillId="15" borderId="1" applyNumberFormat="0" applyBorder="0" applyAlignment="0" applyProtection="0"/>
    <xf numFmtId="0" fontId="3" fillId="16" borderId="1" applyNumberFormat="0" applyBorder="0" applyAlignment="0" applyProtection="0"/>
    <xf numFmtId="0" fontId="3" fillId="19" borderId="1" applyNumberFormat="0" applyBorder="0" applyAlignment="0" applyProtection="0"/>
    <xf numFmtId="0" fontId="3" fillId="20" borderId="1" applyNumberFormat="0" applyBorder="0" applyAlignment="0" applyProtection="0"/>
    <xf numFmtId="0" fontId="3" fillId="23" borderId="1" applyNumberFormat="0" applyBorder="0" applyAlignment="0" applyProtection="0"/>
    <xf numFmtId="0" fontId="3" fillId="24" borderId="1" applyNumberFormat="0" applyBorder="0" applyAlignment="0" applyProtection="0"/>
    <xf numFmtId="0" fontId="3" fillId="27" borderId="1" applyNumberFormat="0" applyBorder="0" applyAlignment="0" applyProtection="0"/>
    <xf numFmtId="0" fontId="3" fillId="28" borderId="1" applyNumberFormat="0" applyBorder="0" applyAlignment="0" applyProtection="0"/>
    <xf numFmtId="0" fontId="3" fillId="31" borderId="1" applyNumberFormat="0" applyBorder="0" applyAlignment="0" applyProtection="0"/>
    <xf numFmtId="0" fontId="3" fillId="32" borderId="1" applyNumberFormat="0" applyBorder="0" applyAlignment="0" applyProtection="0"/>
    <xf numFmtId="0" fontId="3" fillId="35" borderId="1" applyNumberFormat="0" applyBorder="0" applyAlignment="0" applyProtection="0"/>
    <xf numFmtId="0" fontId="3" fillId="36" borderId="1" applyNumberFormat="0" applyBorder="0" applyAlignment="0" applyProtection="0"/>
    <xf numFmtId="0" fontId="3" fillId="0" borderId="1"/>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0" fontId="3" fillId="0" borderId="1"/>
    <xf numFmtId="0" fontId="3" fillId="0" borderId="1"/>
    <xf numFmtId="0" fontId="3" fillId="0" borderId="1"/>
    <xf numFmtId="0" fontId="3" fillId="0" borderId="1"/>
    <xf numFmtId="0" fontId="3" fillId="0" borderId="1"/>
    <xf numFmtId="0" fontId="3" fillId="13" borderId="83" applyNumberFormat="0" applyFont="0" applyAlignment="0" applyProtection="0"/>
    <xf numFmtId="0" fontId="3" fillId="13" borderId="83" applyNumberFormat="0" applyFont="0" applyAlignment="0" applyProtection="0"/>
    <xf numFmtId="9" fontId="3" fillId="0" borderId="1" applyFont="0" applyFill="0" applyBorder="0" applyAlignment="0" applyProtection="0"/>
    <xf numFmtId="9" fontId="3" fillId="0" borderId="1" applyFont="0" applyFill="0" applyBorder="0" applyAlignment="0" applyProtection="0"/>
    <xf numFmtId="0" fontId="3" fillId="0" borderId="1"/>
    <xf numFmtId="0" fontId="3" fillId="15" borderId="1" applyNumberFormat="0" applyBorder="0" applyAlignment="0" applyProtection="0"/>
    <xf numFmtId="0" fontId="3" fillId="19" borderId="1" applyNumberFormat="0" applyBorder="0" applyAlignment="0" applyProtection="0"/>
    <xf numFmtId="0" fontId="3" fillId="23" borderId="1" applyNumberFormat="0" applyBorder="0" applyAlignment="0" applyProtection="0"/>
    <xf numFmtId="0" fontId="3" fillId="27" borderId="1" applyNumberFormat="0" applyBorder="0" applyAlignment="0" applyProtection="0"/>
    <xf numFmtId="0" fontId="3" fillId="31" borderId="1" applyNumberFormat="0" applyBorder="0" applyAlignment="0" applyProtection="0"/>
    <xf numFmtId="0" fontId="3" fillId="35" borderId="1" applyNumberFormat="0" applyBorder="0" applyAlignment="0" applyProtection="0"/>
    <xf numFmtId="0" fontId="3" fillId="16" borderId="1" applyNumberFormat="0" applyBorder="0" applyAlignment="0" applyProtection="0"/>
    <xf numFmtId="0" fontId="3" fillId="20" borderId="1" applyNumberFormat="0" applyBorder="0" applyAlignment="0" applyProtection="0"/>
    <xf numFmtId="0" fontId="3" fillId="24" borderId="1" applyNumberFormat="0" applyBorder="0" applyAlignment="0" applyProtection="0"/>
    <xf numFmtId="0" fontId="3" fillId="28" borderId="1" applyNumberFormat="0" applyBorder="0" applyAlignment="0" applyProtection="0"/>
    <xf numFmtId="0" fontId="3" fillId="32" borderId="1" applyNumberFormat="0" applyBorder="0" applyAlignment="0" applyProtection="0"/>
    <xf numFmtId="0" fontId="3" fillId="36" borderId="1" applyNumberFormat="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0" fontId="3" fillId="0" borderId="1"/>
    <xf numFmtId="0" fontId="3" fillId="0" borderId="1"/>
    <xf numFmtId="0" fontId="3" fillId="0" borderId="1"/>
    <xf numFmtId="0" fontId="3" fillId="0" borderId="1"/>
    <xf numFmtId="0" fontId="3" fillId="0" borderId="1"/>
    <xf numFmtId="0" fontId="3" fillId="13" borderId="83" applyNumberFormat="0" applyFont="0" applyAlignment="0" applyProtection="0"/>
    <xf numFmtId="0" fontId="3" fillId="13" borderId="83" applyNumberFormat="0" applyFont="0" applyAlignment="0" applyProtection="0"/>
    <xf numFmtId="9" fontId="3" fillId="0" borderId="1" applyFont="0" applyFill="0" applyBorder="0" applyAlignment="0" applyProtection="0"/>
    <xf numFmtId="9" fontId="3" fillId="0" borderId="1" applyFont="0" applyFill="0" applyBorder="0" applyAlignment="0" applyProtection="0"/>
    <xf numFmtId="165" fontId="3" fillId="0" borderId="1" applyFont="0" applyFill="0" applyBorder="0" applyAlignment="0" applyProtection="0"/>
    <xf numFmtId="0" fontId="3" fillId="0" borderId="1"/>
    <xf numFmtId="0" fontId="3" fillId="15" borderId="1" applyNumberFormat="0" applyBorder="0" applyAlignment="0" applyProtection="0"/>
    <xf numFmtId="0" fontId="3" fillId="15"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165" fontId="3" fillId="0" borderId="1" applyFont="0" applyFill="0" applyBorder="0" applyAlignment="0" applyProtection="0"/>
    <xf numFmtId="165" fontId="3" fillId="0" borderId="1" applyFont="0" applyFill="0" applyBorder="0" applyAlignment="0" applyProtection="0"/>
    <xf numFmtId="0" fontId="3" fillId="0" borderId="1"/>
    <xf numFmtId="0" fontId="3" fillId="0" borderId="1"/>
    <xf numFmtId="0" fontId="3" fillId="0" borderId="1"/>
    <xf numFmtId="0" fontId="3" fillId="0" borderId="1"/>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9"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0" fontId="3" fillId="0" borderId="1"/>
    <xf numFmtId="0" fontId="3" fillId="0" borderId="1"/>
    <xf numFmtId="0" fontId="3" fillId="0" borderId="1"/>
    <xf numFmtId="0" fontId="3" fillId="0" borderId="1"/>
    <xf numFmtId="0" fontId="3" fillId="0" borderId="1"/>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0" fontId="3" fillId="0" borderId="1"/>
    <xf numFmtId="0" fontId="3" fillId="0" borderId="1"/>
    <xf numFmtId="0" fontId="3" fillId="0" borderId="1"/>
    <xf numFmtId="0" fontId="3" fillId="0" borderId="1"/>
    <xf numFmtId="0" fontId="3" fillId="0" borderId="1"/>
    <xf numFmtId="0" fontId="3" fillId="13" borderId="83" applyNumberFormat="0" applyFont="0" applyAlignment="0" applyProtection="0"/>
    <xf numFmtId="9" fontId="3" fillId="0" borderId="1" applyFont="0" applyFill="0" applyBorder="0" applyAlignment="0" applyProtection="0"/>
    <xf numFmtId="9" fontId="3" fillId="0" borderId="1" applyFont="0" applyFill="0" applyBorder="0" applyAlignment="0" applyProtection="0"/>
    <xf numFmtId="0" fontId="3" fillId="0" borderId="1"/>
    <xf numFmtId="0" fontId="3" fillId="15" borderId="1" applyNumberFormat="0" applyBorder="0" applyAlignment="0" applyProtection="0"/>
    <xf numFmtId="0" fontId="3" fillId="16" borderId="1" applyNumberFormat="0" applyBorder="0" applyAlignment="0" applyProtection="0"/>
    <xf numFmtId="0" fontId="3" fillId="19" borderId="1" applyNumberFormat="0" applyBorder="0" applyAlignment="0" applyProtection="0"/>
    <xf numFmtId="0" fontId="3" fillId="20" borderId="1" applyNumberFormat="0" applyBorder="0" applyAlignment="0" applyProtection="0"/>
    <xf numFmtId="0" fontId="3" fillId="23" borderId="1" applyNumberFormat="0" applyBorder="0" applyAlignment="0" applyProtection="0"/>
    <xf numFmtId="0" fontId="3" fillId="24" borderId="1" applyNumberFormat="0" applyBorder="0" applyAlignment="0" applyProtection="0"/>
    <xf numFmtId="0" fontId="3" fillId="27" borderId="1" applyNumberFormat="0" applyBorder="0" applyAlignment="0" applyProtection="0"/>
    <xf numFmtId="0" fontId="3" fillId="28" borderId="1" applyNumberFormat="0" applyBorder="0" applyAlignment="0" applyProtection="0"/>
    <xf numFmtId="0" fontId="3" fillId="31" borderId="1" applyNumberFormat="0" applyBorder="0" applyAlignment="0" applyProtection="0"/>
    <xf numFmtId="0" fontId="3" fillId="32" borderId="1" applyNumberFormat="0" applyBorder="0" applyAlignment="0" applyProtection="0"/>
    <xf numFmtId="0" fontId="3" fillId="35" borderId="1" applyNumberFormat="0" applyBorder="0" applyAlignment="0" applyProtection="0"/>
    <xf numFmtId="0" fontId="3" fillId="36" borderId="1" applyNumberFormat="0" applyBorder="0" applyAlignment="0" applyProtection="0"/>
    <xf numFmtId="0" fontId="3" fillId="0" borderId="1"/>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0" fontId="3" fillId="0" borderId="1"/>
    <xf numFmtId="0" fontId="3" fillId="0" borderId="1"/>
    <xf numFmtId="0" fontId="3" fillId="0" borderId="1"/>
    <xf numFmtId="0" fontId="3" fillId="0" borderId="1"/>
    <xf numFmtId="0" fontId="3" fillId="0" borderId="1"/>
    <xf numFmtId="0" fontId="3" fillId="13" borderId="83" applyNumberFormat="0" applyFont="0" applyAlignment="0" applyProtection="0"/>
    <xf numFmtId="0" fontId="3" fillId="13" borderId="83" applyNumberFormat="0" applyFont="0" applyAlignment="0" applyProtection="0"/>
    <xf numFmtId="9" fontId="3" fillId="0" borderId="1" applyFont="0" applyFill="0" applyBorder="0" applyAlignment="0" applyProtection="0"/>
    <xf numFmtId="9" fontId="3" fillId="0" borderId="1" applyFont="0" applyFill="0" applyBorder="0" applyAlignment="0" applyProtection="0"/>
    <xf numFmtId="0" fontId="3" fillId="0" borderId="1"/>
    <xf numFmtId="0" fontId="3" fillId="15" borderId="1" applyNumberFormat="0" applyBorder="0" applyAlignment="0" applyProtection="0"/>
    <xf numFmtId="0" fontId="3" fillId="19" borderId="1" applyNumberFormat="0" applyBorder="0" applyAlignment="0" applyProtection="0"/>
    <xf numFmtId="0" fontId="3" fillId="23" borderId="1" applyNumberFormat="0" applyBorder="0" applyAlignment="0" applyProtection="0"/>
    <xf numFmtId="0" fontId="3" fillId="27" borderId="1" applyNumberFormat="0" applyBorder="0" applyAlignment="0" applyProtection="0"/>
    <xf numFmtId="0" fontId="3" fillId="31" borderId="1" applyNumberFormat="0" applyBorder="0" applyAlignment="0" applyProtection="0"/>
    <xf numFmtId="0" fontId="3" fillId="35" borderId="1" applyNumberFormat="0" applyBorder="0" applyAlignment="0" applyProtection="0"/>
    <xf numFmtId="0" fontId="3" fillId="16" borderId="1" applyNumberFormat="0" applyBorder="0" applyAlignment="0" applyProtection="0"/>
    <xf numFmtId="0" fontId="3" fillId="20" borderId="1" applyNumberFormat="0" applyBorder="0" applyAlignment="0" applyProtection="0"/>
    <xf numFmtId="0" fontId="3" fillId="24" borderId="1" applyNumberFormat="0" applyBorder="0" applyAlignment="0" applyProtection="0"/>
    <xf numFmtId="0" fontId="3" fillId="28" borderId="1" applyNumberFormat="0" applyBorder="0" applyAlignment="0" applyProtection="0"/>
    <xf numFmtId="0" fontId="3" fillId="32" borderId="1" applyNumberFormat="0" applyBorder="0" applyAlignment="0" applyProtection="0"/>
    <xf numFmtId="0" fontId="3" fillId="36" borderId="1" applyNumberFormat="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0" fontId="3" fillId="0" borderId="1"/>
    <xf numFmtId="0" fontId="3" fillId="0" borderId="1"/>
    <xf numFmtId="0" fontId="3" fillId="0" borderId="1"/>
    <xf numFmtId="0" fontId="3" fillId="0" borderId="1"/>
    <xf numFmtId="0" fontId="3" fillId="0" borderId="1"/>
    <xf numFmtId="0" fontId="3" fillId="13" borderId="83" applyNumberFormat="0" applyFont="0" applyAlignment="0" applyProtection="0"/>
    <xf numFmtId="0" fontId="3" fillId="13" borderId="83" applyNumberFormat="0" applyFont="0" applyAlignment="0" applyProtection="0"/>
    <xf numFmtId="9" fontId="3" fillId="0" borderId="1" applyFont="0" applyFill="0" applyBorder="0" applyAlignment="0" applyProtection="0"/>
    <xf numFmtId="9"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0" fontId="3" fillId="0" borderId="1"/>
    <xf numFmtId="0" fontId="3" fillId="15" borderId="1" applyNumberFormat="0" applyBorder="0" applyAlignment="0" applyProtection="0"/>
    <xf numFmtId="0" fontId="3" fillId="16" borderId="1" applyNumberFormat="0" applyBorder="0" applyAlignment="0" applyProtection="0"/>
    <xf numFmtId="0" fontId="3" fillId="19" borderId="1" applyNumberFormat="0" applyBorder="0" applyAlignment="0" applyProtection="0"/>
    <xf numFmtId="0" fontId="3" fillId="20" borderId="1" applyNumberFormat="0" applyBorder="0" applyAlignment="0" applyProtection="0"/>
    <xf numFmtId="0" fontId="3" fillId="23" borderId="1" applyNumberFormat="0" applyBorder="0" applyAlignment="0" applyProtection="0"/>
    <xf numFmtId="0" fontId="3" fillId="24" borderId="1" applyNumberFormat="0" applyBorder="0" applyAlignment="0" applyProtection="0"/>
    <xf numFmtId="0" fontId="3" fillId="27" borderId="1" applyNumberFormat="0" applyBorder="0" applyAlignment="0" applyProtection="0"/>
    <xf numFmtId="0" fontId="3" fillId="28" borderId="1" applyNumberFormat="0" applyBorder="0" applyAlignment="0" applyProtection="0"/>
    <xf numFmtId="0" fontId="3" fillId="31" borderId="1" applyNumberFormat="0" applyBorder="0" applyAlignment="0" applyProtection="0"/>
    <xf numFmtId="0" fontId="3" fillId="32" borderId="1" applyNumberFormat="0" applyBorder="0" applyAlignment="0" applyProtection="0"/>
    <xf numFmtId="0" fontId="3" fillId="35" borderId="1" applyNumberFormat="0" applyBorder="0" applyAlignment="0" applyProtection="0"/>
    <xf numFmtId="0" fontId="3" fillId="36" borderId="1" applyNumberFormat="0" applyBorder="0" applyAlignment="0" applyProtection="0"/>
    <xf numFmtId="0" fontId="3" fillId="0" borderId="1"/>
    <xf numFmtId="0" fontId="3" fillId="0" borderId="1"/>
    <xf numFmtId="165" fontId="3" fillId="0" borderId="1" applyFont="0" applyFill="0" applyBorder="0" applyAlignment="0" applyProtection="0"/>
    <xf numFmtId="0" fontId="3" fillId="0" borderId="1"/>
    <xf numFmtId="9" fontId="3" fillId="0" borderId="1" applyFont="0" applyFill="0" applyBorder="0" applyAlignment="0" applyProtection="0"/>
    <xf numFmtId="0" fontId="3" fillId="13" borderId="83" applyNumberFormat="0" applyFont="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0" fontId="3" fillId="0" borderId="1"/>
    <xf numFmtId="0" fontId="3" fillId="0" borderId="1"/>
    <xf numFmtId="0" fontId="3" fillId="0" borderId="1"/>
    <xf numFmtId="0" fontId="3" fillId="0" borderId="1"/>
    <xf numFmtId="0" fontId="3" fillId="0" borderId="1"/>
    <xf numFmtId="0" fontId="3" fillId="15" borderId="1" applyNumberFormat="0" applyBorder="0" applyAlignment="0" applyProtection="0"/>
    <xf numFmtId="0" fontId="3" fillId="19" borderId="1" applyNumberFormat="0" applyBorder="0" applyAlignment="0" applyProtection="0"/>
    <xf numFmtId="0" fontId="3" fillId="23" borderId="1" applyNumberFormat="0" applyBorder="0" applyAlignment="0" applyProtection="0"/>
    <xf numFmtId="0" fontId="3" fillId="27" borderId="1" applyNumberFormat="0" applyBorder="0" applyAlignment="0" applyProtection="0"/>
    <xf numFmtId="0" fontId="3" fillId="31" borderId="1" applyNumberFormat="0" applyBorder="0" applyAlignment="0" applyProtection="0"/>
    <xf numFmtId="0" fontId="3" fillId="35" borderId="1" applyNumberFormat="0" applyBorder="0" applyAlignment="0" applyProtection="0"/>
    <xf numFmtId="0" fontId="3" fillId="16" borderId="1" applyNumberFormat="0" applyBorder="0" applyAlignment="0" applyProtection="0"/>
    <xf numFmtId="0" fontId="3" fillId="20" borderId="1" applyNumberFormat="0" applyBorder="0" applyAlignment="0" applyProtection="0"/>
    <xf numFmtId="0" fontId="3" fillId="24" borderId="1" applyNumberFormat="0" applyBorder="0" applyAlignment="0" applyProtection="0"/>
    <xf numFmtId="0" fontId="3" fillId="28" borderId="1" applyNumberFormat="0" applyBorder="0" applyAlignment="0" applyProtection="0"/>
    <xf numFmtId="0" fontId="3" fillId="32" borderId="1" applyNumberFormat="0" applyBorder="0" applyAlignment="0" applyProtection="0"/>
    <xf numFmtId="0" fontId="3" fillId="36" borderId="1" applyNumberFormat="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0" fontId="3" fillId="0" borderId="1"/>
    <xf numFmtId="0" fontId="3" fillId="0" borderId="1"/>
    <xf numFmtId="0" fontId="3" fillId="0" borderId="1"/>
    <xf numFmtId="0" fontId="3" fillId="0" borderId="1"/>
    <xf numFmtId="0" fontId="3" fillId="0" borderId="1"/>
    <xf numFmtId="0" fontId="3" fillId="13" borderId="83" applyNumberFormat="0" applyFont="0" applyAlignment="0" applyProtection="0"/>
    <xf numFmtId="0" fontId="3" fillId="13" borderId="83" applyNumberFormat="0" applyFont="0" applyAlignment="0" applyProtection="0"/>
    <xf numFmtId="9" fontId="3" fillId="0" borderId="1" applyFont="0" applyFill="0" applyBorder="0" applyAlignment="0" applyProtection="0"/>
    <xf numFmtId="9"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0" fontId="3" fillId="0" borderId="1"/>
    <xf numFmtId="0" fontId="3" fillId="15" borderId="1" applyNumberFormat="0" applyBorder="0" applyAlignment="0" applyProtection="0"/>
    <xf numFmtId="0" fontId="3" fillId="16" borderId="1" applyNumberFormat="0" applyBorder="0" applyAlignment="0" applyProtection="0"/>
    <xf numFmtId="0" fontId="3" fillId="19" borderId="1" applyNumberFormat="0" applyBorder="0" applyAlignment="0" applyProtection="0"/>
    <xf numFmtId="0" fontId="3" fillId="20" borderId="1" applyNumberFormat="0" applyBorder="0" applyAlignment="0" applyProtection="0"/>
    <xf numFmtId="0" fontId="3" fillId="23" borderId="1" applyNumberFormat="0" applyBorder="0" applyAlignment="0" applyProtection="0"/>
    <xf numFmtId="0" fontId="3" fillId="24" borderId="1" applyNumberFormat="0" applyBorder="0" applyAlignment="0" applyProtection="0"/>
    <xf numFmtId="0" fontId="3" fillId="27" borderId="1" applyNumberFormat="0" applyBorder="0" applyAlignment="0" applyProtection="0"/>
    <xf numFmtId="0" fontId="3" fillId="28" borderId="1" applyNumberFormat="0" applyBorder="0" applyAlignment="0" applyProtection="0"/>
    <xf numFmtId="0" fontId="3" fillId="31" borderId="1" applyNumberFormat="0" applyBorder="0" applyAlignment="0" applyProtection="0"/>
    <xf numFmtId="0" fontId="3" fillId="32" borderId="1" applyNumberFormat="0" applyBorder="0" applyAlignment="0" applyProtection="0"/>
    <xf numFmtId="0" fontId="3" fillId="35" borderId="1" applyNumberFormat="0" applyBorder="0" applyAlignment="0" applyProtection="0"/>
    <xf numFmtId="0" fontId="3" fillId="36" borderId="1" applyNumberFormat="0" applyBorder="0" applyAlignment="0" applyProtection="0"/>
    <xf numFmtId="0" fontId="3" fillId="0" borderId="1"/>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0" fontId="3" fillId="0" borderId="1"/>
    <xf numFmtId="0" fontId="3" fillId="0" borderId="1"/>
    <xf numFmtId="0" fontId="3" fillId="0" borderId="1"/>
    <xf numFmtId="0" fontId="3" fillId="0" borderId="1"/>
    <xf numFmtId="0" fontId="3" fillId="0" borderId="1"/>
    <xf numFmtId="0" fontId="3" fillId="13" borderId="83" applyNumberFormat="0" applyFont="0" applyAlignment="0" applyProtection="0"/>
    <xf numFmtId="0" fontId="3" fillId="13" borderId="83" applyNumberFormat="0" applyFont="0" applyAlignment="0" applyProtection="0"/>
    <xf numFmtId="9" fontId="3" fillId="0" borderId="1" applyFont="0" applyFill="0" applyBorder="0" applyAlignment="0" applyProtection="0"/>
    <xf numFmtId="9" fontId="3" fillId="0" borderId="1" applyFont="0" applyFill="0" applyBorder="0" applyAlignment="0" applyProtection="0"/>
    <xf numFmtId="0" fontId="3" fillId="0" borderId="1"/>
    <xf numFmtId="0" fontId="3" fillId="15" borderId="1" applyNumberFormat="0" applyBorder="0" applyAlignment="0" applyProtection="0"/>
    <xf numFmtId="0" fontId="3" fillId="19" borderId="1" applyNumberFormat="0" applyBorder="0" applyAlignment="0" applyProtection="0"/>
    <xf numFmtId="0" fontId="3" fillId="23" borderId="1" applyNumberFormat="0" applyBorder="0" applyAlignment="0" applyProtection="0"/>
    <xf numFmtId="0" fontId="3" fillId="27" borderId="1" applyNumberFormat="0" applyBorder="0" applyAlignment="0" applyProtection="0"/>
    <xf numFmtId="0" fontId="3" fillId="31" borderId="1" applyNumberFormat="0" applyBorder="0" applyAlignment="0" applyProtection="0"/>
    <xf numFmtId="0" fontId="3" fillId="35" borderId="1" applyNumberFormat="0" applyBorder="0" applyAlignment="0" applyProtection="0"/>
    <xf numFmtId="0" fontId="3" fillId="16" borderId="1" applyNumberFormat="0" applyBorder="0" applyAlignment="0" applyProtection="0"/>
    <xf numFmtId="0" fontId="3" fillId="20" borderId="1" applyNumberFormat="0" applyBorder="0" applyAlignment="0" applyProtection="0"/>
    <xf numFmtId="0" fontId="3" fillId="24" borderId="1" applyNumberFormat="0" applyBorder="0" applyAlignment="0" applyProtection="0"/>
    <xf numFmtId="0" fontId="3" fillId="28" borderId="1" applyNumberFormat="0" applyBorder="0" applyAlignment="0" applyProtection="0"/>
    <xf numFmtId="0" fontId="3" fillId="32" borderId="1" applyNumberFormat="0" applyBorder="0" applyAlignment="0" applyProtection="0"/>
    <xf numFmtId="0" fontId="3" fillId="36" borderId="1" applyNumberFormat="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0" fontId="3" fillId="0" borderId="1"/>
    <xf numFmtId="0" fontId="3" fillId="0" borderId="1"/>
    <xf numFmtId="0" fontId="3" fillId="0" borderId="1"/>
    <xf numFmtId="0" fontId="3" fillId="0" borderId="1"/>
    <xf numFmtId="0" fontId="3" fillId="0" borderId="1"/>
    <xf numFmtId="0" fontId="3" fillId="13" borderId="83" applyNumberFormat="0" applyFont="0" applyAlignment="0" applyProtection="0"/>
    <xf numFmtId="0" fontId="3" fillId="13" borderId="83" applyNumberFormat="0" applyFont="0" applyAlignment="0" applyProtection="0"/>
    <xf numFmtId="9" fontId="3" fillId="0" borderId="1" applyFont="0" applyFill="0" applyBorder="0" applyAlignment="0" applyProtection="0"/>
    <xf numFmtId="9"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0" fontId="3" fillId="0" borderId="1"/>
    <xf numFmtId="165" fontId="3" fillId="0" borderId="1" applyFont="0" applyFill="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43" fontId="3" fillId="0" borderId="1" applyFont="0" applyFill="0" applyBorder="0" applyAlignment="0" applyProtection="0"/>
    <xf numFmtId="43" fontId="3" fillId="0" borderId="1" applyFont="0" applyFill="0" applyBorder="0" applyAlignment="0" applyProtection="0"/>
    <xf numFmtId="43" fontId="3" fillId="0" borderId="1" applyFont="0" applyFill="0" applyBorder="0" applyAlignment="0" applyProtection="0"/>
    <xf numFmtId="43"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43"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43" fontId="3" fillId="0" borderId="1" applyFont="0" applyFill="0" applyBorder="0" applyAlignment="0" applyProtection="0"/>
    <xf numFmtId="43" fontId="3" fillId="0" borderId="1" applyFont="0" applyFill="0" applyBorder="0" applyAlignment="0" applyProtection="0"/>
    <xf numFmtId="43" fontId="3" fillId="0" borderId="1" applyFont="0" applyFill="0" applyBorder="0" applyAlignment="0" applyProtection="0"/>
    <xf numFmtId="43"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43" fontId="3" fillId="0" borderId="1" applyFont="0" applyFill="0" applyBorder="0" applyAlignment="0" applyProtection="0"/>
    <xf numFmtId="43"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43" fontId="3" fillId="0" borderId="1" applyFont="0" applyFill="0" applyBorder="0" applyAlignment="0" applyProtection="0"/>
    <xf numFmtId="43"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43" fontId="3" fillId="0" borderId="1" applyFont="0" applyFill="0" applyBorder="0" applyAlignment="0" applyProtection="0"/>
    <xf numFmtId="43" fontId="3" fillId="0" borderId="1" applyFont="0" applyFill="0" applyBorder="0" applyAlignment="0" applyProtection="0"/>
    <xf numFmtId="43" fontId="3" fillId="0" borderId="1" applyFont="0" applyFill="0" applyBorder="0" applyAlignment="0" applyProtection="0"/>
    <xf numFmtId="43"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43" fontId="3" fillId="0" borderId="1" applyFont="0" applyFill="0" applyBorder="0" applyAlignment="0" applyProtection="0"/>
    <xf numFmtId="43"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43" fontId="3" fillId="0" borderId="1" applyFont="0" applyFill="0" applyBorder="0" applyAlignment="0" applyProtection="0"/>
    <xf numFmtId="43"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43" fontId="3" fillId="0" borderId="1" applyFont="0" applyFill="0" applyBorder="0" applyAlignment="0" applyProtection="0"/>
    <xf numFmtId="43" fontId="3" fillId="0" borderId="1" applyFont="0" applyFill="0" applyBorder="0" applyAlignment="0" applyProtection="0"/>
    <xf numFmtId="43" fontId="3" fillId="0" borderId="1" applyFont="0" applyFill="0" applyBorder="0" applyAlignment="0" applyProtection="0"/>
    <xf numFmtId="43"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43" fontId="3" fillId="0" borderId="1" applyFont="0" applyFill="0" applyBorder="0" applyAlignment="0" applyProtection="0"/>
    <xf numFmtId="43"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43" fontId="3" fillId="0" borderId="1" applyFont="0" applyFill="0" applyBorder="0" applyAlignment="0" applyProtection="0"/>
    <xf numFmtId="43" fontId="3" fillId="0" borderId="1" applyFont="0" applyFill="0" applyBorder="0" applyAlignment="0" applyProtection="0"/>
    <xf numFmtId="43" fontId="3" fillId="0" borderId="1" applyFont="0" applyFill="0" applyBorder="0" applyAlignment="0" applyProtection="0"/>
    <xf numFmtId="43" fontId="3" fillId="0" borderId="1" applyFont="0" applyFill="0" applyBorder="0" applyAlignment="0" applyProtection="0"/>
    <xf numFmtId="43"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43" fontId="3" fillId="0" borderId="1" applyFont="0" applyFill="0" applyBorder="0" applyAlignment="0" applyProtection="0"/>
    <xf numFmtId="43"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43" fontId="3" fillId="0" borderId="1" applyFont="0" applyFill="0" applyBorder="0" applyAlignment="0" applyProtection="0"/>
    <xf numFmtId="43" fontId="3" fillId="0" borderId="1" applyFont="0" applyFill="0" applyBorder="0" applyAlignment="0" applyProtection="0"/>
    <xf numFmtId="43" fontId="3" fillId="0" borderId="1" applyFont="0" applyFill="0" applyBorder="0" applyAlignment="0" applyProtection="0"/>
    <xf numFmtId="43"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43" fontId="3" fillId="0" borderId="1" applyFont="0" applyFill="0" applyBorder="0" applyAlignment="0" applyProtection="0"/>
    <xf numFmtId="43"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43" fontId="3" fillId="0" borderId="1" applyFont="0" applyFill="0" applyBorder="0" applyAlignment="0" applyProtection="0"/>
    <xf numFmtId="43"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43" fontId="3" fillId="0" borderId="1" applyFont="0" applyFill="0" applyBorder="0" applyAlignment="0" applyProtection="0"/>
    <xf numFmtId="43" fontId="3" fillId="0" borderId="1" applyFont="0" applyFill="0" applyBorder="0" applyAlignment="0" applyProtection="0"/>
    <xf numFmtId="43" fontId="3" fillId="0" borderId="1" applyFont="0" applyFill="0" applyBorder="0" applyAlignment="0" applyProtection="0"/>
    <xf numFmtId="43"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43" fontId="3" fillId="0" borderId="1" applyFont="0" applyFill="0" applyBorder="0" applyAlignment="0" applyProtection="0"/>
    <xf numFmtId="43"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43" fontId="3" fillId="0" borderId="1" applyFont="0" applyFill="0" applyBorder="0" applyAlignment="0" applyProtection="0"/>
    <xf numFmtId="43"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43" fontId="3" fillId="0" borderId="1" applyFont="0" applyFill="0" applyBorder="0" applyAlignment="0" applyProtection="0"/>
    <xf numFmtId="43" fontId="3" fillId="0" borderId="1" applyFont="0" applyFill="0" applyBorder="0" applyAlignment="0" applyProtection="0"/>
    <xf numFmtId="43" fontId="3" fillId="0" borderId="1" applyFont="0" applyFill="0" applyBorder="0" applyAlignment="0" applyProtection="0"/>
    <xf numFmtId="43"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43" fontId="3" fillId="0" borderId="1" applyFont="0" applyFill="0" applyBorder="0" applyAlignment="0" applyProtection="0"/>
    <xf numFmtId="43"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43" fontId="3" fillId="0" borderId="1" applyFont="0" applyFill="0" applyBorder="0" applyAlignment="0" applyProtection="0"/>
    <xf numFmtId="43"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43" fontId="3" fillId="0" borderId="1" applyFont="0" applyFill="0" applyBorder="0" applyAlignment="0" applyProtection="0"/>
    <xf numFmtId="43" fontId="3" fillId="0" borderId="1" applyFont="0" applyFill="0" applyBorder="0" applyAlignment="0" applyProtection="0"/>
    <xf numFmtId="43" fontId="3" fillId="0" borderId="1" applyFont="0" applyFill="0" applyBorder="0" applyAlignment="0" applyProtection="0"/>
    <xf numFmtId="43"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43" fontId="3" fillId="0" borderId="1" applyFont="0" applyFill="0" applyBorder="0" applyAlignment="0" applyProtection="0"/>
    <xf numFmtId="43"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43" fontId="3" fillId="0" borderId="1" applyFont="0" applyFill="0" applyBorder="0" applyAlignment="0" applyProtection="0"/>
    <xf numFmtId="43"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43" fontId="3" fillId="0" borderId="1" applyFont="0" applyFill="0" applyBorder="0" applyAlignment="0" applyProtection="0"/>
    <xf numFmtId="43" fontId="3" fillId="0" borderId="1" applyFont="0" applyFill="0" applyBorder="0" applyAlignment="0" applyProtection="0"/>
    <xf numFmtId="43" fontId="3" fillId="0" borderId="1" applyFont="0" applyFill="0" applyBorder="0" applyAlignment="0" applyProtection="0"/>
    <xf numFmtId="43"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43" fontId="3" fillId="0" borderId="1" applyFont="0" applyFill="0" applyBorder="0" applyAlignment="0" applyProtection="0"/>
    <xf numFmtId="43"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43" fontId="3" fillId="0" borderId="1" applyFont="0" applyFill="0" applyBorder="0" applyAlignment="0" applyProtection="0"/>
    <xf numFmtId="43" fontId="3" fillId="0" borderId="1" applyFont="0" applyFill="0" applyBorder="0" applyAlignment="0" applyProtection="0"/>
    <xf numFmtId="165" fontId="3" fillId="0" borderId="1" applyFont="0" applyFill="0" applyBorder="0" applyAlignment="0" applyProtection="0"/>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0" fontId="3" fillId="0" borderId="1"/>
    <xf numFmtId="43" fontId="3" fillId="0" borderId="1" applyFont="0" applyFill="0" applyBorder="0" applyAlignment="0" applyProtection="0"/>
    <xf numFmtId="0" fontId="3" fillId="0" borderId="1"/>
    <xf numFmtId="165" fontId="3" fillId="0" borderId="1" applyFont="0" applyFill="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0" fontId="3" fillId="0" borderId="1"/>
    <xf numFmtId="0" fontId="3" fillId="15" borderId="1" applyNumberFormat="0" applyBorder="0" applyAlignment="0" applyProtection="0"/>
    <xf numFmtId="0" fontId="3" fillId="19" borderId="1" applyNumberFormat="0" applyBorder="0" applyAlignment="0" applyProtection="0"/>
    <xf numFmtId="0" fontId="3" fillId="23" borderId="1" applyNumberFormat="0" applyBorder="0" applyAlignment="0" applyProtection="0"/>
    <xf numFmtId="0" fontId="3" fillId="27" borderId="1" applyNumberFormat="0" applyBorder="0" applyAlignment="0" applyProtection="0"/>
    <xf numFmtId="0" fontId="3" fillId="31" borderId="1" applyNumberFormat="0" applyBorder="0" applyAlignment="0" applyProtection="0"/>
    <xf numFmtId="0" fontId="3" fillId="35" borderId="1" applyNumberFormat="0" applyBorder="0" applyAlignment="0" applyProtection="0"/>
    <xf numFmtId="0" fontId="3" fillId="16" borderId="1" applyNumberFormat="0" applyBorder="0" applyAlignment="0" applyProtection="0"/>
    <xf numFmtId="0" fontId="3" fillId="20" borderId="1" applyNumberFormat="0" applyBorder="0" applyAlignment="0" applyProtection="0"/>
    <xf numFmtId="0" fontId="3" fillId="24" borderId="1" applyNumberFormat="0" applyBorder="0" applyAlignment="0" applyProtection="0"/>
    <xf numFmtId="0" fontId="3" fillId="28" borderId="1" applyNumberFormat="0" applyBorder="0" applyAlignment="0" applyProtection="0"/>
    <xf numFmtId="0" fontId="3" fillId="32" borderId="1" applyNumberFormat="0" applyBorder="0" applyAlignment="0" applyProtection="0"/>
    <xf numFmtId="0" fontId="3" fillId="36" borderId="1" applyNumberFormat="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0" fontId="3" fillId="0" borderId="1"/>
    <xf numFmtId="0" fontId="3" fillId="0" borderId="1"/>
    <xf numFmtId="0" fontId="3" fillId="0" borderId="1"/>
    <xf numFmtId="0" fontId="3" fillId="0" borderId="1"/>
    <xf numFmtId="0" fontId="3" fillId="0" borderId="1"/>
    <xf numFmtId="0" fontId="3" fillId="13" borderId="83" applyNumberFormat="0" applyFont="0" applyAlignment="0" applyProtection="0"/>
    <xf numFmtId="0" fontId="3" fillId="13" borderId="83" applyNumberFormat="0" applyFont="0" applyAlignment="0" applyProtection="0"/>
    <xf numFmtId="9" fontId="3" fillId="0" borderId="1" applyFont="0" applyFill="0" applyBorder="0" applyAlignment="0" applyProtection="0"/>
    <xf numFmtId="9" fontId="3" fillId="0" borderId="1" applyFont="0" applyFill="0" applyBorder="0" applyAlignment="0" applyProtection="0"/>
    <xf numFmtId="0" fontId="3" fillId="0" borderId="1"/>
    <xf numFmtId="0" fontId="3" fillId="15" borderId="1" applyNumberFormat="0" applyBorder="0" applyAlignment="0" applyProtection="0"/>
    <xf numFmtId="0" fontId="3" fillId="19" borderId="1" applyNumberFormat="0" applyBorder="0" applyAlignment="0" applyProtection="0"/>
    <xf numFmtId="0" fontId="3" fillId="23" borderId="1" applyNumberFormat="0" applyBorder="0" applyAlignment="0" applyProtection="0"/>
    <xf numFmtId="0" fontId="3" fillId="27" borderId="1" applyNumberFormat="0" applyBorder="0" applyAlignment="0" applyProtection="0"/>
    <xf numFmtId="0" fontId="3" fillId="31" borderId="1" applyNumberFormat="0" applyBorder="0" applyAlignment="0" applyProtection="0"/>
    <xf numFmtId="0" fontId="3" fillId="35" borderId="1" applyNumberFormat="0" applyBorder="0" applyAlignment="0" applyProtection="0"/>
    <xf numFmtId="0" fontId="3" fillId="16" borderId="1" applyNumberFormat="0" applyBorder="0" applyAlignment="0" applyProtection="0"/>
    <xf numFmtId="0" fontId="3" fillId="20" borderId="1" applyNumberFormat="0" applyBorder="0" applyAlignment="0" applyProtection="0"/>
    <xf numFmtId="0" fontId="3" fillId="24" borderId="1" applyNumberFormat="0" applyBorder="0" applyAlignment="0" applyProtection="0"/>
    <xf numFmtId="0" fontId="3" fillId="28" borderId="1" applyNumberFormat="0" applyBorder="0" applyAlignment="0" applyProtection="0"/>
    <xf numFmtId="0" fontId="3" fillId="32" borderId="1" applyNumberFormat="0" applyBorder="0" applyAlignment="0" applyProtection="0"/>
    <xf numFmtId="0" fontId="3" fillId="36" borderId="1" applyNumberFormat="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0" fontId="3" fillId="0" borderId="1"/>
    <xf numFmtId="0" fontId="3" fillId="0" borderId="1"/>
    <xf numFmtId="0" fontId="3" fillId="0" borderId="1"/>
    <xf numFmtId="0" fontId="3" fillId="0" borderId="1"/>
    <xf numFmtId="0" fontId="3" fillId="0" borderId="1"/>
    <xf numFmtId="0" fontId="3" fillId="13" borderId="83" applyNumberFormat="0" applyFont="0" applyAlignment="0" applyProtection="0"/>
    <xf numFmtId="0" fontId="3" fillId="13" borderId="83" applyNumberFormat="0" applyFont="0" applyAlignment="0" applyProtection="0"/>
    <xf numFmtId="9" fontId="3" fillId="0" borderId="1" applyFont="0" applyFill="0" applyBorder="0" applyAlignment="0" applyProtection="0"/>
    <xf numFmtId="9"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0" fontId="3" fillId="0" borderId="1"/>
    <xf numFmtId="0" fontId="3" fillId="15" borderId="1" applyNumberFormat="0" applyBorder="0" applyAlignment="0" applyProtection="0"/>
    <xf numFmtId="0" fontId="3" fillId="16" borderId="1" applyNumberFormat="0" applyBorder="0" applyAlignment="0" applyProtection="0"/>
    <xf numFmtId="0" fontId="3" fillId="19" borderId="1" applyNumberFormat="0" applyBorder="0" applyAlignment="0" applyProtection="0"/>
    <xf numFmtId="0" fontId="3" fillId="20" borderId="1" applyNumberFormat="0" applyBorder="0" applyAlignment="0" applyProtection="0"/>
    <xf numFmtId="0" fontId="3" fillId="23" borderId="1" applyNumberFormat="0" applyBorder="0" applyAlignment="0" applyProtection="0"/>
    <xf numFmtId="0" fontId="3" fillId="24" borderId="1" applyNumberFormat="0" applyBorder="0" applyAlignment="0" applyProtection="0"/>
    <xf numFmtId="0" fontId="3" fillId="27" borderId="1" applyNumberFormat="0" applyBorder="0" applyAlignment="0" applyProtection="0"/>
    <xf numFmtId="0" fontId="3" fillId="28" borderId="1" applyNumberFormat="0" applyBorder="0" applyAlignment="0" applyProtection="0"/>
    <xf numFmtId="0" fontId="3" fillId="31" borderId="1" applyNumberFormat="0" applyBorder="0" applyAlignment="0" applyProtection="0"/>
    <xf numFmtId="0" fontId="3" fillId="32" borderId="1" applyNumberFormat="0" applyBorder="0" applyAlignment="0" applyProtection="0"/>
    <xf numFmtId="0" fontId="3" fillId="35" borderId="1" applyNumberFormat="0" applyBorder="0" applyAlignment="0" applyProtection="0"/>
    <xf numFmtId="0" fontId="3" fillId="36" borderId="1" applyNumberFormat="0" applyBorder="0" applyAlignment="0" applyProtection="0"/>
    <xf numFmtId="0" fontId="3" fillId="0" borderId="1"/>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0" fontId="3" fillId="0" borderId="1"/>
    <xf numFmtId="0" fontId="3" fillId="0" borderId="1"/>
    <xf numFmtId="0" fontId="3" fillId="0" borderId="1"/>
    <xf numFmtId="0" fontId="3" fillId="0" borderId="1"/>
    <xf numFmtId="0" fontId="3" fillId="0" borderId="1"/>
    <xf numFmtId="0" fontId="3" fillId="13" borderId="83" applyNumberFormat="0" applyFont="0" applyAlignment="0" applyProtection="0"/>
    <xf numFmtId="0" fontId="3" fillId="13" borderId="83" applyNumberFormat="0" applyFont="0" applyAlignment="0" applyProtection="0"/>
    <xf numFmtId="9" fontId="3" fillId="0" borderId="1" applyFont="0" applyFill="0" applyBorder="0" applyAlignment="0" applyProtection="0"/>
    <xf numFmtId="9" fontId="3" fillId="0" borderId="1" applyFont="0" applyFill="0" applyBorder="0" applyAlignment="0" applyProtection="0"/>
    <xf numFmtId="0" fontId="3" fillId="0" borderId="1"/>
    <xf numFmtId="0" fontId="3" fillId="15" borderId="1" applyNumberFormat="0" applyBorder="0" applyAlignment="0" applyProtection="0"/>
    <xf numFmtId="0" fontId="3" fillId="19" borderId="1" applyNumberFormat="0" applyBorder="0" applyAlignment="0" applyProtection="0"/>
    <xf numFmtId="0" fontId="3" fillId="23" borderId="1" applyNumberFormat="0" applyBorder="0" applyAlignment="0" applyProtection="0"/>
    <xf numFmtId="0" fontId="3" fillId="27" borderId="1" applyNumberFormat="0" applyBorder="0" applyAlignment="0" applyProtection="0"/>
    <xf numFmtId="0" fontId="3" fillId="31" borderId="1" applyNumberFormat="0" applyBorder="0" applyAlignment="0" applyProtection="0"/>
    <xf numFmtId="0" fontId="3" fillId="35" borderId="1" applyNumberFormat="0" applyBorder="0" applyAlignment="0" applyProtection="0"/>
    <xf numFmtId="0" fontId="3" fillId="16" borderId="1" applyNumberFormat="0" applyBorder="0" applyAlignment="0" applyProtection="0"/>
    <xf numFmtId="0" fontId="3" fillId="20" borderId="1" applyNumberFormat="0" applyBorder="0" applyAlignment="0" applyProtection="0"/>
    <xf numFmtId="0" fontId="3" fillId="24" borderId="1" applyNumberFormat="0" applyBorder="0" applyAlignment="0" applyProtection="0"/>
    <xf numFmtId="0" fontId="3" fillId="28" borderId="1" applyNumberFormat="0" applyBorder="0" applyAlignment="0" applyProtection="0"/>
    <xf numFmtId="0" fontId="3" fillId="32" borderId="1" applyNumberFormat="0" applyBorder="0" applyAlignment="0" applyProtection="0"/>
    <xf numFmtId="0" fontId="3" fillId="36" borderId="1" applyNumberFormat="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0" fontId="3" fillId="0" borderId="1"/>
    <xf numFmtId="0" fontId="3" fillId="0" borderId="1"/>
    <xf numFmtId="0" fontId="3" fillId="0" borderId="1"/>
    <xf numFmtId="0" fontId="3" fillId="0" borderId="1"/>
    <xf numFmtId="0" fontId="3" fillId="0" borderId="1"/>
    <xf numFmtId="0" fontId="3" fillId="13" borderId="83" applyNumberFormat="0" applyFont="0" applyAlignment="0" applyProtection="0"/>
    <xf numFmtId="0" fontId="3" fillId="13" borderId="83" applyNumberFormat="0" applyFont="0" applyAlignment="0" applyProtection="0"/>
    <xf numFmtId="9" fontId="3" fillId="0" borderId="1" applyFont="0" applyFill="0" applyBorder="0" applyAlignment="0" applyProtection="0"/>
    <xf numFmtId="9"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0" fontId="3" fillId="0" borderId="1"/>
    <xf numFmtId="0" fontId="3" fillId="15" borderId="1" applyNumberFormat="0" applyBorder="0" applyAlignment="0" applyProtection="0"/>
    <xf numFmtId="0" fontId="3" fillId="16" borderId="1" applyNumberFormat="0" applyBorder="0" applyAlignment="0" applyProtection="0"/>
    <xf numFmtId="0" fontId="3" fillId="19" borderId="1" applyNumberFormat="0" applyBorder="0" applyAlignment="0" applyProtection="0"/>
    <xf numFmtId="0" fontId="3" fillId="20" borderId="1" applyNumberFormat="0" applyBorder="0" applyAlignment="0" applyProtection="0"/>
    <xf numFmtId="0" fontId="3" fillId="23" borderId="1" applyNumberFormat="0" applyBorder="0" applyAlignment="0" applyProtection="0"/>
    <xf numFmtId="0" fontId="3" fillId="24" borderId="1" applyNumberFormat="0" applyBorder="0" applyAlignment="0" applyProtection="0"/>
    <xf numFmtId="0" fontId="3" fillId="27" borderId="1" applyNumberFormat="0" applyBorder="0" applyAlignment="0" applyProtection="0"/>
    <xf numFmtId="0" fontId="3" fillId="28" borderId="1" applyNumberFormat="0" applyBorder="0" applyAlignment="0" applyProtection="0"/>
    <xf numFmtId="0" fontId="3" fillId="31" borderId="1" applyNumberFormat="0" applyBorder="0" applyAlignment="0" applyProtection="0"/>
    <xf numFmtId="0" fontId="3" fillId="32" borderId="1" applyNumberFormat="0" applyBorder="0" applyAlignment="0" applyProtection="0"/>
    <xf numFmtId="0" fontId="3" fillId="35" borderId="1" applyNumberFormat="0" applyBorder="0" applyAlignment="0" applyProtection="0"/>
    <xf numFmtId="0" fontId="3" fillId="36" borderId="1" applyNumberFormat="0" applyBorder="0" applyAlignment="0" applyProtection="0"/>
    <xf numFmtId="0" fontId="3" fillId="0" borderId="1"/>
    <xf numFmtId="0" fontId="3" fillId="0" borderId="1"/>
    <xf numFmtId="165" fontId="3" fillId="0" borderId="1" applyFont="0" applyFill="0" applyBorder="0" applyAlignment="0" applyProtection="0"/>
    <xf numFmtId="0" fontId="3" fillId="0" borderId="1"/>
    <xf numFmtId="165" fontId="3" fillId="0" borderId="1" applyFont="0" applyFill="0" applyBorder="0" applyAlignment="0" applyProtection="0"/>
    <xf numFmtId="9" fontId="3" fillId="0" borderId="1" applyFont="0" applyFill="0" applyBorder="0" applyAlignment="0" applyProtection="0"/>
    <xf numFmtId="0" fontId="3" fillId="13" borderId="83" applyNumberFormat="0" applyFont="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0" fontId="3" fillId="0" borderId="1"/>
    <xf numFmtId="0" fontId="3" fillId="0" borderId="1"/>
    <xf numFmtId="0" fontId="3" fillId="0" borderId="1"/>
    <xf numFmtId="0" fontId="3" fillId="0" borderId="1"/>
    <xf numFmtId="0" fontId="3" fillId="0" borderId="1"/>
    <xf numFmtId="0" fontId="3" fillId="15" borderId="1" applyNumberFormat="0" applyBorder="0" applyAlignment="0" applyProtection="0"/>
    <xf numFmtId="0" fontId="3" fillId="19" borderId="1" applyNumberFormat="0" applyBorder="0" applyAlignment="0" applyProtection="0"/>
    <xf numFmtId="0" fontId="3" fillId="23" borderId="1" applyNumberFormat="0" applyBorder="0" applyAlignment="0" applyProtection="0"/>
    <xf numFmtId="0" fontId="3" fillId="27" borderId="1" applyNumberFormat="0" applyBorder="0" applyAlignment="0" applyProtection="0"/>
    <xf numFmtId="0" fontId="3" fillId="31" borderId="1" applyNumberFormat="0" applyBorder="0" applyAlignment="0" applyProtection="0"/>
    <xf numFmtId="0" fontId="3" fillId="35" borderId="1" applyNumberFormat="0" applyBorder="0" applyAlignment="0" applyProtection="0"/>
    <xf numFmtId="0" fontId="3" fillId="16" borderId="1" applyNumberFormat="0" applyBorder="0" applyAlignment="0" applyProtection="0"/>
    <xf numFmtId="0" fontId="3" fillId="20" borderId="1" applyNumberFormat="0" applyBorder="0" applyAlignment="0" applyProtection="0"/>
    <xf numFmtId="0" fontId="3" fillId="24" borderId="1" applyNumberFormat="0" applyBorder="0" applyAlignment="0" applyProtection="0"/>
    <xf numFmtId="0" fontId="3" fillId="28" borderId="1" applyNumberFormat="0" applyBorder="0" applyAlignment="0" applyProtection="0"/>
    <xf numFmtId="0" fontId="3" fillId="32" borderId="1" applyNumberFormat="0" applyBorder="0" applyAlignment="0" applyProtection="0"/>
    <xf numFmtId="0" fontId="3" fillId="36" borderId="1" applyNumberFormat="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0" fontId="3" fillId="0" borderId="1"/>
    <xf numFmtId="0" fontId="3" fillId="0" borderId="1"/>
    <xf numFmtId="0" fontId="3" fillId="0" borderId="1"/>
    <xf numFmtId="0" fontId="3" fillId="0" borderId="1"/>
    <xf numFmtId="0" fontId="3" fillId="0" borderId="1"/>
    <xf numFmtId="0" fontId="3" fillId="13" borderId="83" applyNumberFormat="0" applyFont="0" applyAlignment="0" applyProtection="0"/>
    <xf numFmtId="0" fontId="3" fillId="13" borderId="83" applyNumberFormat="0" applyFont="0" applyAlignment="0" applyProtection="0"/>
    <xf numFmtId="9" fontId="3" fillId="0" borderId="1" applyFont="0" applyFill="0" applyBorder="0" applyAlignment="0" applyProtection="0"/>
    <xf numFmtId="9"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0" fontId="3" fillId="0" borderId="1"/>
    <xf numFmtId="0" fontId="3" fillId="15" borderId="1" applyNumberFormat="0" applyBorder="0" applyAlignment="0" applyProtection="0"/>
    <xf numFmtId="0" fontId="3" fillId="16" borderId="1" applyNumberFormat="0" applyBorder="0" applyAlignment="0" applyProtection="0"/>
    <xf numFmtId="0" fontId="3" fillId="19" borderId="1" applyNumberFormat="0" applyBorder="0" applyAlignment="0" applyProtection="0"/>
    <xf numFmtId="0" fontId="3" fillId="20" borderId="1" applyNumberFormat="0" applyBorder="0" applyAlignment="0" applyProtection="0"/>
    <xf numFmtId="0" fontId="3" fillId="23" borderId="1" applyNumberFormat="0" applyBorder="0" applyAlignment="0" applyProtection="0"/>
    <xf numFmtId="0" fontId="3" fillId="24" borderId="1" applyNumberFormat="0" applyBorder="0" applyAlignment="0" applyProtection="0"/>
    <xf numFmtId="0" fontId="3" fillId="27" borderId="1" applyNumberFormat="0" applyBorder="0" applyAlignment="0" applyProtection="0"/>
    <xf numFmtId="0" fontId="3" fillId="28" borderId="1" applyNumberFormat="0" applyBorder="0" applyAlignment="0" applyProtection="0"/>
    <xf numFmtId="0" fontId="3" fillId="31" borderId="1" applyNumberFormat="0" applyBorder="0" applyAlignment="0" applyProtection="0"/>
    <xf numFmtId="0" fontId="3" fillId="32" borderId="1" applyNumberFormat="0" applyBorder="0" applyAlignment="0" applyProtection="0"/>
    <xf numFmtId="0" fontId="3" fillId="35" borderId="1" applyNumberFormat="0" applyBorder="0" applyAlignment="0" applyProtection="0"/>
    <xf numFmtId="0" fontId="3" fillId="36" borderId="1" applyNumberFormat="0" applyBorder="0" applyAlignment="0" applyProtection="0"/>
    <xf numFmtId="0" fontId="3" fillId="0" borderId="1"/>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0" fontId="3" fillId="0" borderId="1"/>
    <xf numFmtId="0" fontId="3" fillId="0" borderId="1"/>
    <xf numFmtId="0" fontId="3" fillId="0" borderId="1"/>
    <xf numFmtId="0" fontId="3" fillId="0" borderId="1"/>
    <xf numFmtId="0" fontId="3" fillId="0" borderId="1"/>
    <xf numFmtId="0" fontId="3" fillId="13" borderId="83" applyNumberFormat="0" applyFont="0" applyAlignment="0" applyProtection="0"/>
    <xf numFmtId="0" fontId="3" fillId="13" borderId="83" applyNumberFormat="0" applyFont="0" applyAlignment="0" applyProtection="0"/>
    <xf numFmtId="9" fontId="3" fillId="0" borderId="1" applyFont="0" applyFill="0" applyBorder="0" applyAlignment="0" applyProtection="0"/>
    <xf numFmtId="9" fontId="3" fillId="0" borderId="1" applyFont="0" applyFill="0" applyBorder="0" applyAlignment="0" applyProtection="0"/>
    <xf numFmtId="0" fontId="3" fillId="0" borderId="1"/>
    <xf numFmtId="0" fontId="3" fillId="15" borderId="1" applyNumberFormat="0" applyBorder="0" applyAlignment="0" applyProtection="0"/>
    <xf numFmtId="0" fontId="3" fillId="19" borderId="1" applyNumberFormat="0" applyBorder="0" applyAlignment="0" applyProtection="0"/>
    <xf numFmtId="0" fontId="3" fillId="23" borderId="1" applyNumberFormat="0" applyBorder="0" applyAlignment="0" applyProtection="0"/>
    <xf numFmtId="0" fontId="3" fillId="27" borderId="1" applyNumberFormat="0" applyBorder="0" applyAlignment="0" applyProtection="0"/>
    <xf numFmtId="0" fontId="3" fillId="31" borderId="1" applyNumberFormat="0" applyBorder="0" applyAlignment="0" applyProtection="0"/>
    <xf numFmtId="0" fontId="3" fillId="35" borderId="1" applyNumberFormat="0" applyBorder="0" applyAlignment="0" applyProtection="0"/>
    <xf numFmtId="0" fontId="3" fillId="16" borderId="1" applyNumberFormat="0" applyBorder="0" applyAlignment="0" applyProtection="0"/>
    <xf numFmtId="0" fontId="3" fillId="20" borderId="1" applyNumberFormat="0" applyBorder="0" applyAlignment="0" applyProtection="0"/>
    <xf numFmtId="0" fontId="3" fillId="24" borderId="1" applyNumberFormat="0" applyBorder="0" applyAlignment="0" applyProtection="0"/>
    <xf numFmtId="0" fontId="3" fillId="28" borderId="1" applyNumberFormat="0" applyBorder="0" applyAlignment="0" applyProtection="0"/>
    <xf numFmtId="0" fontId="3" fillId="32" borderId="1" applyNumberFormat="0" applyBorder="0" applyAlignment="0" applyProtection="0"/>
    <xf numFmtId="0" fontId="3" fillId="36" borderId="1" applyNumberFormat="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0" fontId="3" fillId="0" borderId="1"/>
    <xf numFmtId="0" fontId="3" fillId="0" borderId="1"/>
    <xf numFmtId="0" fontId="3" fillId="0" borderId="1"/>
    <xf numFmtId="0" fontId="3" fillId="0" borderId="1"/>
    <xf numFmtId="0" fontId="3" fillId="0" borderId="1"/>
    <xf numFmtId="0" fontId="3" fillId="13" borderId="83" applyNumberFormat="0" applyFont="0" applyAlignment="0" applyProtection="0"/>
    <xf numFmtId="0" fontId="3" fillId="13" borderId="83" applyNumberFormat="0" applyFont="0" applyAlignment="0" applyProtection="0"/>
    <xf numFmtId="9" fontId="3" fillId="0" borderId="1" applyFont="0" applyFill="0" applyBorder="0" applyAlignment="0" applyProtection="0"/>
    <xf numFmtId="9" fontId="3" fillId="0" borderId="1" applyFont="0" applyFill="0" applyBorder="0" applyAlignment="0" applyProtection="0"/>
    <xf numFmtId="165" fontId="3" fillId="0" borderId="1" applyFont="0" applyFill="0" applyBorder="0" applyAlignment="0" applyProtection="0"/>
    <xf numFmtId="0" fontId="3" fillId="0" borderId="1"/>
    <xf numFmtId="0" fontId="3" fillId="15" borderId="1" applyNumberFormat="0" applyBorder="0" applyAlignment="0" applyProtection="0"/>
    <xf numFmtId="0" fontId="3" fillId="15"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165" fontId="3" fillId="0" borderId="1" applyFont="0" applyFill="0" applyBorder="0" applyAlignment="0" applyProtection="0"/>
    <xf numFmtId="165" fontId="3" fillId="0" borderId="1" applyFont="0" applyFill="0" applyBorder="0" applyAlignment="0" applyProtection="0"/>
    <xf numFmtId="0" fontId="3" fillId="0" borderId="1"/>
    <xf numFmtId="0" fontId="3" fillId="0" borderId="1"/>
    <xf numFmtId="0" fontId="3" fillId="0" borderId="1"/>
    <xf numFmtId="0" fontId="3" fillId="0" borderId="1"/>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9"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0" fontId="3" fillId="0" borderId="1"/>
    <xf numFmtId="0" fontId="3" fillId="0" borderId="1"/>
    <xf numFmtId="0" fontId="3" fillId="0" borderId="1"/>
    <xf numFmtId="0" fontId="3" fillId="0" borderId="1"/>
    <xf numFmtId="0" fontId="3" fillId="0" borderId="1"/>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0" fontId="3" fillId="0" borderId="1"/>
    <xf numFmtId="0" fontId="3" fillId="0" borderId="1"/>
    <xf numFmtId="0" fontId="3" fillId="0" borderId="1"/>
    <xf numFmtId="0" fontId="3" fillId="0" borderId="1"/>
    <xf numFmtId="0" fontId="3" fillId="0" borderId="1"/>
    <xf numFmtId="0" fontId="3" fillId="13" borderId="83" applyNumberFormat="0" applyFont="0" applyAlignment="0" applyProtection="0"/>
    <xf numFmtId="9" fontId="3" fillId="0" borderId="1" applyFont="0" applyFill="0" applyBorder="0" applyAlignment="0" applyProtection="0"/>
    <xf numFmtId="9" fontId="3" fillId="0" borderId="1" applyFont="0" applyFill="0" applyBorder="0" applyAlignment="0" applyProtection="0"/>
    <xf numFmtId="0" fontId="3" fillId="0" borderId="1"/>
    <xf numFmtId="0" fontId="3" fillId="15" borderId="1" applyNumberFormat="0" applyBorder="0" applyAlignment="0" applyProtection="0"/>
    <xf numFmtId="0" fontId="3" fillId="16" borderId="1" applyNumberFormat="0" applyBorder="0" applyAlignment="0" applyProtection="0"/>
    <xf numFmtId="0" fontId="3" fillId="19" borderId="1" applyNumberFormat="0" applyBorder="0" applyAlignment="0" applyProtection="0"/>
    <xf numFmtId="0" fontId="3" fillId="20" borderId="1" applyNumberFormat="0" applyBorder="0" applyAlignment="0" applyProtection="0"/>
    <xf numFmtId="0" fontId="3" fillId="23" borderId="1" applyNumberFormat="0" applyBorder="0" applyAlignment="0" applyProtection="0"/>
    <xf numFmtId="0" fontId="3" fillId="24" borderId="1" applyNumberFormat="0" applyBorder="0" applyAlignment="0" applyProtection="0"/>
    <xf numFmtId="0" fontId="3" fillId="27" borderId="1" applyNumberFormat="0" applyBorder="0" applyAlignment="0" applyProtection="0"/>
    <xf numFmtId="0" fontId="3" fillId="28" borderId="1" applyNumberFormat="0" applyBorder="0" applyAlignment="0" applyProtection="0"/>
    <xf numFmtId="0" fontId="3" fillId="31" borderId="1" applyNumberFormat="0" applyBorder="0" applyAlignment="0" applyProtection="0"/>
    <xf numFmtId="0" fontId="3" fillId="32" borderId="1" applyNumberFormat="0" applyBorder="0" applyAlignment="0" applyProtection="0"/>
    <xf numFmtId="0" fontId="3" fillId="35" borderId="1" applyNumberFormat="0" applyBorder="0" applyAlignment="0" applyProtection="0"/>
    <xf numFmtId="0" fontId="3" fillId="36" borderId="1" applyNumberFormat="0" applyBorder="0" applyAlignment="0" applyProtection="0"/>
    <xf numFmtId="0" fontId="3" fillId="0" borderId="1"/>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0" fontId="3" fillId="0" borderId="1"/>
    <xf numFmtId="0" fontId="3" fillId="0" borderId="1"/>
    <xf numFmtId="0" fontId="3" fillId="0" borderId="1"/>
    <xf numFmtId="0" fontId="3" fillId="0" borderId="1"/>
    <xf numFmtId="0" fontId="3" fillId="0" borderId="1"/>
    <xf numFmtId="0" fontId="3" fillId="13" borderId="83" applyNumberFormat="0" applyFont="0" applyAlignment="0" applyProtection="0"/>
    <xf numFmtId="0" fontId="3" fillId="13" borderId="83" applyNumberFormat="0" applyFont="0" applyAlignment="0" applyProtection="0"/>
    <xf numFmtId="9" fontId="3" fillId="0" borderId="1" applyFont="0" applyFill="0" applyBorder="0" applyAlignment="0" applyProtection="0"/>
    <xf numFmtId="9" fontId="3" fillId="0" borderId="1" applyFont="0" applyFill="0" applyBorder="0" applyAlignment="0" applyProtection="0"/>
    <xf numFmtId="0" fontId="3" fillId="0" borderId="1"/>
    <xf numFmtId="0" fontId="3" fillId="15" borderId="1" applyNumberFormat="0" applyBorder="0" applyAlignment="0" applyProtection="0"/>
    <xf numFmtId="0" fontId="3" fillId="19" borderId="1" applyNumberFormat="0" applyBorder="0" applyAlignment="0" applyProtection="0"/>
    <xf numFmtId="0" fontId="3" fillId="23" borderId="1" applyNumberFormat="0" applyBorder="0" applyAlignment="0" applyProtection="0"/>
    <xf numFmtId="0" fontId="3" fillId="27" borderId="1" applyNumberFormat="0" applyBorder="0" applyAlignment="0" applyProtection="0"/>
    <xf numFmtId="0" fontId="3" fillId="31" borderId="1" applyNumberFormat="0" applyBorder="0" applyAlignment="0" applyProtection="0"/>
    <xf numFmtId="0" fontId="3" fillId="35" borderId="1" applyNumberFormat="0" applyBorder="0" applyAlignment="0" applyProtection="0"/>
    <xf numFmtId="0" fontId="3" fillId="16" borderId="1" applyNumberFormat="0" applyBorder="0" applyAlignment="0" applyProtection="0"/>
    <xf numFmtId="0" fontId="3" fillId="20" borderId="1" applyNumberFormat="0" applyBorder="0" applyAlignment="0" applyProtection="0"/>
    <xf numFmtId="0" fontId="3" fillId="24" borderId="1" applyNumberFormat="0" applyBorder="0" applyAlignment="0" applyProtection="0"/>
    <xf numFmtId="0" fontId="3" fillId="28" borderId="1" applyNumberFormat="0" applyBorder="0" applyAlignment="0" applyProtection="0"/>
    <xf numFmtId="0" fontId="3" fillId="32" borderId="1" applyNumberFormat="0" applyBorder="0" applyAlignment="0" applyProtection="0"/>
    <xf numFmtId="0" fontId="3" fillId="36" borderId="1" applyNumberFormat="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0" fontId="3" fillId="0" borderId="1"/>
    <xf numFmtId="0" fontId="3" fillId="0" borderId="1"/>
    <xf numFmtId="0" fontId="3" fillId="0" borderId="1"/>
    <xf numFmtId="0" fontId="3" fillId="0" borderId="1"/>
    <xf numFmtId="0" fontId="3" fillId="0" borderId="1"/>
    <xf numFmtId="0" fontId="3" fillId="13" borderId="83" applyNumberFormat="0" applyFont="0" applyAlignment="0" applyProtection="0"/>
    <xf numFmtId="0" fontId="3" fillId="13" borderId="83" applyNumberFormat="0" applyFont="0" applyAlignment="0" applyProtection="0"/>
    <xf numFmtId="9" fontId="3" fillId="0" borderId="1" applyFont="0" applyFill="0" applyBorder="0" applyAlignment="0" applyProtection="0"/>
    <xf numFmtId="9"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0" fontId="3" fillId="0" borderId="1"/>
    <xf numFmtId="0" fontId="3" fillId="15" borderId="1" applyNumberFormat="0" applyBorder="0" applyAlignment="0" applyProtection="0"/>
    <xf numFmtId="0" fontId="3" fillId="16" borderId="1" applyNumberFormat="0" applyBorder="0" applyAlignment="0" applyProtection="0"/>
    <xf numFmtId="0" fontId="3" fillId="19" borderId="1" applyNumberFormat="0" applyBorder="0" applyAlignment="0" applyProtection="0"/>
    <xf numFmtId="0" fontId="3" fillId="20" borderId="1" applyNumberFormat="0" applyBorder="0" applyAlignment="0" applyProtection="0"/>
    <xf numFmtId="0" fontId="3" fillId="23" borderId="1" applyNumberFormat="0" applyBorder="0" applyAlignment="0" applyProtection="0"/>
    <xf numFmtId="0" fontId="3" fillId="24" borderId="1" applyNumberFormat="0" applyBorder="0" applyAlignment="0" applyProtection="0"/>
    <xf numFmtId="0" fontId="3" fillId="27" borderId="1" applyNumberFormat="0" applyBorder="0" applyAlignment="0" applyProtection="0"/>
    <xf numFmtId="0" fontId="3" fillId="28" borderId="1" applyNumberFormat="0" applyBorder="0" applyAlignment="0" applyProtection="0"/>
    <xf numFmtId="0" fontId="3" fillId="31" borderId="1" applyNumberFormat="0" applyBorder="0" applyAlignment="0" applyProtection="0"/>
    <xf numFmtId="0" fontId="3" fillId="32" borderId="1" applyNumberFormat="0" applyBorder="0" applyAlignment="0" applyProtection="0"/>
    <xf numFmtId="0" fontId="3" fillId="35" borderId="1" applyNumberFormat="0" applyBorder="0" applyAlignment="0" applyProtection="0"/>
    <xf numFmtId="0" fontId="3" fillId="36" borderId="1" applyNumberFormat="0" applyBorder="0" applyAlignment="0" applyProtection="0"/>
    <xf numFmtId="0" fontId="3" fillId="0" borderId="1"/>
    <xf numFmtId="0" fontId="3" fillId="0" borderId="1"/>
    <xf numFmtId="165" fontId="3" fillId="0" borderId="1" applyFont="0" applyFill="0" applyBorder="0" applyAlignment="0" applyProtection="0"/>
    <xf numFmtId="0" fontId="3" fillId="0" borderId="1"/>
    <xf numFmtId="9" fontId="3" fillId="0" borderId="1" applyFont="0" applyFill="0" applyBorder="0" applyAlignment="0" applyProtection="0"/>
    <xf numFmtId="0" fontId="3" fillId="13" borderId="83" applyNumberFormat="0" applyFont="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0" fontId="3" fillId="0" borderId="1"/>
    <xf numFmtId="0" fontId="3" fillId="0" borderId="1"/>
    <xf numFmtId="0" fontId="3" fillId="0" borderId="1"/>
    <xf numFmtId="0" fontId="3" fillId="0" borderId="1"/>
    <xf numFmtId="0" fontId="3" fillId="0" borderId="1"/>
    <xf numFmtId="0" fontId="3" fillId="15" borderId="1" applyNumberFormat="0" applyBorder="0" applyAlignment="0" applyProtection="0"/>
    <xf numFmtId="0" fontId="3" fillId="19" borderId="1" applyNumberFormat="0" applyBorder="0" applyAlignment="0" applyProtection="0"/>
    <xf numFmtId="0" fontId="3" fillId="23" borderId="1" applyNumberFormat="0" applyBorder="0" applyAlignment="0" applyProtection="0"/>
    <xf numFmtId="0" fontId="3" fillId="27" borderId="1" applyNumberFormat="0" applyBorder="0" applyAlignment="0" applyProtection="0"/>
    <xf numFmtId="0" fontId="3" fillId="31" borderId="1" applyNumberFormat="0" applyBorder="0" applyAlignment="0" applyProtection="0"/>
    <xf numFmtId="0" fontId="3" fillId="35" borderId="1" applyNumberFormat="0" applyBorder="0" applyAlignment="0" applyProtection="0"/>
    <xf numFmtId="0" fontId="3" fillId="16" borderId="1" applyNumberFormat="0" applyBorder="0" applyAlignment="0" applyProtection="0"/>
    <xf numFmtId="0" fontId="3" fillId="20" borderId="1" applyNumberFormat="0" applyBorder="0" applyAlignment="0" applyProtection="0"/>
    <xf numFmtId="0" fontId="3" fillId="24" borderId="1" applyNumberFormat="0" applyBorder="0" applyAlignment="0" applyProtection="0"/>
    <xf numFmtId="0" fontId="3" fillId="28" borderId="1" applyNumberFormat="0" applyBorder="0" applyAlignment="0" applyProtection="0"/>
    <xf numFmtId="0" fontId="3" fillId="32" borderId="1" applyNumberFormat="0" applyBorder="0" applyAlignment="0" applyProtection="0"/>
    <xf numFmtId="0" fontId="3" fillId="36" borderId="1" applyNumberFormat="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0" fontId="3" fillId="0" borderId="1"/>
    <xf numFmtId="0" fontId="3" fillId="0" borderId="1"/>
    <xf numFmtId="0" fontId="3" fillId="0" borderId="1"/>
    <xf numFmtId="0" fontId="3" fillId="0" borderId="1"/>
    <xf numFmtId="0" fontId="3" fillId="0" borderId="1"/>
    <xf numFmtId="0" fontId="3" fillId="13" borderId="83" applyNumberFormat="0" applyFont="0" applyAlignment="0" applyProtection="0"/>
    <xf numFmtId="0" fontId="3" fillId="13" borderId="83" applyNumberFormat="0" applyFont="0" applyAlignment="0" applyProtection="0"/>
    <xf numFmtId="9" fontId="3" fillId="0" borderId="1" applyFont="0" applyFill="0" applyBorder="0" applyAlignment="0" applyProtection="0"/>
    <xf numFmtId="9"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0" fontId="3" fillId="0" borderId="1"/>
    <xf numFmtId="0" fontId="3" fillId="15" borderId="1" applyNumberFormat="0" applyBorder="0" applyAlignment="0" applyProtection="0"/>
    <xf numFmtId="0" fontId="3" fillId="16" borderId="1" applyNumberFormat="0" applyBorder="0" applyAlignment="0" applyProtection="0"/>
    <xf numFmtId="0" fontId="3" fillId="19" borderId="1" applyNumberFormat="0" applyBorder="0" applyAlignment="0" applyProtection="0"/>
    <xf numFmtId="0" fontId="3" fillId="20" borderId="1" applyNumberFormat="0" applyBorder="0" applyAlignment="0" applyProtection="0"/>
    <xf numFmtId="0" fontId="3" fillId="23" borderId="1" applyNumberFormat="0" applyBorder="0" applyAlignment="0" applyProtection="0"/>
    <xf numFmtId="0" fontId="3" fillId="24" borderId="1" applyNumberFormat="0" applyBorder="0" applyAlignment="0" applyProtection="0"/>
    <xf numFmtId="0" fontId="3" fillId="27" borderId="1" applyNumberFormat="0" applyBorder="0" applyAlignment="0" applyProtection="0"/>
    <xf numFmtId="0" fontId="3" fillId="28" borderId="1" applyNumberFormat="0" applyBorder="0" applyAlignment="0" applyProtection="0"/>
    <xf numFmtId="0" fontId="3" fillId="31" borderId="1" applyNumberFormat="0" applyBorder="0" applyAlignment="0" applyProtection="0"/>
    <xf numFmtId="0" fontId="3" fillId="32" borderId="1" applyNumberFormat="0" applyBorder="0" applyAlignment="0" applyProtection="0"/>
    <xf numFmtId="0" fontId="3" fillId="35" borderId="1" applyNumberFormat="0" applyBorder="0" applyAlignment="0" applyProtection="0"/>
    <xf numFmtId="0" fontId="3" fillId="36" borderId="1" applyNumberFormat="0" applyBorder="0" applyAlignment="0" applyProtection="0"/>
    <xf numFmtId="0" fontId="3" fillId="0" borderId="1"/>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0" fontId="3" fillId="0" borderId="1"/>
    <xf numFmtId="0" fontId="3" fillId="0" borderId="1"/>
    <xf numFmtId="0" fontId="3" fillId="0" borderId="1"/>
    <xf numFmtId="0" fontId="3" fillId="0" borderId="1"/>
    <xf numFmtId="0" fontId="3" fillId="0" borderId="1"/>
    <xf numFmtId="0" fontId="3" fillId="13" borderId="83" applyNumberFormat="0" applyFont="0" applyAlignment="0" applyProtection="0"/>
    <xf numFmtId="0" fontId="3" fillId="13" borderId="83" applyNumberFormat="0" applyFont="0" applyAlignment="0" applyProtection="0"/>
    <xf numFmtId="9" fontId="3" fillId="0" borderId="1" applyFont="0" applyFill="0" applyBorder="0" applyAlignment="0" applyProtection="0"/>
    <xf numFmtId="9" fontId="3" fillId="0" borderId="1" applyFont="0" applyFill="0" applyBorder="0" applyAlignment="0" applyProtection="0"/>
    <xf numFmtId="0" fontId="3" fillId="0" borderId="1"/>
    <xf numFmtId="0" fontId="3" fillId="15" borderId="1" applyNumberFormat="0" applyBorder="0" applyAlignment="0" applyProtection="0"/>
    <xf numFmtId="0" fontId="3" fillId="19" borderId="1" applyNumberFormat="0" applyBorder="0" applyAlignment="0" applyProtection="0"/>
    <xf numFmtId="0" fontId="3" fillId="23" borderId="1" applyNumberFormat="0" applyBorder="0" applyAlignment="0" applyProtection="0"/>
    <xf numFmtId="0" fontId="3" fillId="27" borderId="1" applyNumberFormat="0" applyBorder="0" applyAlignment="0" applyProtection="0"/>
    <xf numFmtId="0" fontId="3" fillId="31" borderId="1" applyNumberFormat="0" applyBorder="0" applyAlignment="0" applyProtection="0"/>
    <xf numFmtId="0" fontId="3" fillId="35" borderId="1" applyNumberFormat="0" applyBorder="0" applyAlignment="0" applyProtection="0"/>
    <xf numFmtId="0" fontId="3" fillId="16" borderId="1" applyNumberFormat="0" applyBorder="0" applyAlignment="0" applyProtection="0"/>
    <xf numFmtId="0" fontId="3" fillId="20" borderId="1" applyNumberFormat="0" applyBorder="0" applyAlignment="0" applyProtection="0"/>
    <xf numFmtId="0" fontId="3" fillId="24" borderId="1" applyNumberFormat="0" applyBorder="0" applyAlignment="0" applyProtection="0"/>
    <xf numFmtId="0" fontId="3" fillId="28" borderId="1" applyNumberFormat="0" applyBorder="0" applyAlignment="0" applyProtection="0"/>
    <xf numFmtId="0" fontId="3" fillId="32" borderId="1" applyNumberFormat="0" applyBorder="0" applyAlignment="0" applyProtection="0"/>
    <xf numFmtId="0" fontId="3" fillId="36" borderId="1" applyNumberFormat="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0" fontId="3" fillId="0" borderId="1"/>
    <xf numFmtId="0" fontId="3" fillId="0" borderId="1"/>
    <xf numFmtId="0" fontId="3" fillId="0" borderId="1"/>
    <xf numFmtId="0" fontId="3" fillId="0" borderId="1"/>
    <xf numFmtId="0" fontId="3" fillId="0" borderId="1"/>
    <xf numFmtId="0" fontId="3" fillId="13" borderId="83" applyNumberFormat="0" applyFont="0" applyAlignment="0" applyProtection="0"/>
    <xf numFmtId="0" fontId="3" fillId="13" borderId="83" applyNumberFormat="0" applyFont="0" applyAlignment="0" applyProtection="0"/>
    <xf numFmtId="9" fontId="3" fillId="0" borderId="1" applyFont="0" applyFill="0" applyBorder="0" applyAlignment="0" applyProtection="0"/>
    <xf numFmtId="9"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0" fontId="3" fillId="0" borderId="1"/>
    <xf numFmtId="0" fontId="3" fillId="15" borderId="1" applyNumberFormat="0" applyBorder="0" applyAlignment="0" applyProtection="0"/>
    <xf numFmtId="0" fontId="3" fillId="15"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165" fontId="3" fillId="0" borderId="1" applyFont="0" applyFill="0" applyBorder="0" applyAlignment="0" applyProtection="0"/>
    <xf numFmtId="165" fontId="3" fillId="0" borderId="1" applyFont="0" applyFill="0" applyBorder="0" applyAlignment="0" applyProtection="0"/>
    <xf numFmtId="0" fontId="3" fillId="0" borderId="1"/>
    <xf numFmtId="0" fontId="3" fillId="0" borderId="1"/>
    <xf numFmtId="0" fontId="3" fillId="0" borderId="1"/>
    <xf numFmtId="0" fontId="3" fillId="0" borderId="1"/>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9"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0" fontId="3" fillId="0" borderId="1"/>
    <xf numFmtId="0" fontId="3" fillId="0" borderId="1"/>
    <xf numFmtId="0" fontId="3" fillId="0" borderId="1"/>
    <xf numFmtId="0" fontId="3" fillId="0" borderId="1"/>
    <xf numFmtId="0" fontId="3" fillId="0" borderId="1"/>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0" fontId="3" fillId="0" borderId="1"/>
    <xf numFmtId="0" fontId="3" fillId="0" borderId="1"/>
    <xf numFmtId="0" fontId="3" fillId="0" borderId="1"/>
    <xf numFmtId="0" fontId="3" fillId="0" borderId="1"/>
    <xf numFmtId="0" fontId="3" fillId="0" borderId="1"/>
    <xf numFmtId="0" fontId="3" fillId="13" borderId="83" applyNumberFormat="0" applyFont="0" applyAlignment="0" applyProtection="0"/>
    <xf numFmtId="9" fontId="3" fillId="0" borderId="1" applyFont="0" applyFill="0" applyBorder="0" applyAlignment="0" applyProtection="0"/>
    <xf numFmtId="9"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0" fontId="3" fillId="0" borderId="1"/>
    <xf numFmtId="0" fontId="3" fillId="15" borderId="1" applyNumberFormat="0" applyBorder="0" applyAlignment="0" applyProtection="0"/>
    <xf numFmtId="0" fontId="3" fillId="16" borderId="1" applyNumberFormat="0" applyBorder="0" applyAlignment="0" applyProtection="0"/>
    <xf numFmtId="0" fontId="3" fillId="19" borderId="1" applyNumberFormat="0" applyBorder="0" applyAlignment="0" applyProtection="0"/>
    <xf numFmtId="0" fontId="3" fillId="20" borderId="1" applyNumberFormat="0" applyBorder="0" applyAlignment="0" applyProtection="0"/>
    <xf numFmtId="0" fontId="3" fillId="23" borderId="1" applyNumberFormat="0" applyBorder="0" applyAlignment="0" applyProtection="0"/>
    <xf numFmtId="0" fontId="3" fillId="24" borderId="1" applyNumberFormat="0" applyBorder="0" applyAlignment="0" applyProtection="0"/>
    <xf numFmtId="0" fontId="3" fillId="27" borderId="1" applyNumberFormat="0" applyBorder="0" applyAlignment="0" applyProtection="0"/>
    <xf numFmtId="0" fontId="3" fillId="28" borderId="1" applyNumberFormat="0" applyBorder="0" applyAlignment="0" applyProtection="0"/>
    <xf numFmtId="0" fontId="3" fillId="31" borderId="1" applyNumberFormat="0" applyBorder="0" applyAlignment="0" applyProtection="0"/>
    <xf numFmtId="0" fontId="3" fillId="32" borderId="1" applyNumberFormat="0" applyBorder="0" applyAlignment="0" applyProtection="0"/>
    <xf numFmtId="0" fontId="3" fillId="35" borderId="1" applyNumberFormat="0" applyBorder="0" applyAlignment="0" applyProtection="0"/>
    <xf numFmtId="0" fontId="3" fillId="36" borderId="1" applyNumberFormat="0" applyBorder="0" applyAlignment="0" applyProtection="0"/>
    <xf numFmtId="0" fontId="3" fillId="0" borderId="1"/>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0" fontId="3" fillId="0" borderId="1"/>
    <xf numFmtId="0" fontId="3" fillId="0" borderId="1"/>
    <xf numFmtId="0" fontId="3" fillId="0" borderId="1"/>
    <xf numFmtId="0" fontId="3" fillId="0" borderId="1"/>
    <xf numFmtId="0" fontId="3" fillId="0" borderId="1"/>
    <xf numFmtId="0" fontId="3" fillId="13" borderId="83" applyNumberFormat="0" applyFont="0" applyAlignment="0" applyProtection="0"/>
    <xf numFmtId="0" fontId="3" fillId="13" borderId="83" applyNumberFormat="0" applyFont="0" applyAlignment="0" applyProtection="0"/>
    <xf numFmtId="9" fontId="3" fillId="0" borderId="1" applyFont="0" applyFill="0" applyBorder="0" applyAlignment="0" applyProtection="0"/>
    <xf numFmtId="9" fontId="3" fillId="0" borderId="1" applyFont="0" applyFill="0" applyBorder="0" applyAlignment="0" applyProtection="0"/>
    <xf numFmtId="0" fontId="3" fillId="0" borderId="1"/>
    <xf numFmtId="0" fontId="3" fillId="15" borderId="1" applyNumberFormat="0" applyBorder="0" applyAlignment="0" applyProtection="0"/>
    <xf numFmtId="0" fontId="3" fillId="19" borderId="1" applyNumberFormat="0" applyBorder="0" applyAlignment="0" applyProtection="0"/>
    <xf numFmtId="0" fontId="3" fillId="23" borderId="1" applyNumberFormat="0" applyBorder="0" applyAlignment="0" applyProtection="0"/>
    <xf numFmtId="0" fontId="3" fillId="27" borderId="1" applyNumberFormat="0" applyBorder="0" applyAlignment="0" applyProtection="0"/>
    <xf numFmtId="0" fontId="3" fillId="31" borderId="1" applyNumberFormat="0" applyBorder="0" applyAlignment="0" applyProtection="0"/>
    <xf numFmtId="0" fontId="3" fillId="35" borderId="1" applyNumberFormat="0" applyBorder="0" applyAlignment="0" applyProtection="0"/>
    <xf numFmtId="0" fontId="3" fillId="16" borderId="1" applyNumberFormat="0" applyBorder="0" applyAlignment="0" applyProtection="0"/>
    <xf numFmtId="0" fontId="3" fillId="20" borderId="1" applyNumberFormat="0" applyBorder="0" applyAlignment="0" applyProtection="0"/>
    <xf numFmtId="0" fontId="3" fillId="24" borderId="1" applyNumberFormat="0" applyBorder="0" applyAlignment="0" applyProtection="0"/>
    <xf numFmtId="0" fontId="3" fillId="28" borderId="1" applyNumberFormat="0" applyBorder="0" applyAlignment="0" applyProtection="0"/>
    <xf numFmtId="0" fontId="3" fillId="32" borderId="1" applyNumberFormat="0" applyBorder="0" applyAlignment="0" applyProtection="0"/>
    <xf numFmtId="0" fontId="3" fillId="36" borderId="1" applyNumberFormat="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0" fontId="3" fillId="0" borderId="1"/>
    <xf numFmtId="0" fontId="3" fillId="0" borderId="1"/>
    <xf numFmtId="0" fontId="3" fillId="0" borderId="1"/>
    <xf numFmtId="0" fontId="3" fillId="0" borderId="1"/>
    <xf numFmtId="0" fontId="3" fillId="0" borderId="1"/>
    <xf numFmtId="0" fontId="3" fillId="13" borderId="83" applyNumberFormat="0" applyFont="0" applyAlignment="0" applyProtection="0"/>
    <xf numFmtId="0" fontId="3" fillId="13" borderId="83" applyNumberFormat="0" applyFont="0" applyAlignment="0" applyProtection="0"/>
    <xf numFmtId="9" fontId="3" fillId="0" borderId="1" applyFont="0" applyFill="0" applyBorder="0" applyAlignment="0" applyProtection="0"/>
    <xf numFmtId="9"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0" fontId="3" fillId="0" borderId="1"/>
    <xf numFmtId="0" fontId="3" fillId="15" borderId="1" applyNumberFormat="0" applyBorder="0" applyAlignment="0" applyProtection="0"/>
    <xf numFmtId="0" fontId="3" fillId="16" borderId="1" applyNumberFormat="0" applyBorder="0" applyAlignment="0" applyProtection="0"/>
    <xf numFmtId="0" fontId="3" fillId="19" borderId="1" applyNumberFormat="0" applyBorder="0" applyAlignment="0" applyProtection="0"/>
    <xf numFmtId="0" fontId="3" fillId="20" borderId="1" applyNumberFormat="0" applyBorder="0" applyAlignment="0" applyProtection="0"/>
    <xf numFmtId="0" fontId="3" fillId="23" borderId="1" applyNumberFormat="0" applyBorder="0" applyAlignment="0" applyProtection="0"/>
    <xf numFmtId="0" fontId="3" fillId="24" borderId="1" applyNumberFormat="0" applyBorder="0" applyAlignment="0" applyProtection="0"/>
    <xf numFmtId="0" fontId="3" fillId="27" borderId="1" applyNumberFormat="0" applyBorder="0" applyAlignment="0" applyProtection="0"/>
    <xf numFmtId="0" fontId="3" fillId="28" borderId="1" applyNumberFormat="0" applyBorder="0" applyAlignment="0" applyProtection="0"/>
    <xf numFmtId="0" fontId="3" fillId="31" borderId="1" applyNumberFormat="0" applyBorder="0" applyAlignment="0" applyProtection="0"/>
    <xf numFmtId="0" fontId="3" fillId="32" borderId="1" applyNumberFormat="0" applyBorder="0" applyAlignment="0" applyProtection="0"/>
    <xf numFmtId="0" fontId="3" fillId="35" borderId="1" applyNumberFormat="0" applyBorder="0" applyAlignment="0" applyProtection="0"/>
    <xf numFmtId="0" fontId="3" fillId="36" borderId="1" applyNumberFormat="0" applyBorder="0" applyAlignment="0" applyProtection="0"/>
    <xf numFmtId="0" fontId="3" fillId="0" borderId="1"/>
    <xf numFmtId="0" fontId="3" fillId="0" borderId="1"/>
    <xf numFmtId="165" fontId="3" fillId="0" borderId="1" applyFont="0" applyFill="0" applyBorder="0" applyAlignment="0" applyProtection="0"/>
    <xf numFmtId="0" fontId="3" fillId="0" borderId="1"/>
    <xf numFmtId="165" fontId="3" fillId="0" borderId="1" applyFont="0" applyFill="0" applyBorder="0" applyAlignment="0" applyProtection="0"/>
    <xf numFmtId="9" fontId="3" fillId="0" borderId="1" applyFont="0" applyFill="0" applyBorder="0" applyAlignment="0" applyProtection="0"/>
    <xf numFmtId="0" fontId="3" fillId="13" borderId="83" applyNumberFormat="0" applyFont="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0" fontId="3" fillId="0" borderId="1"/>
    <xf numFmtId="0" fontId="3" fillId="0" borderId="1"/>
    <xf numFmtId="0" fontId="3" fillId="0" borderId="1"/>
    <xf numFmtId="0" fontId="3" fillId="0" borderId="1"/>
    <xf numFmtId="0" fontId="3" fillId="0" borderId="1"/>
    <xf numFmtId="0" fontId="3" fillId="15" borderId="1" applyNumberFormat="0" applyBorder="0" applyAlignment="0" applyProtection="0"/>
    <xf numFmtId="0" fontId="3" fillId="19" borderId="1" applyNumberFormat="0" applyBorder="0" applyAlignment="0" applyProtection="0"/>
    <xf numFmtId="0" fontId="3" fillId="23" borderId="1" applyNumberFormat="0" applyBorder="0" applyAlignment="0" applyProtection="0"/>
    <xf numFmtId="0" fontId="3" fillId="27" borderId="1" applyNumberFormat="0" applyBorder="0" applyAlignment="0" applyProtection="0"/>
    <xf numFmtId="0" fontId="3" fillId="31" borderId="1" applyNumberFormat="0" applyBorder="0" applyAlignment="0" applyProtection="0"/>
    <xf numFmtId="0" fontId="3" fillId="35" borderId="1" applyNumberFormat="0" applyBorder="0" applyAlignment="0" applyProtection="0"/>
    <xf numFmtId="0" fontId="3" fillId="16" borderId="1" applyNumberFormat="0" applyBorder="0" applyAlignment="0" applyProtection="0"/>
    <xf numFmtId="0" fontId="3" fillId="20" borderId="1" applyNumberFormat="0" applyBorder="0" applyAlignment="0" applyProtection="0"/>
    <xf numFmtId="0" fontId="3" fillId="24" borderId="1" applyNumberFormat="0" applyBorder="0" applyAlignment="0" applyProtection="0"/>
    <xf numFmtId="0" fontId="3" fillId="28" borderId="1" applyNumberFormat="0" applyBorder="0" applyAlignment="0" applyProtection="0"/>
    <xf numFmtId="0" fontId="3" fillId="32" borderId="1" applyNumberFormat="0" applyBorder="0" applyAlignment="0" applyProtection="0"/>
    <xf numFmtId="0" fontId="3" fillId="36" borderId="1" applyNumberFormat="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0" fontId="3" fillId="0" borderId="1"/>
    <xf numFmtId="0" fontId="3" fillId="0" borderId="1"/>
    <xf numFmtId="0" fontId="3" fillId="0" borderId="1"/>
    <xf numFmtId="0" fontId="3" fillId="0" borderId="1"/>
    <xf numFmtId="0" fontId="3" fillId="0" borderId="1"/>
    <xf numFmtId="0" fontId="3" fillId="13" borderId="83" applyNumberFormat="0" applyFont="0" applyAlignment="0" applyProtection="0"/>
    <xf numFmtId="0" fontId="3" fillId="13" borderId="83" applyNumberFormat="0" applyFont="0" applyAlignment="0" applyProtection="0"/>
    <xf numFmtId="9" fontId="3" fillId="0" borderId="1" applyFont="0" applyFill="0" applyBorder="0" applyAlignment="0" applyProtection="0"/>
    <xf numFmtId="9"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0" fontId="3" fillId="0" borderId="1"/>
    <xf numFmtId="0" fontId="3" fillId="15" borderId="1" applyNumberFormat="0" applyBorder="0" applyAlignment="0" applyProtection="0"/>
    <xf numFmtId="0" fontId="3" fillId="16" borderId="1" applyNumberFormat="0" applyBorder="0" applyAlignment="0" applyProtection="0"/>
    <xf numFmtId="0" fontId="3" fillId="19" borderId="1" applyNumberFormat="0" applyBorder="0" applyAlignment="0" applyProtection="0"/>
    <xf numFmtId="0" fontId="3" fillId="20" borderId="1" applyNumberFormat="0" applyBorder="0" applyAlignment="0" applyProtection="0"/>
    <xf numFmtId="0" fontId="3" fillId="23" borderId="1" applyNumberFormat="0" applyBorder="0" applyAlignment="0" applyProtection="0"/>
    <xf numFmtId="0" fontId="3" fillId="24" borderId="1" applyNumberFormat="0" applyBorder="0" applyAlignment="0" applyProtection="0"/>
    <xf numFmtId="0" fontId="3" fillId="27" borderId="1" applyNumberFormat="0" applyBorder="0" applyAlignment="0" applyProtection="0"/>
    <xf numFmtId="0" fontId="3" fillId="28" borderId="1" applyNumberFormat="0" applyBorder="0" applyAlignment="0" applyProtection="0"/>
    <xf numFmtId="0" fontId="3" fillId="31" borderId="1" applyNumberFormat="0" applyBorder="0" applyAlignment="0" applyProtection="0"/>
    <xf numFmtId="0" fontId="3" fillId="32" borderId="1" applyNumberFormat="0" applyBorder="0" applyAlignment="0" applyProtection="0"/>
    <xf numFmtId="0" fontId="3" fillId="35" borderId="1" applyNumberFormat="0" applyBorder="0" applyAlignment="0" applyProtection="0"/>
    <xf numFmtId="0" fontId="3" fillId="36" borderId="1" applyNumberFormat="0" applyBorder="0" applyAlignment="0" applyProtection="0"/>
    <xf numFmtId="0" fontId="3" fillId="0" borderId="1"/>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0" fontId="3" fillId="0" borderId="1"/>
    <xf numFmtId="0" fontId="3" fillId="0" borderId="1"/>
    <xf numFmtId="0" fontId="3" fillId="0" borderId="1"/>
    <xf numFmtId="0" fontId="3" fillId="0" borderId="1"/>
    <xf numFmtId="0" fontId="3" fillId="0" borderId="1"/>
    <xf numFmtId="0" fontId="3" fillId="13" borderId="83" applyNumberFormat="0" applyFont="0" applyAlignment="0" applyProtection="0"/>
    <xf numFmtId="0" fontId="3" fillId="13" borderId="83" applyNumberFormat="0" applyFont="0" applyAlignment="0" applyProtection="0"/>
    <xf numFmtId="9" fontId="3" fillId="0" borderId="1" applyFont="0" applyFill="0" applyBorder="0" applyAlignment="0" applyProtection="0"/>
    <xf numFmtId="9" fontId="3" fillId="0" borderId="1" applyFont="0" applyFill="0" applyBorder="0" applyAlignment="0" applyProtection="0"/>
    <xf numFmtId="0" fontId="3" fillId="0" borderId="1"/>
    <xf numFmtId="0" fontId="3" fillId="15" borderId="1" applyNumberFormat="0" applyBorder="0" applyAlignment="0" applyProtection="0"/>
    <xf numFmtId="0" fontId="3" fillId="19" borderId="1" applyNumberFormat="0" applyBorder="0" applyAlignment="0" applyProtection="0"/>
    <xf numFmtId="0" fontId="3" fillId="23" borderId="1" applyNumberFormat="0" applyBorder="0" applyAlignment="0" applyProtection="0"/>
    <xf numFmtId="0" fontId="3" fillId="27" borderId="1" applyNumberFormat="0" applyBorder="0" applyAlignment="0" applyProtection="0"/>
    <xf numFmtId="0" fontId="3" fillId="31" borderId="1" applyNumberFormat="0" applyBorder="0" applyAlignment="0" applyProtection="0"/>
    <xf numFmtId="0" fontId="3" fillId="35" borderId="1" applyNumberFormat="0" applyBorder="0" applyAlignment="0" applyProtection="0"/>
    <xf numFmtId="0" fontId="3" fillId="16" borderId="1" applyNumberFormat="0" applyBorder="0" applyAlignment="0" applyProtection="0"/>
    <xf numFmtId="0" fontId="3" fillId="20" borderId="1" applyNumberFormat="0" applyBorder="0" applyAlignment="0" applyProtection="0"/>
    <xf numFmtId="0" fontId="3" fillId="24" borderId="1" applyNumberFormat="0" applyBorder="0" applyAlignment="0" applyProtection="0"/>
    <xf numFmtId="0" fontId="3" fillId="28" borderId="1" applyNumberFormat="0" applyBorder="0" applyAlignment="0" applyProtection="0"/>
    <xf numFmtId="0" fontId="3" fillId="32" borderId="1" applyNumberFormat="0" applyBorder="0" applyAlignment="0" applyProtection="0"/>
    <xf numFmtId="0" fontId="3" fillId="36" borderId="1" applyNumberFormat="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0" fontId="3" fillId="0" borderId="1"/>
    <xf numFmtId="0" fontId="3" fillId="0" borderId="1"/>
    <xf numFmtId="0" fontId="3" fillId="0" borderId="1"/>
    <xf numFmtId="0" fontId="3" fillId="0" borderId="1"/>
    <xf numFmtId="0" fontId="3" fillId="0" borderId="1"/>
    <xf numFmtId="0" fontId="3" fillId="13" borderId="83" applyNumberFormat="0" applyFont="0" applyAlignment="0" applyProtection="0"/>
    <xf numFmtId="0" fontId="3" fillId="13" borderId="83" applyNumberFormat="0" applyFont="0" applyAlignment="0" applyProtection="0"/>
    <xf numFmtId="9" fontId="3" fillId="0" borderId="1" applyFont="0" applyFill="0" applyBorder="0" applyAlignment="0" applyProtection="0"/>
    <xf numFmtId="9" fontId="3" fillId="0" borderId="1" applyFont="0" applyFill="0" applyBorder="0" applyAlignment="0" applyProtection="0"/>
    <xf numFmtId="165" fontId="3" fillId="0" borderId="1" applyFont="0" applyFill="0" applyBorder="0" applyAlignment="0" applyProtection="0"/>
    <xf numFmtId="0" fontId="3" fillId="0" borderId="1"/>
    <xf numFmtId="0" fontId="3" fillId="15" borderId="1" applyNumberFormat="0" applyBorder="0" applyAlignment="0" applyProtection="0"/>
    <xf numFmtId="0" fontId="3" fillId="15"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165" fontId="3" fillId="0" borderId="1" applyFont="0" applyFill="0" applyBorder="0" applyAlignment="0" applyProtection="0"/>
    <xf numFmtId="165" fontId="3" fillId="0" borderId="1" applyFont="0" applyFill="0" applyBorder="0" applyAlignment="0" applyProtection="0"/>
    <xf numFmtId="0" fontId="3" fillId="0" borderId="1"/>
    <xf numFmtId="0" fontId="3" fillId="0" borderId="1"/>
    <xf numFmtId="0" fontId="3" fillId="0" borderId="1"/>
    <xf numFmtId="0" fontId="3" fillId="0" borderId="1"/>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9"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0" fontId="3" fillId="0" borderId="1"/>
    <xf numFmtId="0" fontId="3" fillId="0" borderId="1"/>
    <xf numFmtId="0" fontId="3" fillId="0" borderId="1"/>
    <xf numFmtId="0" fontId="3" fillId="0" borderId="1"/>
    <xf numFmtId="0" fontId="3" fillId="0" borderId="1"/>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0" fontId="3" fillId="0" borderId="1"/>
    <xf numFmtId="0" fontId="3" fillId="0" borderId="1"/>
    <xf numFmtId="0" fontId="3" fillId="0" borderId="1"/>
    <xf numFmtId="0" fontId="3" fillId="0" borderId="1"/>
    <xf numFmtId="0" fontId="3" fillId="0" borderId="1"/>
    <xf numFmtId="0" fontId="3" fillId="13" borderId="83" applyNumberFormat="0" applyFont="0" applyAlignment="0" applyProtection="0"/>
    <xf numFmtId="9" fontId="3" fillId="0" borderId="1" applyFont="0" applyFill="0" applyBorder="0" applyAlignment="0" applyProtection="0"/>
    <xf numFmtId="9" fontId="3" fillId="0" borderId="1" applyFont="0" applyFill="0" applyBorder="0" applyAlignment="0" applyProtection="0"/>
    <xf numFmtId="0" fontId="3" fillId="0" borderId="1"/>
    <xf numFmtId="0" fontId="3" fillId="15" borderId="1" applyNumberFormat="0" applyBorder="0" applyAlignment="0" applyProtection="0"/>
    <xf numFmtId="0" fontId="3" fillId="16" borderId="1" applyNumberFormat="0" applyBorder="0" applyAlignment="0" applyProtection="0"/>
    <xf numFmtId="0" fontId="3" fillId="19" borderId="1" applyNumberFormat="0" applyBorder="0" applyAlignment="0" applyProtection="0"/>
    <xf numFmtId="0" fontId="3" fillId="20" borderId="1" applyNumberFormat="0" applyBorder="0" applyAlignment="0" applyProtection="0"/>
    <xf numFmtId="0" fontId="3" fillId="23" borderId="1" applyNumberFormat="0" applyBorder="0" applyAlignment="0" applyProtection="0"/>
    <xf numFmtId="0" fontId="3" fillId="24" borderId="1" applyNumberFormat="0" applyBorder="0" applyAlignment="0" applyProtection="0"/>
    <xf numFmtId="0" fontId="3" fillId="27" borderId="1" applyNumberFormat="0" applyBorder="0" applyAlignment="0" applyProtection="0"/>
    <xf numFmtId="0" fontId="3" fillId="28" borderId="1" applyNumberFormat="0" applyBorder="0" applyAlignment="0" applyProtection="0"/>
    <xf numFmtId="0" fontId="3" fillId="31" borderId="1" applyNumberFormat="0" applyBorder="0" applyAlignment="0" applyProtection="0"/>
    <xf numFmtId="0" fontId="3" fillId="32" borderId="1" applyNumberFormat="0" applyBorder="0" applyAlignment="0" applyProtection="0"/>
    <xf numFmtId="0" fontId="3" fillId="35" borderId="1" applyNumberFormat="0" applyBorder="0" applyAlignment="0" applyProtection="0"/>
    <xf numFmtId="0" fontId="3" fillId="36" borderId="1" applyNumberFormat="0" applyBorder="0" applyAlignment="0" applyProtection="0"/>
    <xf numFmtId="0" fontId="3" fillId="0" borderId="1"/>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0" fontId="3" fillId="0" borderId="1"/>
    <xf numFmtId="0" fontId="3" fillId="0" borderId="1"/>
    <xf numFmtId="0" fontId="3" fillId="0" borderId="1"/>
    <xf numFmtId="0" fontId="3" fillId="0" borderId="1"/>
    <xf numFmtId="0" fontId="3" fillId="0" borderId="1"/>
    <xf numFmtId="0" fontId="3" fillId="13" borderId="83" applyNumberFormat="0" applyFont="0" applyAlignment="0" applyProtection="0"/>
    <xf numFmtId="0" fontId="3" fillId="13" borderId="83" applyNumberFormat="0" applyFont="0" applyAlignment="0" applyProtection="0"/>
    <xf numFmtId="9" fontId="3" fillId="0" borderId="1" applyFont="0" applyFill="0" applyBorder="0" applyAlignment="0" applyProtection="0"/>
    <xf numFmtId="9" fontId="3" fillId="0" borderId="1" applyFont="0" applyFill="0" applyBorder="0" applyAlignment="0" applyProtection="0"/>
    <xf numFmtId="0" fontId="3" fillId="0" borderId="1"/>
    <xf numFmtId="0" fontId="3" fillId="15" borderId="1" applyNumberFormat="0" applyBorder="0" applyAlignment="0" applyProtection="0"/>
    <xf numFmtId="0" fontId="3" fillId="19" borderId="1" applyNumberFormat="0" applyBorder="0" applyAlignment="0" applyProtection="0"/>
    <xf numFmtId="0" fontId="3" fillId="23" borderId="1" applyNumberFormat="0" applyBorder="0" applyAlignment="0" applyProtection="0"/>
    <xf numFmtId="0" fontId="3" fillId="27" borderId="1" applyNumberFormat="0" applyBorder="0" applyAlignment="0" applyProtection="0"/>
    <xf numFmtId="0" fontId="3" fillId="31" borderId="1" applyNumberFormat="0" applyBorder="0" applyAlignment="0" applyProtection="0"/>
    <xf numFmtId="0" fontId="3" fillId="35" borderId="1" applyNumberFormat="0" applyBorder="0" applyAlignment="0" applyProtection="0"/>
    <xf numFmtId="0" fontId="3" fillId="16" borderId="1" applyNumberFormat="0" applyBorder="0" applyAlignment="0" applyProtection="0"/>
    <xf numFmtId="0" fontId="3" fillId="20" borderId="1" applyNumberFormat="0" applyBorder="0" applyAlignment="0" applyProtection="0"/>
    <xf numFmtId="0" fontId="3" fillId="24" borderId="1" applyNumberFormat="0" applyBorder="0" applyAlignment="0" applyProtection="0"/>
    <xf numFmtId="0" fontId="3" fillId="28" borderId="1" applyNumberFormat="0" applyBorder="0" applyAlignment="0" applyProtection="0"/>
    <xf numFmtId="0" fontId="3" fillId="32" borderId="1" applyNumberFormat="0" applyBorder="0" applyAlignment="0" applyProtection="0"/>
    <xf numFmtId="0" fontId="3" fillId="36" borderId="1" applyNumberFormat="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0" fontId="3" fillId="0" borderId="1"/>
    <xf numFmtId="0" fontId="3" fillId="0" borderId="1"/>
    <xf numFmtId="0" fontId="3" fillId="0" borderId="1"/>
    <xf numFmtId="0" fontId="3" fillId="0" borderId="1"/>
    <xf numFmtId="0" fontId="3" fillId="0" borderId="1"/>
    <xf numFmtId="0" fontId="3" fillId="13" borderId="83" applyNumberFormat="0" applyFont="0" applyAlignment="0" applyProtection="0"/>
    <xf numFmtId="0" fontId="3" fillId="13" borderId="83" applyNumberFormat="0" applyFont="0" applyAlignment="0" applyProtection="0"/>
    <xf numFmtId="9" fontId="3" fillId="0" borderId="1" applyFont="0" applyFill="0" applyBorder="0" applyAlignment="0" applyProtection="0"/>
    <xf numFmtId="9"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0" fontId="3" fillId="0" borderId="1"/>
    <xf numFmtId="0" fontId="3" fillId="15" borderId="1" applyNumberFormat="0" applyBorder="0" applyAlignment="0" applyProtection="0"/>
    <xf numFmtId="0" fontId="3" fillId="16" borderId="1" applyNumberFormat="0" applyBorder="0" applyAlignment="0" applyProtection="0"/>
    <xf numFmtId="0" fontId="3" fillId="19" borderId="1" applyNumberFormat="0" applyBorder="0" applyAlignment="0" applyProtection="0"/>
    <xf numFmtId="0" fontId="3" fillId="20" borderId="1" applyNumberFormat="0" applyBorder="0" applyAlignment="0" applyProtection="0"/>
    <xf numFmtId="0" fontId="3" fillId="23" borderId="1" applyNumberFormat="0" applyBorder="0" applyAlignment="0" applyProtection="0"/>
    <xf numFmtId="0" fontId="3" fillId="24" borderId="1" applyNumberFormat="0" applyBorder="0" applyAlignment="0" applyProtection="0"/>
    <xf numFmtId="0" fontId="3" fillId="27" borderId="1" applyNumberFormat="0" applyBorder="0" applyAlignment="0" applyProtection="0"/>
    <xf numFmtId="0" fontId="3" fillId="28" borderId="1" applyNumberFormat="0" applyBorder="0" applyAlignment="0" applyProtection="0"/>
    <xf numFmtId="0" fontId="3" fillId="31" borderId="1" applyNumberFormat="0" applyBorder="0" applyAlignment="0" applyProtection="0"/>
    <xf numFmtId="0" fontId="3" fillId="32" borderId="1" applyNumberFormat="0" applyBorder="0" applyAlignment="0" applyProtection="0"/>
    <xf numFmtId="0" fontId="3" fillId="35" borderId="1" applyNumberFormat="0" applyBorder="0" applyAlignment="0" applyProtection="0"/>
    <xf numFmtId="0" fontId="3" fillId="36" borderId="1" applyNumberFormat="0" applyBorder="0" applyAlignment="0" applyProtection="0"/>
    <xf numFmtId="0" fontId="3" fillId="0" borderId="1"/>
    <xf numFmtId="0" fontId="3" fillId="0" borderId="1"/>
    <xf numFmtId="165" fontId="3" fillId="0" borderId="1" applyFont="0" applyFill="0" applyBorder="0" applyAlignment="0" applyProtection="0"/>
    <xf numFmtId="0" fontId="3" fillId="0" borderId="1"/>
    <xf numFmtId="9" fontId="3" fillId="0" borderId="1" applyFont="0" applyFill="0" applyBorder="0" applyAlignment="0" applyProtection="0"/>
    <xf numFmtId="0" fontId="3" fillId="13" borderId="83" applyNumberFormat="0" applyFont="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0" fontId="3" fillId="0" borderId="1"/>
    <xf numFmtId="0" fontId="3" fillId="0" borderId="1"/>
    <xf numFmtId="0" fontId="3" fillId="0" borderId="1"/>
    <xf numFmtId="0" fontId="3" fillId="0" borderId="1"/>
    <xf numFmtId="0" fontId="3" fillId="0" borderId="1"/>
    <xf numFmtId="0" fontId="3" fillId="15" borderId="1" applyNumberFormat="0" applyBorder="0" applyAlignment="0" applyProtection="0"/>
    <xf numFmtId="0" fontId="3" fillId="19" borderId="1" applyNumberFormat="0" applyBorder="0" applyAlignment="0" applyProtection="0"/>
    <xf numFmtId="0" fontId="3" fillId="23" borderId="1" applyNumberFormat="0" applyBorder="0" applyAlignment="0" applyProtection="0"/>
    <xf numFmtId="0" fontId="3" fillId="27" borderId="1" applyNumberFormat="0" applyBorder="0" applyAlignment="0" applyProtection="0"/>
    <xf numFmtId="0" fontId="3" fillId="31" borderId="1" applyNumberFormat="0" applyBorder="0" applyAlignment="0" applyProtection="0"/>
    <xf numFmtId="0" fontId="3" fillId="35" borderId="1" applyNumberFormat="0" applyBorder="0" applyAlignment="0" applyProtection="0"/>
    <xf numFmtId="0" fontId="3" fillId="16" borderId="1" applyNumberFormat="0" applyBorder="0" applyAlignment="0" applyProtection="0"/>
    <xf numFmtId="0" fontId="3" fillId="20" borderId="1" applyNumberFormat="0" applyBorder="0" applyAlignment="0" applyProtection="0"/>
    <xf numFmtId="0" fontId="3" fillId="24" borderId="1" applyNumberFormat="0" applyBorder="0" applyAlignment="0" applyProtection="0"/>
    <xf numFmtId="0" fontId="3" fillId="28" borderId="1" applyNumberFormat="0" applyBorder="0" applyAlignment="0" applyProtection="0"/>
    <xf numFmtId="0" fontId="3" fillId="32" borderId="1" applyNumberFormat="0" applyBorder="0" applyAlignment="0" applyProtection="0"/>
    <xf numFmtId="0" fontId="3" fillId="36" borderId="1" applyNumberFormat="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0" fontId="3" fillId="0" borderId="1"/>
    <xf numFmtId="0" fontId="3" fillId="0" borderId="1"/>
    <xf numFmtId="0" fontId="3" fillId="0" borderId="1"/>
    <xf numFmtId="0" fontId="3" fillId="0" borderId="1"/>
    <xf numFmtId="0" fontId="3" fillId="0" borderId="1"/>
    <xf numFmtId="0" fontId="3" fillId="13" borderId="83" applyNumberFormat="0" applyFont="0" applyAlignment="0" applyProtection="0"/>
    <xf numFmtId="0" fontId="3" fillId="13" borderId="83" applyNumberFormat="0" applyFont="0" applyAlignment="0" applyProtection="0"/>
    <xf numFmtId="9" fontId="3" fillId="0" borderId="1" applyFont="0" applyFill="0" applyBorder="0" applyAlignment="0" applyProtection="0"/>
    <xf numFmtId="9"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0" fontId="3" fillId="0" borderId="1"/>
    <xf numFmtId="0" fontId="3" fillId="15" borderId="1" applyNumberFormat="0" applyBorder="0" applyAlignment="0" applyProtection="0"/>
    <xf numFmtId="0" fontId="3" fillId="16" borderId="1" applyNumberFormat="0" applyBorder="0" applyAlignment="0" applyProtection="0"/>
    <xf numFmtId="0" fontId="3" fillId="19" borderId="1" applyNumberFormat="0" applyBorder="0" applyAlignment="0" applyProtection="0"/>
    <xf numFmtId="0" fontId="3" fillId="20" borderId="1" applyNumberFormat="0" applyBorder="0" applyAlignment="0" applyProtection="0"/>
    <xf numFmtId="0" fontId="3" fillId="23" borderId="1" applyNumberFormat="0" applyBorder="0" applyAlignment="0" applyProtection="0"/>
    <xf numFmtId="0" fontId="3" fillId="24" borderId="1" applyNumberFormat="0" applyBorder="0" applyAlignment="0" applyProtection="0"/>
    <xf numFmtId="0" fontId="3" fillId="27" borderId="1" applyNumberFormat="0" applyBorder="0" applyAlignment="0" applyProtection="0"/>
    <xf numFmtId="0" fontId="3" fillId="28" borderId="1" applyNumberFormat="0" applyBorder="0" applyAlignment="0" applyProtection="0"/>
    <xf numFmtId="0" fontId="3" fillId="31" borderId="1" applyNumberFormat="0" applyBorder="0" applyAlignment="0" applyProtection="0"/>
    <xf numFmtId="0" fontId="3" fillId="32" borderId="1" applyNumberFormat="0" applyBorder="0" applyAlignment="0" applyProtection="0"/>
    <xf numFmtId="0" fontId="3" fillId="35" borderId="1" applyNumberFormat="0" applyBorder="0" applyAlignment="0" applyProtection="0"/>
    <xf numFmtId="0" fontId="3" fillId="36" borderId="1" applyNumberFormat="0" applyBorder="0" applyAlignment="0" applyProtection="0"/>
    <xf numFmtId="0" fontId="3" fillId="0" borderId="1"/>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0" fontId="3" fillId="0" borderId="1"/>
    <xf numFmtId="0" fontId="3" fillId="0" borderId="1"/>
    <xf numFmtId="0" fontId="3" fillId="0" borderId="1"/>
    <xf numFmtId="0" fontId="3" fillId="0" borderId="1"/>
    <xf numFmtId="0" fontId="3" fillId="0" borderId="1"/>
    <xf numFmtId="0" fontId="3" fillId="13" borderId="83" applyNumberFormat="0" applyFont="0" applyAlignment="0" applyProtection="0"/>
    <xf numFmtId="0" fontId="3" fillId="13" borderId="83" applyNumberFormat="0" applyFont="0" applyAlignment="0" applyProtection="0"/>
    <xf numFmtId="9" fontId="3" fillId="0" borderId="1" applyFont="0" applyFill="0" applyBorder="0" applyAlignment="0" applyProtection="0"/>
    <xf numFmtId="9" fontId="3" fillId="0" borderId="1" applyFont="0" applyFill="0" applyBorder="0" applyAlignment="0" applyProtection="0"/>
    <xf numFmtId="0" fontId="3" fillId="0" borderId="1"/>
    <xf numFmtId="0" fontId="3" fillId="15" borderId="1" applyNumberFormat="0" applyBorder="0" applyAlignment="0" applyProtection="0"/>
    <xf numFmtId="0" fontId="3" fillId="19" borderId="1" applyNumberFormat="0" applyBorder="0" applyAlignment="0" applyProtection="0"/>
    <xf numFmtId="0" fontId="3" fillId="23" borderId="1" applyNumberFormat="0" applyBorder="0" applyAlignment="0" applyProtection="0"/>
    <xf numFmtId="0" fontId="3" fillId="27" borderId="1" applyNumberFormat="0" applyBorder="0" applyAlignment="0" applyProtection="0"/>
    <xf numFmtId="0" fontId="3" fillId="31" borderId="1" applyNumberFormat="0" applyBorder="0" applyAlignment="0" applyProtection="0"/>
    <xf numFmtId="0" fontId="3" fillId="35" borderId="1" applyNumberFormat="0" applyBorder="0" applyAlignment="0" applyProtection="0"/>
    <xf numFmtId="0" fontId="3" fillId="16" borderId="1" applyNumberFormat="0" applyBorder="0" applyAlignment="0" applyProtection="0"/>
    <xf numFmtId="0" fontId="3" fillId="20" borderId="1" applyNumberFormat="0" applyBorder="0" applyAlignment="0" applyProtection="0"/>
    <xf numFmtId="0" fontId="3" fillId="24" borderId="1" applyNumberFormat="0" applyBorder="0" applyAlignment="0" applyProtection="0"/>
    <xf numFmtId="0" fontId="3" fillId="28" borderId="1" applyNumberFormat="0" applyBorder="0" applyAlignment="0" applyProtection="0"/>
    <xf numFmtId="0" fontId="3" fillId="32" borderId="1" applyNumberFormat="0" applyBorder="0" applyAlignment="0" applyProtection="0"/>
    <xf numFmtId="0" fontId="3" fillId="36" borderId="1" applyNumberFormat="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0" fontId="3" fillId="0" borderId="1"/>
    <xf numFmtId="0" fontId="3" fillId="0" borderId="1"/>
    <xf numFmtId="0" fontId="3" fillId="0" borderId="1"/>
    <xf numFmtId="0" fontId="3" fillId="0" borderId="1"/>
    <xf numFmtId="0" fontId="3" fillId="0" borderId="1"/>
    <xf numFmtId="0" fontId="3" fillId="13" borderId="83" applyNumberFormat="0" applyFont="0" applyAlignment="0" applyProtection="0"/>
    <xf numFmtId="0" fontId="3" fillId="13" borderId="83" applyNumberFormat="0" applyFont="0" applyAlignment="0" applyProtection="0"/>
    <xf numFmtId="9" fontId="3" fillId="0" borderId="1" applyFont="0" applyFill="0" applyBorder="0" applyAlignment="0" applyProtection="0"/>
    <xf numFmtId="9"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0" fontId="3" fillId="0" borderId="1"/>
    <xf numFmtId="165" fontId="3" fillId="0" borderId="1" applyFont="0" applyFill="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5"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19"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3"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27"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1"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35"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16"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0"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4"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28"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2"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0" fontId="3" fillId="36" borderId="1" applyNumberFormat="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43" fontId="3" fillId="0" borderId="1" applyFont="0" applyFill="0" applyBorder="0" applyAlignment="0" applyProtection="0"/>
    <xf numFmtId="43" fontId="3" fillId="0" borderId="1" applyFont="0" applyFill="0" applyBorder="0" applyAlignment="0" applyProtection="0"/>
    <xf numFmtId="43" fontId="3" fillId="0" borderId="1" applyFont="0" applyFill="0" applyBorder="0" applyAlignment="0" applyProtection="0"/>
    <xf numFmtId="43"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43"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43" fontId="3" fillId="0" borderId="1" applyFont="0" applyFill="0" applyBorder="0" applyAlignment="0" applyProtection="0"/>
    <xf numFmtId="43" fontId="3" fillId="0" borderId="1" applyFont="0" applyFill="0" applyBorder="0" applyAlignment="0" applyProtection="0"/>
    <xf numFmtId="43" fontId="3" fillId="0" borderId="1" applyFont="0" applyFill="0" applyBorder="0" applyAlignment="0" applyProtection="0"/>
    <xf numFmtId="43"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43" fontId="3" fillId="0" borderId="1" applyFont="0" applyFill="0" applyBorder="0" applyAlignment="0" applyProtection="0"/>
    <xf numFmtId="43"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43" fontId="3" fillId="0" borderId="1" applyFont="0" applyFill="0" applyBorder="0" applyAlignment="0" applyProtection="0"/>
    <xf numFmtId="43"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43" fontId="3" fillId="0" borderId="1" applyFont="0" applyFill="0" applyBorder="0" applyAlignment="0" applyProtection="0"/>
    <xf numFmtId="43" fontId="3" fillId="0" borderId="1" applyFont="0" applyFill="0" applyBorder="0" applyAlignment="0" applyProtection="0"/>
    <xf numFmtId="43" fontId="3" fillId="0" borderId="1" applyFont="0" applyFill="0" applyBorder="0" applyAlignment="0" applyProtection="0"/>
    <xf numFmtId="43"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43" fontId="3" fillId="0" borderId="1" applyFont="0" applyFill="0" applyBorder="0" applyAlignment="0" applyProtection="0"/>
    <xf numFmtId="43"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43" fontId="3" fillId="0" borderId="1" applyFont="0" applyFill="0" applyBorder="0" applyAlignment="0" applyProtection="0"/>
    <xf numFmtId="43"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43" fontId="3" fillId="0" borderId="1" applyFont="0" applyFill="0" applyBorder="0" applyAlignment="0" applyProtection="0"/>
    <xf numFmtId="43" fontId="3" fillId="0" borderId="1" applyFont="0" applyFill="0" applyBorder="0" applyAlignment="0" applyProtection="0"/>
    <xf numFmtId="43" fontId="3" fillId="0" borderId="1" applyFont="0" applyFill="0" applyBorder="0" applyAlignment="0" applyProtection="0"/>
    <xf numFmtId="43"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43" fontId="3" fillId="0" borderId="1" applyFont="0" applyFill="0" applyBorder="0" applyAlignment="0" applyProtection="0"/>
    <xf numFmtId="43"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43" fontId="3" fillId="0" borderId="1" applyFont="0" applyFill="0" applyBorder="0" applyAlignment="0" applyProtection="0"/>
    <xf numFmtId="43" fontId="3" fillId="0" borderId="1" applyFont="0" applyFill="0" applyBorder="0" applyAlignment="0" applyProtection="0"/>
    <xf numFmtId="43" fontId="3" fillId="0" borderId="1" applyFont="0" applyFill="0" applyBorder="0" applyAlignment="0" applyProtection="0"/>
    <xf numFmtId="43" fontId="3" fillId="0" borderId="1" applyFont="0" applyFill="0" applyBorder="0" applyAlignment="0" applyProtection="0"/>
    <xf numFmtId="43"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43" fontId="3" fillId="0" borderId="1" applyFont="0" applyFill="0" applyBorder="0" applyAlignment="0" applyProtection="0"/>
    <xf numFmtId="43"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43" fontId="3" fillId="0" borderId="1" applyFont="0" applyFill="0" applyBorder="0" applyAlignment="0" applyProtection="0"/>
    <xf numFmtId="43" fontId="3" fillId="0" borderId="1" applyFont="0" applyFill="0" applyBorder="0" applyAlignment="0" applyProtection="0"/>
    <xf numFmtId="43" fontId="3" fillId="0" borderId="1" applyFont="0" applyFill="0" applyBorder="0" applyAlignment="0" applyProtection="0"/>
    <xf numFmtId="43"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43" fontId="3" fillId="0" borderId="1" applyFont="0" applyFill="0" applyBorder="0" applyAlignment="0" applyProtection="0"/>
    <xf numFmtId="43"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43" fontId="3" fillId="0" borderId="1" applyFont="0" applyFill="0" applyBorder="0" applyAlignment="0" applyProtection="0"/>
    <xf numFmtId="43"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43" fontId="3" fillId="0" borderId="1" applyFont="0" applyFill="0" applyBorder="0" applyAlignment="0" applyProtection="0"/>
    <xf numFmtId="43" fontId="3" fillId="0" borderId="1" applyFont="0" applyFill="0" applyBorder="0" applyAlignment="0" applyProtection="0"/>
    <xf numFmtId="43" fontId="3" fillId="0" borderId="1" applyFont="0" applyFill="0" applyBorder="0" applyAlignment="0" applyProtection="0"/>
    <xf numFmtId="43"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43" fontId="3" fillId="0" borderId="1" applyFont="0" applyFill="0" applyBorder="0" applyAlignment="0" applyProtection="0"/>
    <xf numFmtId="43"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43" fontId="3" fillId="0" borderId="1" applyFont="0" applyFill="0" applyBorder="0" applyAlignment="0" applyProtection="0"/>
    <xf numFmtId="43"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43" fontId="3" fillId="0" borderId="1" applyFont="0" applyFill="0" applyBorder="0" applyAlignment="0" applyProtection="0"/>
    <xf numFmtId="43" fontId="3" fillId="0" borderId="1" applyFont="0" applyFill="0" applyBorder="0" applyAlignment="0" applyProtection="0"/>
    <xf numFmtId="43" fontId="3" fillId="0" borderId="1" applyFont="0" applyFill="0" applyBorder="0" applyAlignment="0" applyProtection="0"/>
    <xf numFmtId="43"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43" fontId="3" fillId="0" borderId="1" applyFont="0" applyFill="0" applyBorder="0" applyAlignment="0" applyProtection="0"/>
    <xf numFmtId="43"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43" fontId="3" fillId="0" borderId="1" applyFont="0" applyFill="0" applyBorder="0" applyAlignment="0" applyProtection="0"/>
    <xf numFmtId="43"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43" fontId="3" fillId="0" borderId="1" applyFont="0" applyFill="0" applyBorder="0" applyAlignment="0" applyProtection="0"/>
    <xf numFmtId="43" fontId="3" fillId="0" borderId="1" applyFont="0" applyFill="0" applyBorder="0" applyAlignment="0" applyProtection="0"/>
    <xf numFmtId="43" fontId="3" fillId="0" borderId="1" applyFont="0" applyFill="0" applyBorder="0" applyAlignment="0" applyProtection="0"/>
    <xf numFmtId="43"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43" fontId="3" fillId="0" borderId="1" applyFont="0" applyFill="0" applyBorder="0" applyAlignment="0" applyProtection="0"/>
    <xf numFmtId="43"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43" fontId="3" fillId="0" borderId="1" applyFont="0" applyFill="0" applyBorder="0" applyAlignment="0" applyProtection="0"/>
    <xf numFmtId="43"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43" fontId="3" fillId="0" borderId="1" applyFont="0" applyFill="0" applyBorder="0" applyAlignment="0" applyProtection="0"/>
    <xf numFmtId="43" fontId="3" fillId="0" borderId="1" applyFont="0" applyFill="0" applyBorder="0" applyAlignment="0" applyProtection="0"/>
    <xf numFmtId="43" fontId="3" fillId="0" borderId="1" applyFont="0" applyFill="0" applyBorder="0" applyAlignment="0" applyProtection="0"/>
    <xf numFmtId="43"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43" fontId="3" fillId="0" borderId="1" applyFont="0" applyFill="0" applyBorder="0" applyAlignment="0" applyProtection="0"/>
    <xf numFmtId="43"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165" fontId="3" fillId="0" borderId="1" applyFont="0" applyFill="0" applyBorder="0" applyAlignment="0" applyProtection="0"/>
    <xf numFmtId="43" fontId="3" fillId="0" borderId="1" applyFont="0" applyFill="0" applyBorder="0" applyAlignment="0" applyProtection="0"/>
    <xf numFmtId="43" fontId="3" fillId="0" borderId="1" applyFont="0" applyFill="0" applyBorder="0" applyAlignment="0" applyProtection="0"/>
    <xf numFmtId="165" fontId="3" fillId="0" borderId="1" applyFont="0" applyFill="0" applyBorder="0" applyAlignment="0" applyProtection="0"/>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0" fontId="3" fillId="13" borderId="83" applyNumberFormat="0" applyFont="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9" fontId="3" fillId="0" borderId="1" applyFont="0" applyFill="0" applyBorder="0" applyAlignment="0" applyProtection="0"/>
    <xf numFmtId="0" fontId="18" fillId="0" borderId="1"/>
    <xf numFmtId="0" fontId="18" fillId="0" borderId="1"/>
    <xf numFmtId="0" fontId="18" fillId="0" borderId="1"/>
    <xf numFmtId="0" fontId="2" fillId="0" borderId="1"/>
    <xf numFmtId="165" fontId="2" fillId="0" borderId="1" applyFont="0" applyFill="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0" fontId="18" fillId="0" borderId="1"/>
    <xf numFmtId="0" fontId="2" fillId="0" borderId="1"/>
    <xf numFmtId="0" fontId="2" fillId="15" borderId="1" applyNumberFormat="0" applyBorder="0" applyAlignment="0" applyProtection="0"/>
    <xf numFmtId="0" fontId="2" fillId="19" borderId="1" applyNumberFormat="0" applyBorder="0" applyAlignment="0" applyProtection="0"/>
    <xf numFmtId="0" fontId="2" fillId="23" borderId="1" applyNumberFormat="0" applyBorder="0" applyAlignment="0" applyProtection="0"/>
    <xf numFmtId="0" fontId="2" fillId="27" borderId="1" applyNumberFormat="0" applyBorder="0" applyAlignment="0" applyProtection="0"/>
    <xf numFmtId="0" fontId="2" fillId="31" borderId="1" applyNumberFormat="0" applyBorder="0" applyAlignment="0" applyProtection="0"/>
    <xf numFmtId="0" fontId="2" fillId="35" borderId="1" applyNumberFormat="0" applyBorder="0" applyAlignment="0" applyProtection="0"/>
    <xf numFmtId="0" fontId="2" fillId="16" borderId="1" applyNumberFormat="0" applyBorder="0" applyAlignment="0" applyProtection="0"/>
    <xf numFmtId="0" fontId="2" fillId="20" borderId="1" applyNumberFormat="0" applyBorder="0" applyAlignment="0" applyProtection="0"/>
    <xf numFmtId="0" fontId="2" fillId="24" borderId="1" applyNumberFormat="0" applyBorder="0" applyAlignment="0" applyProtection="0"/>
    <xf numFmtId="0" fontId="2" fillId="28" borderId="1" applyNumberFormat="0" applyBorder="0" applyAlignment="0" applyProtection="0"/>
    <xf numFmtId="0" fontId="2" fillId="32" borderId="1" applyNumberFormat="0" applyBorder="0" applyAlignment="0" applyProtection="0"/>
    <xf numFmtId="0" fontId="2" fillId="36" borderId="1" applyNumberFormat="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0" borderId="1"/>
    <xf numFmtId="0" fontId="2" fillId="0" borderId="1"/>
    <xf numFmtId="0" fontId="2" fillId="0" borderId="1"/>
    <xf numFmtId="0" fontId="2" fillId="0" borderId="1"/>
    <xf numFmtId="0" fontId="2" fillId="13" borderId="83" applyNumberFormat="0" applyFont="0" applyAlignment="0" applyProtection="0"/>
    <xf numFmtId="0" fontId="2" fillId="13" borderId="83" applyNumberFormat="0" applyFont="0" applyAlignment="0" applyProtection="0"/>
    <xf numFmtId="9" fontId="2" fillId="0" borderId="1" applyFont="0" applyFill="0" applyBorder="0" applyAlignment="0" applyProtection="0"/>
    <xf numFmtId="9" fontId="2" fillId="0" borderId="1" applyFont="0" applyFill="0" applyBorder="0" applyAlignment="0" applyProtection="0"/>
    <xf numFmtId="0" fontId="2" fillId="0" borderId="1"/>
    <xf numFmtId="0" fontId="2" fillId="15" borderId="1" applyNumberFormat="0" applyBorder="0" applyAlignment="0" applyProtection="0"/>
    <xf numFmtId="0" fontId="2" fillId="19" borderId="1" applyNumberFormat="0" applyBorder="0" applyAlignment="0" applyProtection="0"/>
    <xf numFmtId="0" fontId="2" fillId="23" borderId="1" applyNumberFormat="0" applyBorder="0" applyAlignment="0" applyProtection="0"/>
    <xf numFmtId="0" fontId="2" fillId="27" borderId="1" applyNumberFormat="0" applyBorder="0" applyAlignment="0" applyProtection="0"/>
    <xf numFmtId="0" fontId="2" fillId="31" borderId="1" applyNumberFormat="0" applyBorder="0" applyAlignment="0" applyProtection="0"/>
    <xf numFmtId="0" fontId="2" fillId="35" borderId="1" applyNumberFormat="0" applyBorder="0" applyAlignment="0" applyProtection="0"/>
    <xf numFmtId="0" fontId="2" fillId="16" borderId="1" applyNumberFormat="0" applyBorder="0" applyAlignment="0" applyProtection="0"/>
    <xf numFmtId="0" fontId="2" fillId="20" borderId="1" applyNumberFormat="0" applyBorder="0" applyAlignment="0" applyProtection="0"/>
    <xf numFmtId="0" fontId="2" fillId="24" borderId="1" applyNumberFormat="0" applyBorder="0" applyAlignment="0" applyProtection="0"/>
    <xf numFmtId="0" fontId="2" fillId="28" borderId="1" applyNumberFormat="0" applyBorder="0" applyAlignment="0" applyProtection="0"/>
    <xf numFmtId="0" fontId="2" fillId="32" borderId="1" applyNumberFormat="0" applyBorder="0" applyAlignment="0" applyProtection="0"/>
    <xf numFmtId="0" fontId="2" fillId="36" borderId="1" applyNumberFormat="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0" borderId="1"/>
    <xf numFmtId="0" fontId="2" fillId="0" borderId="1"/>
    <xf numFmtId="0" fontId="2" fillId="0" borderId="1"/>
    <xf numFmtId="0" fontId="2" fillId="0" borderId="1"/>
    <xf numFmtId="0" fontId="2" fillId="13" borderId="83" applyNumberFormat="0" applyFont="0" applyAlignment="0" applyProtection="0"/>
    <xf numFmtId="0" fontId="2" fillId="13" borderId="83" applyNumberFormat="0" applyFont="0" applyAlignment="0" applyProtection="0"/>
    <xf numFmtId="9" fontId="2" fillId="0" borderId="1" applyFont="0" applyFill="0" applyBorder="0" applyAlignment="0" applyProtection="0"/>
    <xf numFmtId="9"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15" borderId="1" applyNumberFormat="0" applyBorder="0" applyAlignment="0" applyProtection="0"/>
    <xf numFmtId="0" fontId="2" fillId="16" borderId="1" applyNumberFormat="0" applyBorder="0" applyAlignment="0" applyProtection="0"/>
    <xf numFmtId="0" fontId="2" fillId="19" borderId="1" applyNumberFormat="0" applyBorder="0" applyAlignment="0" applyProtection="0"/>
    <xf numFmtId="0" fontId="2" fillId="20" borderId="1" applyNumberFormat="0" applyBorder="0" applyAlignment="0" applyProtection="0"/>
    <xf numFmtId="0" fontId="2" fillId="23" borderId="1" applyNumberFormat="0" applyBorder="0" applyAlignment="0" applyProtection="0"/>
    <xf numFmtId="0" fontId="2" fillId="24" borderId="1" applyNumberFormat="0" applyBorder="0" applyAlignment="0" applyProtection="0"/>
    <xf numFmtId="0" fontId="2" fillId="27" borderId="1" applyNumberFormat="0" applyBorder="0" applyAlignment="0" applyProtection="0"/>
    <xf numFmtId="0" fontId="2" fillId="28" borderId="1" applyNumberFormat="0" applyBorder="0" applyAlignment="0" applyProtection="0"/>
    <xf numFmtId="0" fontId="2" fillId="31" borderId="1" applyNumberFormat="0" applyBorder="0" applyAlignment="0" applyProtection="0"/>
    <xf numFmtId="0" fontId="2" fillId="32" borderId="1" applyNumberFormat="0" applyBorder="0" applyAlignment="0" applyProtection="0"/>
    <xf numFmtId="0" fontId="2" fillId="35" borderId="1" applyNumberFormat="0" applyBorder="0" applyAlignment="0" applyProtection="0"/>
    <xf numFmtId="0" fontId="2" fillId="36" borderId="1" applyNumberFormat="0" applyBorder="0" applyAlignment="0" applyProtection="0"/>
    <xf numFmtId="0" fontId="2" fillId="0" borderId="1"/>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0" borderId="1"/>
    <xf numFmtId="0" fontId="2" fillId="0" borderId="1"/>
    <xf numFmtId="0" fontId="2" fillId="0" borderId="1"/>
    <xf numFmtId="0" fontId="2" fillId="0" borderId="1"/>
    <xf numFmtId="0" fontId="2" fillId="13" borderId="83" applyNumberFormat="0" applyFont="0" applyAlignment="0" applyProtection="0"/>
    <xf numFmtId="0" fontId="2" fillId="13" borderId="83" applyNumberFormat="0" applyFont="0" applyAlignment="0" applyProtection="0"/>
    <xf numFmtId="9" fontId="2" fillId="0" borderId="1" applyFont="0" applyFill="0" applyBorder="0" applyAlignment="0" applyProtection="0"/>
    <xf numFmtId="9" fontId="2" fillId="0" borderId="1" applyFont="0" applyFill="0" applyBorder="0" applyAlignment="0" applyProtection="0"/>
    <xf numFmtId="0" fontId="2" fillId="0" borderId="1"/>
    <xf numFmtId="0" fontId="2" fillId="15" borderId="1" applyNumberFormat="0" applyBorder="0" applyAlignment="0" applyProtection="0"/>
    <xf numFmtId="0" fontId="2" fillId="19" borderId="1" applyNumberFormat="0" applyBorder="0" applyAlignment="0" applyProtection="0"/>
    <xf numFmtId="0" fontId="2" fillId="23" borderId="1" applyNumberFormat="0" applyBorder="0" applyAlignment="0" applyProtection="0"/>
    <xf numFmtId="0" fontId="2" fillId="27" borderId="1" applyNumberFormat="0" applyBorder="0" applyAlignment="0" applyProtection="0"/>
    <xf numFmtId="0" fontId="2" fillId="31" borderId="1" applyNumberFormat="0" applyBorder="0" applyAlignment="0" applyProtection="0"/>
    <xf numFmtId="0" fontId="2" fillId="35" borderId="1" applyNumberFormat="0" applyBorder="0" applyAlignment="0" applyProtection="0"/>
    <xf numFmtId="0" fontId="2" fillId="16" borderId="1" applyNumberFormat="0" applyBorder="0" applyAlignment="0" applyProtection="0"/>
    <xf numFmtId="0" fontId="2" fillId="20" borderId="1" applyNumberFormat="0" applyBorder="0" applyAlignment="0" applyProtection="0"/>
    <xf numFmtId="0" fontId="2" fillId="24" borderId="1" applyNumberFormat="0" applyBorder="0" applyAlignment="0" applyProtection="0"/>
    <xf numFmtId="0" fontId="2" fillId="28" borderId="1" applyNumberFormat="0" applyBorder="0" applyAlignment="0" applyProtection="0"/>
    <xf numFmtId="0" fontId="2" fillId="32" borderId="1" applyNumberFormat="0" applyBorder="0" applyAlignment="0" applyProtection="0"/>
    <xf numFmtId="0" fontId="2" fillId="36" borderId="1" applyNumberFormat="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0" borderId="1"/>
    <xf numFmtId="0" fontId="2" fillId="0" borderId="1"/>
    <xf numFmtId="0" fontId="2" fillId="0" borderId="1"/>
    <xf numFmtId="0" fontId="2" fillId="0" borderId="1"/>
    <xf numFmtId="0" fontId="2" fillId="13" borderId="83" applyNumberFormat="0" applyFont="0" applyAlignment="0" applyProtection="0"/>
    <xf numFmtId="0" fontId="2" fillId="13" borderId="83" applyNumberFormat="0" applyFont="0" applyAlignment="0" applyProtection="0"/>
    <xf numFmtId="9" fontId="2" fillId="0" borderId="1" applyFont="0" applyFill="0" applyBorder="0" applyAlignment="0" applyProtection="0"/>
    <xf numFmtId="9"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15" borderId="1" applyNumberFormat="0" applyBorder="0" applyAlignment="0" applyProtection="0"/>
    <xf numFmtId="0" fontId="2" fillId="16" borderId="1" applyNumberFormat="0" applyBorder="0" applyAlignment="0" applyProtection="0"/>
    <xf numFmtId="0" fontId="2" fillId="19" borderId="1" applyNumberFormat="0" applyBorder="0" applyAlignment="0" applyProtection="0"/>
    <xf numFmtId="0" fontId="2" fillId="20" borderId="1" applyNumberFormat="0" applyBorder="0" applyAlignment="0" applyProtection="0"/>
    <xf numFmtId="0" fontId="2" fillId="23" borderId="1" applyNumberFormat="0" applyBorder="0" applyAlignment="0" applyProtection="0"/>
    <xf numFmtId="0" fontId="2" fillId="24" borderId="1" applyNumberFormat="0" applyBorder="0" applyAlignment="0" applyProtection="0"/>
    <xf numFmtId="0" fontId="2" fillId="27" borderId="1" applyNumberFormat="0" applyBorder="0" applyAlignment="0" applyProtection="0"/>
    <xf numFmtId="0" fontId="2" fillId="28" borderId="1" applyNumberFormat="0" applyBorder="0" applyAlignment="0" applyProtection="0"/>
    <xf numFmtId="0" fontId="2" fillId="31" borderId="1" applyNumberFormat="0" applyBorder="0" applyAlignment="0" applyProtection="0"/>
    <xf numFmtId="0" fontId="2" fillId="32" borderId="1" applyNumberFormat="0" applyBorder="0" applyAlignment="0" applyProtection="0"/>
    <xf numFmtId="0" fontId="2" fillId="35" borderId="1" applyNumberFormat="0" applyBorder="0" applyAlignment="0" applyProtection="0"/>
    <xf numFmtId="0" fontId="2" fillId="36" borderId="1" applyNumberFormat="0" applyBorder="0" applyAlignment="0" applyProtection="0"/>
    <xf numFmtId="0" fontId="2" fillId="0" borderId="1"/>
    <xf numFmtId="0" fontId="2" fillId="0" borderId="1"/>
    <xf numFmtId="165" fontId="2" fillId="0" borderId="1" applyFont="0" applyFill="0" applyBorder="0" applyAlignment="0" applyProtection="0"/>
    <xf numFmtId="0" fontId="2" fillId="0" borderId="1"/>
    <xf numFmtId="165" fontId="2" fillId="0" borderId="1" applyFont="0" applyFill="0" applyBorder="0" applyAlignment="0" applyProtection="0"/>
    <xf numFmtId="9" fontId="2" fillId="0" borderId="1" applyFont="0" applyFill="0" applyBorder="0" applyAlignment="0" applyProtection="0"/>
    <xf numFmtId="0" fontId="2" fillId="13" borderId="83" applyNumberFormat="0" applyFont="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0" borderId="1"/>
    <xf numFmtId="0" fontId="2" fillId="0" borderId="1"/>
    <xf numFmtId="0" fontId="2" fillId="0" borderId="1"/>
    <xf numFmtId="0" fontId="2" fillId="0" borderId="1"/>
    <xf numFmtId="0" fontId="2" fillId="15" borderId="1" applyNumberFormat="0" applyBorder="0" applyAlignment="0" applyProtection="0"/>
    <xf numFmtId="0" fontId="2" fillId="19" borderId="1" applyNumberFormat="0" applyBorder="0" applyAlignment="0" applyProtection="0"/>
    <xf numFmtId="0" fontId="2" fillId="23" borderId="1" applyNumberFormat="0" applyBorder="0" applyAlignment="0" applyProtection="0"/>
    <xf numFmtId="0" fontId="2" fillId="27" borderId="1" applyNumberFormat="0" applyBorder="0" applyAlignment="0" applyProtection="0"/>
    <xf numFmtId="0" fontId="2" fillId="31" borderId="1" applyNumberFormat="0" applyBorder="0" applyAlignment="0" applyProtection="0"/>
    <xf numFmtId="0" fontId="2" fillId="35" borderId="1" applyNumberFormat="0" applyBorder="0" applyAlignment="0" applyProtection="0"/>
    <xf numFmtId="0" fontId="2" fillId="16" borderId="1" applyNumberFormat="0" applyBorder="0" applyAlignment="0" applyProtection="0"/>
    <xf numFmtId="0" fontId="2" fillId="20" borderId="1" applyNumberFormat="0" applyBorder="0" applyAlignment="0" applyProtection="0"/>
    <xf numFmtId="0" fontId="2" fillId="24" borderId="1" applyNumberFormat="0" applyBorder="0" applyAlignment="0" applyProtection="0"/>
    <xf numFmtId="0" fontId="2" fillId="28" borderId="1" applyNumberFormat="0" applyBorder="0" applyAlignment="0" applyProtection="0"/>
    <xf numFmtId="0" fontId="2" fillId="32" borderId="1" applyNumberFormat="0" applyBorder="0" applyAlignment="0" applyProtection="0"/>
    <xf numFmtId="0" fontId="2" fillId="36" borderId="1" applyNumberFormat="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0" borderId="1"/>
    <xf numFmtId="0" fontId="2" fillId="0" borderId="1"/>
    <xf numFmtId="0" fontId="2" fillId="0" borderId="1"/>
    <xf numFmtId="0" fontId="2" fillId="0" borderId="1"/>
    <xf numFmtId="0" fontId="2" fillId="13" borderId="83" applyNumberFormat="0" applyFont="0" applyAlignment="0" applyProtection="0"/>
    <xf numFmtId="0" fontId="2" fillId="13" borderId="83" applyNumberFormat="0" applyFont="0" applyAlignment="0" applyProtection="0"/>
    <xf numFmtId="9" fontId="2" fillId="0" borderId="1" applyFont="0" applyFill="0" applyBorder="0" applyAlignment="0" applyProtection="0"/>
    <xf numFmtId="9"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15" borderId="1" applyNumberFormat="0" applyBorder="0" applyAlignment="0" applyProtection="0"/>
    <xf numFmtId="0" fontId="2" fillId="16" borderId="1" applyNumberFormat="0" applyBorder="0" applyAlignment="0" applyProtection="0"/>
    <xf numFmtId="0" fontId="2" fillId="19" borderId="1" applyNumberFormat="0" applyBorder="0" applyAlignment="0" applyProtection="0"/>
    <xf numFmtId="0" fontId="2" fillId="20" borderId="1" applyNumberFormat="0" applyBorder="0" applyAlignment="0" applyProtection="0"/>
    <xf numFmtId="0" fontId="2" fillId="23" borderId="1" applyNumberFormat="0" applyBorder="0" applyAlignment="0" applyProtection="0"/>
    <xf numFmtId="0" fontId="2" fillId="24" borderId="1" applyNumberFormat="0" applyBorder="0" applyAlignment="0" applyProtection="0"/>
    <xf numFmtId="0" fontId="2" fillId="27" borderId="1" applyNumberFormat="0" applyBorder="0" applyAlignment="0" applyProtection="0"/>
    <xf numFmtId="0" fontId="2" fillId="28" borderId="1" applyNumberFormat="0" applyBorder="0" applyAlignment="0" applyProtection="0"/>
    <xf numFmtId="0" fontId="2" fillId="31" borderId="1" applyNumberFormat="0" applyBorder="0" applyAlignment="0" applyProtection="0"/>
    <xf numFmtId="0" fontId="2" fillId="32" borderId="1" applyNumberFormat="0" applyBorder="0" applyAlignment="0" applyProtection="0"/>
    <xf numFmtId="0" fontId="2" fillId="35" borderId="1" applyNumberFormat="0" applyBorder="0" applyAlignment="0" applyProtection="0"/>
    <xf numFmtId="0" fontId="2" fillId="36" borderId="1" applyNumberFormat="0" applyBorder="0" applyAlignment="0" applyProtection="0"/>
    <xf numFmtId="0" fontId="2" fillId="0" borderId="1"/>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0" borderId="1"/>
    <xf numFmtId="0" fontId="2" fillId="0" borderId="1"/>
    <xf numFmtId="0" fontId="2" fillId="0" borderId="1"/>
    <xf numFmtId="0" fontId="2" fillId="0" borderId="1"/>
    <xf numFmtId="0" fontId="2" fillId="13" borderId="83" applyNumberFormat="0" applyFont="0" applyAlignment="0" applyProtection="0"/>
    <xf numFmtId="0" fontId="2" fillId="13" borderId="83" applyNumberFormat="0" applyFont="0" applyAlignment="0" applyProtection="0"/>
    <xf numFmtId="9" fontId="2" fillId="0" borderId="1" applyFont="0" applyFill="0" applyBorder="0" applyAlignment="0" applyProtection="0"/>
    <xf numFmtId="9" fontId="2" fillId="0" borderId="1" applyFont="0" applyFill="0" applyBorder="0" applyAlignment="0" applyProtection="0"/>
    <xf numFmtId="0" fontId="2" fillId="0" borderId="1"/>
    <xf numFmtId="0" fontId="2" fillId="15" borderId="1" applyNumberFormat="0" applyBorder="0" applyAlignment="0" applyProtection="0"/>
    <xf numFmtId="0" fontId="2" fillId="19" borderId="1" applyNumberFormat="0" applyBorder="0" applyAlignment="0" applyProtection="0"/>
    <xf numFmtId="0" fontId="2" fillId="23" borderId="1" applyNumberFormat="0" applyBorder="0" applyAlignment="0" applyProtection="0"/>
    <xf numFmtId="0" fontId="2" fillId="27" borderId="1" applyNumberFormat="0" applyBorder="0" applyAlignment="0" applyProtection="0"/>
    <xf numFmtId="0" fontId="2" fillId="31" borderId="1" applyNumberFormat="0" applyBorder="0" applyAlignment="0" applyProtection="0"/>
    <xf numFmtId="0" fontId="2" fillId="35" borderId="1" applyNumberFormat="0" applyBorder="0" applyAlignment="0" applyProtection="0"/>
    <xf numFmtId="0" fontId="2" fillId="16" borderId="1" applyNumberFormat="0" applyBorder="0" applyAlignment="0" applyProtection="0"/>
    <xf numFmtId="0" fontId="2" fillId="20" borderId="1" applyNumberFormat="0" applyBorder="0" applyAlignment="0" applyProtection="0"/>
    <xf numFmtId="0" fontId="2" fillId="24" borderId="1" applyNumberFormat="0" applyBorder="0" applyAlignment="0" applyProtection="0"/>
    <xf numFmtId="0" fontId="2" fillId="28" borderId="1" applyNumberFormat="0" applyBorder="0" applyAlignment="0" applyProtection="0"/>
    <xf numFmtId="0" fontId="2" fillId="32" borderId="1" applyNumberFormat="0" applyBorder="0" applyAlignment="0" applyProtection="0"/>
    <xf numFmtId="0" fontId="2" fillId="36" borderId="1" applyNumberFormat="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0" borderId="1"/>
    <xf numFmtId="0" fontId="2" fillId="0" borderId="1"/>
    <xf numFmtId="0" fontId="2" fillId="0" borderId="1"/>
    <xf numFmtId="0" fontId="2" fillId="0" borderId="1"/>
    <xf numFmtId="0" fontId="2" fillId="13" borderId="83" applyNumberFormat="0" applyFont="0" applyAlignment="0" applyProtection="0"/>
    <xf numFmtId="0" fontId="2" fillId="13" borderId="83" applyNumberFormat="0" applyFont="0" applyAlignment="0" applyProtection="0"/>
    <xf numFmtId="9" fontId="2" fillId="0" borderId="1" applyFont="0" applyFill="0" applyBorder="0" applyAlignment="0" applyProtection="0"/>
    <xf numFmtId="9" fontId="2" fillId="0" borderId="1" applyFont="0" applyFill="0" applyBorder="0" applyAlignment="0" applyProtection="0"/>
    <xf numFmtId="165" fontId="2" fillId="0" borderId="1" applyFont="0" applyFill="0" applyBorder="0" applyAlignment="0" applyProtection="0"/>
    <xf numFmtId="0" fontId="2" fillId="0" borderId="1"/>
    <xf numFmtId="0" fontId="2" fillId="15" borderId="1" applyNumberFormat="0" applyBorder="0" applyAlignment="0" applyProtection="0"/>
    <xf numFmtId="0" fontId="2" fillId="15"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0" borderId="1"/>
    <xf numFmtId="0" fontId="2" fillId="0" borderId="1"/>
    <xf numFmtId="0" fontId="2" fillId="0" borderId="1"/>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9"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0" borderId="1"/>
    <xf numFmtId="0" fontId="2" fillId="0" borderId="1"/>
    <xf numFmtId="0" fontId="2" fillId="0" borderId="1"/>
    <xf numFmtId="0" fontId="2" fillId="0" borderId="1"/>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0" borderId="1"/>
    <xf numFmtId="0" fontId="2" fillId="0" borderId="1"/>
    <xf numFmtId="0" fontId="2" fillId="0" borderId="1"/>
    <xf numFmtId="0" fontId="2" fillId="0" borderId="1"/>
    <xf numFmtId="0" fontId="2" fillId="13" borderId="83" applyNumberFormat="0" applyFont="0" applyAlignment="0" applyProtection="0"/>
    <xf numFmtId="9" fontId="2" fillId="0" borderId="1" applyFont="0" applyFill="0" applyBorder="0" applyAlignment="0" applyProtection="0"/>
    <xf numFmtId="9" fontId="2" fillId="0" borderId="1" applyFont="0" applyFill="0" applyBorder="0" applyAlignment="0" applyProtection="0"/>
    <xf numFmtId="0" fontId="2" fillId="0" borderId="1"/>
    <xf numFmtId="0" fontId="2" fillId="15" borderId="1" applyNumberFormat="0" applyBorder="0" applyAlignment="0" applyProtection="0"/>
    <xf numFmtId="0" fontId="2" fillId="16" borderId="1" applyNumberFormat="0" applyBorder="0" applyAlignment="0" applyProtection="0"/>
    <xf numFmtId="0" fontId="2" fillId="19" borderId="1" applyNumberFormat="0" applyBorder="0" applyAlignment="0" applyProtection="0"/>
    <xf numFmtId="0" fontId="2" fillId="20" borderId="1" applyNumberFormat="0" applyBorder="0" applyAlignment="0" applyProtection="0"/>
    <xf numFmtId="0" fontId="2" fillId="23" borderId="1" applyNumberFormat="0" applyBorder="0" applyAlignment="0" applyProtection="0"/>
    <xf numFmtId="0" fontId="2" fillId="24" borderId="1" applyNumberFormat="0" applyBorder="0" applyAlignment="0" applyProtection="0"/>
    <xf numFmtId="0" fontId="2" fillId="27" borderId="1" applyNumberFormat="0" applyBorder="0" applyAlignment="0" applyProtection="0"/>
    <xf numFmtId="0" fontId="2" fillId="28" borderId="1" applyNumberFormat="0" applyBorder="0" applyAlignment="0" applyProtection="0"/>
    <xf numFmtId="0" fontId="2" fillId="31" borderId="1" applyNumberFormat="0" applyBorder="0" applyAlignment="0" applyProtection="0"/>
    <xf numFmtId="0" fontId="2" fillId="32" borderId="1" applyNumberFormat="0" applyBorder="0" applyAlignment="0" applyProtection="0"/>
    <xf numFmtId="0" fontId="2" fillId="35" borderId="1" applyNumberFormat="0" applyBorder="0" applyAlignment="0" applyProtection="0"/>
    <xf numFmtId="0" fontId="2" fillId="36" borderId="1" applyNumberFormat="0" applyBorder="0" applyAlignment="0" applyProtection="0"/>
    <xf numFmtId="0" fontId="2" fillId="0" borderId="1"/>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0" borderId="1"/>
    <xf numFmtId="0" fontId="2" fillId="0" borderId="1"/>
    <xf numFmtId="0" fontId="2" fillId="0" borderId="1"/>
    <xf numFmtId="0" fontId="2" fillId="0" borderId="1"/>
    <xf numFmtId="0" fontId="2" fillId="13" borderId="83" applyNumberFormat="0" applyFont="0" applyAlignment="0" applyProtection="0"/>
    <xf numFmtId="0" fontId="2" fillId="13" borderId="83" applyNumberFormat="0" applyFont="0" applyAlignment="0" applyProtection="0"/>
    <xf numFmtId="9" fontId="2" fillId="0" borderId="1" applyFont="0" applyFill="0" applyBorder="0" applyAlignment="0" applyProtection="0"/>
    <xf numFmtId="9" fontId="2" fillId="0" borderId="1" applyFont="0" applyFill="0" applyBorder="0" applyAlignment="0" applyProtection="0"/>
    <xf numFmtId="0" fontId="2" fillId="0" borderId="1"/>
    <xf numFmtId="0" fontId="2" fillId="15" borderId="1" applyNumberFormat="0" applyBorder="0" applyAlignment="0" applyProtection="0"/>
    <xf numFmtId="0" fontId="2" fillId="19" borderId="1" applyNumberFormat="0" applyBorder="0" applyAlignment="0" applyProtection="0"/>
    <xf numFmtId="0" fontId="2" fillId="23" borderId="1" applyNumberFormat="0" applyBorder="0" applyAlignment="0" applyProtection="0"/>
    <xf numFmtId="0" fontId="2" fillId="27" borderId="1" applyNumberFormat="0" applyBorder="0" applyAlignment="0" applyProtection="0"/>
    <xf numFmtId="0" fontId="2" fillId="31" borderId="1" applyNumberFormat="0" applyBorder="0" applyAlignment="0" applyProtection="0"/>
    <xf numFmtId="0" fontId="2" fillId="35" borderId="1" applyNumberFormat="0" applyBorder="0" applyAlignment="0" applyProtection="0"/>
    <xf numFmtId="0" fontId="2" fillId="16" borderId="1" applyNumberFormat="0" applyBorder="0" applyAlignment="0" applyProtection="0"/>
    <xf numFmtId="0" fontId="2" fillId="20" borderId="1" applyNumberFormat="0" applyBorder="0" applyAlignment="0" applyProtection="0"/>
    <xf numFmtId="0" fontId="2" fillId="24" borderId="1" applyNumberFormat="0" applyBorder="0" applyAlignment="0" applyProtection="0"/>
    <xf numFmtId="0" fontId="2" fillId="28" borderId="1" applyNumberFormat="0" applyBorder="0" applyAlignment="0" applyProtection="0"/>
    <xf numFmtId="0" fontId="2" fillId="32" borderId="1" applyNumberFormat="0" applyBorder="0" applyAlignment="0" applyProtection="0"/>
    <xf numFmtId="0" fontId="2" fillId="36" borderId="1" applyNumberFormat="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0" borderId="1"/>
    <xf numFmtId="0" fontId="2" fillId="0" borderId="1"/>
    <xf numFmtId="0" fontId="2" fillId="0" borderId="1"/>
    <xf numFmtId="0" fontId="2" fillId="0" borderId="1"/>
    <xf numFmtId="0" fontId="2" fillId="13" borderId="83" applyNumberFormat="0" applyFont="0" applyAlignment="0" applyProtection="0"/>
    <xf numFmtId="0" fontId="2" fillId="13" borderId="83" applyNumberFormat="0" applyFont="0" applyAlignment="0" applyProtection="0"/>
    <xf numFmtId="9" fontId="2" fillId="0" borderId="1" applyFont="0" applyFill="0" applyBorder="0" applyAlignment="0" applyProtection="0"/>
    <xf numFmtId="9"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15" borderId="1" applyNumberFormat="0" applyBorder="0" applyAlignment="0" applyProtection="0"/>
    <xf numFmtId="0" fontId="2" fillId="16" borderId="1" applyNumberFormat="0" applyBorder="0" applyAlignment="0" applyProtection="0"/>
    <xf numFmtId="0" fontId="2" fillId="19" borderId="1" applyNumberFormat="0" applyBorder="0" applyAlignment="0" applyProtection="0"/>
    <xf numFmtId="0" fontId="2" fillId="20" borderId="1" applyNumberFormat="0" applyBorder="0" applyAlignment="0" applyProtection="0"/>
    <xf numFmtId="0" fontId="2" fillId="23" borderId="1" applyNumberFormat="0" applyBorder="0" applyAlignment="0" applyProtection="0"/>
    <xf numFmtId="0" fontId="2" fillId="24" borderId="1" applyNumberFormat="0" applyBorder="0" applyAlignment="0" applyProtection="0"/>
    <xf numFmtId="0" fontId="2" fillId="27" borderId="1" applyNumberFormat="0" applyBorder="0" applyAlignment="0" applyProtection="0"/>
    <xf numFmtId="0" fontId="2" fillId="28" borderId="1" applyNumberFormat="0" applyBorder="0" applyAlignment="0" applyProtection="0"/>
    <xf numFmtId="0" fontId="2" fillId="31" borderId="1" applyNumberFormat="0" applyBorder="0" applyAlignment="0" applyProtection="0"/>
    <xf numFmtId="0" fontId="2" fillId="32" borderId="1" applyNumberFormat="0" applyBorder="0" applyAlignment="0" applyProtection="0"/>
    <xf numFmtId="0" fontId="2" fillId="35" borderId="1" applyNumberFormat="0" applyBorder="0" applyAlignment="0" applyProtection="0"/>
    <xf numFmtId="0" fontId="2" fillId="36" borderId="1" applyNumberFormat="0" applyBorder="0" applyAlignment="0" applyProtection="0"/>
    <xf numFmtId="0" fontId="2" fillId="0" borderId="1"/>
    <xf numFmtId="0" fontId="2" fillId="0" borderId="1"/>
    <xf numFmtId="165" fontId="2" fillId="0" borderId="1" applyFont="0" applyFill="0" applyBorder="0" applyAlignment="0" applyProtection="0"/>
    <xf numFmtId="0" fontId="2" fillId="0" borderId="1"/>
    <xf numFmtId="9" fontId="2" fillId="0" borderId="1" applyFont="0" applyFill="0" applyBorder="0" applyAlignment="0" applyProtection="0"/>
    <xf numFmtId="0" fontId="2" fillId="13" borderId="83" applyNumberFormat="0" applyFont="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0" borderId="1"/>
    <xf numFmtId="0" fontId="2" fillId="0" borderId="1"/>
    <xf numFmtId="0" fontId="2" fillId="0" borderId="1"/>
    <xf numFmtId="0" fontId="2" fillId="0" borderId="1"/>
    <xf numFmtId="0" fontId="2" fillId="15" borderId="1" applyNumberFormat="0" applyBorder="0" applyAlignment="0" applyProtection="0"/>
    <xf numFmtId="0" fontId="2" fillId="19" borderId="1" applyNumberFormat="0" applyBorder="0" applyAlignment="0" applyProtection="0"/>
    <xf numFmtId="0" fontId="2" fillId="23" borderId="1" applyNumberFormat="0" applyBorder="0" applyAlignment="0" applyProtection="0"/>
    <xf numFmtId="0" fontId="2" fillId="27" borderId="1" applyNumberFormat="0" applyBorder="0" applyAlignment="0" applyProtection="0"/>
    <xf numFmtId="0" fontId="2" fillId="31" borderId="1" applyNumberFormat="0" applyBorder="0" applyAlignment="0" applyProtection="0"/>
    <xf numFmtId="0" fontId="2" fillId="35" borderId="1" applyNumberFormat="0" applyBorder="0" applyAlignment="0" applyProtection="0"/>
    <xf numFmtId="0" fontId="2" fillId="16" borderId="1" applyNumberFormat="0" applyBorder="0" applyAlignment="0" applyProtection="0"/>
    <xf numFmtId="0" fontId="2" fillId="20" borderId="1" applyNumberFormat="0" applyBorder="0" applyAlignment="0" applyProtection="0"/>
    <xf numFmtId="0" fontId="2" fillId="24" borderId="1" applyNumberFormat="0" applyBorder="0" applyAlignment="0" applyProtection="0"/>
    <xf numFmtId="0" fontId="2" fillId="28" borderId="1" applyNumberFormat="0" applyBorder="0" applyAlignment="0" applyProtection="0"/>
    <xf numFmtId="0" fontId="2" fillId="32" borderId="1" applyNumberFormat="0" applyBorder="0" applyAlignment="0" applyProtection="0"/>
    <xf numFmtId="0" fontId="2" fillId="36" borderId="1" applyNumberFormat="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0" borderId="1"/>
    <xf numFmtId="0" fontId="2" fillId="0" borderId="1"/>
    <xf numFmtId="0" fontId="2" fillId="0" borderId="1"/>
    <xf numFmtId="0" fontId="2" fillId="0" borderId="1"/>
    <xf numFmtId="0" fontId="2" fillId="13" borderId="83" applyNumberFormat="0" applyFont="0" applyAlignment="0" applyProtection="0"/>
    <xf numFmtId="0" fontId="2" fillId="13" borderId="83" applyNumberFormat="0" applyFont="0" applyAlignment="0" applyProtection="0"/>
    <xf numFmtId="9" fontId="2" fillId="0" borderId="1" applyFont="0" applyFill="0" applyBorder="0" applyAlignment="0" applyProtection="0"/>
    <xf numFmtId="9"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15" borderId="1" applyNumberFormat="0" applyBorder="0" applyAlignment="0" applyProtection="0"/>
    <xf numFmtId="0" fontId="2" fillId="16" borderId="1" applyNumberFormat="0" applyBorder="0" applyAlignment="0" applyProtection="0"/>
    <xf numFmtId="0" fontId="2" fillId="19" borderId="1" applyNumberFormat="0" applyBorder="0" applyAlignment="0" applyProtection="0"/>
    <xf numFmtId="0" fontId="2" fillId="20" borderId="1" applyNumberFormat="0" applyBorder="0" applyAlignment="0" applyProtection="0"/>
    <xf numFmtId="0" fontId="2" fillId="23" borderId="1" applyNumberFormat="0" applyBorder="0" applyAlignment="0" applyProtection="0"/>
    <xf numFmtId="0" fontId="2" fillId="24" borderId="1" applyNumberFormat="0" applyBorder="0" applyAlignment="0" applyProtection="0"/>
    <xf numFmtId="0" fontId="2" fillId="27" borderId="1" applyNumberFormat="0" applyBorder="0" applyAlignment="0" applyProtection="0"/>
    <xf numFmtId="0" fontId="2" fillId="28" borderId="1" applyNumberFormat="0" applyBorder="0" applyAlignment="0" applyProtection="0"/>
    <xf numFmtId="0" fontId="2" fillId="31" borderId="1" applyNumberFormat="0" applyBorder="0" applyAlignment="0" applyProtection="0"/>
    <xf numFmtId="0" fontId="2" fillId="32" borderId="1" applyNumberFormat="0" applyBorder="0" applyAlignment="0" applyProtection="0"/>
    <xf numFmtId="0" fontId="2" fillId="35" borderId="1" applyNumberFormat="0" applyBorder="0" applyAlignment="0" applyProtection="0"/>
    <xf numFmtId="0" fontId="2" fillId="36" borderId="1" applyNumberFormat="0" applyBorder="0" applyAlignment="0" applyProtection="0"/>
    <xf numFmtId="0" fontId="2" fillId="0" borderId="1"/>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0" borderId="1"/>
    <xf numFmtId="0" fontId="2" fillId="0" borderId="1"/>
    <xf numFmtId="0" fontId="2" fillId="0" borderId="1"/>
    <xf numFmtId="0" fontId="2" fillId="0" borderId="1"/>
    <xf numFmtId="0" fontId="2" fillId="13" borderId="83" applyNumberFormat="0" applyFont="0" applyAlignment="0" applyProtection="0"/>
    <xf numFmtId="0" fontId="2" fillId="13" borderId="83" applyNumberFormat="0" applyFont="0" applyAlignment="0" applyProtection="0"/>
    <xf numFmtId="9" fontId="2" fillId="0" borderId="1" applyFont="0" applyFill="0" applyBorder="0" applyAlignment="0" applyProtection="0"/>
    <xf numFmtId="9" fontId="2" fillId="0" borderId="1" applyFont="0" applyFill="0" applyBorder="0" applyAlignment="0" applyProtection="0"/>
    <xf numFmtId="0" fontId="2" fillId="0" borderId="1"/>
    <xf numFmtId="0" fontId="2" fillId="15" borderId="1" applyNumberFormat="0" applyBorder="0" applyAlignment="0" applyProtection="0"/>
    <xf numFmtId="0" fontId="2" fillId="19" borderId="1" applyNumberFormat="0" applyBorder="0" applyAlignment="0" applyProtection="0"/>
    <xf numFmtId="0" fontId="2" fillId="23" borderId="1" applyNumberFormat="0" applyBorder="0" applyAlignment="0" applyProtection="0"/>
    <xf numFmtId="0" fontId="2" fillId="27" borderId="1" applyNumberFormat="0" applyBorder="0" applyAlignment="0" applyProtection="0"/>
    <xf numFmtId="0" fontId="2" fillId="31" borderId="1" applyNumberFormat="0" applyBorder="0" applyAlignment="0" applyProtection="0"/>
    <xf numFmtId="0" fontId="2" fillId="35" borderId="1" applyNumberFormat="0" applyBorder="0" applyAlignment="0" applyProtection="0"/>
    <xf numFmtId="0" fontId="2" fillId="16" borderId="1" applyNumberFormat="0" applyBorder="0" applyAlignment="0" applyProtection="0"/>
    <xf numFmtId="0" fontId="2" fillId="20" borderId="1" applyNumberFormat="0" applyBorder="0" applyAlignment="0" applyProtection="0"/>
    <xf numFmtId="0" fontId="2" fillId="24" borderId="1" applyNumberFormat="0" applyBorder="0" applyAlignment="0" applyProtection="0"/>
    <xf numFmtId="0" fontId="2" fillId="28" borderId="1" applyNumberFormat="0" applyBorder="0" applyAlignment="0" applyProtection="0"/>
    <xf numFmtId="0" fontId="2" fillId="32" borderId="1" applyNumberFormat="0" applyBorder="0" applyAlignment="0" applyProtection="0"/>
    <xf numFmtId="0" fontId="2" fillId="36" borderId="1" applyNumberFormat="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0" borderId="1"/>
    <xf numFmtId="0" fontId="2" fillId="0" borderId="1"/>
    <xf numFmtId="0" fontId="2" fillId="0" borderId="1"/>
    <xf numFmtId="0" fontId="2" fillId="0" borderId="1"/>
    <xf numFmtId="0" fontId="2" fillId="13" borderId="83" applyNumberFormat="0" applyFont="0" applyAlignment="0" applyProtection="0"/>
    <xf numFmtId="0" fontId="2" fillId="13" borderId="83" applyNumberFormat="0" applyFont="0" applyAlignment="0" applyProtection="0"/>
    <xf numFmtId="9" fontId="2" fillId="0" borderId="1" applyFont="0" applyFill="0" applyBorder="0" applyAlignment="0" applyProtection="0"/>
    <xf numFmtId="9"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15" borderId="1" applyNumberFormat="0" applyBorder="0" applyAlignment="0" applyProtection="0"/>
    <xf numFmtId="0" fontId="2" fillId="15"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0" borderId="1"/>
    <xf numFmtId="0" fontId="2" fillId="0" borderId="1"/>
    <xf numFmtId="0" fontId="2" fillId="0" borderId="1"/>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9"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0" borderId="1"/>
    <xf numFmtId="0" fontId="2" fillId="0" borderId="1"/>
    <xf numFmtId="0" fontId="2" fillId="0" borderId="1"/>
    <xf numFmtId="0" fontId="2" fillId="0" borderId="1"/>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0" borderId="1"/>
    <xf numFmtId="0" fontId="2" fillId="0" borderId="1"/>
    <xf numFmtId="0" fontId="2" fillId="0" borderId="1"/>
    <xf numFmtId="0" fontId="2" fillId="0" borderId="1"/>
    <xf numFmtId="0" fontId="2" fillId="13" borderId="83" applyNumberFormat="0" applyFont="0" applyAlignment="0" applyProtection="0"/>
    <xf numFmtId="9" fontId="2" fillId="0" borderId="1" applyFont="0" applyFill="0" applyBorder="0" applyAlignment="0" applyProtection="0"/>
    <xf numFmtId="9"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15" borderId="1" applyNumberFormat="0" applyBorder="0" applyAlignment="0" applyProtection="0"/>
    <xf numFmtId="0" fontId="2" fillId="16" borderId="1" applyNumberFormat="0" applyBorder="0" applyAlignment="0" applyProtection="0"/>
    <xf numFmtId="0" fontId="2" fillId="19" borderId="1" applyNumberFormat="0" applyBorder="0" applyAlignment="0" applyProtection="0"/>
    <xf numFmtId="0" fontId="2" fillId="20" borderId="1" applyNumberFormat="0" applyBorder="0" applyAlignment="0" applyProtection="0"/>
    <xf numFmtId="0" fontId="2" fillId="23" borderId="1" applyNumberFormat="0" applyBorder="0" applyAlignment="0" applyProtection="0"/>
    <xf numFmtId="0" fontId="2" fillId="24" borderId="1" applyNumberFormat="0" applyBorder="0" applyAlignment="0" applyProtection="0"/>
    <xf numFmtId="0" fontId="2" fillId="27" borderId="1" applyNumberFormat="0" applyBorder="0" applyAlignment="0" applyProtection="0"/>
    <xf numFmtId="0" fontId="2" fillId="28" borderId="1" applyNumberFormat="0" applyBorder="0" applyAlignment="0" applyProtection="0"/>
    <xf numFmtId="0" fontId="2" fillId="31" borderId="1" applyNumberFormat="0" applyBorder="0" applyAlignment="0" applyProtection="0"/>
    <xf numFmtId="0" fontId="2" fillId="32" borderId="1" applyNumberFormat="0" applyBorder="0" applyAlignment="0" applyProtection="0"/>
    <xf numFmtId="0" fontId="2" fillId="35" borderId="1" applyNumberFormat="0" applyBorder="0" applyAlignment="0" applyProtection="0"/>
    <xf numFmtId="0" fontId="2" fillId="36" borderId="1" applyNumberFormat="0" applyBorder="0" applyAlignment="0" applyProtection="0"/>
    <xf numFmtId="0" fontId="2" fillId="0" borderId="1"/>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0" borderId="1"/>
    <xf numFmtId="0" fontId="2" fillId="0" borderId="1"/>
    <xf numFmtId="0" fontId="2" fillId="0" borderId="1"/>
    <xf numFmtId="0" fontId="2" fillId="0" borderId="1"/>
    <xf numFmtId="0" fontId="2" fillId="13" borderId="83" applyNumberFormat="0" applyFont="0" applyAlignment="0" applyProtection="0"/>
    <xf numFmtId="0" fontId="2" fillId="13" borderId="83" applyNumberFormat="0" applyFont="0" applyAlignment="0" applyProtection="0"/>
    <xf numFmtId="9" fontId="2" fillId="0" borderId="1" applyFont="0" applyFill="0" applyBorder="0" applyAlignment="0" applyProtection="0"/>
    <xf numFmtId="9" fontId="2" fillId="0" borderId="1" applyFont="0" applyFill="0" applyBorder="0" applyAlignment="0" applyProtection="0"/>
    <xf numFmtId="0" fontId="2" fillId="0" borderId="1"/>
    <xf numFmtId="0" fontId="2" fillId="15" borderId="1" applyNumberFormat="0" applyBorder="0" applyAlignment="0" applyProtection="0"/>
    <xf numFmtId="0" fontId="2" fillId="19" borderId="1" applyNumberFormat="0" applyBorder="0" applyAlignment="0" applyProtection="0"/>
    <xf numFmtId="0" fontId="2" fillId="23" borderId="1" applyNumberFormat="0" applyBorder="0" applyAlignment="0" applyProtection="0"/>
    <xf numFmtId="0" fontId="2" fillId="27" borderId="1" applyNumberFormat="0" applyBorder="0" applyAlignment="0" applyProtection="0"/>
    <xf numFmtId="0" fontId="2" fillId="31" borderId="1" applyNumberFormat="0" applyBorder="0" applyAlignment="0" applyProtection="0"/>
    <xf numFmtId="0" fontId="2" fillId="35" borderId="1" applyNumberFormat="0" applyBorder="0" applyAlignment="0" applyProtection="0"/>
    <xf numFmtId="0" fontId="2" fillId="16" borderId="1" applyNumberFormat="0" applyBorder="0" applyAlignment="0" applyProtection="0"/>
    <xf numFmtId="0" fontId="2" fillId="20" borderId="1" applyNumberFormat="0" applyBorder="0" applyAlignment="0" applyProtection="0"/>
    <xf numFmtId="0" fontId="2" fillId="24" borderId="1" applyNumberFormat="0" applyBorder="0" applyAlignment="0" applyProtection="0"/>
    <xf numFmtId="0" fontId="2" fillId="28" borderId="1" applyNumberFormat="0" applyBorder="0" applyAlignment="0" applyProtection="0"/>
    <xf numFmtId="0" fontId="2" fillId="32" borderId="1" applyNumberFormat="0" applyBorder="0" applyAlignment="0" applyProtection="0"/>
    <xf numFmtId="0" fontId="2" fillId="36" borderId="1" applyNumberFormat="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0" borderId="1"/>
    <xf numFmtId="0" fontId="2" fillId="0" borderId="1"/>
    <xf numFmtId="0" fontId="2" fillId="0" borderId="1"/>
    <xf numFmtId="0" fontId="2" fillId="0" borderId="1"/>
    <xf numFmtId="0" fontId="2" fillId="13" borderId="83" applyNumberFormat="0" applyFont="0" applyAlignment="0" applyProtection="0"/>
    <xf numFmtId="0" fontId="2" fillId="13" borderId="83" applyNumberFormat="0" applyFont="0" applyAlignment="0" applyProtection="0"/>
    <xf numFmtId="9" fontId="2" fillId="0" borderId="1" applyFont="0" applyFill="0" applyBorder="0" applyAlignment="0" applyProtection="0"/>
    <xf numFmtId="9"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15" borderId="1" applyNumberFormat="0" applyBorder="0" applyAlignment="0" applyProtection="0"/>
    <xf numFmtId="0" fontId="2" fillId="16" borderId="1" applyNumberFormat="0" applyBorder="0" applyAlignment="0" applyProtection="0"/>
    <xf numFmtId="0" fontId="2" fillId="19" borderId="1" applyNumberFormat="0" applyBorder="0" applyAlignment="0" applyProtection="0"/>
    <xf numFmtId="0" fontId="2" fillId="20" borderId="1" applyNumberFormat="0" applyBorder="0" applyAlignment="0" applyProtection="0"/>
    <xf numFmtId="0" fontId="2" fillId="23" borderId="1" applyNumberFormat="0" applyBorder="0" applyAlignment="0" applyProtection="0"/>
    <xf numFmtId="0" fontId="2" fillId="24" borderId="1" applyNumberFormat="0" applyBorder="0" applyAlignment="0" applyProtection="0"/>
    <xf numFmtId="0" fontId="2" fillId="27" borderId="1" applyNumberFormat="0" applyBorder="0" applyAlignment="0" applyProtection="0"/>
    <xf numFmtId="0" fontId="2" fillId="28" borderId="1" applyNumberFormat="0" applyBorder="0" applyAlignment="0" applyProtection="0"/>
    <xf numFmtId="0" fontId="2" fillId="31" borderId="1" applyNumberFormat="0" applyBorder="0" applyAlignment="0" applyProtection="0"/>
    <xf numFmtId="0" fontId="2" fillId="32" borderId="1" applyNumberFormat="0" applyBorder="0" applyAlignment="0" applyProtection="0"/>
    <xf numFmtId="0" fontId="2" fillId="35" borderId="1" applyNumberFormat="0" applyBorder="0" applyAlignment="0" applyProtection="0"/>
    <xf numFmtId="0" fontId="2" fillId="36" borderId="1" applyNumberFormat="0" applyBorder="0" applyAlignment="0" applyProtection="0"/>
    <xf numFmtId="0" fontId="2" fillId="0" borderId="1"/>
    <xf numFmtId="0" fontId="2" fillId="0" borderId="1"/>
    <xf numFmtId="165" fontId="2" fillId="0" borderId="1" applyFont="0" applyFill="0" applyBorder="0" applyAlignment="0" applyProtection="0"/>
    <xf numFmtId="0" fontId="2" fillId="0" borderId="1"/>
    <xf numFmtId="165" fontId="2" fillId="0" borderId="1" applyFont="0" applyFill="0" applyBorder="0" applyAlignment="0" applyProtection="0"/>
    <xf numFmtId="9" fontId="2" fillId="0" borderId="1" applyFont="0" applyFill="0" applyBorder="0" applyAlignment="0" applyProtection="0"/>
    <xf numFmtId="0" fontId="2" fillId="13" borderId="83" applyNumberFormat="0" applyFont="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0" borderId="1"/>
    <xf numFmtId="0" fontId="2" fillId="0" borderId="1"/>
    <xf numFmtId="0" fontId="2" fillId="0" borderId="1"/>
    <xf numFmtId="0" fontId="2" fillId="0" borderId="1"/>
    <xf numFmtId="0" fontId="2" fillId="15" borderId="1" applyNumberFormat="0" applyBorder="0" applyAlignment="0" applyProtection="0"/>
    <xf numFmtId="0" fontId="2" fillId="19" borderId="1" applyNumberFormat="0" applyBorder="0" applyAlignment="0" applyProtection="0"/>
    <xf numFmtId="0" fontId="2" fillId="23" borderId="1" applyNumberFormat="0" applyBorder="0" applyAlignment="0" applyProtection="0"/>
    <xf numFmtId="0" fontId="2" fillId="27" borderId="1" applyNumberFormat="0" applyBorder="0" applyAlignment="0" applyProtection="0"/>
    <xf numFmtId="0" fontId="2" fillId="31" borderId="1" applyNumberFormat="0" applyBorder="0" applyAlignment="0" applyProtection="0"/>
    <xf numFmtId="0" fontId="2" fillId="35" borderId="1" applyNumberFormat="0" applyBorder="0" applyAlignment="0" applyProtection="0"/>
    <xf numFmtId="0" fontId="2" fillId="16" borderId="1" applyNumberFormat="0" applyBorder="0" applyAlignment="0" applyProtection="0"/>
    <xf numFmtId="0" fontId="2" fillId="20" borderId="1" applyNumberFormat="0" applyBorder="0" applyAlignment="0" applyProtection="0"/>
    <xf numFmtId="0" fontId="2" fillId="24" borderId="1" applyNumberFormat="0" applyBorder="0" applyAlignment="0" applyProtection="0"/>
    <xf numFmtId="0" fontId="2" fillId="28" borderId="1" applyNumberFormat="0" applyBorder="0" applyAlignment="0" applyProtection="0"/>
    <xf numFmtId="0" fontId="2" fillId="32" borderId="1" applyNumberFormat="0" applyBorder="0" applyAlignment="0" applyProtection="0"/>
    <xf numFmtId="0" fontId="2" fillId="36" borderId="1" applyNumberFormat="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0" borderId="1"/>
    <xf numFmtId="0" fontId="2" fillId="0" borderId="1"/>
    <xf numFmtId="0" fontId="2" fillId="0" borderId="1"/>
    <xf numFmtId="0" fontId="2" fillId="0" borderId="1"/>
    <xf numFmtId="0" fontId="2" fillId="13" borderId="83" applyNumberFormat="0" applyFont="0" applyAlignment="0" applyProtection="0"/>
    <xf numFmtId="0" fontId="2" fillId="13" borderId="83" applyNumberFormat="0" applyFont="0" applyAlignment="0" applyProtection="0"/>
    <xf numFmtId="9" fontId="2" fillId="0" borderId="1" applyFont="0" applyFill="0" applyBorder="0" applyAlignment="0" applyProtection="0"/>
    <xf numFmtId="9"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15" borderId="1" applyNumberFormat="0" applyBorder="0" applyAlignment="0" applyProtection="0"/>
    <xf numFmtId="0" fontId="2" fillId="16" borderId="1" applyNumberFormat="0" applyBorder="0" applyAlignment="0" applyProtection="0"/>
    <xf numFmtId="0" fontId="2" fillId="19" borderId="1" applyNumberFormat="0" applyBorder="0" applyAlignment="0" applyProtection="0"/>
    <xf numFmtId="0" fontId="2" fillId="20" borderId="1" applyNumberFormat="0" applyBorder="0" applyAlignment="0" applyProtection="0"/>
    <xf numFmtId="0" fontId="2" fillId="23" borderId="1" applyNumberFormat="0" applyBorder="0" applyAlignment="0" applyProtection="0"/>
    <xf numFmtId="0" fontId="2" fillId="24" borderId="1" applyNumberFormat="0" applyBorder="0" applyAlignment="0" applyProtection="0"/>
    <xf numFmtId="0" fontId="2" fillId="27" borderId="1" applyNumberFormat="0" applyBorder="0" applyAlignment="0" applyProtection="0"/>
    <xf numFmtId="0" fontId="2" fillId="28" borderId="1" applyNumberFormat="0" applyBorder="0" applyAlignment="0" applyProtection="0"/>
    <xf numFmtId="0" fontId="2" fillId="31" borderId="1" applyNumberFormat="0" applyBorder="0" applyAlignment="0" applyProtection="0"/>
    <xf numFmtId="0" fontId="2" fillId="32" borderId="1" applyNumberFormat="0" applyBorder="0" applyAlignment="0" applyProtection="0"/>
    <xf numFmtId="0" fontId="2" fillId="35" borderId="1" applyNumberFormat="0" applyBorder="0" applyAlignment="0" applyProtection="0"/>
    <xf numFmtId="0" fontId="2" fillId="36" borderId="1" applyNumberFormat="0" applyBorder="0" applyAlignment="0" applyProtection="0"/>
    <xf numFmtId="0" fontId="2" fillId="0" borderId="1"/>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0" borderId="1"/>
    <xf numFmtId="0" fontId="2" fillId="0" borderId="1"/>
    <xf numFmtId="0" fontId="2" fillId="0" borderId="1"/>
    <xf numFmtId="0" fontId="2" fillId="0" borderId="1"/>
    <xf numFmtId="0" fontId="2" fillId="13" borderId="83" applyNumberFormat="0" applyFont="0" applyAlignment="0" applyProtection="0"/>
    <xf numFmtId="0" fontId="2" fillId="13" borderId="83" applyNumberFormat="0" applyFont="0" applyAlignment="0" applyProtection="0"/>
    <xf numFmtId="9" fontId="2" fillId="0" borderId="1" applyFont="0" applyFill="0" applyBorder="0" applyAlignment="0" applyProtection="0"/>
    <xf numFmtId="9" fontId="2" fillId="0" borderId="1" applyFont="0" applyFill="0" applyBorder="0" applyAlignment="0" applyProtection="0"/>
    <xf numFmtId="0" fontId="2" fillId="0" borderId="1"/>
    <xf numFmtId="0" fontId="2" fillId="15" borderId="1" applyNumberFormat="0" applyBorder="0" applyAlignment="0" applyProtection="0"/>
    <xf numFmtId="0" fontId="2" fillId="19" borderId="1" applyNumberFormat="0" applyBorder="0" applyAlignment="0" applyProtection="0"/>
    <xf numFmtId="0" fontId="2" fillId="23" borderId="1" applyNumberFormat="0" applyBorder="0" applyAlignment="0" applyProtection="0"/>
    <xf numFmtId="0" fontId="2" fillId="27" borderId="1" applyNumberFormat="0" applyBorder="0" applyAlignment="0" applyProtection="0"/>
    <xf numFmtId="0" fontId="2" fillId="31" borderId="1" applyNumberFormat="0" applyBorder="0" applyAlignment="0" applyProtection="0"/>
    <xf numFmtId="0" fontId="2" fillId="35" borderId="1" applyNumberFormat="0" applyBorder="0" applyAlignment="0" applyProtection="0"/>
    <xf numFmtId="0" fontId="2" fillId="16" borderId="1" applyNumberFormat="0" applyBorder="0" applyAlignment="0" applyProtection="0"/>
    <xf numFmtId="0" fontId="2" fillId="20" borderId="1" applyNumberFormat="0" applyBorder="0" applyAlignment="0" applyProtection="0"/>
    <xf numFmtId="0" fontId="2" fillId="24" borderId="1" applyNumberFormat="0" applyBorder="0" applyAlignment="0" applyProtection="0"/>
    <xf numFmtId="0" fontId="2" fillId="28" borderId="1" applyNumberFormat="0" applyBorder="0" applyAlignment="0" applyProtection="0"/>
    <xf numFmtId="0" fontId="2" fillId="32" borderId="1" applyNumberFormat="0" applyBorder="0" applyAlignment="0" applyProtection="0"/>
    <xf numFmtId="0" fontId="2" fillId="36" borderId="1" applyNumberFormat="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0" borderId="1"/>
    <xf numFmtId="0" fontId="2" fillId="0" borderId="1"/>
    <xf numFmtId="0" fontId="2" fillId="0" borderId="1"/>
    <xf numFmtId="0" fontId="2" fillId="0" borderId="1"/>
    <xf numFmtId="0" fontId="2" fillId="13" borderId="83" applyNumberFormat="0" applyFont="0" applyAlignment="0" applyProtection="0"/>
    <xf numFmtId="0" fontId="2" fillId="13" borderId="83" applyNumberFormat="0" applyFont="0" applyAlignment="0" applyProtection="0"/>
    <xf numFmtId="9" fontId="2" fillId="0" borderId="1" applyFont="0" applyFill="0" applyBorder="0" applyAlignment="0" applyProtection="0"/>
    <xf numFmtId="9" fontId="2" fillId="0" borderId="1" applyFont="0" applyFill="0" applyBorder="0" applyAlignment="0" applyProtection="0"/>
    <xf numFmtId="165" fontId="2" fillId="0" borderId="1" applyFont="0" applyFill="0" applyBorder="0" applyAlignment="0" applyProtection="0"/>
    <xf numFmtId="0" fontId="2" fillId="0" borderId="1"/>
    <xf numFmtId="0" fontId="2" fillId="15" borderId="1" applyNumberFormat="0" applyBorder="0" applyAlignment="0" applyProtection="0"/>
    <xf numFmtId="0" fontId="2" fillId="15"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0" borderId="1"/>
    <xf numFmtId="0" fontId="2" fillId="0" borderId="1"/>
    <xf numFmtId="0" fontId="2" fillId="0" borderId="1"/>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9"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0" borderId="1"/>
    <xf numFmtId="0" fontId="2" fillId="0" borderId="1"/>
    <xf numFmtId="0" fontId="2" fillId="0" borderId="1"/>
    <xf numFmtId="0" fontId="2" fillId="0" borderId="1"/>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0" borderId="1"/>
    <xf numFmtId="0" fontId="2" fillId="0" borderId="1"/>
    <xf numFmtId="0" fontId="2" fillId="0" borderId="1"/>
    <xf numFmtId="0" fontId="2" fillId="0" borderId="1"/>
    <xf numFmtId="0" fontId="2" fillId="13" borderId="83" applyNumberFormat="0" applyFont="0" applyAlignment="0" applyProtection="0"/>
    <xf numFmtId="9" fontId="2" fillId="0" borderId="1" applyFont="0" applyFill="0" applyBorder="0" applyAlignment="0" applyProtection="0"/>
    <xf numFmtId="9" fontId="2" fillId="0" borderId="1" applyFont="0" applyFill="0" applyBorder="0" applyAlignment="0" applyProtection="0"/>
    <xf numFmtId="0" fontId="2" fillId="0" borderId="1"/>
    <xf numFmtId="0" fontId="2" fillId="15" borderId="1" applyNumberFormat="0" applyBorder="0" applyAlignment="0" applyProtection="0"/>
    <xf numFmtId="0" fontId="2" fillId="16" borderId="1" applyNumberFormat="0" applyBorder="0" applyAlignment="0" applyProtection="0"/>
    <xf numFmtId="0" fontId="2" fillId="19" borderId="1" applyNumberFormat="0" applyBorder="0" applyAlignment="0" applyProtection="0"/>
    <xf numFmtId="0" fontId="2" fillId="20" borderId="1" applyNumberFormat="0" applyBorder="0" applyAlignment="0" applyProtection="0"/>
    <xf numFmtId="0" fontId="2" fillId="23" borderId="1" applyNumberFormat="0" applyBorder="0" applyAlignment="0" applyProtection="0"/>
    <xf numFmtId="0" fontId="2" fillId="24" borderId="1" applyNumberFormat="0" applyBorder="0" applyAlignment="0" applyProtection="0"/>
    <xf numFmtId="0" fontId="2" fillId="27" borderId="1" applyNumberFormat="0" applyBorder="0" applyAlignment="0" applyProtection="0"/>
    <xf numFmtId="0" fontId="2" fillId="28" borderId="1" applyNumberFormat="0" applyBorder="0" applyAlignment="0" applyProtection="0"/>
    <xf numFmtId="0" fontId="2" fillId="31" borderId="1" applyNumberFormat="0" applyBorder="0" applyAlignment="0" applyProtection="0"/>
    <xf numFmtId="0" fontId="2" fillId="32" borderId="1" applyNumberFormat="0" applyBorder="0" applyAlignment="0" applyProtection="0"/>
    <xf numFmtId="0" fontId="2" fillId="35" borderId="1" applyNumberFormat="0" applyBorder="0" applyAlignment="0" applyProtection="0"/>
    <xf numFmtId="0" fontId="2" fillId="36" borderId="1" applyNumberFormat="0" applyBorder="0" applyAlignment="0" applyProtection="0"/>
    <xf numFmtId="0" fontId="2" fillId="0" borderId="1"/>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0" borderId="1"/>
    <xf numFmtId="0" fontId="2" fillId="0" borderId="1"/>
    <xf numFmtId="0" fontId="2" fillId="0" borderId="1"/>
    <xf numFmtId="0" fontId="2" fillId="0" borderId="1"/>
    <xf numFmtId="0" fontId="2" fillId="13" borderId="83" applyNumberFormat="0" applyFont="0" applyAlignment="0" applyProtection="0"/>
    <xf numFmtId="0" fontId="2" fillId="13" borderId="83" applyNumberFormat="0" applyFont="0" applyAlignment="0" applyProtection="0"/>
    <xf numFmtId="9" fontId="2" fillId="0" borderId="1" applyFont="0" applyFill="0" applyBorder="0" applyAlignment="0" applyProtection="0"/>
    <xf numFmtId="9" fontId="2" fillId="0" borderId="1" applyFont="0" applyFill="0" applyBorder="0" applyAlignment="0" applyProtection="0"/>
    <xf numFmtId="0" fontId="2" fillId="0" borderId="1"/>
    <xf numFmtId="0" fontId="2" fillId="15" borderId="1" applyNumberFormat="0" applyBorder="0" applyAlignment="0" applyProtection="0"/>
    <xf numFmtId="0" fontId="2" fillId="19" borderId="1" applyNumberFormat="0" applyBorder="0" applyAlignment="0" applyProtection="0"/>
    <xf numFmtId="0" fontId="2" fillId="23" borderId="1" applyNumberFormat="0" applyBorder="0" applyAlignment="0" applyProtection="0"/>
    <xf numFmtId="0" fontId="2" fillId="27" borderId="1" applyNumberFormat="0" applyBorder="0" applyAlignment="0" applyProtection="0"/>
    <xf numFmtId="0" fontId="2" fillId="31" borderId="1" applyNumberFormat="0" applyBorder="0" applyAlignment="0" applyProtection="0"/>
    <xf numFmtId="0" fontId="2" fillId="35" borderId="1" applyNumberFormat="0" applyBorder="0" applyAlignment="0" applyProtection="0"/>
    <xf numFmtId="0" fontId="2" fillId="16" borderId="1" applyNumberFormat="0" applyBorder="0" applyAlignment="0" applyProtection="0"/>
    <xf numFmtId="0" fontId="2" fillId="20" borderId="1" applyNumberFormat="0" applyBorder="0" applyAlignment="0" applyProtection="0"/>
    <xf numFmtId="0" fontId="2" fillId="24" borderId="1" applyNumberFormat="0" applyBorder="0" applyAlignment="0" applyProtection="0"/>
    <xf numFmtId="0" fontId="2" fillId="28" borderId="1" applyNumberFormat="0" applyBorder="0" applyAlignment="0" applyProtection="0"/>
    <xf numFmtId="0" fontId="2" fillId="32" borderId="1" applyNumberFormat="0" applyBorder="0" applyAlignment="0" applyProtection="0"/>
    <xf numFmtId="0" fontId="2" fillId="36" borderId="1" applyNumberFormat="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0" borderId="1"/>
    <xf numFmtId="0" fontId="2" fillId="0" borderId="1"/>
    <xf numFmtId="0" fontId="2" fillId="0" borderId="1"/>
    <xf numFmtId="0" fontId="2" fillId="0" borderId="1"/>
    <xf numFmtId="0" fontId="2" fillId="13" borderId="83" applyNumberFormat="0" applyFont="0" applyAlignment="0" applyProtection="0"/>
    <xf numFmtId="0" fontId="2" fillId="13" borderId="83" applyNumberFormat="0" applyFont="0" applyAlignment="0" applyProtection="0"/>
    <xf numFmtId="9" fontId="2" fillId="0" borderId="1" applyFont="0" applyFill="0" applyBorder="0" applyAlignment="0" applyProtection="0"/>
    <xf numFmtId="9"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15" borderId="1" applyNumberFormat="0" applyBorder="0" applyAlignment="0" applyProtection="0"/>
    <xf numFmtId="0" fontId="2" fillId="16" borderId="1" applyNumberFormat="0" applyBorder="0" applyAlignment="0" applyProtection="0"/>
    <xf numFmtId="0" fontId="2" fillId="19" borderId="1" applyNumberFormat="0" applyBorder="0" applyAlignment="0" applyProtection="0"/>
    <xf numFmtId="0" fontId="2" fillId="20" borderId="1" applyNumberFormat="0" applyBorder="0" applyAlignment="0" applyProtection="0"/>
    <xf numFmtId="0" fontId="2" fillId="23" borderId="1" applyNumberFormat="0" applyBorder="0" applyAlignment="0" applyProtection="0"/>
    <xf numFmtId="0" fontId="2" fillId="24" borderId="1" applyNumberFormat="0" applyBorder="0" applyAlignment="0" applyProtection="0"/>
    <xf numFmtId="0" fontId="2" fillId="27" borderId="1" applyNumberFormat="0" applyBorder="0" applyAlignment="0" applyProtection="0"/>
    <xf numFmtId="0" fontId="2" fillId="28" borderId="1" applyNumberFormat="0" applyBorder="0" applyAlignment="0" applyProtection="0"/>
    <xf numFmtId="0" fontId="2" fillId="31" borderId="1" applyNumberFormat="0" applyBorder="0" applyAlignment="0" applyProtection="0"/>
    <xf numFmtId="0" fontId="2" fillId="32" borderId="1" applyNumberFormat="0" applyBorder="0" applyAlignment="0" applyProtection="0"/>
    <xf numFmtId="0" fontId="2" fillId="35" borderId="1" applyNumberFormat="0" applyBorder="0" applyAlignment="0" applyProtection="0"/>
    <xf numFmtId="0" fontId="2" fillId="36" borderId="1" applyNumberFormat="0" applyBorder="0" applyAlignment="0" applyProtection="0"/>
    <xf numFmtId="0" fontId="2" fillId="0" borderId="1"/>
    <xf numFmtId="0" fontId="2" fillId="0" borderId="1"/>
    <xf numFmtId="165" fontId="2" fillId="0" borderId="1" applyFont="0" applyFill="0" applyBorder="0" applyAlignment="0" applyProtection="0"/>
    <xf numFmtId="0" fontId="2" fillId="0" borderId="1"/>
    <xf numFmtId="9" fontId="2" fillId="0" borderId="1" applyFont="0" applyFill="0" applyBorder="0" applyAlignment="0" applyProtection="0"/>
    <xf numFmtId="0" fontId="2" fillId="13" borderId="83" applyNumberFormat="0" applyFont="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0" borderId="1"/>
    <xf numFmtId="0" fontId="2" fillId="0" borderId="1"/>
    <xf numFmtId="0" fontId="2" fillId="0" borderId="1"/>
    <xf numFmtId="0" fontId="2" fillId="0" borderId="1"/>
    <xf numFmtId="0" fontId="2" fillId="15" borderId="1" applyNumberFormat="0" applyBorder="0" applyAlignment="0" applyProtection="0"/>
    <xf numFmtId="0" fontId="2" fillId="19" borderId="1" applyNumberFormat="0" applyBorder="0" applyAlignment="0" applyProtection="0"/>
    <xf numFmtId="0" fontId="2" fillId="23" borderId="1" applyNumberFormat="0" applyBorder="0" applyAlignment="0" applyProtection="0"/>
    <xf numFmtId="0" fontId="2" fillId="27" borderId="1" applyNumberFormat="0" applyBorder="0" applyAlignment="0" applyProtection="0"/>
    <xf numFmtId="0" fontId="2" fillId="31" borderId="1" applyNumberFormat="0" applyBorder="0" applyAlignment="0" applyProtection="0"/>
    <xf numFmtId="0" fontId="2" fillId="35" borderId="1" applyNumberFormat="0" applyBorder="0" applyAlignment="0" applyProtection="0"/>
    <xf numFmtId="0" fontId="2" fillId="16" borderId="1" applyNumberFormat="0" applyBorder="0" applyAlignment="0" applyProtection="0"/>
    <xf numFmtId="0" fontId="2" fillId="20" borderId="1" applyNumberFormat="0" applyBorder="0" applyAlignment="0" applyProtection="0"/>
    <xf numFmtId="0" fontId="2" fillId="24" borderId="1" applyNumberFormat="0" applyBorder="0" applyAlignment="0" applyProtection="0"/>
    <xf numFmtId="0" fontId="2" fillId="28" borderId="1" applyNumberFormat="0" applyBorder="0" applyAlignment="0" applyProtection="0"/>
    <xf numFmtId="0" fontId="2" fillId="32" borderId="1" applyNumberFormat="0" applyBorder="0" applyAlignment="0" applyProtection="0"/>
    <xf numFmtId="0" fontId="2" fillId="36" borderId="1" applyNumberFormat="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0" borderId="1"/>
    <xf numFmtId="0" fontId="2" fillId="0" borderId="1"/>
    <xf numFmtId="0" fontId="2" fillId="0" borderId="1"/>
    <xf numFmtId="0" fontId="2" fillId="0" borderId="1"/>
    <xf numFmtId="0" fontId="2" fillId="13" borderId="83" applyNumberFormat="0" applyFont="0" applyAlignment="0" applyProtection="0"/>
    <xf numFmtId="0" fontId="2" fillId="13" borderId="83" applyNumberFormat="0" applyFont="0" applyAlignment="0" applyProtection="0"/>
    <xf numFmtId="9" fontId="2" fillId="0" borderId="1" applyFont="0" applyFill="0" applyBorder="0" applyAlignment="0" applyProtection="0"/>
    <xf numFmtId="9"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15" borderId="1" applyNumberFormat="0" applyBorder="0" applyAlignment="0" applyProtection="0"/>
    <xf numFmtId="0" fontId="2" fillId="16" borderId="1" applyNumberFormat="0" applyBorder="0" applyAlignment="0" applyProtection="0"/>
    <xf numFmtId="0" fontId="2" fillId="19" borderId="1" applyNumberFormat="0" applyBorder="0" applyAlignment="0" applyProtection="0"/>
    <xf numFmtId="0" fontId="2" fillId="20" borderId="1" applyNumberFormat="0" applyBorder="0" applyAlignment="0" applyProtection="0"/>
    <xf numFmtId="0" fontId="2" fillId="23" borderId="1" applyNumberFormat="0" applyBorder="0" applyAlignment="0" applyProtection="0"/>
    <xf numFmtId="0" fontId="2" fillId="24" borderId="1" applyNumberFormat="0" applyBorder="0" applyAlignment="0" applyProtection="0"/>
    <xf numFmtId="0" fontId="2" fillId="27" borderId="1" applyNumberFormat="0" applyBorder="0" applyAlignment="0" applyProtection="0"/>
    <xf numFmtId="0" fontId="2" fillId="28" borderId="1" applyNumberFormat="0" applyBorder="0" applyAlignment="0" applyProtection="0"/>
    <xf numFmtId="0" fontId="2" fillId="31" borderId="1" applyNumberFormat="0" applyBorder="0" applyAlignment="0" applyProtection="0"/>
    <xf numFmtId="0" fontId="2" fillId="32" borderId="1" applyNumberFormat="0" applyBorder="0" applyAlignment="0" applyProtection="0"/>
    <xf numFmtId="0" fontId="2" fillId="35" borderId="1" applyNumberFormat="0" applyBorder="0" applyAlignment="0" applyProtection="0"/>
    <xf numFmtId="0" fontId="2" fillId="36" borderId="1" applyNumberFormat="0" applyBorder="0" applyAlignment="0" applyProtection="0"/>
    <xf numFmtId="0" fontId="2" fillId="0" borderId="1"/>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0" borderId="1"/>
    <xf numFmtId="0" fontId="2" fillId="0" borderId="1"/>
    <xf numFmtId="0" fontId="2" fillId="0" borderId="1"/>
    <xf numFmtId="0" fontId="2" fillId="0" borderId="1"/>
    <xf numFmtId="0" fontId="2" fillId="13" borderId="83" applyNumberFormat="0" applyFont="0" applyAlignment="0" applyProtection="0"/>
    <xf numFmtId="0" fontId="2" fillId="13" borderId="83" applyNumberFormat="0" applyFont="0" applyAlignment="0" applyProtection="0"/>
    <xf numFmtId="9" fontId="2" fillId="0" borderId="1" applyFont="0" applyFill="0" applyBorder="0" applyAlignment="0" applyProtection="0"/>
    <xf numFmtId="9" fontId="2" fillId="0" borderId="1" applyFont="0" applyFill="0" applyBorder="0" applyAlignment="0" applyProtection="0"/>
    <xf numFmtId="0" fontId="2" fillId="0" borderId="1"/>
    <xf numFmtId="0" fontId="2" fillId="15" borderId="1" applyNumberFormat="0" applyBorder="0" applyAlignment="0" applyProtection="0"/>
    <xf numFmtId="0" fontId="2" fillId="19" borderId="1" applyNumberFormat="0" applyBorder="0" applyAlignment="0" applyProtection="0"/>
    <xf numFmtId="0" fontId="2" fillId="23" borderId="1" applyNumberFormat="0" applyBorder="0" applyAlignment="0" applyProtection="0"/>
    <xf numFmtId="0" fontId="2" fillId="27" borderId="1" applyNumberFormat="0" applyBorder="0" applyAlignment="0" applyProtection="0"/>
    <xf numFmtId="0" fontId="2" fillId="31" borderId="1" applyNumberFormat="0" applyBorder="0" applyAlignment="0" applyProtection="0"/>
    <xf numFmtId="0" fontId="2" fillId="35" borderId="1" applyNumberFormat="0" applyBorder="0" applyAlignment="0" applyProtection="0"/>
    <xf numFmtId="0" fontId="2" fillId="16" borderId="1" applyNumberFormat="0" applyBorder="0" applyAlignment="0" applyProtection="0"/>
    <xf numFmtId="0" fontId="2" fillId="20" borderId="1" applyNumberFormat="0" applyBorder="0" applyAlignment="0" applyProtection="0"/>
    <xf numFmtId="0" fontId="2" fillId="24" borderId="1" applyNumberFormat="0" applyBorder="0" applyAlignment="0" applyProtection="0"/>
    <xf numFmtId="0" fontId="2" fillId="28" borderId="1" applyNumberFormat="0" applyBorder="0" applyAlignment="0" applyProtection="0"/>
    <xf numFmtId="0" fontId="2" fillId="32" borderId="1" applyNumberFormat="0" applyBorder="0" applyAlignment="0" applyProtection="0"/>
    <xf numFmtId="0" fontId="2" fillId="36" borderId="1" applyNumberFormat="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0" borderId="1"/>
    <xf numFmtId="0" fontId="2" fillId="0" borderId="1"/>
    <xf numFmtId="0" fontId="2" fillId="0" borderId="1"/>
    <xf numFmtId="0" fontId="2" fillId="0" borderId="1"/>
    <xf numFmtId="0" fontId="2" fillId="13" borderId="83" applyNumberFormat="0" applyFont="0" applyAlignment="0" applyProtection="0"/>
    <xf numFmtId="0" fontId="2" fillId="13" borderId="83" applyNumberFormat="0" applyFont="0" applyAlignment="0" applyProtection="0"/>
    <xf numFmtId="9" fontId="2" fillId="0" borderId="1" applyFont="0" applyFill="0" applyBorder="0" applyAlignment="0" applyProtection="0"/>
    <xf numFmtId="9"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165" fontId="2" fillId="0" borderId="1" applyFont="0" applyFill="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43"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165" fontId="2" fillId="0" borderId="1" applyFont="0" applyFill="0" applyBorder="0" applyAlignment="0" applyProtection="0"/>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0" fontId="2" fillId="0" borderId="1"/>
    <xf numFmtId="43" fontId="2" fillId="0" borderId="1" applyFont="0" applyFill="0" applyBorder="0" applyAlignment="0" applyProtection="0"/>
    <xf numFmtId="0" fontId="2" fillId="0" borderId="1"/>
    <xf numFmtId="165" fontId="2" fillId="0" borderId="1" applyFont="0" applyFill="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0" fontId="2" fillId="0" borderId="1"/>
    <xf numFmtId="0" fontId="2" fillId="15" borderId="1" applyNumberFormat="0" applyBorder="0" applyAlignment="0" applyProtection="0"/>
    <xf numFmtId="0" fontId="2" fillId="19" borderId="1" applyNumberFormat="0" applyBorder="0" applyAlignment="0" applyProtection="0"/>
    <xf numFmtId="0" fontId="2" fillId="23" borderId="1" applyNumberFormat="0" applyBorder="0" applyAlignment="0" applyProtection="0"/>
    <xf numFmtId="0" fontId="2" fillId="27" borderId="1" applyNumberFormat="0" applyBorder="0" applyAlignment="0" applyProtection="0"/>
    <xf numFmtId="0" fontId="2" fillId="31" borderId="1" applyNumberFormat="0" applyBorder="0" applyAlignment="0" applyProtection="0"/>
    <xf numFmtId="0" fontId="2" fillId="35" borderId="1" applyNumberFormat="0" applyBorder="0" applyAlignment="0" applyProtection="0"/>
    <xf numFmtId="0" fontId="2" fillId="16" borderId="1" applyNumberFormat="0" applyBorder="0" applyAlignment="0" applyProtection="0"/>
    <xf numFmtId="0" fontId="2" fillId="20" borderId="1" applyNumberFormat="0" applyBorder="0" applyAlignment="0" applyProtection="0"/>
    <xf numFmtId="0" fontId="2" fillId="24" borderId="1" applyNumberFormat="0" applyBorder="0" applyAlignment="0" applyProtection="0"/>
    <xf numFmtId="0" fontId="2" fillId="28" borderId="1" applyNumberFormat="0" applyBorder="0" applyAlignment="0" applyProtection="0"/>
    <xf numFmtId="0" fontId="2" fillId="32" borderId="1" applyNumberFormat="0" applyBorder="0" applyAlignment="0" applyProtection="0"/>
    <xf numFmtId="0" fontId="2" fillId="36" borderId="1" applyNumberFormat="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0" borderId="1"/>
    <xf numFmtId="0" fontId="2" fillId="0" borderId="1"/>
    <xf numFmtId="0" fontId="2" fillId="0" borderId="1"/>
    <xf numFmtId="0" fontId="2" fillId="0" borderId="1"/>
    <xf numFmtId="0" fontId="2" fillId="13" borderId="83" applyNumberFormat="0" applyFont="0" applyAlignment="0" applyProtection="0"/>
    <xf numFmtId="0" fontId="2" fillId="13" borderId="83" applyNumberFormat="0" applyFont="0" applyAlignment="0" applyProtection="0"/>
    <xf numFmtId="9" fontId="2" fillId="0" borderId="1" applyFont="0" applyFill="0" applyBorder="0" applyAlignment="0" applyProtection="0"/>
    <xf numFmtId="9" fontId="2" fillId="0" borderId="1" applyFont="0" applyFill="0" applyBorder="0" applyAlignment="0" applyProtection="0"/>
    <xf numFmtId="0" fontId="2" fillId="0" borderId="1"/>
    <xf numFmtId="0" fontId="2" fillId="15" borderId="1" applyNumberFormat="0" applyBorder="0" applyAlignment="0" applyProtection="0"/>
    <xf numFmtId="0" fontId="2" fillId="19" borderId="1" applyNumberFormat="0" applyBorder="0" applyAlignment="0" applyProtection="0"/>
    <xf numFmtId="0" fontId="2" fillId="23" borderId="1" applyNumberFormat="0" applyBorder="0" applyAlignment="0" applyProtection="0"/>
    <xf numFmtId="0" fontId="2" fillId="27" borderId="1" applyNumberFormat="0" applyBorder="0" applyAlignment="0" applyProtection="0"/>
    <xf numFmtId="0" fontId="2" fillId="31" borderId="1" applyNumberFormat="0" applyBorder="0" applyAlignment="0" applyProtection="0"/>
    <xf numFmtId="0" fontId="2" fillId="35" borderId="1" applyNumberFormat="0" applyBorder="0" applyAlignment="0" applyProtection="0"/>
    <xf numFmtId="0" fontId="2" fillId="16" borderId="1" applyNumberFormat="0" applyBorder="0" applyAlignment="0" applyProtection="0"/>
    <xf numFmtId="0" fontId="2" fillId="20" borderId="1" applyNumberFormat="0" applyBorder="0" applyAlignment="0" applyProtection="0"/>
    <xf numFmtId="0" fontId="2" fillId="24" borderId="1" applyNumberFormat="0" applyBorder="0" applyAlignment="0" applyProtection="0"/>
    <xf numFmtId="0" fontId="2" fillId="28" borderId="1" applyNumberFormat="0" applyBorder="0" applyAlignment="0" applyProtection="0"/>
    <xf numFmtId="0" fontId="2" fillId="32" borderId="1" applyNumberFormat="0" applyBorder="0" applyAlignment="0" applyProtection="0"/>
    <xf numFmtId="0" fontId="2" fillId="36" borderId="1" applyNumberFormat="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0" borderId="1"/>
    <xf numFmtId="0" fontId="2" fillId="0" borderId="1"/>
    <xf numFmtId="0" fontId="2" fillId="0" borderId="1"/>
    <xf numFmtId="0" fontId="2" fillId="0" borderId="1"/>
    <xf numFmtId="0" fontId="2" fillId="13" borderId="83" applyNumberFormat="0" applyFont="0" applyAlignment="0" applyProtection="0"/>
    <xf numFmtId="0" fontId="2" fillId="13" borderId="83" applyNumberFormat="0" applyFont="0" applyAlignment="0" applyProtection="0"/>
    <xf numFmtId="9" fontId="2" fillId="0" borderId="1" applyFont="0" applyFill="0" applyBorder="0" applyAlignment="0" applyProtection="0"/>
    <xf numFmtId="9"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15" borderId="1" applyNumberFormat="0" applyBorder="0" applyAlignment="0" applyProtection="0"/>
    <xf numFmtId="0" fontId="2" fillId="16" borderId="1" applyNumberFormat="0" applyBorder="0" applyAlignment="0" applyProtection="0"/>
    <xf numFmtId="0" fontId="2" fillId="19" borderId="1" applyNumberFormat="0" applyBorder="0" applyAlignment="0" applyProtection="0"/>
    <xf numFmtId="0" fontId="2" fillId="20" borderId="1" applyNumberFormat="0" applyBorder="0" applyAlignment="0" applyProtection="0"/>
    <xf numFmtId="0" fontId="2" fillId="23" borderId="1" applyNumberFormat="0" applyBorder="0" applyAlignment="0" applyProtection="0"/>
    <xf numFmtId="0" fontId="2" fillId="24" borderId="1" applyNumberFormat="0" applyBorder="0" applyAlignment="0" applyProtection="0"/>
    <xf numFmtId="0" fontId="2" fillId="27" borderId="1" applyNumberFormat="0" applyBorder="0" applyAlignment="0" applyProtection="0"/>
    <xf numFmtId="0" fontId="2" fillId="28" borderId="1" applyNumberFormat="0" applyBorder="0" applyAlignment="0" applyProtection="0"/>
    <xf numFmtId="0" fontId="2" fillId="31" borderId="1" applyNumberFormat="0" applyBorder="0" applyAlignment="0" applyProtection="0"/>
    <xf numFmtId="0" fontId="2" fillId="32" borderId="1" applyNumberFormat="0" applyBorder="0" applyAlignment="0" applyProtection="0"/>
    <xf numFmtId="0" fontId="2" fillId="35" borderId="1" applyNumberFormat="0" applyBorder="0" applyAlignment="0" applyProtection="0"/>
    <xf numFmtId="0" fontId="2" fillId="36" borderId="1" applyNumberFormat="0" applyBorder="0" applyAlignment="0" applyProtection="0"/>
    <xf numFmtId="0" fontId="2" fillId="0" borderId="1"/>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0" borderId="1"/>
    <xf numFmtId="0" fontId="2" fillId="0" borderId="1"/>
    <xf numFmtId="0" fontId="2" fillId="0" borderId="1"/>
    <xf numFmtId="0" fontId="2" fillId="0" borderId="1"/>
    <xf numFmtId="0" fontId="2" fillId="13" borderId="83" applyNumberFormat="0" applyFont="0" applyAlignment="0" applyProtection="0"/>
    <xf numFmtId="0" fontId="2" fillId="13" borderId="83" applyNumberFormat="0" applyFont="0" applyAlignment="0" applyProtection="0"/>
    <xf numFmtId="9" fontId="2" fillId="0" borderId="1" applyFont="0" applyFill="0" applyBorder="0" applyAlignment="0" applyProtection="0"/>
    <xf numFmtId="9" fontId="2" fillId="0" borderId="1" applyFont="0" applyFill="0" applyBorder="0" applyAlignment="0" applyProtection="0"/>
    <xf numFmtId="0" fontId="2" fillId="0" borderId="1"/>
    <xf numFmtId="0" fontId="2" fillId="15" borderId="1" applyNumberFormat="0" applyBorder="0" applyAlignment="0" applyProtection="0"/>
    <xf numFmtId="0" fontId="2" fillId="19" borderId="1" applyNumberFormat="0" applyBorder="0" applyAlignment="0" applyProtection="0"/>
    <xf numFmtId="0" fontId="2" fillId="23" borderId="1" applyNumberFormat="0" applyBorder="0" applyAlignment="0" applyProtection="0"/>
    <xf numFmtId="0" fontId="2" fillId="27" borderId="1" applyNumberFormat="0" applyBorder="0" applyAlignment="0" applyProtection="0"/>
    <xf numFmtId="0" fontId="2" fillId="31" borderId="1" applyNumberFormat="0" applyBorder="0" applyAlignment="0" applyProtection="0"/>
    <xf numFmtId="0" fontId="2" fillId="35" borderId="1" applyNumberFormat="0" applyBorder="0" applyAlignment="0" applyProtection="0"/>
    <xf numFmtId="0" fontId="2" fillId="16" borderId="1" applyNumberFormat="0" applyBorder="0" applyAlignment="0" applyProtection="0"/>
    <xf numFmtId="0" fontId="2" fillId="20" borderId="1" applyNumberFormat="0" applyBorder="0" applyAlignment="0" applyProtection="0"/>
    <xf numFmtId="0" fontId="2" fillId="24" borderId="1" applyNumberFormat="0" applyBorder="0" applyAlignment="0" applyProtection="0"/>
    <xf numFmtId="0" fontId="2" fillId="28" borderId="1" applyNumberFormat="0" applyBorder="0" applyAlignment="0" applyProtection="0"/>
    <xf numFmtId="0" fontId="2" fillId="32" borderId="1" applyNumberFormat="0" applyBorder="0" applyAlignment="0" applyProtection="0"/>
    <xf numFmtId="0" fontId="2" fillId="36" borderId="1" applyNumberFormat="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0" borderId="1"/>
    <xf numFmtId="0" fontId="2" fillId="0" borderId="1"/>
    <xf numFmtId="0" fontId="2" fillId="0" borderId="1"/>
    <xf numFmtId="0" fontId="2" fillId="0" borderId="1"/>
    <xf numFmtId="0" fontId="2" fillId="13" borderId="83" applyNumberFormat="0" applyFont="0" applyAlignment="0" applyProtection="0"/>
    <xf numFmtId="0" fontId="2" fillId="13" borderId="83" applyNumberFormat="0" applyFont="0" applyAlignment="0" applyProtection="0"/>
    <xf numFmtId="9" fontId="2" fillId="0" borderId="1" applyFont="0" applyFill="0" applyBorder="0" applyAlignment="0" applyProtection="0"/>
    <xf numFmtId="9"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15" borderId="1" applyNumberFormat="0" applyBorder="0" applyAlignment="0" applyProtection="0"/>
    <xf numFmtId="0" fontId="2" fillId="16" borderId="1" applyNumberFormat="0" applyBorder="0" applyAlignment="0" applyProtection="0"/>
    <xf numFmtId="0" fontId="2" fillId="19" borderId="1" applyNumberFormat="0" applyBorder="0" applyAlignment="0" applyProtection="0"/>
    <xf numFmtId="0" fontId="2" fillId="20" borderId="1" applyNumberFormat="0" applyBorder="0" applyAlignment="0" applyProtection="0"/>
    <xf numFmtId="0" fontId="2" fillId="23" borderId="1" applyNumberFormat="0" applyBorder="0" applyAlignment="0" applyProtection="0"/>
    <xf numFmtId="0" fontId="2" fillId="24" borderId="1" applyNumberFormat="0" applyBorder="0" applyAlignment="0" applyProtection="0"/>
    <xf numFmtId="0" fontId="2" fillId="27" borderId="1" applyNumberFormat="0" applyBorder="0" applyAlignment="0" applyProtection="0"/>
    <xf numFmtId="0" fontId="2" fillId="28" borderId="1" applyNumberFormat="0" applyBorder="0" applyAlignment="0" applyProtection="0"/>
    <xf numFmtId="0" fontId="2" fillId="31" borderId="1" applyNumberFormat="0" applyBorder="0" applyAlignment="0" applyProtection="0"/>
    <xf numFmtId="0" fontId="2" fillId="32" borderId="1" applyNumberFormat="0" applyBorder="0" applyAlignment="0" applyProtection="0"/>
    <xf numFmtId="0" fontId="2" fillId="35" borderId="1" applyNumberFormat="0" applyBorder="0" applyAlignment="0" applyProtection="0"/>
    <xf numFmtId="0" fontId="2" fillId="36" borderId="1" applyNumberFormat="0" applyBorder="0" applyAlignment="0" applyProtection="0"/>
    <xf numFmtId="0" fontId="2" fillId="0" borderId="1"/>
    <xf numFmtId="0" fontId="2" fillId="0" borderId="1"/>
    <xf numFmtId="165" fontId="2" fillId="0" borderId="1" applyFont="0" applyFill="0" applyBorder="0" applyAlignment="0" applyProtection="0"/>
    <xf numFmtId="0" fontId="2" fillId="0" borderId="1"/>
    <xf numFmtId="165" fontId="2" fillId="0" borderId="1" applyFont="0" applyFill="0" applyBorder="0" applyAlignment="0" applyProtection="0"/>
    <xf numFmtId="9" fontId="2" fillId="0" borderId="1" applyFont="0" applyFill="0" applyBorder="0" applyAlignment="0" applyProtection="0"/>
    <xf numFmtId="0" fontId="2" fillId="13" borderId="83" applyNumberFormat="0" applyFont="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0" borderId="1"/>
    <xf numFmtId="0" fontId="2" fillId="0" borderId="1"/>
    <xf numFmtId="0" fontId="2" fillId="0" borderId="1"/>
    <xf numFmtId="0" fontId="2" fillId="0" borderId="1"/>
    <xf numFmtId="0" fontId="2" fillId="15" borderId="1" applyNumberFormat="0" applyBorder="0" applyAlignment="0" applyProtection="0"/>
    <xf numFmtId="0" fontId="2" fillId="19" borderId="1" applyNumberFormat="0" applyBorder="0" applyAlignment="0" applyProtection="0"/>
    <xf numFmtId="0" fontId="2" fillId="23" borderId="1" applyNumberFormat="0" applyBorder="0" applyAlignment="0" applyProtection="0"/>
    <xf numFmtId="0" fontId="2" fillId="27" borderId="1" applyNumberFormat="0" applyBorder="0" applyAlignment="0" applyProtection="0"/>
    <xf numFmtId="0" fontId="2" fillId="31" borderId="1" applyNumberFormat="0" applyBorder="0" applyAlignment="0" applyProtection="0"/>
    <xf numFmtId="0" fontId="2" fillId="35" borderId="1" applyNumberFormat="0" applyBorder="0" applyAlignment="0" applyProtection="0"/>
    <xf numFmtId="0" fontId="2" fillId="16" borderId="1" applyNumberFormat="0" applyBorder="0" applyAlignment="0" applyProtection="0"/>
    <xf numFmtId="0" fontId="2" fillId="20" borderId="1" applyNumberFormat="0" applyBorder="0" applyAlignment="0" applyProtection="0"/>
    <xf numFmtId="0" fontId="2" fillId="24" borderId="1" applyNumberFormat="0" applyBorder="0" applyAlignment="0" applyProtection="0"/>
    <xf numFmtId="0" fontId="2" fillId="28" borderId="1" applyNumberFormat="0" applyBorder="0" applyAlignment="0" applyProtection="0"/>
    <xf numFmtId="0" fontId="2" fillId="32" borderId="1" applyNumberFormat="0" applyBorder="0" applyAlignment="0" applyProtection="0"/>
    <xf numFmtId="0" fontId="2" fillId="36" borderId="1" applyNumberFormat="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0" borderId="1"/>
    <xf numFmtId="0" fontId="2" fillId="0" borderId="1"/>
    <xf numFmtId="0" fontId="2" fillId="0" borderId="1"/>
    <xf numFmtId="0" fontId="2" fillId="0" borderId="1"/>
    <xf numFmtId="0" fontId="2" fillId="13" borderId="83" applyNumberFormat="0" applyFont="0" applyAlignment="0" applyProtection="0"/>
    <xf numFmtId="0" fontId="2" fillId="13" borderId="83" applyNumberFormat="0" applyFont="0" applyAlignment="0" applyProtection="0"/>
    <xf numFmtId="9" fontId="2" fillId="0" borderId="1" applyFont="0" applyFill="0" applyBorder="0" applyAlignment="0" applyProtection="0"/>
    <xf numFmtId="9"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15" borderId="1" applyNumberFormat="0" applyBorder="0" applyAlignment="0" applyProtection="0"/>
    <xf numFmtId="0" fontId="2" fillId="16" borderId="1" applyNumberFormat="0" applyBorder="0" applyAlignment="0" applyProtection="0"/>
    <xf numFmtId="0" fontId="2" fillId="19" borderId="1" applyNumberFormat="0" applyBorder="0" applyAlignment="0" applyProtection="0"/>
    <xf numFmtId="0" fontId="2" fillId="20" borderId="1" applyNumberFormat="0" applyBorder="0" applyAlignment="0" applyProtection="0"/>
    <xf numFmtId="0" fontId="2" fillId="23" borderId="1" applyNumberFormat="0" applyBorder="0" applyAlignment="0" applyProtection="0"/>
    <xf numFmtId="0" fontId="2" fillId="24" borderId="1" applyNumberFormat="0" applyBorder="0" applyAlignment="0" applyProtection="0"/>
    <xf numFmtId="0" fontId="2" fillId="27" borderId="1" applyNumberFormat="0" applyBorder="0" applyAlignment="0" applyProtection="0"/>
    <xf numFmtId="0" fontId="2" fillId="28" borderId="1" applyNumberFormat="0" applyBorder="0" applyAlignment="0" applyProtection="0"/>
    <xf numFmtId="0" fontId="2" fillId="31" borderId="1" applyNumberFormat="0" applyBorder="0" applyAlignment="0" applyProtection="0"/>
    <xf numFmtId="0" fontId="2" fillId="32" borderId="1" applyNumberFormat="0" applyBorder="0" applyAlignment="0" applyProtection="0"/>
    <xf numFmtId="0" fontId="2" fillId="35" borderId="1" applyNumberFormat="0" applyBorder="0" applyAlignment="0" applyProtection="0"/>
    <xf numFmtId="0" fontId="2" fillId="36" borderId="1" applyNumberFormat="0" applyBorder="0" applyAlignment="0" applyProtection="0"/>
    <xf numFmtId="0" fontId="2" fillId="0" borderId="1"/>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0" borderId="1"/>
    <xf numFmtId="0" fontId="2" fillId="0" borderId="1"/>
    <xf numFmtId="0" fontId="2" fillId="0" borderId="1"/>
    <xf numFmtId="0" fontId="2" fillId="0" borderId="1"/>
    <xf numFmtId="0" fontId="2" fillId="13" borderId="83" applyNumberFormat="0" applyFont="0" applyAlignment="0" applyProtection="0"/>
    <xf numFmtId="0" fontId="2" fillId="13" borderId="83" applyNumberFormat="0" applyFont="0" applyAlignment="0" applyProtection="0"/>
    <xf numFmtId="9" fontId="2" fillId="0" borderId="1" applyFont="0" applyFill="0" applyBorder="0" applyAlignment="0" applyProtection="0"/>
    <xf numFmtId="9" fontId="2" fillId="0" borderId="1" applyFont="0" applyFill="0" applyBorder="0" applyAlignment="0" applyProtection="0"/>
    <xf numFmtId="0" fontId="2" fillId="0" borderId="1"/>
    <xf numFmtId="0" fontId="2" fillId="15" borderId="1" applyNumberFormat="0" applyBorder="0" applyAlignment="0" applyProtection="0"/>
    <xf numFmtId="0" fontId="2" fillId="19" borderId="1" applyNumberFormat="0" applyBorder="0" applyAlignment="0" applyProtection="0"/>
    <xf numFmtId="0" fontId="2" fillId="23" borderId="1" applyNumberFormat="0" applyBorder="0" applyAlignment="0" applyProtection="0"/>
    <xf numFmtId="0" fontId="2" fillId="27" borderId="1" applyNumberFormat="0" applyBorder="0" applyAlignment="0" applyProtection="0"/>
    <xf numFmtId="0" fontId="2" fillId="31" borderId="1" applyNumberFormat="0" applyBorder="0" applyAlignment="0" applyProtection="0"/>
    <xf numFmtId="0" fontId="2" fillId="35" borderId="1" applyNumberFormat="0" applyBorder="0" applyAlignment="0" applyProtection="0"/>
    <xf numFmtId="0" fontId="2" fillId="16" borderId="1" applyNumberFormat="0" applyBorder="0" applyAlignment="0" applyProtection="0"/>
    <xf numFmtId="0" fontId="2" fillId="20" borderId="1" applyNumberFormat="0" applyBorder="0" applyAlignment="0" applyProtection="0"/>
    <xf numFmtId="0" fontId="2" fillId="24" borderId="1" applyNumberFormat="0" applyBorder="0" applyAlignment="0" applyProtection="0"/>
    <xf numFmtId="0" fontId="2" fillId="28" borderId="1" applyNumberFormat="0" applyBorder="0" applyAlignment="0" applyProtection="0"/>
    <xf numFmtId="0" fontId="2" fillId="32" borderId="1" applyNumberFormat="0" applyBorder="0" applyAlignment="0" applyProtection="0"/>
    <xf numFmtId="0" fontId="2" fillId="36" borderId="1" applyNumberFormat="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0" borderId="1"/>
    <xf numFmtId="0" fontId="2" fillId="0" borderId="1"/>
    <xf numFmtId="0" fontId="2" fillId="0" borderId="1"/>
    <xf numFmtId="0" fontId="2" fillId="0" borderId="1"/>
    <xf numFmtId="0" fontId="2" fillId="13" borderId="83" applyNumberFormat="0" applyFont="0" applyAlignment="0" applyProtection="0"/>
    <xf numFmtId="0" fontId="2" fillId="13" borderId="83" applyNumberFormat="0" applyFont="0" applyAlignment="0" applyProtection="0"/>
    <xf numFmtId="9" fontId="2" fillId="0" borderId="1" applyFont="0" applyFill="0" applyBorder="0" applyAlignment="0" applyProtection="0"/>
    <xf numFmtId="9" fontId="2" fillId="0" borderId="1" applyFont="0" applyFill="0" applyBorder="0" applyAlignment="0" applyProtection="0"/>
    <xf numFmtId="165" fontId="2" fillId="0" borderId="1" applyFont="0" applyFill="0" applyBorder="0" applyAlignment="0" applyProtection="0"/>
    <xf numFmtId="0" fontId="2" fillId="0" borderId="1"/>
    <xf numFmtId="0" fontId="2" fillId="15" borderId="1" applyNumberFormat="0" applyBorder="0" applyAlignment="0" applyProtection="0"/>
    <xf numFmtId="0" fontId="2" fillId="15"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0" borderId="1"/>
    <xf numFmtId="0" fontId="2" fillId="0" borderId="1"/>
    <xf numFmtId="0" fontId="2" fillId="0" borderId="1"/>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9"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0" borderId="1"/>
    <xf numFmtId="0" fontId="2" fillId="0" borderId="1"/>
    <xf numFmtId="0" fontId="2" fillId="0" borderId="1"/>
    <xf numFmtId="0" fontId="2" fillId="0" borderId="1"/>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0" borderId="1"/>
    <xf numFmtId="0" fontId="2" fillId="0" borderId="1"/>
    <xf numFmtId="0" fontId="2" fillId="0" borderId="1"/>
    <xf numFmtId="0" fontId="2" fillId="0" borderId="1"/>
    <xf numFmtId="0" fontId="2" fillId="13" borderId="83" applyNumberFormat="0" applyFont="0" applyAlignment="0" applyProtection="0"/>
    <xf numFmtId="9" fontId="2" fillId="0" borderId="1" applyFont="0" applyFill="0" applyBorder="0" applyAlignment="0" applyProtection="0"/>
    <xf numFmtId="9" fontId="2" fillId="0" borderId="1" applyFont="0" applyFill="0" applyBorder="0" applyAlignment="0" applyProtection="0"/>
    <xf numFmtId="0" fontId="2" fillId="0" borderId="1"/>
    <xf numFmtId="0" fontId="2" fillId="15" borderId="1" applyNumberFormat="0" applyBorder="0" applyAlignment="0" applyProtection="0"/>
    <xf numFmtId="0" fontId="2" fillId="16" borderId="1" applyNumberFormat="0" applyBorder="0" applyAlignment="0" applyProtection="0"/>
    <xf numFmtId="0" fontId="2" fillId="19" borderId="1" applyNumberFormat="0" applyBorder="0" applyAlignment="0" applyProtection="0"/>
    <xf numFmtId="0" fontId="2" fillId="20" borderId="1" applyNumberFormat="0" applyBorder="0" applyAlignment="0" applyProtection="0"/>
    <xf numFmtId="0" fontId="2" fillId="23" borderId="1" applyNumberFormat="0" applyBorder="0" applyAlignment="0" applyProtection="0"/>
    <xf numFmtId="0" fontId="2" fillId="24" borderId="1" applyNumberFormat="0" applyBorder="0" applyAlignment="0" applyProtection="0"/>
    <xf numFmtId="0" fontId="2" fillId="27" borderId="1" applyNumberFormat="0" applyBorder="0" applyAlignment="0" applyProtection="0"/>
    <xf numFmtId="0" fontId="2" fillId="28" borderId="1" applyNumberFormat="0" applyBorder="0" applyAlignment="0" applyProtection="0"/>
    <xf numFmtId="0" fontId="2" fillId="31" borderId="1" applyNumberFormat="0" applyBorder="0" applyAlignment="0" applyProtection="0"/>
    <xf numFmtId="0" fontId="2" fillId="32" borderId="1" applyNumberFormat="0" applyBorder="0" applyAlignment="0" applyProtection="0"/>
    <xf numFmtId="0" fontId="2" fillId="35" borderId="1" applyNumberFormat="0" applyBorder="0" applyAlignment="0" applyProtection="0"/>
    <xf numFmtId="0" fontId="2" fillId="36" borderId="1" applyNumberFormat="0" applyBorder="0" applyAlignment="0" applyProtection="0"/>
    <xf numFmtId="0" fontId="2" fillId="0" borderId="1"/>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0" borderId="1"/>
    <xf numFmtId="0" fontId="2" fillId="0" borderId="1"/>
    <xf numFmtId="0" fontId="2" fillId="0" borderId="1"/>
    <xf numFmtId="0" fontId="2" fillId="0" borderId="1"/>
    <xf numFmtId="0" fontId="2" fillId="13" borderId="83" applyNumberFormat="0" applyFont="0" applyAlignment="0" applyProtection="0"/>
    <xf numFmtId="0" fontId="2" fillId="13" borderId="83" applyNumberFormat="0" applyFont="0" applyAlignment="0" applyProtection="0"/>
    <xf numFmtId="9" fontId="2" fillId="0" borderId="1" applyFont="0" applyFill="0" applyBorder="0" applyAlignment="0" applyProtection="0"/>
    <xf numFmtId="9" fontId="2" fillId="0" borderId="1" applyFont="0" applyFill="0" applyBorder="0" applyAlignment="0" applyProtection="0"/>
    <xf numFmtId="0" fontId="2" fillId="0" borderId="1"/>
    <xf numFmtId="0" fontId="2" fillId="15" borderId="1" applyNumberFormat="0" applyBorder="0" applyAlignment="0" applyProtection="0"/>
    <xf numFmtId="0" fontId="2" fillId="19" borderId="1" applyNumberFormat="0" applyBorder="0" applyAlignment="0" applyProtection="0"/>
    <xf numFmtId="0" fontId="2" fillId="23" borderId="1" applyNumberFormat="0" applyBorder="0" applyAlignment="0" applyProtection="0"/>
    <xf numFmtId="0" fontId="2" fillId="27" borderId="1" applyNumberFormat="0" applyBorder="0" applyAlignment="0" applyProtection="0"/>
    <xf numFmtId="0" fontId="2" fillId="31" borderId="1" applyNumberFormat="0" applyBorder="0" applyAlignment="0" applyProtection="0"/>
    <xf numFmtId="0" fontId="2" fillId="35" borderId="1" applyNumberFormat="0" applyBorder="0" applyAlignment="0" applyProtection="0"/>
    <xf numFmtId="0" fontId="2" fillId="16" borderId="1" applyNumberFormat="0" applyBorder="0" applyAlignment="0" applyProtection="0"/>
    <xf numFmtId="0" fontId="2" fillId="20" borderId="1" applyNumberFormat="0" applyBorder="0" applyAlignment="0" applyProtection="0"/>
    <xf numFmtId="0" fontId="2" fillId="24" borderId="1" applyNumberFormat="0" applyBorder="0" applyAlignment="0" applyProtection="0"/>
    <xf numFmtId="0" fontId="2" fillId="28" borderId="1" applyNumberFormat="0" applyBorder="0" applyAlignment="0" applyProtection="0"/>
    <xf numFmtId="0" fontId="2" fillId="32" borderId="1" applyNumberFormat="0" applyBorder="0" applyAlignment="0" applyProtection="0"/>
    <xf numFmtId="0" fontId="2" fillId="36" borderId="1" applyNumberFormat="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0" borderId="1"/>
    <xf numFmtId="0" fontId="2" fillId="0" borderId="1"/>
    <xf numFmtId="0" fontId="2" fillId="0" borderId="1"/>
    <xf numFmtId="0" fontId="2" fillId="0" borderId="1"/>
    <xf numFmtId="0" fontId="2" fillId="13" borderId="83" applyNumberFormat="0" applyFont="0" applyAlignment="0" applyProtection="0"/>
    <xf numFmtId="0" fontId="2" fillId="13" borderId="83" applyNumberFormat="0" applyFont="0" applyAlignment="0" applyProtection="0"/>
    <xf numFmtId="9" fontId="2" fillId="0" borderId="1" applyFont="0" applyFill="0" applyBorder="0" applyAlignment="0" applyProtection="0"/>
    <xf numFmtId="9"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15" borderId="1" applyNumberFormat="0" applyBorder="0" applyAlignment="0" applyProtection="0"/>
    <xf numFmtId="0" fontId="2" fillId="16" borderId="1" applyNumberFormat="0" applyBorder="0" applyAlignment="0" applyProtection="0"/>
    <xf numFmtId="0" fontId="2" fillId="19" borderId="1" applyNumberFormat="0" applyBorder="0" applyAlignment="0" applyProtection="0"/>
    <xf numFmtId="0" fontId="2" fillId="20" borderId="1" applyNumberFormat="0" applyBorder="0" applyAlignment="0" applyProtection="0"/>
    <xf numFmtId="0" fontId="2" fillId="23" borderId="1" applyNumberFormat="0" applyBorder="0" applyAlignment="0" applyProtection="0"/>
    <xf numFmtId="0" fontId="2" fillId="24" borderId="1" applyNumberFormat="0" applyBorder="0" applyAlignment="0" applyProtection="0"/>
    <xf numFmtId="0" fontId="2" fillId="27" borderId="1" applyNumberFormat="0" applyBorder="0" applyAlignment="0" applyProtection="0"/>
    <xf numFmtId="0" fontId="2" fillId="28" borderId="1" applyNumberFormat="0" applyBorder="0" applyAlignment="0" applyProtection="0"/>
    <xf numFmtId="0" fontId="2" fillId="31" borderId="1" applyNumberFormat="0" applyBorder="0" applyAlignment="0" applyProtection="0"/>
    <xf numFmtId="0" fontId="2" fillId="32" borderId="1" applyNumberFormat="0" applyBorder="0" applyAlignment="0" applyProtection="0"/>
    <xf numFmtId="0" fontId="2" fillId="35" borderId="1" applyNumberFormat="0" applyBorder="0" applyAlignment="0" applyProtection="0"/>
    <xf numFmtId="0" fontId="2" fillId="36" borderId="1" applyNumberFormat="0" applyBorder="0" applyAlignment="0" applyProtection="0"/>
    <xf numFmtId="0" fontId="2" fillId="0" borderId="1"/>
    <xf numFmtId="0" fontId="2" fillId="0" borderId="1"/>
    <xf numFmtId="165" fontId="2" fillId="0" borderId="1" applyFont="0" applyFill="0" applyBorder="0" applyAlignment="0" applyProtection="0"/>
    <xf numFmtId="0" fontId="2" fillId="0" borderId="1"/>
    <xf numFmtId="9" fontId="2" fillId="0" borderId="1" applyFont="0" applyFill="0" applyBorder="0" applyAlignment="0" applyProtection="0"/>
    <xf numFmtId="0" fontId="2" fillId="13" borderId="83" applyNumberFormat="0" applyFont="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0" borderId="1"/>
    <xf numFmtId="0" fontId="2" fillId="0" borderId="1"/>
    <xf numFmtId="0" fontId="2" fillId="0" borderId="1"/>
    <xf numFmtId="0" fontId="2" fillId="0" borderId="1"/>
    <xf numFmtId="0" fontId="2" fillId="15" borderId="1" applyNumberFormat="0" applyBorder="0" applyAlignment="0" applyProtection="0"/>
    <xf numFmtId="0" fontId="2" fillId="19" borderId="1" applyNumberFormat="0" applyBorder="0" applyAlignment="0" applyProtection="0"/>
    <xf numFmtId="0" fontId="2" fillId="23" borderId="1" applyNumberFormat="0" applyBorder="0" applyAlignment="0" applyProtection="0"/>
    <xf numFmtId="0" fontId="2" fillId="27" borderId="1" applyNumberFormat="0" applyBorder="0" applyAlignment="0" applyProtection="0"/>
    <xf numFmtId="0" fontId="2" fillId="31" borderId="1" applyNumberFormat="0" applyBorder="0" applyAlignment="0" applyProtection="0"/>
    <xf numFmtId="0" fontId="2" fillId="35" borderId="1" applyNumberFormat="0" applyBorder="0" applyAlignment="0" applyProtection="0"/>
    <xf numFmtId="0" fontId="2" fillId="16" borderId="1" applyNumberFormat="0" applyBorder="0" applyAlignment="0" applyProtection="0"/>
    <xf numFmtId="0" fontId="2" fillId="20" borderId="1" applyNumberFormat="0" applyBorder="0" applyAlignment="0" applyProtection="0"/>
    <xf numFmtId="0" fontId="2" fillId="24" borderId="1" applyNumberFormat="0" applyBorder="0" applyAlignment="0" applyProtection="0"/>
    <xf numFmtId="0" fontId="2" fillId="28" borderId="1" applyNumberFormat="0" applyBorder="0" applyAlignment="0" applyProtection="0"/>
    <xf numFmtId="0" fontId="2" fillId="32" borderId="1" applyNumberFormat="0" applyBorder="0" applyAlignment="0" applyProtection="0"/>
    <xf numFmtId="0" fontId="2" fillId="36" borderId="1" applyNumberFormat="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0" borderId="1"/>
    <xf numFmtId="0" fontId="2" fillId="0" borderId="1"/>
    <xf numFmtId="0" fontId="2" fillId="0" borderId="1"/>
    <xf numFmtId="0" fontId="2" fillId="0" borderId="1"/>
    <xf numFmtId="0" fontId="2" fillId="13" borderId="83" applyNumberFormat="0" applyFont="0" applyAlignment="0" applyProtection="0"/>
    <xf numFmtId="0" fontId="2" fillId="13" borderId="83" applyNumberFormat="0" applyFont="0" applyAlignment="0" applyProtection="0"/>
    <xf numFmtId="9" fontId="2" fillId="0" borderId="1" applyFont="0" applyFill="0" applyBorder="0" applyAlignment="0" applyProtection="0"/>
    <xf numFmtId="9"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15" borderId="1" applyNumberFormat="0" applyBorder="0" applyAlignment="0" applyProtection="0"/>
    <xf numFmtId="0" fontId="2" fillId="16" borderId="1" applyNumberFormat="0" applyBorder="0" applyAlignment="0" applyProtection="0"/>
    <xf numFmtId="0" fontId="2" fillId="19" borderId="1" applyNumberFormat="0" applyBorder="0" applyAlignment="0" applyProtection="0"/>
    <xf numFmtId="0" fontId="2" fillId="20" borderId="1" applyNumberFormat="0" applyBorder="0" applyAlignment="0" applyProtection="0"/>
    <xf numFmtId="0" fontId="2" fillId="23" borderId="1" applyNumberFormat="0" applyBorder="0" applyAlignment="0" applyProtection="0"/>
    <xf numFmtId="0" fontId="2" fillId="24" borderId="1" applyNumberFormat="0" applyBorder="0" applyAlignment="0" applyProtection="0"/>
    <xf numFmtId="0" fontId="2" fillId="27" borderId="1" applyNumberFormat="0" applyBorder="0" applyAlignment="0" applyProtection="0"/>
    <xf numFmtId="0" fontId="2" fillId="28" borderId="1" applyNumberFormat="0" applyBorder="0" applyAlignment="0" applyProtection="0"/>
    <xf numFmtId="0" fontId="2" fillId="31" borderId="1" applyNumberFormat="0" applyBorder="0" applyAlignment="0" applyProtection="0"/>
    <xf numFmtId="0" fontId="2" fillId="32" borderId="1" applyNumberFormat="0" applyBorder="0" applyAlignment="0" applyProtection="0"/>
    <xf numFmtId="0" fontId="2" fillId="35" borderId="1" applyNumberFormat="0" applyBorder="0" applyAlignment="0" applyProtection="0"/>
    <xf numFmtId="0" fontId="2" fillId="36" borderId="1" applyNumberFormat="0" applyBorder="0" applyAlignment="0" applyProtection="0"/>
    <xf numFmtId="0" fontId="2" fillId="0" borderId="1"/>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0" borderId="1"/>
    <xf numFmtId="0" fontId="2" fillId="0" borderId="1"/>
    <xf numFmtId="0" fontId="2" fillId="0" borderId="1"/>
    <xf numFmtId="0" fontId="2" fillId="0" borderId="1"/>
    <xf numFmtId="0" fontId="2" fillId="13" borderId="83" applyNumberFormat="0" applyFont="0" applyAlignment="0" applyProtection="0"/>
    <xf numFmtId="0" fontId="2" fillId="13" borderId="83" applyNumberFormat="0" applyFont="0" applyAlignment="0" applyProtection="0"/>
    <xf numFmtId="9" fontId="2" fillId="0" borderId="1" applyFont="0" applyFill="0" applyBorder="0" applyAlignment="0" applyProtection="0"/>
    <xf numFmtId="9" fontId="2" fillId="0" borderId="1" applyFont="0" applyFill="0" applyBorder="0" applyAlignment="0" applyProtection="0"/>
    <xf numFmtId="0" fontId="2" fillId="0" borderId="1"/>
    <xf numFmtId="0" fontId="2" fillId="15" borderId="1" applyNumberFormat="0" applyBorder="0" applyAlignment="0" applyProtection="0"/>
    <xf numFmtId="0" fontId="2" fillId="19" borderId="1" applyNumberFormat="0" applyBorder="0" applyAlignment="0" applyProtection="0"/>
    <xf numFmtId="0" fontId="2" fillId="23" borderId="1" applyNumberFormat="0" applyBorder="0" applyAlignment="0" applyProtection="0"/>
    <xf numFmtId="0" fontId="2" fillId="27" borderId="1" applyNumberFormat="0" applyBorder="0" applyAlignment="0" applyProtection="0"/>
    <xf numFmtId="0" fontId="2" fillId="31" borderId="1" applyNumberFormat="0" applyBorder="0" applyAlignment="0" applyProtection="0"/>
    <xf numFmtId="0" fontId="2" fillId="35" borderId="1" applyNumberFormat="0" applyBorder="0" applyAlignment="0" applyProtection="0"/>
    <xf numFmtId="0" fontId="2" fillId="16" borderId="1" applyNumberFormat="0" applyBorder="0" applyAlignment="0" applyProtection="0"/>
    <xf numFmtId="0" fontId="2" fillId="20" borderId="1" applyNumberFormat="0" applyBorder="0" applyAlignment="0" applyProtection="0"/>
    <xf numFmtId="0" fontId="2" fillId="24" borderId="1" applyNumberFormat="0" applyBorder="0" applyAlignment="0" applyProtection="0"/>
    <xf numFmtId="0" fontId="2" fillId="28" borderId="1" applyNumberFormat="0" applyBorder="0" applyAlignment="0" applyProtection="0"/>
    <xf numFmtId="0" fontId="2" fillId="32" borderId="1" applyNumberFormat="0" applyBorder="0" applyAlignment="0" applyProtection="0"/>
    <xf numFmtId="0" fontId="2" fillId="36" borderId="1" applyNumberFormat="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0" borderId="1"/>
    <xf numFmtId="0" fontId="2" fillId="0" borderId="1"/>
    <xf numFmtId="0" fontId="2" fillId="0" borderId="1"/>
    <xf numFmtId="0" fontId="2" fillId="0" borderId="1"/>
    <xf numFmtId="0" fontId="2" fillId="13" borderId="83" applyNumberFormat="0" applyFont="0" applyAlignment="0" applyProtection="0"/>
    <xf numFmtId="0" fontId="2" fillId="13" borderId="83" applyNumberFormat="0" applyFont="0" applyAlignment="0" applyProtection="0"/>
    <xf numFmtId="9" fontId="2" fillId="0" borderId="1" applyFont="0" applyFill="0" applyBorder="0" applyAlignment="0" applyProtection="0"/>
    <xf numFmtId="9"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15" borderId="1" applyNumberFormat="0" applyBorder="0" applyAlignment="0" applyProtection="0"/>
    <xf numFmtId="0" fontId="2" fillId="15"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0" borderId="1"/>
    <xf numFmtId="0" fontId="2" fillId="0" borderId="1"/>
    <xf numFmtId="0" fontId="2" fillId="0" borderId="1"/>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9"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0" borderId="1"/>
    <xf numFmtId="0" fontId="2" fillId="0" borderId="1"/>
    <xf numFmtId="0" fontId="2" fillId="0" borderId="1"/>
    <xf numFmtId="0" fontId="2" fillId="0" borderId="1"/>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0" borderId="1"/>
    <xf numFmtId="0" fontId="2" fillId="0" borderId="1"/>
    <xf numFmtId="0" fontId="2" fillId="0" borderId="1"/>
    <xf numFmtId="0" fontId="2" fillId="0" borderId="1"/>
    <xf numFmtId="0" fontId="2" fillId="13" borderId="83" applyNumberFormat="0" applyFont="0" applyAlignment="0" applyProtection="0"/>
    <xf numFmtId="9" fontId="2" fillId="0" borderId="1" applyFont="0" applyFill="0" applyBorder="0" applyAlignment="0" applyProtection="0"/>
    <xf numFmtId="9"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15" borderId="1" applyNumberFormat="0" applyBorder="0" applyAlignment="0" applyProtection="0"/>
    <xf numFmtId="0" fontId="2" fillId="16" borderId="1" applyNumberFormat="0" applyBorder="0" applyAlignment="0" applyProtection="0"/>
    <xf numFmtId="0" fontId="2" fillId="19" borderId="1" applyNumberFormat="0" applyBorder="0" applyAlignment="0" applyProtection="0"/>
    <xf numFmtId="0" fontId="2" fillId="20" borderId="1" applyNumberFormat="0" applyBorder="0" applyAlignment="0" applyProtection="0"/>
    <xf numFmtId="0" fontId="2" fillId="23" borderId="1" applyNumberFormat="0" applyBorder="0" applyAlignment="0" applyProtection="0"/>
    <xf numFmtId="0" fontId="2" fillId="24" borderId="1" applyNumberFormat="0" applyBorder="0" applyAlignment="0" applyProtection="0"/>
    <xf numFmtId="0" fontId="2" fillId="27" borderId="1" applyNumberFormat="0" applyBorder="0" applyAlignment="0" applyProtection="0"/>
    <xf numFmtId="0" fontId="2" fillId="28" borderId="1" applyNumberFormat="0" applyBorder="0" applyAlignment="0" applyProtection="0"/>
    <xf numFmtId="0" fontId="2" fillId="31" borderId="1" applyNumberFormat="0" applyBorder="0" applyAlignment="0" applyProtection="0"/>
    <xf numFmtId="0" fontId="2" fillId="32" borderId="1" applyNumberFormat="0" applyBorder="0" applyAlignment="0" applyProtection="0"/>
    <xf numFmtId="0" fontId="2" fillId="35" borderId="1" applyNumberFormat="0" applyBorder="0" applyAlignment="0" applyProtection="0"/>
    <xf numFmtId="0" fontId="2" fillId="36" borderId="1" applyNumberFormat="0" applyBorder="0" applyAlignment="0" applyProtection="0"/>
    <xf numFmtId="0" fontId="2" fillId="0" borderId="1"/>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0" borderId="1"/>
    <xf numFmtId="0" fontId="2" fillId="0" borderId="1"/>
    <xf numFmtId="0" fontId="2" fillId="0" borderId="1"/>
    <xf numFmtId="0" fontId="2" fillId="0" borderId="1"/>
    <xf numFmtId="0" fontId="2" fillId="13" borderId="83" applyNumberFormat="0" applyFont="0" applyAlignment="0" applyProtection="0"/>
    <xf numFmtId="0" fontId="2" fillId="13" borderId="83" applyNumberFormat="0" applyFont="0" applyAlignment="0" applyProtection="0"/>
    <xf numFmtId="9" fontId="2" fillId="0" borderId="1" applyFont="0" applyFill="0" applyBorder="0" applyAlignment="0" applyProtection="0"/>
    <xf numFmtId="9" fontId="2" fillId="0" borderId="1" applyFont="0" applyFill="0" applyBorder="0" applyAlignment="0" applyProtection="0"/>
    <xf numFmtId="0" fontId="2" fillId="0" borderId="1"/>
    <xf numFmtId="0" fontId="2" fillId="15" borderId="1" applyNumberFormat="0" applyBorder="0" applyAlignment="0" applyProtection="0"/>
    <xf numFmtId="0" fontId="2" fillId="19" borderId="1" applyNumberFormat="0" applyBorder="0" applyAlignment="0" applyProtection="0"/>
    <xf numFmtId="0" fontId="2" fillId="23" borderId="1" applyNumberFormat="0" applyBorder="0" applyAlignment="0" applyProtection="0"/>
    <xf numFmtId="0" fontId="2" fillId="27" borderId="1" applyNumberFormat="0" applyBorder="0" applyAlignment="0" applyProtection="0"/>
    <xf numFmtId="0" fontId="2" fillId="31" borderId="1" applyNumberFormat="0" applyBorder="0" applyAlignment="0" applyProtection="0"/>
    <xf numFmtId="0" fontId="2" fillId="35" borderId="1" applyNumberFormat="0" applyBorder="0" applyAlignment="0" applyProtection="0"/>
    <xf numFmtId="0" fontId="2" fillId="16" borderId="1" applyNumberFormat="0" applyBorder="0" applyAlignment="0" applyProtection="0"/>
    <xf numFmtId="0" fontId="2" fillId="20" borderId="1" applyNumberFormat="0" applyBorder="0" applyAlignment="0" applyProtection="0"/>
    <xf numFmtId="0" fontId="2" fillId="24" borderId="1" applyNumberFormat="0" applyBorder="0" applyAlignment="0" applyProtection="0"/>
    <xf numFmtId="0" fontId="2" fillId="28" borderId="1" applyNumberFormat="0" applyBorder="0" applyAlignment="0" applyProtection="0"/>
    <xf numFmtId="0" fontId="2" fillId="32" borderId="1" applyNumberFormat="0" applyBorder="0" applyAlignment="0" applyProtection="0"/>
    <xf numFmtId="0" fontId="2" fillId="36" borderId="1" applyNumberFormat="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0" borderId="1"/>
    <xf numFmtId="0" fontId="2" fillId="0" borderId="1"/>
    <xf numFmtId="0" fontId="2" fillId="0" borderId="1"/>
    <xf numFmtId="0" fontId="2" fillId="0" borderId="1"/>
    <xf numFmtId="0" fontId="2" fillId="13" borderId="83" applyNumberFormat="0" applyFont="0" applyAlignment="0" applyProtection="0"/>
    <xf numFmtId="0" fontId="2" fillId="13" borderId="83" applyNumberFormat="0" applyFont="0" applyAlignment="0" applyProtection="0"/>
    <xf numFmtId="9" fontId="2" fillId="0" borderId="1" applyFont="0" applyFill="0" applyBorder="0" applyAlignment="0" applyProtection="0"/>
    <xf numFmtId="9"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15" borderId="1" applyNumberFormat="0" applyBorder="0" applyAlignment="0" applyProtection="0"/>
    <xf numFmtId="0" fontId="2" fillId="16" borderId="1" applyNumberFormat="0" applyBorder="0" applyAlignment="0" applyProtection="0"/>
    <xf numFmtId="0" fontId="2" fillId="19" borderId="1" applyNumberFormat="0" applyBorder="0" applyAlignment="0" applyProtection="0"/>
    <xf numFmtId="0" fontId="2" fillId="20" borderId="1" applyNumberFormat="0" applyBorder="0" applyAlignment="0" applyProtection="0"/>
    <xf numFmtId="0" fontId="2" fillId="23" borderId="1" applyNumberFormat="0" applyBorder="0" applyAlignment="0" applyProtection="0"/>
    <xf numFmtId="0" fontId="2" fillId="24" borderId="1" applyNumberFormat="0" applyBorder="0" applyAlignment="0" applyProtection="0"/>
    <xf numFmtId="0" fontId="2" fillId="27" borderId="1" applyNumberFormat="0" applyBorder="0" applyAlignment="0" applyProtection="0"/>
    <xf numFmtId="0" fontId="2" fillId="28" borderId="1" applyNumberFormat="0" applyBorder="0" applyAlignment="0" applyProtection="0"/>
    <xf numFmtId="0" fontId="2" fillId="31" borderId="1" applyNumberFormat="0" applyBorder="0" applyAlignment="0" applyProtection="0"/>
    <xf numFmtId="0" fontId="2" fillId="32" borderId="1" applyNumberFormat="0" applyBorder="0" applyAlignment="0" applyProtection="0"/>
    <xf numFmtId="0" fontId="2" fillId="35" borderId="1" applyNumberFormat="0" applyBorder="0" applyAlignment="0" applyProtection="0"/>
    <xf numFmtId="0" fontId="2" fillId="36" borderId="1" applyNumberFormat="0" applyBorder="0" applyAlignment="0" applyProtection="0"/>
    <xf numFmtId="0" fontId="2" fillId="0" borderId="1"/>
    <xf numFmtId="0" fontId="2" fillId="0" borderId="1"/>
    <xf numFmtId="165" fontId="2" fillId="0" borderId="1" applyFont="0" applyFill="0" applyBorder="0" applyAlignment="0" applyProtection="0"/>
    <xf numFmtId="0" fontId="2" fillId="0" borderId="1"/>
    <xf numFmtId="165" fontId="2" fillId="0" borderId="1" applyFont="0" applyFill="0" applyBorder="0" applyAlignment="0" applyProtection="0"/>
    <xf numFmtId="9" fontId="2" fillId="0" borderId="1" applyFont="0" applyFill="0" applyBorder="0" applyAlignment="0" applyProtection="0"/>
    <xf numFmtId="0" fontId="2" fillId="13" borderId="83" applyNumberFormat="0" applyFont="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0" borderId="1"/>
    <xf numFmtId="0" fontId="2" fillId="0" borderId="1"/>
    <xf numFmtId="0" fontId="2" fillId="0" borderId="1"/>
    <xf numFmtId="0" fontId="2" fillId="0" borderId="1"/>
    <xf numFmtId="0" fontId="2" fillId="15" borderId="1" applyNumberFormat="0" applyBorder="0" applyAlignment="0" applyProtection="0"/>
    <xf numFmtId="0" fontId="2" fillId="19" borderId="1" applyNumberFormat="0" applyBorder="0" applyAlignment="0" applyProtection="0"/>
    <xf numFmtId="0" fontId="2" fillId="23" borderId="1" applyNumberFormat="0" applyBorder="0" applyAlignment="0" applyProtection="0"/>
    <xf numFmtId="0" fontId="2" fillId="27" borderId="1" applyNumberFormat="0" applyBorder="0" applyAlignment="0" applyProtection="0"/>
    <xf numFmtId="0" fontId="2" fillId="31" borderId="1" applyNumberFormat="0" applyBorder="0" applyAlignment="0" applyProtection="0"/>
    <xf numFmtId="0" fontId="2" fillId="35" borderId="1" applyNumberFormat="0" applyBorder="0" applyAlignment="0" applyProtection="0"/>
    <xf numFmtId="0" fontId="2" fillId="16" borderId="1" applyNumberFormat="0" applyBorder="0" applyAlignment="0" applyProtection="0"/>
    <xf numFmtId="0" fontId="2" fillId="20" borderId="1" applyNumberFormat="0" applyBorder="0" applyAlignment="0" applyProtection="0"/>
    <xf numFmtId="0" fontId="2" fillId="24" borderId="1" applyNumberFormat="0" applyBorder="0" applyAlignment="0" applyProtection="0"/>
    <xf numFmtId="0" fontId="2" fillId="28" borderId="1" applyNumberFormat="0" applyBorder="0" applyAlignment="0" applyProtection="0"/>
    <xf numFmtId="0" fontId="2" fillId="32" borderId="1" applyNumberFormat="0" applyBorder="0" applyAlignment="0" applyProtection="0"/>
    <xf numFmtId="0" fontId="2" fillId="36" borderId="1" applyNumberFormat="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0" borderId="1"/>
    <xf numFmtId="0" fontId="2" fillId="0" borderId="1"/>
    <xf numFmtId="0" fontId="2" fillId="0" borderId="1"/>
    <xf numFmtId="0" fontId="2" fillId="0" borderId="1"/>
    <xf numFmtId="0" fontId="2" fillId="13" borderId="83" applyNumberFormat="0" applyFont="0" applyAlignment="0" applyProtection="0"/>
    <xf numFmtId="0" fontId="2" fillId="13" borderId="83" applyNumberFormat="0" applyFont="0" applyAlignment="0" applyProtection="0"/>
    <xf numFmtId="9" fontId="2" fillId="0" borderId="1" applyFont="0" applyFill="0" applyBorder="0" applyAlignment="0" applyProtection="0"/>
    <xf numFmtId="9"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15" borderId="1" applyNumberFormat="0" applyBorder="0" applyAlignment="0" applyProtection="0"/>
    <xf numFmtId="0" fontId="2" fillId="16" borderId="1" applyNumberFormat="0" applyBorder="0" applyAlignment="0" applyProtection="0"/>
    <xf numFmtId="0" fontId="2" fillId="19" borderId="1" applyNumberFormat="0" applyBorder="0" applyAlignment="0" applyProtection="0"/>
    <xf numFmtId="0" fontId="2" fillId="20" borderId="1" applyNumberFormat="0" applyBorder="0" applyAlignment="0" applyProtection="0"/>
    <xf numFmtId="0" fontId="2" fillId="23" borderId="1" applyNumberFormat="0" applyBorder="0" applyAlignment="0" applyProtection="0"/>
    <xf numFmtId="0" fontId="2" fillId="24" borderId="1" applyNumberFormat="0" applyBorder="0" applyAlignment="0" applyProtection="0"/>
    <xf numFmtId="0" fontId="2" fillId="27" borderId="1" applyNumberFormat="0" applyBorder="0" applyAlignment="0" applyProtection="0"/>
    <xf numFmtId="0" fontId="2" fillId="28" borderId="1" applyNumberFormat="0" applyBorder="0" applyAlignment="0" applyProtection="0"/>
    <xf numFmtId="0" fontId="2" fillId="31" borderId="1" applyNumberFormat="0" applyBorder="0" applyAlignment="0" applyProtection="0"/>
    <xf numFmtId="0" fontId="2" fillId="32" borderId="1" applyNumberFormat="0" applyBorder="0" applyAlignment="0" applyProtection="0"/>
    <xf numFmtId="0" fontId="2" fillId="35" borderId="1" applyNumberFormat="0" applyBorder="0" applyAlignment="0" applyProtection="0"/>
    <xf numFmtId="0" fontId="2" fillId="36" borderId="1" applyNumberFormat="0" applyBorder="0" applyAlignment="0" applyProtection="0"/>
    <xf numFmtId="0" fontId="2" fillId="0" borderId="1"/>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0" borderId="1"/>
    <xf numFmtId="0" fontId="2" fillId="0" borderId="1"/>
    <xf numFmtId="0" fontId="2" fillId="0" borderId="1"/>
    <xf numFmtId="0" fontId="2" fillId="0" borderId="1"/>
    <xf numFmtId="0" fontId="2" fillId="13" borderId="83" applyNumberFormat="0" applyFont="0" applyAlignment="0" applyProtection="0"/>
    <xf numFmtId="0" fontId="2" fillId="13" borderId="83" applyNumberFormat="0" applyFont="0" applyAlignment="0" applyProtection="0"/>
    <xf numFmtId="9" fontId="2" fillId="0" borderId="1" applyFont="0" applyFill="0" applyBorder="0" applyAlignment="0" applyProtection="0"/>
    <xf numFmtId="9" fontId="2" fillId="0" borderId="1" applyFont="0" applyFill="0" applyBorder="0" applyAlignment="0" applyProtection="0"/>
    <xf numFmtId="0" fontId="2" fillId="0" borderId="1"/>
    <xf numFmtId="0" fontId="2" fillId="15" borderId="1" applyNumberFormat="0" applyBorder="0" applyAlignment="0" applyProtection="0"/>
    <xf numFmtId="0" fontId="2" fillId="19" borderId="1" applyNumberFormat="0" applyBorder="0" applyAlignment="0" applyProtection="0"/>
    <xf numFmtId="0" fontId="2" fillId="23" borderId="1" applyNumberFormat="0" applyBorder="0" applyAlignment="0" applyProtection="0"/>
    <xf numFmtId="0" fontId="2" fillId="27" borderId="1" applyNumberFormat="0" applyBorder="0" applyAlignment="0" applyProtection="0"/>
    <xf numFmtId="0" fontId="2" fillId="31" borderId="1" applyNumberFormat="0" applyBorder="0" applyAlignment="0" applyProtection="0"/>
    <xf numFmtId="0" fontId="2" fillId="35" borderId="1" applyNumberFormat="0" applyBorder="0" applyAlignment="0" applyProtection="0"/>
    <xf numFmtId="0" fontId="2" fillId="16" borderId="1" applyNumberFormat="0" applyBorder="0" applyAlignment="0" applyProtection="0"/>
    <xf numFmtId="0" fontId="2" fillId="20" borderId="1" applyNumberFormat="0" applyBorder="0" applyAlignment="0" applyProtection="0"/>
    <xf numFmtId="0" fontId="2" fillId="24" borderId="1" applyNumberFormat="0" applyBorder="0" applyAlignment="0" applyProtection="0"/>
    <xf numFmtId="0" fontId="2" fillId="28" borderId="1" applyNumberFormat="0" applyBorder="0" applyAlignment="0" applyProtection="0"/>
    <xf numFmtId="0" fontId="2" fillId="32" borderId="1" applyNumberFormat="0" applyBorder="0" applyAlignment="0" applyProtection="0"/>
    <xf numFmtId="0" fontId="2" fillId="36" borderId="1" applyNumberFormat="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0" borderId="1"/>
    <xf numFmtId="0" fontId="2" fillId="0" borderId="1"/>
    <xf numFmtId="0" fontId="2" fillId="0" borderId="1"/>
    <xf numFmtId="0" fontId="2" fillId="0" borderId="1"/>
    <xf numFmtId="0" fontId="2" fillId="13" borderId="83" applyNumberFormat="0" applyFont="0" applyAlignment="0" applyProtection="0"/>
    <xf numFmtId="0" fontId="2" fillId="13" borderId="83" applyNumberFormat="0" applyFont="0" applyAlignment="0" applyProtection="0"/>
    <xf numFmtId="9" fontId="2" fillId="0" borderId="1" applyFont="0" applyFill="0" applyBorder="0" applyAlignment="0" applyProtection="0"/>
    <xf numFmtId="9" fontId="2" fillId="0" borderId="1" applyFont="0" applyFill="0" applyBorder="0" applyAlignment="0" applyProtection="0"/>
    <xf numFmtId="165" fontId="2" fillId="0" borderId="1" applyFont="0" applyFill="0" applyBorder="0" applyAlignment="0" applyProtection="0"/>
    <xf numFmtId="0" fontId="2" fillId="0" borderId="1"/>
    <xf numFmtId="0" fontId="2" fillId="15" borderId="1" applyNumberFormat="0" applyBorder="0" applyAlignment="0" applyProtection="0"/>
    <xf numFmtId="0" fontId="2" fillId="15"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0" borderId="1"/>
    <xf numFmtId="0" fontId="2" fillId="0" borderId="1"/>
    <xf numFmtId="0" fontId="2" fillId="0" borderId="1"/>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9"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0" borderId="1"/>
    <xf numFmtId="0" fontId="2" fillId="0" borderId="1"/>
    <xf numFmtId="0" fontId="2" fillId="0" borderId="1"/>
    <xf numFmtId="0" fontId="2" fillId="0" borderId="1"/>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0" borderId="1"/>
    <xf numFmtId="0" fontId="2" fillId="0" borderId="1"/>
    <xf numFmtId="0" fontId="2" fillId="0" borderId="1"/>
    <xf numFmtId="0" fontId="2" fillId="0" borderId="1"/>
    <xf numFmtId="0" fontId="2" fillId="13" borderId="83" applyNumberFormat="0" applyFont="0" applyAlignment="0" applyProtection="0"/>
    <xf numFmtId="9" fontId="2" fillId="0" borderId="1" applyFont="0" applyFill="0" applyBorder="0" applyAlignment="0" applyProtection="0"/>
    <xf numFmtId="9" fontId="2" fillId="0" borderId="1" applyFont="0" applyFill="0" applyBorder="0" applyAlignment="0" applyProtection="0"/>
    <xf numFmtId="0" fontId="2" fillId="0" borderId="1"/>
    <xf numFmtId="0" fontId="2" fillId="15" borderId="1" applyNumberFormat="0" applyBorder="0" applyAlignment="0" applyProtection="0"/>
    <xf numFmtId="0" fontId="2" fillId="16" borderId="1" applyNumberFormat="0" applyBorder="0" applyAlignment="0" applyProtection="0"/>
    <xf numFmtId="0" fontId="2" fillId="19" borderId="1" applyNumberFormat="0" applyBorder="0" applyAlignment="0" applyProtection="0"/>
    <xf numFmtId="0" fontId="2" fillId="20" borderId="1" applyNumberFormat="0" applyBorder="0" applyAlignment="0" applyProtection="0"/>
    <xf numFmtId="0" fontId="2" fillId="23" borderId="1" applyNumberFormat="0" applyBorder="0" applyAlignment="0" applyProtection="0"/>
    <xf numFmtId="0" fontId="2" fillId="24" borderId="1" applyNumberFormat="0" applyBorder="0" applyAlignment="0" applyProtection="0"/>
    <xf numFmtId="0" fontId="2" fillId="27" borderId="1" applyNumberFormat="0" applyBorder="0" applyAlignment="0" applyProtection="0"/>
    <xf numFmtId="0" fontId="2" fillId="28" borderId="1" applyNumberFormat="0" applyBorder="0" applyAlignment="0" applyProtection="0"/>
    <xf numFmtId="0" fontId="2" fillId="31" borderId="1" applyNumberFormat="0" applyBorder="0" applyAlignment="0" applyProtection="0"/>
    <xf numFmtId="0" fontId="2" fillId="32" borderId="1" applyNumberFormat="0" applyBorder="0" applyAlignment="0" applyProtection="0"/>
    <xf numFmtId="0" fontId="2" fillId="35" borderId="1" applyNumberFormat="0" applyBorder="0" applyAlignment="0" applyProtection="0"/>
    <xf numFmtId="0" fontId="2" fillId="36" borderId="1" applyNumberFormat="0" applyBorder="0" applyAlignment="0" applyProtection="0"/>
    <xf numFmtId="0" fontId="2" fillId="0" borderId="1"/>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0" borderId="1"/>
    <xf numFmtId="0" fontId="2" fillId="0" borderId="1"/>
    <xf numFmtId="0" fontId="2" fillId="0" borderId="1"/>
    <xf numFmtId="0" fontId="2" fillId="0" borderId="1"/>
    <xf numFmtId="0" fontId="2" fillId="13" borderId="83" applyNumberFormat="0" applyFont="0" applyAlignment="0" applyProtection="0"/>
    <xf numFmtId="0" fontId="2" fillId="13" borderId="83" applyNumberFormat="0" applyFont="0" applyAlignment="0" applyProtection="0"/>
    <xf numFmtId="9" fontId="2" fillId="0" borderId="1" applyFont="0" applyFill="0" applyBorder="0" applyAlignment="0" applyProtection="0"/>
    <xf numFmtId="9" fontId="2" fillId="0" borderId="1" applyFont="0" applyFill="0" applyBorder="0" applyAlignment="0" applyProtection="0"/>
    <xf numFmtId="0" fontId="2" fillId="0" borderId="1"/>
    <xf numFmtId="0" fontId="2" fillId="15" borderId="1" applyNumberFormat="0" applyBorder="0" applyAlignment="0" applyProtection="0"/>
    <xf numFmtId="0" fontId="2" fillId="19" borderId="1" applyNumberFormat="0" applyBorder="0" applyAlignment="0" applyProtection="0"/>
    <xf numFmtId="0" fontId="2" fillId="23" borderId="1" applyNumberFormat="0" applyBorder="0" applyAlignment="0" applyProtection="0"/>
    <xf numFmtId="0" fontId="2" fillId="27" borderId="1" applyNumberFormat="0" applyBorder="0" applyAlignment="0" applyProtection="0"/>
    <xf numFmtId="0" fontId="2" fillId="31" borderId="1" applyNumberFormat="0" applyBorder="0" applyAlignment="0" applyProtection="0"/>
    <xf numFmtId="0" fontId="2" fillId="35" borderId="1" applyNumberFormat="0" applyBorder="0" applyAlignment="0" applyProtection="0"/>
    <xf numFmtId="0" fontId="2" fillId="16" borderId="1" applyNumberFormat="0" applyBorder="0" applyAlignment="0" applyProtection="0"/>
    <xf numFmtId="0" fontId="2" fillId="20" borderId="1" applyNumberFormat="0" applyBorder="0" applyAlignment="0" applyProtection="0"/>
    <xf numFmtId="0" fontId="2" fillId="24" borderId="1" applyNumberFormat="0" applyBorder="0" applyAlignment="0" applyProtection="0"/>
    <xf numFmtId="0" fontId="2" fillId="28" borderId="1" applyNumberFormat="0" applyBorder="0" applyAlignment="0" applyProtection="0"/>
    <xf numFmtId="0" fontId="2" fillId="32" borderId="1" applyNumberFormat="0" applyBorder="0" applyAlignment="0" applyProtection="0"/>
    <xf numFmtId="0" fontId="2" fillId="36" borderId="1" applyNumberFormat="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0" borderId="1"/>
    <xf numFmtId="0" fontId="2" fillId="0" borderId="1"/>
    <xf numFmtId="0" fontId="2" fillId="0" borderId="1"/>
    <xf numFmtId="0" fontId="2" fillId="0" borderId="1"/>
    <xf numFmtId="0" fontId="2" fillId="13" borderId="83" applyNumberFormat="0" applyFont="0" applyAlignment="0" applyProtection="0"/>
    <xf numFmtId="0" fontId="2" fillId="13" borderId="83" applyNumberFormat="0" applyFont="0" applyAlignment="0" applyProtection="0"/>
    <xf numFmtId="9" fontId="2" fillId="0" borderId="1" applyFont="0" applyFill="0" applyBorder="0" applyAlignment="0" applyProtection="0"/>
    <xf numFmtId="9"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15" borderId="1" applyNumberFormat="0" applyBorder="0" applyAlignment="0" applyProtection="0"/>
    <xf numFmtId="0" fontId="2" fillId="16" borderId="1" applyNumberFormat="0" applyBorder="0" applyAlignment="0" applyProtection="0"/>
    <xf numFmtId="0" fontId="2" fillId="19" borderId="1" applyNumberFormat="0" applyBorder="0" applyAlignment="0" applyProtection="0"/>
    <xf numFmtId="0" fontId="2" fillId="20" borderId="1" applyNumberFormat="0" applyBorder="0" applyAlignment="0" applyProtection="0"/>
    <xf numFmtId="0" fontId="2" fillId="23" borderId="1" applyNumberFormat="0" applyBorder="0" applyAlignment="0" applyProtection="0"/>
    <xf numFmtId="0" fontId="2" fillId="24" borderId="1" applyNumberFormat="0" applyBorder="0" applyAlignment="0" applyProtection="0"/>
    <xf numFmtId="0" fontId="2" fillId="27" borderId="1" applyNumberFormat="0" applyBorder="0" applyAlignment="0" applyProtection="0"/>
    <xf numFmtId="0" fontId="2" fillId="28" borderId="1" applyNumberFormat="0" applyBorder="0" applyAlignment="0" applyProtection="0"/>
    <xf numFmtId="0" fontId="2" fillId="31" borderId="1" applyNumberFormat="0" applyBorder="0" applyAlignment="0" applyProtection="0"/>
    <xf numFmtId="0" fontId="2" fillId="32" borderId="1" applyNumberFormat="0" applyBorder="0" applyAlignment="0" applyProtection="0"/>
    <xf numFmtId="0" fontId="2" fillId="35" borderId="1" applyNumberFormat="0" applyBorder="0" applyAlignment="0" applyProtection="0"/>
    <xf numFmtId="0" fontId="2" fillId="36" borderId="1" applyNumberFormat="0" applyBorder="0" applyAlignment="0" applyProtection="0"/>
    <xf numFmtId="0" fontId="2" fillId="0" borderId="1"/>
    <xf numFmtId="0" fontId="2" fillId="0" borderId="1"/>
    <xf numFmtId="165" fontId="2" fillId="0" borderId="1" applyFont="0" applyFill="0" applyBorder="0" applyAlignment="0" applyProtection="0"/>
    <xf numFmtId="0" fontId="2" fillId="0" borderId="1"/>
    <xf numFmtId="9" fontId="2" fillId="0" borderId="1" applyFont="0" applyFill="0" applyBorder="0" applyAlignment="0" applyProtection="0"/>
    <xf numFmtId="0" fontId="2" fillId="13" borderId="83" applyNumberFormat="0" applyFont="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0" borderId="1"/>
    <xf numFmtId="0" fontId="2" fillId="0" borderId="1"/>
    <xf numFmtId="0" fontId="2" fillId="0" borderId="1"/>
    <xf numFmtId="0" fontId="2" fillId="0" borderId="1"/>
    <xf numFmtId="0" fontId="2" fillId="15" borderId="1" applyNumberFormat="0" applyBorder="0" applyAlignment="0" applyProtection="0"/>
    <xf numFmtId="0" fontId="2" fillId="19" borderId="1" applyNumberFormat="0" applyBorder="0" applyAlignment="0" applyProtection="0"/>
    <xf numFmtId="0" fontId="2" fillId="23" borderId="1" applyNumberFormat="0" applyBorder="0" applyAlignment="0" applyProtection="0"/>
    <xf numFmtId="0" fontId="2" fillId="27" borderId="1" applyNumberFormat="0" applyBorder="0" applyAlignment="0" applyProtection="0"/>
    <xf numFmtId="0" fontId="2" fillId="31" borderId="1" applyNumberFormat="0" applyBorder="0" applyAlignment="0" applyProtection="0"/>
    <xf numFmtId="0" fontId="2" fillId="35" borderId="1" applyNumberFormat="0" applyBorder="0" applyAlignment="0" applyProtection="0"/>
    <xf numFmtId="0" fontId="2" fillId="16" borderId="1" applyNumberFormat="0" applyBorder="0" applyAlignment="0" applyProtection="0"/>
    <xf numFmtId="0" fontId="2" fillId="20" borderId="1" applyNumberFormat="0" applyBorder="0" applyAlignment="0" applyProtection="0"/>
    <xf numFmtId="0" fontId="2" fillId="24" borderId="1" applyNumberFormat="0" applyBorder="0" applyAlignment="0" applyProtection="0"/>
    <xf numFmtId="0" fontId="2" fillId="28" borderId="1" applyNumberFormat="0" applyBorder="0" applyAlignment="0" applyProtection="0"/>
    <xf numFmtId="0" fontId="2" fillId="32" borderId="1" applyNumberFormat="0" applyBorder="0" applyAlignment="0" applyProtection="0"/>
    <xf numFmtId="0" fontId="2" fillId="36" borderId="1" applyNumberFormat="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0" borderId="1"/>
    <xf numFmtId="0" fontId="2" fillId="0" borderId="1"/>
    <xf numFmtId="0" fontId="2" fillId="0" borderId="1"/>
    <xf numFmtId="0" fontId="2" fillId="0" borderId="1"/>
    <xf numFmtId="0" fontId="2" fillId="13" borderId="83" applyNumberFormat="0" applyFont="0" applyAlignment="0" applyProtection="0"/>
    <xf numFmtId="0" fontId="2" fillId="13" borderId="83" applyNumberFormat="0" applyFont="0" applyAlignment="0" applyProtection="0"/>
    <xf numFmtId="9" fontId="2" fillId="0" borderId="1" applyFont="0" applyFill="0" applyBorder="0" applyAlignment="0" applyProtection="0"/>
    <xf numFmtId="9"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15" borderId="1" applyNumberFormat="0" applyBorder="0" applyAlignment="0" applyProtection="0"/>
    <xf numFmtId="0" fontId="2" fillId="16" borderId="1" applyNumberFormat="0" applyBorder="0" applyAlignment="0" applyProtection="0"/>
    <xf numFmtId="0" fontId="2" fillId="19" borderId="1" applyNumberFormat="0" applyBorder="0" applyAlignment="0" applyProtection="0"/>
    <xf numFmtId="0" fontId="2" fillId="20" borderId="1" applyNumberFormat="0" applyBorder="0" applyAlignment="0" applyProtection="0"/>
    <xf numFmtId="0" fontId="2" fillId="23" borderId="1" applyNumberFormat="0" applyBorder="0" applyAlignment="0" applyProtection="0"/>
    <xf numFmtId="0" fontId="2" fillId="24" borderId="1" applyNumberFormat="0" applyBorder="0" applyAlignment="0" applyProtection="0"/>
    <xf numFmtId="0" fontId="2" fillId="27" borderId="1" applyNumberFormat="0" applyBorder="0" applyAlignment="0" applyProtection="0"/>
    <xf numFmtId="0" fontId="2" fillId="28" borderId="1" applyNumberFormat="0" applyBorder="0" applyAlignment="0" applyProtection="0"/>
    <xf numFmtId="0" fontId="2" fillId="31" borderId="1" applyNumberFormat="0" applyBorder="0" applyAlignment="0" applyProtection="0"/>
    <xf numFmtId="0" fontId="2" fillId="32" borderId="1" applyNumberFormat="0" applyBorder="0" applyAlignment="0" applyProtection="0"/>
    <xf numFmtId="0" fontId="2" fillId="35" borderId="1" applyNumberFormat="0" applyBorder="0" applyAlignment="0" applyProtection="0"/>
    <xf numFmtId="0" fontId="2" fillId="36" borderId="1" applyNumberFormat="0" applyBorder="0" applyAlignment="0" applyProtection="0"/>
    <xf numFmtId="0" fontId="2" fillId="0" borderId="1"/>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0" borderId="1"/>
    <xf numFmtId="0" fontId="2" fillId="0" borderId="1"/>
    <xf numFmtId="0" fontId="2" fillId="0" borderId="1"/>
    <xf numFmtId="0" fontId="2" fillId="0" borderId="1"/>
    <xf numFmtId="0" fontId="2" fillId="13" borderId="83" applyNumberFormat="0" applyFont="0" applyAlignment="0" applyProtection="0"/>
    <xf numFmtId="0" fontId="2" fillId="13" borderId="83" applyNumberFormat="0" applyFont="0" applyAlignment="0" applyProtection="0"/>
    <xf numFmtId="9" fontId="2" fillId="0" borderId="1" applyFont="0" applyFill="0" applyBorder="0" applyAlignment="0" applyProtection="0"/>
    <xf numFmtId="9" fontId="2" fillId="0" borderId="1" applyFont="0" applyFill="0" applyBorder="0" applyAlignment="0" applyProtection="0"/>
    <xf numFmtId="0" fontId="2" fillId="0" borderId="1"/>
    <xf numFmtId="0" fontId="2" fillId="15" borderId="1" applyNumberFormat="0" applyBorder="0" applyAlignment="0" applyProtection="0"/>
    <xf numFmtId="0" fontId="2" fillId="19" borderId="1" applyNumberFormat="0" applyBorder="0" applyAlignment="0" applyProtection="0"/>
    <xf numFmtId="0" fontId="2" fillId="23" borderId="1" applyNumberFormat="0" applyBorder="0" applyAlignment="0" applyProtection="0"/>
    <xf numFmtId="0" fontId="2" fillId="27" borderId="1" applyNumberFormat="0" applyBorder="0" applyAlignment="0" applyProtection="0"/>
    <xf numFmtId="0" fontId="2" fillId="31" borderId="1" applyNumberFormat="0" applyBorder="0" applyAlignment="0" applyProtection="0"/>
    <xf numFmtId="0" fontId="2" fillId="35" borderId="1" applyNumberFormat="0" applyBorder="0" applyAlignment="0" applyProtection="0"/>
    <xf numFmtId="0" fontId="2" fillId="16" borderId="1" applyNumberFormat="0" applyBorder="0" applyAlignment="0" applyProtection="0"/>
    <xf numFmtId="0" fontId="2" fillId="20" borderId="1" applyNumberFormat="0" applyBorder="0" applyAlignment="0" applyProtection="0"/>
    <xf numFmtId="0" fontId="2" fillId="24" borderId="1" applyNumberFormat="0" applyBorder="0" applyAlignment="0" applyProtection="0"/>
    <xf numFmtId="0" fontId="2" fillId="28" borderId="1" applyNumberFormat="0" applyBorder="0" applyAlignment="0" applyProtection="0"/>
    <xf numFmtId="0" fontId="2" fillId="32" borderId="1" applyNumberFormat="0" applyBorder="0" applyAlignment="0" applyProtection="0"/>
    <xf numFmtId="0" fontId="2" fillId="36" borderId="1" applyNumberFormat="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0" borderId="1"/>
    <xf numFmtId="0" fontId="2" fillId="0" borderId="1"/>
    <xf numFmtId="0" fontId="2" fillId="0" borderId="1"/>
    <xf numFmtId="0" fontId="2" fillId="0" borderId="1"/>
    <xf numFmtId="0" fontId="2" fillId="13" borderId="83" applyNumberFormat="0" applyFont="0" applyAlignment="0" applyProtection="0"/>
    <xf numFmtId="0" fontId="2" fillId="13" borderId="83" applyNumberFormat="0" applyFont="0" applyAlignment="0" applyProtection="0"/>
    <xf numFmtId="9" fontId="2" fillId="0" borderId="1" applyFont="0" applyFill="0" applyBorder="0" applyAlignment="0" applyProtection="0"/>
    <xf numFmtId="9"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165" fontId="2" fillId="0" borderId="1" applyFont="0" applyFill="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5"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43"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165" fontId="2" fillId="0" borderId="1" applyFont="0" applyFill="0" applyBorder="0" applyAlignment="0" applyProtection="0"/>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9" fontId="2" fillId="0" borderId="1" applyFont="0" applyFill="0" applyBorder="0" applyAlignment="0" applyProtection="0"/>
    <xf numFmtId="0" fontId="2" fillId="0" borderId="1"/>
    <xf numFmtId="0" fontId="2" fillId="15" borderId="1" applyNumberFormat="0" applyBorder="0" applyAlignment="0" applyProtection="0"/>
    <xf numFmtId="0" fontId="2" fillId="19" borderId="1" applyNumberFormat="0" applyBorder="0" applyAlignment="0" applyProtection="0"/>
    <xf numFmtId="0" fontId="2" fillId="23" borderId="1" applyNumberFormat="0" applyBorder="0" applyAlignment="0" applyProtection="0"/>
    <xf numFmtId="0" fontId="2" fillId="27" borderId="1" applyNumberFormat="0" applyBorder="0" applyAlignment="0" applyProtection="0"/>
    <xf numFmtId="0" fontId="2" fillId="31" borderId="1" applyNumberFormat="0" applyBorder="0" applyAlignment="0" applyProtection="0"/>
    <xf numFmtId="0" fontId="2" fillId="35" borderId="1" applyNumberFormat="0" applyBorder="0" applyAlignment="0" applyProtection="0"/>
    <xf numFmtId="0" fontId="2" fillId="16" borderId="1" applyNumberFormat="0" applyBorder="0" applyAlignment="0" applyProtection="0"/>
    <xf numFmtId="0" fontId="2" fillId="20" borderId="1" applyNumberFormat="0" applyBorder="0" applyAlignment="0" applyProtection="0"/>
    <xf numFmtId="0" fontId="2" fillId="24" borderId="1" applyNumberFormat="0" applyBorder="0" applyAlignment="0" applyProtection="0"/>
    <xf numFmtId="0" fontId="2" fillId="28" borderId="1" applyNumberFormat="0" applyBorder="0" applyAlignment="0" applyProtection="0"/>
    <xf numFmtId="0" fontId="2" fillId="32" borderId="1" applyNumberFormat="0" applyBorder="0" applyAlignment="0" applyProtection="0"/>
    <xf numFmtId="0" fontId="2" fillId="36" borderId="1" applyNumberFormat="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0" borderId="1"/>
    <xf numFmtId="0" fontId="2" fillId="0" borderId="1"/>
    <xf numFmtId="0" fontId="2" fillId="0" borderId="1"/>
    <xf numFmtId="0" fontId="2" fillId="0" borderId="1"/>
    <xf numFmtId="0" fontId="2" fillId="13" borderId="83" applyNumberFormat="0" applyFont="0" applyAlignment="0" applyProtection="0"/>
    <xf numFmtId="0" fontId="2" fillId="13" borderId="83" applyNumberFormat="0" applyFont="0" applyAlignment="0" applyProtection="0"/>
    <xf numFmtId="9" fontId="2" fillId="0" borderId="1" applyFont="0" applyFill="0" applyBorder="0" applyAlignment="0" applyProtection="0"/>
    <xf numFmtId="9" fontId="2" fillId="0" borderId="1" applyFont="0" applyFill="0" applyBorder="0" applyAlignment="0" applyProtection="0"/>
    <xf numFmtId="0" fontId="2" fillId="0" borderId="1"/>
    <xf numFmtId="0" fontId="2" fillId="15" borderId="1" applyNumberFormat="0" applyBorder="0" applyAlignment="0" applyProtection="0"/>
    <xf numFmtId="0" fontId="2" fillId="19" borderId="1" applyNumberFormat="0" applyBorder="0" applyAlignment="0" applyProtection="0"/>
    <xf numFmtId="0" fontId="2" fillId="23" borderId="1" applyNumberFormat="0" applyBorder="0" applyAlignment="0" applyProtection="0"/>
    <xf numFmtId="0" fontId="2" fillId="27" borderId="1" applyNumberFormat="0" applyBorder="0" applyAlignment="0" applyProtection="0"/>
    <xf numFmtId="0" fontId="2" fillId="31" borderId="1" applyNumberFormat="0" applyBorder="0" applyAlignment="0" applyProtection="0"/>
    <xf numFmtId="0" fontId="2" fillId="35" borderId="1" applyNumberFormat="0" applyBorder="0" applyAlignment="0" applyProtection="0"/>
    <xf numFmtId="0" fontId="2" fillId="16" borderId="1" applyNumberFormat="0" applyBorder="0" applyAlignment="0" applyProtection="0"/>
    <xf numFmtId="0" fontId="2" fillId="20" borderId="1" applyNumberFormat="0" applyBorder="0" applyAlignment="0" applyProtection="0"/>
    <xf numFmtId="0" fontId="2" fillId="24" borderId="1" applyNumberFormat="0" applyBorder="0" applyAlignment="0" applyProtection="0"/>
    <xf numFmtId="0" fontId="2" fillId="28" borderId="1" applyNumberFormat="0" applyBorder="0" applyAlignment="0" applyProtection="0"/>
    <xf numFmtId="0" fontId="2" fillId="32" borderId="1" applyNumberFormat="0" applyBorder="0" applyAlignment="0" applyProtection="0"/>
    <xf numFmtId="0" fontId="2" fillId="36" borderId="1" applyNumberFormat="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0" borderId="1"/>
    <xf numFmtId="0" fontId="2" fillId="0" borderId="1"/>
    <xf numFmtId="0" fontId="2" fillId="0" borderId="1"/>
    <xf numFmtId="0" fontId="2" fillId="0" borderId="1"/>
    <xf numFmtId="0" fontId="2" fillId="13" borderId="83" applyNumberFormat="0" applyFont="0" applyAlignment="0" applyProtection="0"/>
    <xf numFmtId="0" fontId="2" fillId="13" borderId="83" applyNumberFormat="0" applyFont="0" applyAlignment="0" applyProtection="0"/>
    <xf numFmtId="9" fontId="2" fillId="0" borderId="1" applyFont="0" applyFill="0" applyBorder="0" applyAlignment="0" applyProtection="0"/>
    <xf numFmtId="9"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15" borderId="1" applyNumberFormat="0" applyBorder="0" applyAlignment="0" applyProtection="0"/>
    <xf numFmtId="0" fontId="2" fillId="16" borderId="1" applyNumberFormat="0" applyBorder="0" applyAlignment="0" applyProtection="0"/>
    <xf numFmtId="0" fontId="2" fillId="19" borderId="1" applyNumberFormat="0" applyBorder="0" applyAlignment="0" applyProtection="0"/>
    <xf numFmtId="0" fontId="2" fillId="20" borderId="1" applyNumberFormat="0" applyBorder="0" applyAlignment="0" applyProtection="0"/>
    <xf numFmtId="0" fontId="2" fillId="23" borderId="1" applyNumberFormat="0" applyBorder="0" applyAlignment="0" applyProtection="0"/>
    <xf numFmtId="0" fontId="2" fillId="24" borderId="1" applyNumberFormat="0" applyBorder="0" applyAlignment="0" applyProtection="0"/>
    <xf numFmtId="0" fontId="2" fillId="27" borderId="1" applyNumberFormat="0" applyBorder="0" applyAlignment="0" applyProtection="0"/>
    <xf numFmtId="0" fontId="2" fillId="28" borderId="1" applyNumberFormat="0" applyBorder="0" applyAlignment="0" applyProtection="0"/>
    <xf numFmtId="0" fontId="2" fillId="31" borderId="1" applyNumberFormat="0" applyBorder="0" applyAlignment="0" applyProtection="0"/>
    <xf numFmtId="0" fontId="2" fillId="32" borderId="1" applyNumberFormat="0" applyBorder="0" applyAlignment="0" applyProtection="0"/>
    <xf numFmtId="0" fontId="2" fillId="35" borderId="1" applyNumberFormat="0" applyBorder="0" applyAlignment="0" applyProtection="0"/>
    <xf numFmtId="0" fontId="2" fillId="36" borderId="1" applyNumberFormat="0" applyBorder="0" applyAlignment="0" applyProtection="0"/>
    <xf numFmtId="0" fontId="2" fillId="0" borderId="1"/>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0" borderId="1"/>
    <xf numFmtId="0" fontId="2" fillId="0" borderId="1"/>
    <xf numFmtId="0" fontId="2" fillId="0" borderId="1"/>
    <xf numFmtId="0" fontId="2" fillId="0" borderId="1"/>
    <xf numFmtId="0" fontId="2" fillId="13" borderId="83" applyNumberFormat="0" applyFont="0" applyAlignment="0" applyProtection="0"/>
    <xf numFmtId="0" fontId="2" fillId="13" borderId="83" applyNumberFormat="0" applyFont="0" applyAlignment="0" applyProtection="0"/>
    <xf numFmtId="9" fontId="2" fillId="0" borderId="1" applyFont="0" applyFill="0" applyBorder="0" applyAlignment="0" applyProtection="0"/>
    <xf numFmtId="9" fontId="2" fillId="0" borderId="1" applyFont="0" applyFill="0" applyBorder="0" applyAlignment="0" applyProtection="0"/>
    <xf numFmtId="0" fontId="2" fillId="0" borderId="1"/>
    <xf numFmtId="0" fontId="2" fillId="15" borderId="1" applyNumberFormat="0" applyBorder="0" applyAlignment="0" applyProtection="0"/>
    <xf numFmtId="0" fontId="2" fillId="19" borderId="1" applyNumberFormat="0" applyBorder="0" applyAlignment="0" applyProtection="0"/>
    <xf numFmtId="0" fontId="2" fillId="23" borderId="1" applyNumberFormat="0" applyBorder="0" applyAlignment="0" applyProtection="0"/>
    <xf numFmtId="0" fontId="2" fillId="27" borderId="1" applyNumberFormat="0" applyBorder="0" applyAlignment="0" applyProtection="0"/>
    <xf numFmtId="0" fontId="2" fillId="31" borderId="1" applyNumberFormat="0" applyBorder="0" applyAlignment="0" applyProtection="0"/>
    <xf numFmtId="0" fontId="2" fillId="35" borderId="1" applyNumberFormat="0" applyBorder="0" applyAlignment="0" applyProtection="0"/>
    <xf numFmtId="0" fontId="2" fillId="16" borderId="1" applyNumberFormat="0" applyBorder="0" applyAlignment="0" applyProtection="0"/>
    <xf numFmtId="0" fontId="2" fillId="20" borderId="1" applyNumberFormat="0" applyBorder="0" applyAlignment="0" applyProtection="0"/>
    <xf numFmtId="0" fontId="2" fillId="24" borderId="1" applyNumberFormat="0" applyBorder="0" applyAlignment="0" applyProtection="0"/>
    <xf numFmtId="0" fontId="2" fillId="28" borderId="1" applyNumberFormat="0" applyBorder="0" applyAlignment="0" applyProtection="0"/>
    <xf numFmtId="0" fontId="2" fillId="32" borderId="1" applyNumberFormat="0" applyBorder="0" applyAlignment="0" applyProtection="0"/>
    <xf numFmtId="0" fontId="2" fillId="36" borderId="1" applyNumberFormat="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0" borderId="1"/>
    <xf numFmtId="0" fontId="2" fillId="0" borderId="1"/>
    <xf numFmtId="0" fontId="2" fillId="0" borderId="1"/>
    <xf numFmtId="0" fontId="2" fillId="0" borderId="1"/>
    <xf numFmtId="0" fontId="2" fillId="13" borderId="83" applyNumberFormat="0" applyFont="0" applyAlignment="0" applyProtection="0"/>
    <xf numFmtId="0" fontId="2" fillId="13" borderId="83" applyNumberFormat="0" applyFont="0" applyAlignment="0" applyProtection="0"/>
    <xf numFmtId="9" fontId="2" fillId="0" borderId="1" applyFont="0" applyFill="0" applyBorder="0" applyAlignment="0" applyProtection="0"/>
    <xf numFmtId="9"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0" fontId="2" fillId="0" borderId="1"/>
    <xf numFmtId="0" fontId="2" fillId="15" borderId="1" applyNumberFormat="0" applyBorder="0" applyAlignment="0" applyProtection="0"/>
    <xf numFmtId="0" fontId="2" fillId="16" borderId="1" applyNumberFormat="0" applyBorder="0" applyAlignment="0" applyProtection="0"/>
    <xf numFmtId="0" fontId="2" fillId="19" borderId="1" applyNumberFormat="0" applyBorder="0" applyAlignment="0" applyProtection="0"/>
    <xf numFmtId="0" fontId="2" fillId="20" borderId="1" applyNumberFormat="0" applyBorder="0" applyAlignment="0" applyProtection="0"/>
    <xf numFmtId="0" fontId="2" fillId="23" borderId="1" applyNumberFormat="0" applyBorder="0" applyAlignment="0" applyProtection="0"/>
    <xf numFmtId="0" fontId="2" fillId="24" borderId="1" applyNumberFormat="0" applyBorder="0" applyAlignment="0" applyProtection="0"/>
    <xf numFmtId="0" fontId="2" fillId="27" borderId="1" applyNumberFormat="0" applyBorder="0" applyAlignment="0" applyProtection="0"/>
    <xf numFmtId="0" fontId="2" fillId="28" borderId="1" applyNumberFormat="0" applyBorder="0" applyAlignment="0" applyProtection="0"/>
    <xf numFmtId="0" fontId="2" fillId="31" borderId="1" applyNumberFormat="0" applyBorder="0" applyAlignment="0" applyProtection="0"/>
    <xf numFmtId="0" fontId="2" fillId="32" borderId="1" applyNumberFormat="0" applyBorder="0" applyAlignment="0" applyProtection="0"/>
    <xf numFmtId="0" fontId="2" fillId="35" borderId="1" applyNumberFormat="0" applyBorder="0" applyAlignment="0" applyProtection="0"/>
    <xf numFmtId="0" fontId="2" fillId="36" borderId="1" applyNumberFormat="0" applyBorder="0" applyAlignment="0" applyProtection="0"/>
    <xf numFmtId="0" fontId="2" fillId="0" borderId="1"/>
    <xf numFmtId="0" fontId="2" fillId="0" borderId="1"/>
    <xf numFmtId="43" fontId="2" fillId="0" borderId="1" applyFont="0" applyFill="0" applyBorder="0" applyAlignment="0" applyProtection="0"/>
    <xf numFmtId="0" fontId="2" fillId="0" borderId="1"/>
    <xf numFmtId="43" fontId="2" fillId="0" borderId="1" applyFont="0" applyFill="0" applyBorder="0" applyAlignment="0" applyProtection="0"/>
    <xf numFmtId="9" fontId="2" fillId="0" borderId="1" applyFont="0" applyFill="0" applyBorder="0" applyAlignment="0" applyProtection="0"/>
    <xf numFmtId="0" fontId="2" fillId="13" borderId="83" applyNumberFormat="0" applyFont="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0" borderId="1"/>
    <xf numFmtId="0" fontId="2" fillId="0" borderId="1"/>
    <xf numFmtId="0" fontId="2" fillId="0" borderId="1"/>
    <xf numFmtId="0" fontId="2" fillId="0" borderId="1"/>
    <xf numFmtId="0" fontId="2" fillId="15" borderId="1" applyNumberFormat="0" applyBorder="0" applyAlignment="0" applyProtection="0"/>
    <xf numFmtId="0" fontId="2" fillId="19" borderId="1" applyNumberFormat="0" applyBorder="0" applyAlignment="0" applyProtection="0"/>
    <xf numFmtId="0" fontId="2" fillId="23" borderId="1" applyNumberFormat="0" applyBorder="0" applyAlignment="0" applyProtection="0"/>
    <xf numFmtId="0" fontId="2" fillId="27" borderId="1" applyNumberFormat="0" applyBorder="0" applyAlignment="0" applyProtection="0"/>
    <xf numFmtId="0" fontId="2" fillId="31" borderId="1" applyNumberFormat="0" applyBorder="0" applyAlignment="0" applyProtection="0"/>
    <xf numFmtId="0" fontId="2" fillId="35" borderId="1" applyNumberFormat="0" applyBorder="0" applyAlignment="0" applyProtection="0"/>
    <xf numFmtId="0" fontId="2" fillId="16" borderId="1" applyNumberFormat="0" applyBorder="0" applyAlignment="0" applyProtection="0"/>
    <xf numFmtId="0" fontId="2" fillId="20" borderId="1" applyNumberFormat="0" applyBorder="0" applyAlignment="0" applyProtection="0"/>
    <xf numFmtId="0" fontId="2" fillId="24" borderId="1" applyNumberFormat="0" applyBorder="0" applyAlignment="0" applyProtection="0"/>
    <xf numFmtId="0" fontId="2" fillId="28" borderId="1" applyNumberFormat="0" applyBorder="0" applyAlignment="0" applyProtection="0"/>
    <xf numFmtId="0" fontId="2" fillId="32" borderId="1" applyNumberFormat="0" applyBorder="0" applyAlignment="0" applyProtection="0"/>
    <xf numFmtId="0" fontId="2" fillId="36" borderId="1" applyNumberFormat="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0" borderId="1"/>
    <xf numFmtId="0" fontId="2" fillId="0" borderId="1"/>
    <xf numFmtId="0" fontId="2" fillId="0" borderId="1"/>
    <xf numFmtId="0" fontId="2" fillId="0" borderId="1"/>
    <xf numFmtId="0" fontId="2" fillId="13" borderId="83" applyNumberFormat="0" applyFont="0" applyAlignment="0" applyProtection="0"/>
    <xf numFmtId="0" fontId="2" fillId="13" borderId="83" applyNumberFormat="0" applyFont="0" applyAlignment="0" applyProtection="0"/>
    <xf numFmtId="9" fontId="2" fillId="0" borderId="1" applyFont="0" applyFill="0" applyBorder="0" applyAlignment="0" applyProtection="0"/>
    <xf numFmtId="9"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15" borderId="1" applyNumberFormat="0" applyBorder="0" applyAlignment="0" applyProtection="0"/>
    <xf numFmtId="0" fontId="2" fillId="16" borderId="1" applyNumberFormat="0" applyBorder="0" applyAlignment="0" applyProtection="0"/>
    <xf numFmtId="0" fontId="2" fillId="19" borderId="1" applyNumberFormat="0" applyBorder="0" applyAlignment="0" applyProtection="0"/>
    <xf numFmtId="0" fontId="2" fillId="20" borderId="1" applyNumberFormat="0" applyBorder="0" applyAlignment="0" applyProtection="0"/>
    <xf numFmtId="0" fontId="2" fillId="23" borderId="1" applyNumberFormat="0" applyBorder="0" applyAlignment="0" applyProtection="0"/>
    <xf numFmtId="0" fontId="2" fillId="24" borderId="1" applyNumberFormat="0" applyBorder="0" applyAlignment="0" applyProtection="0"/>
    <xf numFmtId="0" fontId="2" fillId="27" borderId="1" applyNumberFormat="0" applyBorder="0" applyAlignment="0" applyProtection="0"/>
    <xf numFmtId="0" fontId="2" fillId="28" borderId="1" applyNumberFormat="0" applyBorder="0" applyAlignment="0" applyProtection="0"/>
    <xf numFmtId="0" fontId="2" fillId="31" borderId="1" applyNumberFormat="0" applyBorder="0" applyAlignment="0" applyProtection="0"/>
    <xf numFmtId="0" fontId="2" fillId="32" borderId="1" applyNumberFormat="0" applyBorder="0" applyAlignment="0" applyProtection="0"/>
    <xf numFmtId="0" fontId="2" fillId="35" borderId="1" applyNumberFormat="0" applyBorder="0" applyAlignment="0" applyProtection="0"/>
    <xf numFmtId="0" fontId="2" fillId="36" borderId="1" applyNumberFormat="0" applyBorder="0" applyAlignment="0" applyProtection="0"/>
    <xf numFmtId="0" fontId="2" fillId="0" borderId="1"/>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0" borderId="1"/>
    <xf numFmtId="0" fontId="2" fillId="0" borderId="1"/>
    <xf numFmtId="0" fontId="2" fillId="0" borderId="1"/>
    <xf numFmtId="0" fontId="2" fillId="0" borderId="1"/>
    <xf numFmtId="0" fontId="2" fillId="13" borderId="83" applyNumberFormat="0" applyFont="0" applyAlignment="0" applyProtection="0"/>
    <xf numFmtId="0" fontId="2" fillId="13" borderId="83" applyNumberFormat="0" applyFont="0" applyAlignment="0" applyProtection="0"/>
    <xf numFmtId="9" fontId="2" fillId="0" borderId="1" applyFont="0" applyFill="0" applyBorder="0" applyAlignment="0" applyProtection="0"/>
    <xf numFmtId="9" fontId="2" fillId="0" borderId="1" applyFont="0" applyFill="0" applyBorder="0" applyAlignment="0" applyProtection="0"/>
    <xf numFmtId="0" fontId="2" fillId="0" borderId="1"/>
    <xf numFmtId="0" fontId="2" fillId="15" borderId="1" applyNumberFormat="0" applyBorder="0" applyAlignment="0" applyProtection="0"/>
    <xf numFmtId="0" fontId="2" fillId="19" borderId="1" applyNumberFormat="0" applyBorder="0" applyAlignment="0" applyProtection="0"/>
    <xf numFmtId="0" fontId="2" fillId="23" borderId="1" applyNumberFormat="0" applyBorder="0" applyAlignment="0" applyProtection="0"/>
    <xf numFmtId="0" fontId="2" fillId="27" borderId="1" applyNumberFormat="0" applyBorder="0" applyAlignment="0" applyProtection="0"/>
    <xf numFmtId="0" fontId="2" fillId="31" borderId="1" applyNumberFormat="0" applyBorder="0" applyAlignment="0" applyProtection="0"/>
    <xf numFmtId="0" fontId="2" fillId="35" borderId="1" applyNumberFormat="0" applyBorder="0" applyAlignment="0" applyProtection="0"/>
    <xf numFmtId="0" fontId="2" fillId="16" borderId="1" applyNumberFormat="0" applyBorder="0" applyAlignment="0" applyProtection="0"/>
    <xf numFmtId="0" fontId="2" fillId="20" borderId="1" applyNumberFormat="0" applyBorder="0" applyAlignment="0" applyProtection="0"/>
    <xf numFmtId="0" fontId="2" fillId="24" borderId="1" applyNumberFormat="0" applyBorder="0" applyAlignment="0" applyProtection="0"/>
    <xf numFmtId="0" fontId="2" fillId="28" borderId="1" applyNumberFormat="0" applyBorder="0" applyAlignment="0" applyProtection="0"/>
    <xf numFmtId="0" fontId="2" fillId="32" borderId="1" applyNumberFormat="0" applyBorder="0" applyAlignment="0" applyProtection="0"/>
    <xf numFmtId="0" fontId="2" fillId="36" borderId="1" applyNumberFormat="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0" borderId="1"/>
    <xf numFmtId="0" fontId="2" fillId="0" borderId="1"/>
    <xf numFmtId="0" fontId="2" fillId="0" borderId="1"/>
    <xf numFmtId="0" fontId="2" fillId="0" borderId="1"/>
    <xf numFmtId="0" fontId="2" fillId="13" borderId="83" applyNumberFormat="0" applyFont="0" applyAlignment="0" applyProtection="0"/>
    <xf numFmtId="0" fontId="2" fillId="13" borderId="83" applyNumberFormat="0" applyFont="0" applyAlignment="0" applyProtection="0"/>
    <xf numFmtId="9" fontId="2" fillId="0" borderId="1" applyFont="0" applyFill="0" applyBorder="0" applyAlignment="0" applyProtection="0"/>
    <xf numFmtId="9" fontId="2" fillId="0" borderId="1" applyFont="0" applyFill="0" applyBorder="0" applyAlignment="0" applyProtection="0"/>
    <xf numFmtId="165" fontId="2" fillId="0" borderId="1" applyFont="0" applyFill="0" applyBorder="0" applyAlignment="0" applyProtection="0"/>
    <xf numFmtId="0" fontId="2" fillId="0" borderId="1"/>
    <xf numFmtId="0" fontId="2" fillId="15" borderId="1" applyNumberFormat="0" applyBorder="0" applyAlignment="0" applyProtection="0"/>
    <xf numFmtId="0" fontId="2" fillId="15"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43" fontId="2" fillId="0" borderId="1" applyFont="0" applyFill="0" applyBorder="0" applyAlignment="0" applyProtection="0"/>
    <xf numFmtId="43" fontId="2" fillId="0" borderId="1" applyFont="0" applyFill="0" applyBorder="0" applyAlignment="0" applyProtection="0"/>
    <xf numFmtId="0" fontId="2" fillId="0" borderId="1"/>
    <xf numFmtId="0" fontId="2" fillId="0" borderId="1"/>
    <xf numFmtId="0" fontId="2" fillId="0" borderId="1"/>
    <xf numFmtId="0" fontId="2" fillId="0" borderId="1"/>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9" fontId="2" fillId="0" borderId="1" applyFont="0" applyFill="0" applyBorder="0" applyAlignment="0" applyProtection="0"/>
    <xf numFmtId="165" fontId="2" fillId="0" borderId="1" applyFont="0" applyFill="0" applyBorder="0" applyAlignment="0" applyProtection="0"/>
    <xf numFmtId="43" fontId="2" fillId="0" borderId="1" applyFont="0" applyFill="0" applyBorder="0" applyAlignment="0" applyProtection="0"/>
    <xf numFmtId="165"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0" fontId="2" fillId="0" borderId="1"/>
    <xf numFmtId="0" fontId="2" fillId="0" borderId="1"/>
    <xf numFmtId="0" fontId="2" fillId="0" borderId="1"/>
    <xf numFmtId="0" fontId="2" fillId="0" borderId="1"/>
    <xf numFmtId="0" fontId="2" fillId="0" borderId="1"/>
    <xf numFmtId="43" fontId="2" fillId="0" borderId="1" applyFont="0" applyFill="0" applyBorder="0" applyAlignment="0" applyProtection="0"/>
    <xf numFmtId="165" fontId="2" fillId="0" borderId="1" applyFont="0" applyFill="0" applyBorder="0" applyAlignment="0" applyProtection="0"/>
    <xf numFmtId="43" fontId="2" fillId="0" borderId="1" applyFont="0" applyFill="0" applyBorder="0" applyAlignment="0" applyProtection="0"/>
    <xf numFmtId="165"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0" fontId="2" fillId="0" borderId="1"/>
    <xf numFmtId="0" fontId="2" fillId="0" borderId="1"/>
    <xf numFmtId="0" fontId="2" fillId="0" borderId="1"/>
    <xf numFmtId="0" fontId="2" fillId="0" borderId="1"/>
    <xf numFmtId="0" fontId="2" fillId="0" borderId="1"/>
    <xf numFmtId="0" fontId="2" fillId="13" borderId="83" applyNumberFormat="0" applyFont="0" applyAlignment="0" applyProtection="0"/>
    <xf numFmtId="9" fontId="2" fillId="0" borderId="1" applyFont="0" applyFill="0" applyBorder="0" applyAlignment="0" applyProtection="0"/>
    <xf numFmtId="9" fontId="2" fillId="0" borderId="1" applyFont="0" applyFill="0" applyBorder="0" applyAlignment="0" applyProtection="0"/>
    <xf numFmtId="0" fontId="2" fillId="0" borderId="1"/>
    <xf numFmtId="0" fontId="2" fillId="15" borderId="1" applyNumberFormat="0" applyBorder="0" applyAlignment="0" applyProtection="0"/>
    <xf numFmtId="0" fontId="2" fillId="16" borderId="1" applyNumberFormat="0" applyBorder="0" applyAlignment="0" applyProtection="0"/>
    <xf numFmtId="0" fontId="2" fillId="19" borderId="1" applyNumberFormat="0" applyBorder="0" applyAlignment="0" applyProtection="0"/>
    <xf numFmtId="0" fontId="2" fillId="20" borderId="1" applyNumberFormat="0" applyBorder="0" applyAlignment="0" applyProtection="0"/>
    <xf numFmtId="0" fontId="2" fillId="23" borderId="1" applyNumberFormat="0" applyBorder="0" applyAlignment="0" applyProtection="0"/>
    <xf numFmtId="0" fontId="2" fillId="24" borderId="1" applyNumberFormat="0" applyBorder="0" applyAlignment="0" applyProtection="0"/>
    <xf numFmtId="0" fontId="2" fillId="27" borderId="1" applyNumberFormat="0" applyBorder="0" applyAlignment="0" applyProtection="0"/>
    <xf numFmtId="0" fontId="2" fillId="28" borderId="1" applyNumberFormat="0" applyBorder="0" applyAlignment="0" applyProtection="0"/>
    <xf numFmtId="0" fontId="2" fillId="31" borderId="1" applyNumberFormat="0" applyBorder="0" applyAlignment="0" applyProtection="0"/>
    <xf numFmtId="0" fontId="2" fillId="32" borderId="1" applyNumberFormat="0" applyBorder="0" applyAlignment="0" applyProtection="0"/>
    <xf numFmtId="0" fontId="2" fillId="35" borderId="1" applyNumberFormat="0" applyBorder="0" applyAlignment="0" applyProtection="0"/>
    <xf numFmtId="0" fontId="2" fillId="36" borderId="1" applyNumberFormat="0" applyBorder="0" applyAlignment="0" applyProtection="0"/>
    <xf numFmtId="0" fontId="2" fillId="0" borderId="1"/>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0" borderId="1"/>
    <xf numFmtId="0" fontId="2" fillId="0" borderId="1"/>
    <xf numFmtId="0" fontId="2" fillId="0" borderId="1"/>
    <xf numFmtId="0" fontId="2" fillId="0" borderId="1"/>
    <xf numFmtId="0" fontId="2" fillId="13" borderId="83" applyNumberFormat="0" applyFont="0" applyAlignment="0" applyProtection="0"/>
    <xf numFmtId="0" fontId="2" fillId="13" borderId="83" applyNumberFormat="0" applyFont="0" applyAlignment="0" applyProtection="0"/>
    <xf numFmtId="9" fontId="2" fillId="0" borderId="1" applyFont="0" applyFill="0" applyBorder="0" applyAlignment="0" applyProtection="0"/>
    <xf numFmtId="9" fontId="2" fillId="0" borderId="1" applyFont="0" applyFill="0" applyBorder="0" applyAlignment="0" applyProtection="0"/>
    <xf numFmtId="0" fontId="2" fillId="0" borderId="1"/>
    <xf numFmtId="0" fontId="2" fillId="15" borderId="1" applyNumberFormat="0" applyBorder="0" applyAlignment="0" applyProtection="0"/>
    <xf numFmtId="0" fontId="2" fillId="19" borderId="1" applyNumberFormat="0" applyBorder="0" applyAlignment="0" applyProtection="0"/>
    <xf numFmtId="0" fontId="2" fillId="23" borderId="1" applyNumberFormat="0" applyBorder="0" applyAlignment="0" applyProtection="0"/>
    <xf numFmtId="0" fontId="2" fillId="27" borderId="1" applyNumberFormat="0" applyBorder="0" applyAlignment="0" applyProtection="0"/>
    <xf numFmtId="0" fontId="2" fillId="31" borderId="1" applyNumberFormat="0" applyBorder="0" applyAlignment="0" applyProtection="0"/>
    <xf numFmtId="0" fontId="2" fillId="35" borderId="1" applyNumberFormat="0" applyBorder="0" applyAlignment="0" applyProtection="0"/>
    <xf numFmtId="0" fontId="2" fillId="16" borderId="1" applyNumberFormat="0" applyBorder="0" applyAlignment="0" applyProtection="0"/>
    <xf numFmtId="0" fontId="2" fillId="20" borderId="1" applyNumberFormat="0" applyBorder="0" applyAlignment="0" applyProtection="0"/>
    <xf numFmtId="0" fontId="2" fillId="24" borderId="1" applyNumberFormat="0" applyBorder="0" applyAlignment="0" applyProtection="0"/>
    <xf numFmtId="0" fontId="2" fillId="28" borderId="1" applyNumberFormat="0" applyBorder="0" applyAlignment="0" applyProtection="0"/>
    <xf numFmtId="0" fontId="2" fillId="32" borderId="1" applyNumberFormat="0" applyBorder="0" applyAlignment="0" applyProtection="0"/>
    <xf numFmtId="0" fontId="2" fillId="36" borderId="1" applyNumberFormat="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0" borderId="1"/>
    <xf numFmtId="0" fontId="2" fillId="0" borderId="1"/>
    <xf numFmtId="0" fontId="2" fillId="0" borderId="1"/>
    <xf numFmtId="0" fontId="2" fillId="0" borderId="1"/>
    <xf numFmtId="0" fontId="2" fillId="13" borderId="83" applyNumberFormat="0" applyFont="0" applyAlignment="0" applyProtection="0"/>
    <xf numFmtId="0" fontId="2" fillId="13" borderId="83" applyNumberFormat="0" applyFont="0" applyAlignment="0" applyProtection="0"/>
    <xf numFmtId="9" fontId="2" fillId="0" borderId="1" applyFont="0" applyFill="0" applyBorder="0" applyAlignment="0" applyProtection="0"/>
    <xf numFmtId="9"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15" borderId="1" applyNumberFormat="0" applyBorder="0" applyAlignment="0" applyProtection="0"/>
    <xf numFmtId="0" fontId="2" fillId="16" borderId="1" applyNumberFormat="0" applyBorder="0" applyAlignment="0" applyProtection="0"/>
    <xf numFmtId="0" fontId="2" fillId="19" borderId="1" applyNumberFormat="0" applyBorder="0" applyAlignment="0" applyProtection="0"/>
    <xf numFmtId="0" fontId="2" fillId="20" borderId="1" applyNumberFormat="0" applyBorder="0" applyAlignment="0" applyProtection="0"/>
    <xf numFmtId="0" fontId="2" fillId="23" borderId="1" applyNumberFormat="0" applyBorder="0" applyAlignment="0" applyProtection="0"/>
    <xf numFmtId="0" fontId="2" fillId="24" borderId="1" applyNumberFormat="0" applyBorder="0" applyAlignment="0" applyProtection="0"/>
    <xf numFmtId="0" fontId="2" fillId="27" borderId="1" applyNumberFormat="0" applyBorder="0" applyAlignment="0" applyProtection="0"/>
    <xf numFmtId="0" fontId="2" fillId="28" borderId="1" applyNumberFormat="0" applyBorder="0" applyAlignment="0" applyProtection="0"/>
    <xf numFmtId="0" fontId="2" fillId="31" borderId="1" applyNumberFormat="0" applyBorder="0" applyAlignment="0" applyProtection="0"/>
    <xf numFmtId="0" fontId="2" fillId="32" borderId="1" applyNumberFormat="0" applyBorder="0" applyAlignment="0" applyProtection="0"/>
    <xf numFmtId="0" fontId="2" fillId="35" borderId="1" applyNumberFormat="0" applyBorder="0" applyAlignment="0" applyProtection="0"/>
    <xf numFmtId="0" fontId="2" fillId="36" borderId="1" applyNumberFormat="0" applyBorder="0" applyAlignment="0" applyProtection="0"/>
    <xf numFmtId="0" fontId="2" fillId="0" borderId="1"/>
    <xf numFmtId="0" fontId="2" fillId="0" borderId="1"/>
    <xf numFmtId="43" fontId="2" fillId="0" borderId="1" applyFont="0" applyFill="0" applyBorder="0" applyAlignment="0" applyProtection="0"/>
    <xf numFmtId="0" fontId="2" fillId="0" borderId="1"/>
    <xf numFmtId="9" fontId="2" fillId="0" borderId="1" applyFont="0" applyFill="0" applyBorder="0" applyAlignment="0" applyProtection="0"/>
    <xf numFmtId="0" fontId="2" fillId="13" borderId="83" applyNumberFormat="0" applyFont="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0" borderId="1"/>
    <xf numFmtId="0" fontId="2" fillId="0" borderId="1"/>
    <xf numFmtId="0" fontId="2" fillId="0" borderId="1"/>
    <xf numFmtId="0" fontId="2" fillId="0" borderId="1"/>
    <xf numFmtId="0" fontId="2" fillId="15" borderId="1" applyNumberFormat="0" applyBorder="0" applyAlignment="0" applyProtection="0"/>
    <xf numFmtId="0" fontId="2" fillId="19" borderId="1" applyNumberFormat="0" applyBorder="0" applyAlignment="0" applyProtection="0"/>
    <xf numFmtId="0" fontId="2" fillId="23" borderId="1" applyNumberFormat="0" applyBorder="0" applyAlignment="0" applyProtection="0"/>
    <xf numFmtId="0" fontId="2" fillId="27" borderId="1" applyNumberFormat="0" applyBorder="0" applyAlignment="0" applyProtection="0"/>
    <xf numFmtId="0" fontId="2" fillId="31" borderId="1" applyNumberFormat="0" applyBorder="0" applyAlignment="0" applyProtection="0"/>
    <xf numFmtId="0" fontId="2" fillId="35" borderId="1" applyNumberFormat="0" applyBorder="0" applyAlignment="0" applyProtection="0"/>
    <xf numFmtId="0" fontId="2" fillId="16" borderId="1" applyNumberFormat="0" applyBorder="0" applyAlignment="0" applyProtection="0"/>
    <xf numFmtId="0" fontId="2" fillId="20" borderId="1" applyNumberFormat="0" applyBorder="0" applyAlignment="0" applyProtection="0"/>
    <xf numFmtId="0" fontId="2" fillId="24" borderId="1" applyNumberFormat="0" applyBorder="0" applyAlignment="0" applyProtection="0"/>
    <xf numFmtId="0" fontId="2" fillId="28" borderId="1" applyNumberFormat="0" applyBorder="0" applyAlignment="0" applyProtection="0"/>
    <xf numFmtId="0" fontId="2" fillId="32" borderId="1" applyNumberFormat="0" applyBorder="0" applyAlignment="0" applyProtection="0"/>
    <xf numFmtId="0" fontId="2" fillId="36" borderId="1" applyNumberFormat="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0" borderId="1"/>
    <xf numFmtId="0" fontId="2" fillId="0" borderId="1"/>
    <xf numFmtId="0" fontId="2" fillId="0" borderId="1"/>
    <xf numFmtId="0" fontId="2" fillId="0" borderId="1"/>
    <xf numFmtId="0" fontId="2" fillId="13" borderId="83" applyNumberFormat="0" applyFont="0" applyAlignment="0" applyProtection="0"/>
    <xf numFmtId="0" fontId="2" fillId="13" borderId="83" applyNumberFormat="0" applyFont="0" applyAlignment="0" applyProtection="0"/>
    <xf numFmtId="9" fontId="2" fillId="0" borderId="1" applyFont="0" applyFill="0" applyBorder="0" applyAlignment="0" applyProtection="0"/>
    <xf numFmtId="9"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15" borderId="1" applyNumberFormat="0" applyBorder="0" applyAlignment="0" applyProtection="0"/>
    <xf numFmtId="0" fontId="2" fillId="16" borderId="1" applyNumberFormat="0" applyBorder="0" applyAlignment="0" applyProtection="0"/>
    <xf numFmtId="0" fontId="2" fillId="19" borderId="1" applyNumberFormat="0" applyBorder="0" applyAlignment="0" applyProtection="0"/>
    <xf numFmtId="0" fontId="2" fillId="20" borderId="1" applyNumberFormat="0" applyBorder="0" applyAlignment="0" applyProtection="0"/>
    <xf numFmtId="0" fontId="2" fillId="23" borderId="1" applyNumberFormat="0" applyBorder="0" applyAlignment="0" applyProtection="0"/>
    <xf numFmtId="0" fontId="2" fillId="24" borderId="1" applyNumberFormat="0" applyBorder="0" applyAlignment="0" applyProtection="0"/>
    <xf numFmtId="0" fontId="2" fillId="27" borderId="1" applyNumberFormat="0" applyBorder="0" applyAlignment="0" applyProtection="0"/>
    <xf numFmtId="0" fontId="2" fillId="28" borderId="1" applyNumberFormat="0" applyBorder="0" applyAlignment="0" applyProtection="0"/>
    <xf numFmtId="0" fontId="2" fillId="31" borderId="1" applyNumberFormat="0" applyBorder="0" applyAlignment="0" applyProtection="0"/>
    <xf numFmtId="0" fontId="2" fillId="32" borderId="1" applyNumberFormat="0" applyBorder="0" applyAlignment="0" applyProtection="0"/>
    <xf numFmtId="0" fontId="2" fillId="35" borderId="1" applyNumberFormat="0" applyBorder="0" applyAlignment="0" applyProtection="0"/>
    <xf numFmtId="0" fontId="2" fillId="36" borderId="1" applyNumberFormat="0" applyBorder="0" applyAlignment="0" applyProtection="0"/>
    <xf numFmtId="0" fontId="2" fillId="0" borderId="1"/>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0" borderId="1"/>
    <xf numFmtId="0" fontId="2" fillId="0" borderId="1"/>
    <xf numFmtId="0" fontId="2" fillId="0" borderId="1"/>
    <xf numFmtId="0" fontId="2" fillId="0" borderId="1"/>
    <xf numFmtId="0" fontId="2" fillId="13" borderId="83" applyNumberFormat="0" applyFont="0" applyAlignment="0" applyProtection="0"/>
    <xf numFmtId="0" fontId="2" fillId="13" borderId="83" applyNumberFormat="0" applyFont="0" applyAlignment="0" applyProtection="0"/>
    <xf numFmtId="9" fontId="2" fillId="0" borderId="1" applyFont="0" applyFill="0" applyBorder="0" applyAlignment="0" applyProtection="0"/>
    <xf numFmtId="9" fontId="2" fillId="0" borderId="1" applyFont="0" applyFill="0" applyBorder="0" applyAlignment="0" applyProtection="0"/>
    <xf numFmtId="0" fontId="2" fillId="0" borderId="1"/>
    <xf numFmtId="0" fontId="2" fillId="15" borderId="1" applyNumberFormat="0" applyBorder="0" applyAlignment="0" applyProtection="0"/>
    <xf numFmtId="0" fontId="2" fillId="19" borderId="1" applyNumberFormat="0" applyBorder="0" applyAlignment="0" applyProtection="0"/>
    <xf numFmtId="0" fontId="2" fillId="23" borderId="1" applyNumberFormat="0" applyBorder="0" applyAlignment="0" applyProtection="0"/>
    <xf numFmtId="0" fontId="2" fillId="27" borderId="1" applyNumberFormat="0" applyBorder="0" applyAlignment="0" applyProtection="0"/>
    <xf numFmtId="0" fontId="2" fillId="31" borderId="1" applyNumberFormat="0" applyBorder="0" applyAlignment="0" applyProtection="0"/>
    <xf numFmtId="0" fontId="2" fillId="35" borderId="1" applyNumberFormat="0" applyBorder="0" applyAlignment="0" applyProtection="0"/>
    <xf numFmtId="0" fontId="2" fillId="16" borderId="1" applyNumberFormat="0" applyBorder="0" applyAlignment="0" applyProtection="0"/>
    <xf numFmtId="0" fontId="2" fillId="20" borderId="1" applyNumberFormat="0" applyBorder="0" applyAlignment="0" applyProtection="0"/>
    <xf numFmtId="0" fontId="2" fillId="24" borderId="1" applyNumberFormat="0" applyBorder="0" applyAlignment="0" applyProtection="0"/>
    <xf numFmtId="0" fontId="2" fillId="28" borderId="1" applyNumberFormat="0" applyBorder="0" applyAlignment="0" applyProtection="0"/>
    <xf numFmtId="0" fontId="2" fillId="32" borderId="1" applyNumberFormat="0" applyBorder="0" applyAlignment="0" applyProtection="0"/>
    <xf numFmtId="0" fontId="2" fillId="36" borderId="1" applyNumberFormat="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0" borderId="1"/>
    <xf numFmtId="0" fontId="2" fillId="0" borderId="1"/>
    <xf numFmtId="0" fontId="2" fillId="0" borderId="1"/>
    <xf numFmtId="0" fontId="2" fillId="0" borderId="1"/>
    <xf numFmtId="0" fontId="2" fillId="13" borderId="83" applyNumberFormat="0" applyFont="0" applyAlignment="0" applyProtection="0"/>
    <xf numFmtId="0" fontId="2" fillId="13" borderId="83" applyNumberFormat="0" applyFont="0" applyAlignment="0" applyProtection="0"/>
    <xf numFmtId="9" fontId="2" fillId="0" borderId="1" applyFont="0" applyFill="0" applyBorder="0" applyAlignment="0" applyProtection="0"/>
    <xf numFmtId="9"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165" fontId="2" fillId="0" borderId="1" applyFont="0" applyFill="0" applyBorder="0" applyAlignment="0" applyProtection="0"/>
    <xf numFmtId="0" fontId="2" fillId="0" borderId="1"/>
    <xf numFmtId="0" fontId="2" fillId="15" borderId="1" applyNumberFormat="0" applyBorder="0" applyAlignment="0" applyProtection="0"/>
    <xf numFmtId="0" fontId="2" fillId="15"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43" fontId="2" fillId="0" borderId="1" applyFont="0" applyFill="0" applyBorder="0" applyAlignment="0" applyProtection="0"/>
    <xf numFmtId="43" fontId="2" fillId="0" borderId="1" applyFont="0" applyFill="0" applyBorder="0" applyAlignment="0" applyProtection="0"/>
    <xf numFmtId="0" fontId="2" fillId="0" borderId="1"/>
    <xf numFmtId="0" fontId="2" fillId="0" borderId="1"/>
    <xf numFmtId="0" fontId="2" fillId="0" borderId="1"/>
    <xf numFmtId="0" fontId="2" fillId="0" borderId="1"/>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9"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0" borderId="1"/>
    <xf numFmtId="0" fontId="2" fillId="0" borderId="1"/>
    <xf numFmtId="0" fontId="2" fillId="0" borderId="1"/>
    <xf numFmtId="0" fontId="2" fillId="0" borderId="1"/>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0" borderId="1"/>
    <xf numFmtId="0" fontId="2" fillId="0" borderId="1"/>
    <xf numFmtId="0" fontId="2" fillId="0" borderId="1"/>
    <xf numFmtId="0" fontId="2" fillId="0" borderId="1"/>
    <xf numFmtId="0" fontId="2" fillId="13" borderId="83" applyNumberFormat="0" applyFont="0" applyAlignment="0" applyProtection="0"/>
    <xf numFmtId="9" fontId="2" fillId="0" borderId="1" applyFont="0" applyFill="0" applyBorder="0" applyAlignment="0" applyProtection="0"/>
    <xf numFmtId="9"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15" borderId="1" applyNumberFormat="0" applyBorder="0" applyAlignment="0" applyProtection="0"/>
    <xf numFmtId="0" fontId="2" fillId="16" borderId="1" applyNumberFormat="0" applyBorder="0" applyAlignment="0" applyProtection="0"/>
    <xf numFmtId="0" fontId="2" fillId="19" borderId="1" applyNumberFormat="0" applyBorder="0" applyAlignment="0" applyProtection="0"/>
    <xf numFmtId="0" fontId="2" fillId="20" borderId="1" applyNumberFormat="0" applyBorder="0" applyAlignment="0" applyProtection="0"/>
    <xf numFmtId="0" fontId="2" fillId="23" borderId="1" applyNumberFormat="0" applyBorder="0" applyAlignment="0" applyProtection="0"/>
    <xf numFmtId="0" fontId="2" fillId="24" borderId="1" applyNumberFormat="0" applyBorder="0" applyAlignment="0" applyProtection="0"/>
    <xf numFmtId="0" fontId="2" fillId="27" borderId="1" applyNumberFormat="0" applyBorder="0" applyAlignment="0" applyProtection="0"/>
    <xf numFmtId="0" fontId="2" fillId="28" borderId="1" applyNumberFormat="0" applyBorder="0" applyAlignment="0" applyProtection="0"/>
    <xf numFmtId="0" fontId="2" fillId="31" borderId="1" applyNumberFormat="0" applyBorder="0" applyAlignment="0" applyProtection="0"/>
    <xf numFmtId="0" fontId="2" fillId="32" borderId="1" applyNumberFormat="0" applyBorder="0" applyAlignment="0" applyProtection="0"/>
    <xf numFmtId="0" fontId="2" fillId="35" borderId="1" applyNumberFormat="0" applyBorder="0" applyAlignment="0" applyProtection="0"/>
    <xf numFmtId="0" fontId="2" fillId="36" borderId="1" applyNumberFormat="0" applyBorder="0" applyAlignment="0" applyProtection="0"/>
    <xf numFmtId="0" fontId="2" fillId="0" borderId="1"/>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0" borderId="1"/>
    <xf numFmtId="0" fontId="2" fillId="0" borderId="1"/>
    <xf numFmtId="0" fontId="2" fillId="0" borderId="1"/>
    <xf numFmtId="0" fontId="2" fillId="0" borderId="1"/>
    <xf numFmtId="0" fontId="2" fillId="13" borderId="83" applyNumberFormat="0" applyFont="0" applyAlignment="0" applyProtection="0"/>
    <xf numFmtId="0" fontId="2" fillId="13" borderId="83" applyNumberFormat="0" applyFont="0" applyAlignment="0" applyProtection="0"/>
    <xf numFmtId="9" fontId="2" fillId="0" borderId="1" applyFont="0" applyFill="0" applyBorder="0" applyAlignment="0" applyProtection="0"/>
    <xf numFmtId="9" fontId="2" fillId="0" borderId="1" applyFont="0" applyFill="0" applyBorder="0" applyAlignment="0" applyProtection="0"/>
    <xf numFmtId="0" fontId="2" fillId="0" borderId="1"/>
    <xf numFmtId="0" fontId="2" fillId="15" borderId="1" applyNumberFormat="0" applyBorder="0" applyAlignment="0" applyProtection="0"/>
    <xf numFmtId="0" fontId="2" fillId="19" borderId="1" applyNumberFormat="0" applyBorder="0" applyAlignment="0" applyProtection="0"/>
    <xf numFmtId="0" fontId="2" fillId="23" borderId="1" applyNumberFormat="0" applyBorder="0" applyAlignment="0" applyProtection="0"/>
    <xf numFmtId="0" fontId="2" fillId="27" borderId="1" applyNumberFormat="0" applyBorder="0" applyAlignment="0" applyProtection="0"/>
    <xf numFmtId="0" fontId="2" fillId="31" borderId="1" applyNumberFormat="0" applyBorder="0" applyAlignment="0" applyProtection="0"/>
    <xf numFmtId="0" fontId="2" fillId="35" borderId="1" applyNumberFormat="0" applyBorder="0" applyAlignment="0" applyProtection="0"/>
    <xf numFmtId="0" fontId="2" fillId="16" borderId="1" applyNumberFormat="0" applyBorder="0" applyAlignment="0" applyProtection="0"/>
    <xf numFmtId="0" fontId="2" fillId="20" borderId="1" applyNumberFormat="0" applyBorder="0" applyAlignment="0" applyProtection="0"/>
    <xf numFmtId="0" fontId="2" fillId="24" borderId="1" applyNumberFormat="0" applyBorder="0" applyAlignment="0" applyProtection="0"/>
    <xf numFmtId="0" fontId="2" fillId="28" borderId="1" applyNumberFormat="0" applyBorder="0" applyAlignment="0" applyProtection="0"/>
    <xf numFmtId="0" fontId="2" fillId="32" borderId="1" applyNumberFormat="0" applyBorder="0" applyAlignment="0" applyProtection="0"/>
    <xf numFmtId="0" fontId="2" fillId="36" borderId="1" applyNumberFormat="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0" borderId="1"/>
    <xf numFmtId="0" fontId="2" fillId="0" borderId="1"/>
    <xf numFmtId="0" fontId="2" fillId="0" borderId="1"/>
    <xf numFmtId="0" fontId="2" fillId="0" borderId="1"/>
    <xf numFmtId="0" fontId="2" fillId="13" borderId="83" applyNumberFormat="0" applyFont="0" applyAlignment="0" applyProtection="0"/>
    <xf numFmtId="0" fontId="2" fillId="13" borderId="83" applyNumberFormat="0" applyFont="0" applyAlignment="0" applyProtection="0"/>
    <xf numFmtId="9" fontId="2" fillId="0" borderId="1" applyFont="0" applyFill="0" applyBorder="0" applyAlignment="0" applyProtection="0"/>
    <xf numFmtId="9"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0" fontId="2" fillId="0" borderId="1"/>
    <xf numFmtId="0" fontId="2" fillId="15" borderId="1" applyNumberFormat="0" applyBorder="0" applyAlignment="0" applyProtection="0"/>
    <xf numFmtId="0" fontId="2" fillId="16" borderId="1" applyNumberFormat="0" applyBorder="0" applyAlignment="0" applyProtection="0"/>
    <xf numFmtId="0" fontId="2" fillId="19" borderId="1" applyNumberFormat="0" applyBorder="0" applyAlignment="0" applyProtection="0"/>
    <xf numFmtId="0" fontId="2" fillId="20" borderId="1" applyNumberFormat="0" applyBorder="0" applyAlignment="0" applyProtection="0"/>
    <xf numFmtId="0" fontId="2" fillId="23" borderId="1" applyNumberFormat="0" applyBorder="0" applyAlignment="0" applyProtection="0"/>
    <xf numFmtId="0" fontId="2" fillId="24" borderId="1" applyNumberFormat="0" applyBorder="0" applyAlignment="0" applyProtection="0"/>
    <xf numFmtId="0" fontId="2" fillId="27" borderId="1" applyNumberFormat="0" applyBorder="0" applyAlignment="0" applyProtection="0"/>
    <xf numFmtId="0" fontId="2" fillId="28" borderId="1" applyNumberFormat="0" applyBorder="0" applyAlignment="0" applyProtection="0"/>
    <xf numFmtId="0" fontId="2" fillId="31" borderId="1" applyNumberFormat="0" applyBorder="0" applyAlignment="0" applyProtection="0"/>
    <xf numFmtId="0" fontId="2" fillId="32" borderId="1" applyNumberFormat="0" applyBorder="0" applyAlignment="0" applyProtection="0"/>
    <xf numFmtId="0" fontId="2" fillId="35" borderId="1" applyNumberFormat="0" applyBorder="0" applyAlignment="0" applyProtection="0"/>
    <xf numFmtId="0" fontId="2" fillId="36" borderId="1" applyNumberFormat="0" applyBorder="0" applyAlignment="0" applyProtection="0"/>
    <xf numFmtId="0" fontId="2" fillId="0" borderId="1"/>
    <xf numFmtId="0" fontId="2" fillId="0" borderId="1"/>
    <xf numFmtId="43" fontId="2" fillId="0" borderId="1" applyFont="0" applyFill="0" applyBorder="0" applyAlignment="0" applyProtection="0"/>
    <xf numFmtId="0" fontId="2" fillId="0" borderId="1"/>
    <xf numFmtId="43" fontId="2" fillId="0" borderId="1" applyFont="0" applyFill="0" applyBorder="0" applyAlignment="0" applyProtection="0"/>
    <xf numFmtId="9" fontId="2" fillId="0" borderId="1" applyFont="0" applyFill="0" applyBorder="0" applyAlignment="0" applyProtection="0"/>
    <xf numFmtId="0" fontId="2" fillId="13" borderId="83" applyNumberFormat="0" applyFont="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0" borderId="1"/>
    <xf numFmtId="0" fontId="2" fillId="0" borderId="1"/>
    <xf numFmtId="0" fontId="2" fillId="0" borderId="1"/>
    <xf numFmtId="0" fontId="2" fillId="0" borderId="1"/>
    <xf numFmtId="0" fontId="2" fillId="15" borderId="1" applyNumberFormat="0" applyBorder="0" applyAlignment="0" applyProtection="0"/>
    <xf numFmtId="0" fontId="2" fillId="19" borderId="1" applyNumberFormat="0" applyBorder="0" applyAlignment="0" applyProtection="0"/>
    <xf numFmtId="0" fontId="2" fillId="23" borderId="1" applyNumberFormat="0" applyBorder="0" applyAlignment="0" applyProtection="0"/>
    <xf numFmtId="0" fontId="2" fillId="27" borderId="1" applyNumberFormat="0" applyBorder="0" applyAlignment="0" applyProtection="0"/>
    <xf numFmtId="0" fontId="2" fillId="31" borderId="1" applyNumberFormat="0" applyBorder="0" applyAlignment="0" applyProtection="0"/>
    <xf numFmtId="0" fontId="2" fillId="35" borderId="1" applyNumberFormat="0" applyBorder="0" applyAlignment="0" applyProtection="0"/>
    <xf numFmtId="0" fontId="2" fillId="16" borderId="1" applyNumberFormat="0" applyBorder="0" applyAlignment="0" applyProtection="0"/>
    <xf numFmtId="0" fontId="2" fillId="20" borderId="1" applyNumberFormat="0" applyBorder="0" applyAlignment="0" applyProtection="0"/>
    <xf numFmtId="0" fontId="2" fillId="24" borderId="1" applyNumberFormat="0" applyBorder="0" applyAlignment="0" applyProtection="0"/>
    <xf numFmtId="0" fontId="2" fillId="28" borderId="1" applyNumberFormat="0" applyBorder="0" applyAlignment="0" applyProtection="0"/>
    <xf numFmtId="0" fontId="2" fillId="32" borderId="1" applyNumberFormat="0" applyBorder="0" applyAlignment="0" applyProtection="0"/>
    <xf numFmtId="0" fontId="2" fillId="36" borderId="1" applyNumberFormat="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0" borderId="1"/>
    <xf numFmtId="0" fontId="2" fillId="0" borderId="1"/>
    <xf numFmtId="0" fontId="2" fillId="0" borderId="1"/>
    <xf numFmtId="0" fontId="2" fillId="0" borderId="1"/>
    <xf numFmtId="0" fontId="2" fillId="13" borderId="83" applyNumberFormat="0" applyFont="0" applyAlignment="0" applyProtection="0"/>
    <xf numFmtId="0" fontId="2" fillId="13" borderId="83" applyNumberFormat="0" applyFont="0" applyAlignment="0" applyProtection="0"/>
    <xf numFmtId="9" fontId="2" fillId="0" borderId="1" applyFont="0" applyFill="0" applyBorder="0" applyAlignment="0" applyProtection="0"/>
    <xf numFmtId="9"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15" borderId="1" applyNumberFormat="0" applyBorder="0" applyAlignment="0" applyProtection="0"/>
    <xf numFmtId="0" fontId="2" fillId="16" borderId="1" applyNumberFormat="0" applyBorder="0" applyAlignment="0" applyProtection="0"/>
    <xf numFmtId="0" fontId="2" fillId="19" borderId="1" applyNumberFormat="0" applyBorder="0" applyAlignment="0" applyProtection="0"/>
    <xf numFmtId="0" fontId="2" fillId="20" borderId="1" applyNumberFormat="0" applyBorder="0" applyAlignment="0" applyProtection="0"/>
    <xf numFmtId="0" fontId="2" fillId="23" borderId="1" applyNumberFormat="0" applyBorder="0" applyAlignment="0" applyProtection="0"/>
    <xf numFmtId="0" fontId="2" fillId="24" borderId="1" applyNumberFormat="0" applyBorder="0" applyAlignment="0" applyProtection="0"/>
    <xf numFmtId="0" fontId="2" fillId="27" borderId="1" applyNumberFormat="0" applyBorder="0" applyAlignment="0" applyProtection="0"/>
    <xf numFmtId="0" fontId="2" fillId="28" borderId="1" applyNumberFormat="0" applyBorder="0" applyAlignment="0" applyProtection="0"/>
    <xf numFmtId="0" fontId="2" fillId="31" borderId="1" applyNumberFormat="0" applyBorder="0" applyAlignment="0" applyProtection="0"/>
    <xf numFmtId="0" fontId="2" fillId="32" borderId="1" applyNumberFormat="0" applyBorder="0" applyAlignment="0" applyProtection="0"/>
    <xf numFmtId="0" fontId="2" fillId="35" borderId="1" applyNumberFormat="0" applyBorder="0" applyAlignment="0" applyProtection="0"/>
    <xf numFmtId="0" fontId="2" fillId="36" borderId="1" applyNumberFormat="0" applyBorder="0" applyAlignment="0" applyProtection="0"/>
    <xf numFmtId="0" fontId="2" fillId="0" borderId="1"/>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0" borderId="1"/>
    <xf numFmtId="0" fontId="2" fillId="0" borderId="1"/>
    <xf numFmtId="0" fontId="2" fillId="0" borderId="1"/>
    <xf numFmtId="0" fontId="2" fillId="0" borderId="1"/>
    <xf numFmtId="0" fontId="2" fillId="13" borderId="83" applyNumberFormat="0" applyFont="0" applyAlignment="0" applyProtection="0"/>
    <xf numFmtId="0" fontId="2" fillId="13" borderId="83" applyNumberFormat="0" applyFont="0" applyAlignment="0" applyProtection="0"/>
    <xf numFmtId="9" fontId="2" fillId="0" borderId="1" applyFont="0" applyFill="0" applyBorder="0" applyAlignment="0" applyProtection="0"/>
    <xf numFmtId="9" fontId="2" fillId="0" borderId="1" applyFont="0" applyFill="0" applyBorder="0" applyAlignment="0" applyProtection="0"/>
    <xf numFmtId="0" fontId="2" fillId="0" borderId="1"/>
    <xf numFmtId="0" fontId="2" fillId="15" borderId="1" applyNumberFormat="0" applyBorder="0" applyAlignment="0" applyProtection="0"/>
    <xf numFmtId="0" fontId="2" fillId="19" borderId="1" applyNumberFormat="0" applyBorder="0" applyAlignment="0" applyProtection="0"/>
    <xf numFmtId="0" fontId="2" fillId="23" borderId="1" applyNumberFormat="0" applyBorder="0" applyAlignment="0" applyProtection="0"/>
    <xf numFmtId="0" fontId="2" fillId="27" borderId="1" applyNumberFormat="0" applyBorder="0" applyAlignment="0" applyProtection="0"/>
    <xf numFmtId="0" fontId="2" fillId="31" borderId="1" applyNumberFormat="0" applyBorder="0" applyAlignment="0" applyProtection="0"/>
    <xf numFmtId="0" fontId="2" fillId="35" borderId="1" applyNumberFormat="0" applyBorder="0" applyAlignment="0" applyProtection="0"/>
    <xf numFmtId="0" fontId="2" fillId="16" borderId="1" applyNumberFormat="0" applyBorder="0" applyAlignment="0" applyProtection="0"/>
    <xf numFmtId="0" fontId="2" fillId="20" borderId="1" applyNumberFormat="0" applyBorder="0" applyAlignment="0" applyProtection="0"/>
    <xf numFmtId="0" fontId="2" fillId="24" borderId="1" applyNumberFormat="0" applyBorder="0" applyAlignment="0" applyProtection="0"/>
    <xf numFmtId="0" fontId="2" fillId="28" borderId="1" applyNumberFormat="0" applyBorder="0" applyAlignment="0" applyProtection="0"/>
    <xf numFmtId="0" fontId="2" fillId="32" borderId="1" applyNumberFormat="0" applyBorder="0" applyAlignment="0" applyProtection="0"/>
    <xf numFmtId="0" fontId="2" fillId="36" borderId="1" applyNumberFormat="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0" borderId="1"/>
    <xf numFmtId="0" fontId="2" fillId="0" borderId="1"/>
    <xf numFmtId="0" fontId="2" fillId="0" borderId="1"/>
    <xf numFmtId="0" fontId="2" fillId="0" borderId="1"/>
    <xf numFmtId="0" fontId="2" fillId="13" borderId="83" applyNumberFormat="0" applyFont="0" applyAlignment="0" applyProtection="0"/>
    <xf numFmtId="0" fontId="2" fillId="13" borderId="83" applyNumberFormat="0" applyFont="0" applyAlignment="0" applyProtection="0"/>
    <xf numFmtId="9" fontId="2" fillId="0" borderId="1" applyFont="0" applyFill="0" applyBorder="0" applyAlignment="0" applyProtection="0"/>
    <xf numFmtId="9" fontId="2" fillId="0" borderId="1" applyFont="0" applyFill="0" applyBorder="0" applyAlignment="0" applyProtection="0"/>
    <xf numFmtId="165" fontId="2" fillId="0" borderId="1" applyFont="0" applyFill="0" applyBorder="0" applyAlignment="0" applyProtection="0"/>
    <xf numFmtId="0" fontId="2" fillId="0" borderId="1"/>
    <xf numFmtId="0" fontId="2" fillId="15" borderId="1" applyNumberFormat="0" applyBorder="0" applyAlignment="0" applyProtection="0"/>
    <xf numFmtId="0" fontId="2" fillId="15" borderId="1" applyNumberFormat="0" applyBorder="0" applyAlignment="0" applyProtection="0"/>
    <xf numFmtId="0" fontId="2" fillId="19" borderId="1" applyNumberFormat="0" applyBorder="0" applyAlignment="0" applyProtection="0"/>
    <xf numFmtId="0" fontId="2" fillId="19" borderId="1" applyNumberFormat="0" applyBorder="0" applyAlignment="0" applyProtection="0"/>
    <xf numFmtId="0" fontId="2" fillId="23" borderId="1" applyNumberFormat="0" applyBorder="0" applyAlignment="0" applyProtection="0"/>
    <xf numFmtId="0" fontId="2" fillId="23" borderId="1" applyNumberFormat="0" applyBorder="0" applyAlignment="0" applyProtection="0"/>
    <xf numFmtId="0" fontId="2" fillId="27" borderId="1" applyNumberFormat="0" applyBorder="0" applyAlignment="0" applyProtection="0"/>
    <xf numFmtId="0" fontId="2" fillId="27" borderId="1" applyNumberFormat="0" applyBorder="0" applyAlignment="0" applyProtection="0"/>
    <xf numFmtId="0" fontId="2" fillId="31" borderId="1" applyNumberFormat="0" applyBorder="0" applyAlignment="0" applyProtection="0"/>
    <xf numFmtId="0" fontId="2" fillId="31" borderId="1" applyNumberFormat="0" applyBorder="0" applyAlignment="0" applyProtection="0"/>
    <xf numFmtId="0" fontId="2" fillId="35" borderId="1" applyNumberFormat="0" applyBorder="0" applyAlignment="0" applyProtection="0"/>
    <xf numFmtId="0" fontId="2" fillId="35" borderId="1" applyNumberFormat="0" applyBorder="0" applyAlignment="0" applyProtection="0"/>
    <xf numFmtId="0" fontId="2" fillId="16" borderId="1" applyNumberFormat="0" applyBorder="0" applyAlignment="0" applyProtection="0"/>
    <xf numFmtId="0" fontId="2" fillId="16" borderId="1" applyNumberFormat="0" applyBorder="0" applyAlignment="0" applyProtection="0"/>
    <xf numFmtId="0" fontId="2" fillId="20" borderId="1" applyNumberFormat="0" applyBorder="0" applyAlignment="0" applyProtection="0"/>
    <xf numFmtId="0" fontId="2" fillId="20" borderId="1" applyNumberFormat="0" applyBorder="0" applyAlignment="0" applyProtection="0"/>
    <xf numFmtId="0" fontId="2" fillId="24" borderId="1" applyNumberFormat="0" applyBorder="0" applyAlignment="0" applyProtection="0"/>
    <xf numFmtId="0" fontId="2" fillId="24" borderId="1" applyNumberFormat="0" applyBorder="0" applyAlignment="0" applyProtection="0"/>
    <xf numFmtId="0" fontId="2" fillId="28" borderId="1" applyNumberFormat="0" applyBorder="0" applyAlignment="0" applyProtection="0"/>
    <xf numFmtId="0" fontId="2" fillId="28" borderId="1" applyNumberFormat="0" applyBorder="0" applyAlignment="0" applyProtection="0"/>
    <xf numFmtId="0" fontId="2" fillId="32" borderId="1" applyNumberFormat="0" applyBorder="0" applyAlignment="0" applyProtection="0"/>
    <xf numFmtId="0" fontId="2" fillId="32" borderId="1" applyNumberFormat="0" applyBorder="0" applyAlignment="0" applyProtection="0"/>
    <xf numFmtId="0" fontId="2" fillId="36" borderId="1" applyNumberFormat="0" applyBorder="0" applyAlignment="0" applyProtection="0"/>
    <xf numFmtId="0" fontId="2" fillId="36" borderId="1" applyNumberFormat="0" applyBorder="0" applyAlignment="0" applyProtection="0"/>
    <xf numFmtId="43" fontId="2" fillId="0" borderId="1" applyFont="0" applyFill="0" applyBorder="0" applyAlignment="0" applyProtection="0"/>
    <xf numFmtId="43" fontId="2" fillId="0" borderId="1" applyFont="0" applyFill="0" applyBorder="0" applyAlignment="0" applyProtection="0"/>
    <xf numFmtId="0" fontId="2" fillId="0" borderId="1"/>
    <xf numFmtId="0" fontId="2" fillId="0" borderId="1"/>
    <xf numFmtId="0" fontId="2" fillId="0" borderId="1"/>
    <xf numFmtId="0" fontId="2" fillId="0" borderId="1"/>
    <xf numFmtId="0" fontId="2" fillId="13" borderId="83" applyNumberFormat="0" applyFont="0" applyAlignment="0" applyProtection="0"/>
    <xf numFmtId="0" fontId="2" fillId="13" borderId="83" applyNumberFormat="0" applyFont="0" applyAlignment="0" applyProtection="0"/>
    <xf numFmtId="0" fontId="2" fillId="13" borderId="83" applyNumberFormat="0" applyFont="0" applyAlignment="0" applyProtection="0"/>
    <xf numFmtId="9" fontId="2" fillId="0" borderId="1" applyFont="0" applyFill="0" applyBorder="0" applyAlignment="0" applyProtection="0"/>
    <xf numFmtId="165" fontId="2" fillId="0" borderId="1" applyFont="0" applyFill="0" applyBorder="0" applyAlignment="0" applyProtection="0"/>
    <xf numFmtId="43" fontId="2" fillId="0" borderId="1" applyFont="0" applyFill="0" applyBorder="0" applyAlignment="0" applyProtection="0"/>
    <xf numFmtId="165"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0" fontId="2" fillId="0" borderId="1"/>
    <xf numFmtId="0" fontId="2" fillId="0" borderId="1"/>
    <xf numFmtId="0" fontId="2" fillId="0" borderId="1"/>
    <xf numFmtId="0" fontId="2" fillId="0" borderId="1"/>
    <xf numFmtId="0" fontId="2" fillId="0" borderId="1"/>
    <xf numFmtId="43" fontId="2" fillId="0" borderId="1" applyFont="0" applyFill="0" applyBorder="0" applyAlignment="0" applyProtection="0"/>
    <xf numFmtId="165" fontId="2" fillId="0" borderId="1" applyFont="0" applyFill="0" applyBorder="0" applyAlignment="0" applyProtection="0"/>
    <xf numFmtId="43" fontId="2" fillId="0" borderId="1" applyFont="0" applyFill="0" applyBorder="0" applyAlignment="0" applyProtection="0"/>
    <xf numFmtId="165"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0" fontId="2" fillId="0" borderId="1"/>
    <xf numFmtId="0" fontId="2" fillId="0" borderId="1"/>
    <xf numFmtId="0" fontId="2" fillId="0" borderId="1"/>
    <xf numFmtId="0" fontId="2" fillId="0" borderId="1"/>
    <xf numFmtId="0" fontId="2" fillId="0" borderId="1"/>
    <xf numFmtId="0" fontId="2" fillId="13" borderId="83" applyNumberFormat="0" applyFont="0" applyAlignment="0" applyProtection="0"/>
    <xf numFmtId="9" fontId="2" fillId="0" borderId="1" applyFont="0" applyFill="0" applyBorder="0" applyAlignment="0" applyProtection="0"/>
    <xf numFmtId="9" fontId="2" fillId="0" borderId="1" applyFont="0" applyFill="0" applyBorder="0" applyAlignment="0" applyProtection="0"/>
    <xf numFmtId="0" fontId="2" fillId="0" borderId="1"/>
    <xf numFmtId="0" fontId="2" fillId="15" borderId="1" applyNumberFormat="0" applyBorder="0" applyAlignment="0" applyProtection="0"/>
    <xf numFmtId="0" fontId="2" fillId="16" borderId="1" applyNumberFormat="0" applyBorder="0" applyAlignment="0" applyProtection="0"/>
    <xf numFmtId="0" fontId="2" fillId="19" borderId="1" applyNumberFormat="0" applyBorder="0" applyAlignment="0" applyProtection="0"/>
    <xf numFmtId="0" fontId="2" fillId="20" borderId="1" applyNumberFormat="0" applyBorder="0" applyAlignment="0" applyProtection="0"/>
    <xf numFmtId="0" fontId="2" fillId="23" borderId="1" applyNumberFormat="0" applyBorder="0" applyAlignment="0" applyProtection="0"/>
    <xf numFmtId="0" fontId="2" fillId="24" borderId="1" applyNumberFormat="0" applyBorder="0" applyAlignment="0" applyProtection="0"/>
    <xf numFmtId="0" fontId="2" fillId="27" borderId="1" applyNumberFormat="0" applyBorder="0" applyAlignment="0" applyProtection="0"/>
    <xf numFmtId="0" fontId="2" fillId="28" borderId="1" applyNumberFormat="0" applyBorder="0" applyAlignment="0" applyProtection="0"/>
    <xf numFmtId="0" fontId="2" fillId="31" borderId="1" applyNumberFormat="0" applyBorder="0" applyAlignment="0" applyProtection="0"/>
    <xf numFmtId="0" fontId="2" fillId="32" borderId="1" applyNumberFormat="0" applyBorder="0" applyAlignment="0" applyProtection="0"/>
    <xf numFmtId="0" fontId="2" fillId="35" borderId="1" applyNumberFormat="0" applyBorder="0" applyAlignment="0" applyProtection="0"/>
    <xf numFmtId="0" fontId="2" fillId="36" borderId="1" applyNumberFormat="0" applyBorder="0" applyAlignment="0" applyProtection="0"/>
    <xf numFmtId="0" fontId="2" fillId="0" borderId="1"/>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0" borderId="1"/>
    <xf numFmtId="0" fontId="2" fillId="0" borderId="1"/>
    <xf numFmtId="0" fontId="2" fillId="0" borderId="1"/>
    <xf numFmtId="0" fontId="2" fillId="0" borderId="1"/>
    <xf numFmtId="0" fontId="2" fillId="13" borderId="83" applyNumberFormat="0" applyFont="0" applyAlignment="0" applyProtection="0"/>
    <xf numFmtId="0" fontId="2" fillId="13" borderId="83" applyNumberFormat="0" applyFont="0" applyAlignment="0" applyProtection="0"/>
    <xf numFmtId="9" fontId="2" fillId="0" borderId="1" applyFont="0" applyFill="0" applyBorder="0" applyAlignment="0" applyProtection="0"/>
    <xf numFmtId="9" fontId="2" fillId="0" borderId="1" applyFont="0" applyFill="0" applyBorder="0" applyAlignment="0" applyProtection="0"/>
    <xf numFmtId="0" fontId="2" fillId="0" borderId="1"/>
    <xf numFmtId="0" fontId="2" fillId="15" borderId="1" applyNumberFormat="0" applyBorder="0" applyAlignment="0" applyProtection="0"/>
    <xf numFmtId="0" fontId="2" fillId="19" borderId="1" applyNumberFormat="0" applyBorder="0" applyAlignment="0" applyProtection="0"/>
    <xf numFmtId="0" fontId="2" fillId="23" borderId="1" applyNumberFormat="0" applyBorder="0" applyAlignment="0" applyProtection="0"/>
    <xf numFmtId="0" fontId="2" fillId="27" borderId="1" applyNumberFormat="0" applyBorder="0" applyAlignment="0" applyProtection="0"/>
    <xf numFmtId="0" fontId="2" fillId="31" borderId="1" applyNumberFormat="0" applyBorder="0" applyAlignment="0" applyProtection="0"/>
    <xf numFmtId="0" fontId="2" fillId="35" borderId="1" applyNumberFormat="0" applyBorder="0" applyAlignment="0" applyProtection="0"/>
    <xf numFmtId="0" fontId="2" fillId="16" borderId="1" applyNumberFormat="0" applyBorder="0" applyAlignment="0" applyProtection="0"/>
    <xf numFmtId="0" fontId="2" fillId="20" borderId="1" applyNumberFormat="0" applyBorder="0" applyAlignment="0" applyProtection="0"/>
    <xf numFmtId="0" fontId="2" fillId="24" borderId="1" applyNumberFormat="0" applyBorder="0" applyAlignment="0" applyProtection="0"/>
    <xf numFmtId="0" fontId="2" fillId="28" borderId="1" applyNumberFormat="0" applyBorder="0" applyAlignment="0" applyProtection="0"/>
    <xf numFmtId="0" fontId="2" fillId="32" borderId="1" applyNumberFormat="0" applyBorder="0" applyAlignment="0" applyProtection="0"/>
    <xf numFmtId="0" fontId="2" fillId="36" borderId="1" applyNumberFormat="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0" borderId="1"/>
    <xf numFmtId="0" fontId="2" fillId="0" borderId="1"/>
    <xf numFmtId="0" fontId="2" fillId="0" borderId="1"/>
    <xf numFmtId="0" fontId="2" fillId="0" borderId="1"/>
    <xf numFmtId="0" fontId="2" fillId="13" borderId="83" applyNumberFormat="0" applyFont="0" applyAlignment="0" applyProtection="0"/>
    <xf numFmtId="0" fontId="2" fillId="13" borderId="83" applyNumberFormat="0" applyFont="0" applyAlignment="0" applyProtection="0"/>
    <xf numFmtId="9" fontId="2" fillId="0" borderId="1" applyFont="0" applyFill="0" applyBorder="0" applyAlignment="0" applyProtection="0"/>
    <xf numFmtId="9"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15" borderId="1" applyNumberFormat="0" applyBorder="0" applyAlignment="0" applyProtection="0"/>
    <xf numFmtId="0" fontId="2" fillId="16" borderId="1" applyNumberFormat="0" applyBorder="0" applyAlignment="0" applyProtection="0"/>
    <xf numFmtId="0" fontId="2" fillId="19" borderId="1" applyNumberFormat="0" applyBorder="0" applyAlignment="0" applyProtection="0"/>
    <xf numFmtId="0" fontId="2" fillId="20" borderId="1" applyNumberFormat="0" applyBorder="0" applyAlignment="0" applyProtection="0"/>
    <xf numFmtId="0" fontId="2" fillId="23" borderId="1" applyNumberFormat="0" applyBorder="0" applyAlignment="0" applyProtection="0"/>
    <xf numFmtId="0" fontId="2" fillId="24" borderId="1" applyNumberFormat="0" applyBorder="0" applyAlignment="0" applyProtection="0"/>
    <xf numFmtId="0" fontId="2" fillId="27" borderId="1" applyNumberFormat="0" applyBorder="0" applyAlignment="0" applyProtection="0"/>
    <xf numFmtId="0" fontId="2" fillId="28" borderId="1" applyNumberFormat="0" applyBorder="0" applyAlignment="0" applyProtection="0"/>
    <xf numFmtId="0" fontId="2" fillId="31" borderId="1" applyNumberFormat="0" applyBorder="0" applyAlignment="0" applyProtection="0"/>
    <xf numFmtId="0" fontId="2" fillId="32" borderId="1" applyNumberFormat="0" applyBorder="0" applyAlignment="0" applyProtection="0"/>
    <xf numFmtId="0" fontId="2" fillId="35" borderId="1" applyNumberFormat="0" applyBorder="0" applyAlignment="0" applyProtection="0"/>
    <xf numFmtId="0" fontId="2" fillId="36" borderId="1" applyNumberFormat="0" applyBorder="0" applyAlignment="0" applyProtection="0"/>
    <xf numFmtId="0" fontId="2" fillId="0" borderId="1"/>
    <xf numFmtId="0" fontId="2" fillId="0" borderId="1"/>
    <xf numFmtId="43" fontId="2" fillId="0" borderId="1" applyFont="0" applyFill="0" applyBorder="0" applyAlignment="0" applyProtection="0"/>
    <xf numFmtId="0" fontId="2" fillId="0" borderId="1"/>
    <xf numFmtId="9" fontId="2" fillId="0" borderId="1" applyFont="0" applyFill="0" applyBorder="0" applyAlignment="0" applyProtection="0"/>
    <xf numFmtId="0" fontId="2" fillId="13" borderId="83" applyNumberFormat="0" applyFont="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0" borderId="1"/>
    <xf numFmtId="0" fontId="2" fillId="0" borderId="1"/>
    <xf numFmtId="0" fontId="2" fillId="0" borderId="1"/>
    <xf numFmtId="0" fontId="2" fillId="0" borderId="1"/>
    <xf numFmtId="0" fontId="2" fillId="15" borderId="1" applyNumberFormat="0" applyBorder="0" applyAlignment="0" applyProtection="0"/>
    <xf numFmtId="0" fontId="2" fillId="19" borderId="1" applyNumberFormat="0" applyBorder="0" applyAlignment="0" applyProtection="0"/>
    <xf numFmtId="0" fontId="2" fillId="23" borderId="1" applyNumberFormat="0" applyBorder="0" applyAlignment="0" applyProtection="0"/>
    <xf numFmtId="0" fontId="2" fillId="27" borderId="1" applyNumberFormat="0" applyBorder="0" applyAlignment="0" applyProtection="0"/>
    <xf numFmtId="0" fontId="2" fillId="31" borderId="1" applyNumberFormat="0" applyBorder="0" applyAlignment="0" applyProtection="0"/>
    <xf numFmtId="0" fontId="2" fillId="35" borderId="1" applyNumberFormat="0" applyBorder="0" applyAlignment="0" applyProtection="0"/>
    <xf numFmtId="0" fontId="2" fillId="16" borderId="1" applyNumberFormat="0" applyBorder="0" applyAlignment="0" applyProtection="0"/>
    <xf numFmtId="0" fontId="2" fillId="20" borderId="1" applyNumberFormat="0" applyBorder="0" applyAlignment="0" applyProtection="0"/>
    <xf numFmtId="0" fontId="2" fillId="24" borderId="1" applyNumberFormat="0" applyBorder="0" applyAlignment="0" applyProtection="0"/>
    <xf numFmtId="0" fontId="2" fillId="28" borderId="1" applyNumberFormat="0" applyBorder="0" applyAlignment="0" applyProtection="0"/>
    <xf numFmtId="0" fontId="2" fillId="32" borderId="1" applyNumberFormat="0" applyBorder="0" applyAlignment="0" applyProtection="0"/>
    <xf numFmtId="0" fontId="2" fillId="36" borderId="1" applyNumberFormat="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0" borderId="1"/>
    <xf numFmtId="0" fontId="2" fillId="0" borderId="1"/>
    <xf numFmtId="0" fontId="2" fillId="0" borderId="1"/>
    <xf numFmtId="0" fontId="2" fillId="0" borderId="1"/>
    <xf numFmtId="0" fontId="2" fillId="13" borderId="83" applyNumberFormat="0" applyFont="0" applyAlignment="0" applyProtection="0"/>
    <xf numFmtId="0" fontId="2" fillId="13" borderId="83" applyNumberFormat="0" applyFont="0" applyAlignment="0" applyProtection="0"/>
    <xf numFmtId="9" fontId="2" fillId="0" borderId="1" applyFont="0" applyFill="0" applyBorder="0" applyAlignment="0" applyProtection="0"/>
    <xf numFmtId="9"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15" borderId="1" applyNumberFormat="0" applyBorder="0" applyAlignment="0" applyProtection="0"/>
    <xf numFmtId="0" fontId="2" fillId="16" borderId="1" applyNumberFormat="0" applyBorder="0" applyAlignment="0" applyProtection="0"/>
    <xf numFmtId="0" fontId="2" fillId="19" borderId="1" applyNumberFormat="0" applyBorder="0" applyAlignment="0" applyProtection="0"/>
    <xf numFmtId="0" fontId="2" fillId="20" borderId="1" applyNumberFormat="0" applyBorder="0" applyAlignment="0" applyProtection="0"/>
    <xf numFmtId="0" fontId="2" fillId="23" borderId="1" applyNumberFormat="0" applyBorder="0" applyAlignment="0" applyProtection="0"/>
    <xf numFmtId="0" fontId="2" fillId="24" borderId="1" applyNumberFormat="0" applyBorder="0" applyAlignment="0" applyProtection="0"/>
    <xf numFmtId="0" fontId="2" fillId="27" borderId="1" applyNumberFormat="0" applyBorder="0" applyAlignment="0" applyProtection="0"/>
    <xf numFmtId="0" fontId="2" fillId="28" borderId="1" applyNumberFormat="0" applyBorder="0" applyAlignment="0" applyProtection="0"/>
    <xf numFmtId="0" fontId="2" fillId="31" borderId="1" applyNumberFormat="0" applyBorder="0" applyAlignment="0" applyProtection="0"/>
    <xf numFmtId="0" fontId="2" fillId="32" borderId="1" applyNumberFormat="0" applyBorder="0" applyAlignment="0" applyProtection="0"/>
    <xf numFmtId="0" fontId="2" fillId="35" borderId="1" applyNumberFormat="0" applyBorder="0" applyAlignment="0" applyProtection="0"/>
    <xf numFmtId="0" fontId="2" fillId="36" borderId="1" applyNumberFormat="0" applyBorder="0" applyAlignment="0" applyProtection="0"/>
    <xf numFmtId="0" fontId="2" fillId="0" borderId="1"/>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0" borderId="1"/>
    <xf numFmtId="0" fontId="2" fillId="0" borderId="1"/>
    <xf numFmtId="0" fontId="2" fillId="0" borderId="1"/>
    <xf numFmtId="0" fontId="2" fillId="0" borderId="1"/>
    <xf numFmtId="0" fontId="2" fillId="13" borderId="83" applyNumberFormat="0" applyFont="0" applyAlignment="0" applyProtection="0"/>
    <xf numFmtId="0" fontId="2" fillId="13" borderId="83" applyNumberFormat="0" applyFont="0" applyAlignment="0" applyProtection="0"/>
    <xf numFmtId="9" fontId="2" fillId="0" borderId="1" applyFont="0" applyFill="0" applyBorder="0" applyAlignment="0" applyProtection="0"/>
    <xf numFmtId="9" fontId="2" fillId="0" borderId="1" applyFont="0" applyFill="0" applyBorder="0" applyAlignment="0" applyProtection="0"/>
    <xf numFmtId="0" fontId="2" fillId="0" borderId="1"/>
    <xf numFmtId="0" fontId="2" fillId="15" borderId="1" applyNumberFormat="0" applyBorder="0" applyAlignment="0" applyProtection="0"/>
    <xf numFmtId="0" fontId="2" fillId="19" borderId="1" applyNumberFormat="0" applyBorder="0" applyAlignment="0" applyProtection="0"/>
    <xf numFmtId="0" fontId="2" fillId="23" borderId="1" applyNumberFormat="0" applyBorder="0" applyAlignment="0" applyProtection="0"/>
    <xf numFmtId="0" fontId="2" fillId="27" borderId="1" applyNumberFormat="0" applyBorder="0" applyAlignment="0" applyProtection="0"/>
    <xf numFmtId="0" fontId="2" fillId="31" borderId="1" applyNumberFormat="0" applyBorder="0" applyAlignment="0" applyProtection="0"/>
    <xf numFmtId="0" fontId="2" fillId="35" borderId="1" applyNumberFormat="0" applyBorder="0" applyAlignment="0" applyProtection="0"/>
    <xf numFmtId="0" fontId="2" fillId="16" borderId="1" applyNumberFormat="0" applyBorder="0" applyAlignment="0" applyProtection="0"/>
    <xf numFmtId="0" fontId="2" fillId="20" borderId="1" applyNumberFormat="0" applyBorder="0" applyAlignment="0" applyProtection="0"/>
    <xf numFmtId="0" fontId="2" fillId="24" borderId="1" applyNumberFormat="0" applyBorder="0" applyAlignment="0" applyProtection="0"/>
    <xf numFmtId="0" fontId="2" fillId="28" borderId="1" applyNumberFormat="0" applyBorder="0" applyAlignment="0" applyProtection="0"/>
    <xf numFmtId="0" fontId="2" fillId="32" borderId="1" applyNumberFormat="0" applyBorder="0" applyAlignment="0" applyProtection="0"/>
    <xf numFmtId="0" fontId="2" fillId="36" borderId="1" applyNumberFormat="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165" fontId="2" fillId="0" borderId="1" applyFont="0" applyFill="0" applyBorder="0" applyAlignment="0" applyProtection="0"/>
    <xf numFmtId="0" fontId="2" fillId="0" borderId="1"/>
    <xf numFmtId="0" fontId="2" fillId="0" borderId="1"/>
    <xf numFmtId="0" fontId="2" fillId="0" borderId="1"/>
    <xf numFmtId="0" fontId="2" fillId="0" borderId="1"/>
    <xf numFmtId="0" fontId="2" fillId="0" borderId="1"/>
    <xf numFmtId="0" fontId="2" fillId="13" borderId="83" applyNumberFormat="0" applyFont="0" applyAlignment="0" applyProtection="0"/>
    <xf numFmtId="0" fontId="2" fillId="13" borderId="83" applyNumberFormat="0" applyFont="0" applyAlignment="0" applyProtection="0"/>
    <xf numFmtId="9" fontId="2" fillId="0" borderId="1" applyFont="0" applyFill="0" applyBorder="0" applyAlignment="0" applyProtection="0"/>
    <xf numFmtId="9"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43" fontId="2" fillId="0" borderId="1" applyFont="0" applyFill="0" applyBorder="0" applyAlignment="0" applyProtection="0"/>
    <xf numFmtId="165" fontId="2" fillId="0" borderId="1" applyFont="0" applyFill="0" applyBorder="0" applyAlignment="0" applyProtection="0"/>
    <xf numFmtId="0" fontId="18" fillId="0" borderId="1"/>
    <xf numFmtId="9" fontId="18" fillId="0" borderId="0" applyFont="0" applyFill="0" applyBorder="0" applyAlignment="0" applyProtection="0"/>
    <xf numFmtId="0" fontId="1" fillId="0" borderId="1"/>
    <xf numFmtId="0" fontId="1" fillId="15" borderId="1" applyNumberFormat="0" applyBorder="0" applyAlignment="0" applyProtection="0"/>
    <xf numFmtId="0" fontId="1" fillId="19" borderId="1" applyNumberFormat="0" applyBorder="0" applyAlignment="0" applyProtection="0"/>
    <xf numFmtId="0" fontId="1" fillId="23" borderId="1" applyNumberFormat="0" applyBorder="0" applyAlignment="0" applyProtection="0"/>
    <xf numFmtId="0" fontId="1" fillId="27" borderId="1" applyNumberFormat="0" applyBorder="0" applyAlignment="0" applyProtection="0"/>
    <xf numFmtId="0" fontId="1" fillId="31" borderId="1" applyNumberFormat="0" applyBorder="0" applyAlignment="0" applyProtection="0"/>
    <xf numFmtId="0" fontId="1" fillId="35" borderId="1" applyNumberFormat="0" applyBorder="0" applyAlignment="0" applyProtection="0"/>
    <xf numFmtId="0" fontId="1" fillId="16" borderId="1" applyNumberFormat="0" applyBorder="0" applyAlignment="0" applyProtection="0"/>
    <xf numFmtId="0" fontId="1" fillId="20" borderId="1" applyNumberFormat="0" applyBorder="0" applyAlignment="0" applyProtection="0"/>
    <xf numFmtId="0" fontId="1" fillId="24" borderId="1" applyNumberFormat="0" applyBorder="0" applyAlignment="0" applyProtection="0"/>
    <xf numFmtId="0" fontId="1" fillId="28" borderId="1" applyNumberFormat="0" applyBorder="0" applyAlignment="0" applyProtection="0"/>
    <xf numFmtId="0" fontId="1" fillId="32" borderId="1" applyNumberFormat="0" applyBorder="0" applyAlignment="0" applyProtection="0"/>
    <xf numFmtId="0" fontId="1" fillId="36" borderId="1" applyNumberFormat="0" applyBorder="0" applyAlignment="0" applyProtection="0"/>
    <xf numFmtId="41" fontId="83" fillId="0" borderId="1" applyFont="0" applyFill="0" applyBorder="0" applyAlignment="0" applyProtection="0"/>
    <xf numFmtId="41" fontId="83" fillId="0" borderId="1" applyFont="0" applyFill="0" applyBorder="0" applyAlignment="0" applyProtection="0"/>
    <xf numFmtId="41" fontId="83" fillId="0" borderId="1" applyFont="0" applyFill="0" applyBorder="0" applyAlignment="0" applyProtection="0"/>
    <xf numFmtId="165" fontId="88" fillId="0" borderId="1" applyFont="0" applyFill="0" applyBorder="0" applyAlignment="0" applyProtection="0"/>
    <xf numFmtId="43" fontId="83" fillId="0" borderId="1" applyFont="0" applyFill="0" applyBorder="0" applyAlignment="0" applyProtection="0"/>
    <xf numFmtId="43" fontId="83" fillId="0" borderId="1" applyFont="0" applyFill="0" applyBorder="0" applyAlignment="0" applyProtection="0"/>
    <xf numFmtId="43" fontId="83" fillId="0" borderId="1" applyFont="0" applyFill="0" applyBorder="0" applyAlignment="0" applyProtection="0"/>
    <xf numFmtId="43" fontId="83" fillId="0" borderId="1" applyFont="0" applyFill="0" applyBorder="0" applyAlignment="0" applyProtection="0"/>
    <xf numFmtId="43" fontId="83" fillId="0" borderId="1" applyFont="0" applyFill="0" applyBorder="0" applyAlignment="0" applyProtection="0"/>
    <xf numFmtId="43" fontId="83" fillId="0" borderId="1" applyFont="0" applyFill="0" applyBorder="0" applyAlignment="0" applyProtection="0"/>
    <xf numFmtId="43" fontId="83" fillId="0" borderId="1" applyFont="0" applyFill="0" applyBorder="0" applyAlignment="0" applyProtection="0"/>
    <xf numFmtId="43" fontId="83" fillId="0" borderId="1" applyFont="0" applyFill="0" applyBorder="0" applyAlignment="0" applyProtection="0"/>
    <xf numFmtId="43" fontId="83" fillId="0" borderId="1" applyFont="0" applyFill="0" applyBorder="0" applyAlignment="0" applyProtection="0"/>
    <xf numFmtId="43" fontId="83" fillId="0" borderId="1" applyFont="0" applyFill="0" applyBorder="0" applyAlignment="0" applyProtection="0"/>
    <xf numFmtId="43" fontId="83" fillId="0" borderId="1" applyFont="0" applyFill="0" applyBorder="0" applyAlignment="0" applyProtection="0"/>
    <xf numFmtId="43" fontId="83" fillId="0" borderId="1" applyFont="0" applyFill="0" applyBorder="0" applyAlignment="0" applyProtection="0"/>
    <xf numFmtId="0" fontId="156" fillId="0" borderId="1" applyNumberFormat="0" applyFont="0" applyFill="0" applyBorder="0" applyProtection="0">
      <alignment vertical="center"/>
    </xf>
    <xf numFmtId="165" fontId="83" fillId="0" borderId="1" applyFont="0" applyFill="0" applyBorder="0" applyAlignment="0" applyProtection="0"/>
    <xf numFmtId="165" fontId="88" fillId="0" borderId="1" applyFont="0" applyFill="0" applyBorder="0" applyAlignment="0" applyProtection="0"/>
    <xf numFmtId="165" fontId="83" fillId="0" borderId="1" applyFont="0" applyFill="0" applyBorder="0" applyAlignment="0" applyProtection="0"/>
    <xf numFmtId="43" fontId="83" fillId="0" borderId="1" applyFont="0" applyFill="0" applyBorder="0" applyAlignment="0" applyProtection="0"/>
    <xf numFmtId="43" fontId="155" fillId="0" borderId="1" applyFont="0" applyFill="0" applyBorder="0" applyAlignment="0" applyProtection="0"/>
    <xf numFmtId="43" fontId="155" fillId="0" borderId="1" applyFont="0" applyFill="0" applyBorder="0" applyAlignment="0" applyProtection="0"/>
    <xf numFmtId="43" fontId="83" fillId="0" borderId="1" applyFont="0" applyFill="0" applyBorder="0" applyAlignment="0" applyProtection="0"/>
    <xf numFmtId="43" fontId="83" fillId="0" borderId="1" applyFont="0" applyFill="0" applyBorder="0" applyAlignment="0" applyProtection="0"/>
    <xf numFmtId="43" fontId="83" fillId="0" borderId="1" applyFont="0" applyFill="0" applyBorder="0" applyAlignment="0" applyProtection="0"/>
    <xf numFmtId="43" fontId="83" fillId="0" borderId="1" applyFont="0" applyFill="0" applyBorder="0" applyAlignment="0" applyProtection="0"/>
    <xf numFmtId="43" fontId="83" fillId="0" borderId="1" applyFont="0" applyFill="0" applyBorder="0" applyAlignment="0" applyProtection="0"/>
    <xf numFmtId="43" fontId="83" fillId="0" borderId="1" applyFont="0" applyFill="0" applyBorder="0" applyAlignment="0" applyProtection="0"/>
    <xf numFmtId="43" fontId="83" fillId="0" borderId="1" applyFont="0" applyFill="0" applyBorder="0" applyAlignment="0" applyProtection="0"/>
    <xf numFmtId="43" fontId="83" fillId="0" borderId="1" applyFont="0" applyFill="0" applyBorder="0" applyAlignment="0" applyProtection="0"/>
    <xf numFmtId="43" fontId="83" fillId="0" borderId="1" applyFont="0" applyFill="0" applyBorder="0" applyAlignment="0" applyProtection="0"/>
    <xf numFmtId="43" fontId="83" fillId="0" borderId="1" applyFont="0" applyFill="0" applyBorder="0" applyAlignment="0" applyProtection="0"/>
    <xf numFmtId="43" fontId="83" fillId="0" borderId="1" applyFont="0" applyFill="0" applyBorder="0" applyAlignment="0" applyProtection="0"/>
    <xf numFmtId="43" fontId="83" fillId="0" borderId="1" applyFont="0" applyFill="0" applyBorder="0" applyAlignment="0" applyProtection="0"/>
    <xf numFmtId="43" fontId="83" fillId="0" borderId="1" applyFont="0" applyFill="0" applyBorder="0" applyAlignment="0" applyProtection="0"/>
    <xf numFmtId="43" fontId="83" fillId="0" borderId="1" applyFont="0" applyFill="0" applyBorder="0" applyAlignment="0" applyProtection="0"/>
    <xf numFmtId="43" fontId="83" fillId="0" borderId="1" applyFont="0" applyFill="0" applyBorder="0" applyAlignment="0" applyProtection="0"/>
    <xf numFmtId="43" fontId="83" fillId="0" borderId="1" applyFont="0" applyFill="0" applyBorder="0" applyAlignment="0" applyProtection="0"/>
    <xf numFmtId="43" fontId="83" fillId="0" borderId="1" applyFont="0" applyFill="0" applyBorder="0" applyAlignment="0" applyProtection="0"/>
    <xf numFmtId="43" fontId="88" fillId="0" borderId="1" applyFont="0" applyFill="0" applyBorder="0" applyAlignment="0" applyProtection="0"/>
    <xf numFmtId="43" fontId="83" fillId="0" borderId="1" applyFont="0" applyFill="0" applyBorder="0" applyAlignment="0" applyProtection="0"/>
    <xf numFmtId="43" fontId="83" fillId="0" borderId="1" applyFont="0" applyFill="0" applyBorder="0" applyAlignment="0" applyProtection="0"/>
    <xf numFmtId="43" fontId="83" fillId="0" borderId="1" applyFont="0" applyFill="0" applyBorder="0" applyAlignment="0" applyProtection="0"/>
    <xf numFmtId="43" fontId="83" fillId="0" borderId="1" applyFont="0" applyFill="0" applyBorder="0" applyAlignment="0" applyProtection="0"/>
    <xf numFmtId="0" fontId="145" fillId="0" borderId="1"/>
    <xf numFmtId="0" fontId="1" fillId="0" borderId="1"/>
    <xf numFmtId="0" fontId="145" fillId="0" borderId="1"/>
    <xf numFmtId="0" fontId="1" fillId="0" borderId="1"/>
    <xf numFmtId="0" fontId="1" fillId="0" borderId="1"/>
    <xf numFmtId="0" fontId="88" fillId="0" borderId="1"/>
    <xf numFmtId="0" fontId="1" fillId="0" borderId="1"/>
    <xf numFmtId="0" fontId="1" fillId="0" borderId="1"/>
    <xf numFmtId="0" fontId="156" fillId="0" borderId="1"/>
    <xf numFmtId="0" fontId="1" fillId="0" borderId="1"/>
    <xf numFmtId="0" fontId="156" fillId="0" borderId="1"/>
    <xf numFmtId="0" fontId="1" fillId="0" borderId="1"/>
    <xf numFmtId="0" fontId="1" fillId="0" borderId="1"/>
    <xf numFmtId="187" fontId="145" fillId="0" borderId="1"/>
    <xf numFmtId="0" fontId="157" fillId="0" borderId="1"/>
    <xf numFmtId="0" fontId="83" fillId="13" borderId="83" applyNumberFormat="0" applyFont="0" applyAlignment="0" applyProtection="0"/>
    <xf numFmtId="9" fontId="88" fillId="0" borderId="1" applyFont="0" applyFill="0" applyBorder="0" applyAlignment="0" applyProtection="0"/>
    <xf numFmtId="9" fontId="88" fillId="0" borderId="1" applyFont="0" applyFill="0" applyBorder="0" applyAlignment="0" applyProtection="0"/>
    <xf numFmtId="9" fontId="83" fillId="0" borderId="1" applyFont="0" applyFill="0" applyBorder="0" applyAlignment="0" applyProtection="0"/>
    <xf numFmtId="9" fontId="155" fillId="0" borderId="1" applyFont="0" applyFill="0" applyBorder="0" applyAlignment="0" applyProtection="0"/>
    <xf numFmtId="9" fontId="155" fillId="0" borderId="1" applyFont="0" applyFill="0" applyBorder="0" applyAlignment="0" applyProtection="0"/>
    <xf numFmtId="9" fontId="83" fillId="0" borderId="1" applyFont="0" applyFill="0" applyBorder="0" applyAlignment="0" applyProtection="0"/>
    <xf numFmtId="9" fontId="83" fillId="0" borderId="1" applyFont="0" applyFill="0" applyBorder="0" applyAlignment="0" applyProtection="0"/>
    <xf numFmtId="9" fontId="88" fillId="0" borderId="1" applyFont="0" applyFill="0" applyBorder="0" applyAlignment="0" applyProtection="0"/>
    <xf numFmtId="9" fontId="83" fillId="0" borderId="1" applyFont="0" applyFill="0" applyBorder="0" applyAlignment="0" applyProtection="0"/>
    <xf numFmtId="9" fontId="83" fillId="0" borderId="1" applyFont="0" applyFill="0" applyBorder="0" applyAlignment="0" applyProtection="0"/>
    <xf numFmtId="43" fontId="1" fillId="0" borderId="1" applyFont="0" applyFill="0" applyBorder="0" applyAlignment="0" applyProtection="0"/>
    <xf numFmtId="0" fontId="27" fillId="0" borderId="1"/>
    <xf numFmtId="43" fontId="83" fillId="0" borderId="1" applyFont="0" applyFill="0" applyBorder="0" applyAlignment="0" applyProtection="0"/>
    <xf numFmtId="41" fontId="83" fillId="0" borderId="1" applyFont="0" applyFill="0" applyBorder="0" applyAlignment="0" applyProtection="0"/>
    <xf numFmtId="41" fontId="83" fillId="0" borderId="1" applyFont="0" applyFill="0" applyBorder="0" applyAlignment="0" applyProtection="0"/>
    <xf numFmtId="43" fontId="83" fillId="0" borderId="1" applyFont="0" applyFill="0" applyBorder="0" applyAlignment="0" applyProtection="0"/>
    <xf numFmtId="43" fontId="83" fillId="0" borderId="1" applyFont="0" applyFill="0" applyBorder="0" applyAlignment="0" applyProtection="0"/>
    <xf numFmtId="43" fontId="83" fillId="0" borderId="1" applyFont="0" applyFill="0" applyBorder="0" applyAlignment="0" applyProtection="0"/>
    <xf numFmtId="165" fontId="83" fillId="0" borderId="1" applyFont="0" applyFill="0" applyBorder="0" applyAlignment="0" applyProtection="0"/>
    <xf numFmtId="43" fontId="155" fillId="0" borderId="1" applyFont="0" applyFill="0" applyBorder="0" applyAlignment="0" applyProtection="0"/>
    <xf numFmtId="43" fontId="83" fillId="0" borderId="1" applyFont="0" applyFill="0" applyBorder="0" applyAlignment="0" applyProtection="0"/>
    <xf numFmtId="43" fontId="83" fillId="0" borderId="1" applyFont="0" applyFill="0" applyBorder="0" applyAlignment="0" applyProtection="0"/>
    <xf numFmtId="43" fontId="83" fillId="0" borderId="1" applyFont="0" applyFill="0" applyBorder="0" applyAlignment="0" applyProtection="0"/>
    <xf numFmtId="43" fontId="83" fillId="0" borderId="1" applyFont="0" applyFill="0" applyBorder="0" applyAlignment="0" applyProtection="0"/>
    <xf numFmtId="0" fontId="80" fillId="0" borderId="1" applyNumberFormat="0" applyFill="0" applyBorder="0" applyAlignment="0" applyProtection="0">
      <alignment vertical="top"/>
      <protection locked="0"/>
    </xf>
    <xf numFmtId="43" fontId="83" fillId="0" borderId="1" applyFont="0" applyFill="0" applyBorder="0" applyAlignment="0" applyProtection="0"/>
    <xf numFmtId="43" fontId="83" fillId="0" borderId="1" applyFont="0" applyFill="0" applyBorder="0" applyAlignment="0" applyProtection="0"/>
    <xf numFmtId="43" fontId="83" fillId="0" borderId="1" applyFont="0" applyFill="0" applyBorder="0" applyAlignment="0" applyProtection="0"/>
    <xf numFmtId="43" fontId="83" fillId="0" borderId="1" applyFont="0" applyFill="0" applyBorder="0" applyAlignment="0" applyProtection="0"/>
    <xf numFmtId="165" fontId="1" fillId="0" borderId="1" applyFont="0" applyFill="0" applyBorder="0" applyAlignment="0" applyProtection="0"/>
    <xf numFmtId="43" fontId="99" fillId="0" borderId="1" applyFont="0" applyFill="0" applyBorder="0" applyAlignment="0" applyProtection="0"/>
    <xf numFmtId="43" fontId="1" fillId="0" borderId="1" applyFont="0" applyFill="0" applyBorder="0" applyAlignment="0" applyProtection="0"/>
    <xf numFmtId="0" fontId="83" fillId="13" borderId="83" applyNumberFormat="0" applyFont="0" applyAlignment="0" applyProtection="0"/>
    <xf numFmtId="165" fontId="1" fillId="0" borderId="1" applyFont="0" applyFill="0" applyBorder="0" applyAlignment="0" applyProtection="0"/>
    <xf numFmtId="9" fontId="83" fillId="0" borderId="1" applyFont="0" applyFill="0" applyBorder="0" applyAlignment="0" applyProtection="0"/>
    <xf numFmtId="9" fontId="155"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0" fontId="1" fillId="0" borderId="1"/>
    <xf numFmtId="0" fontId="1" fillId="13" borderId="83" applyNumberFormat="0" applyFont="0" applyAlignment="0" applyProtection="0"/>
    <xf numFmtId="0" fontId="1" fillId="13" borderId="83" applyNumberFormat="0" applyFont="0" applyAlignment="0" applyProtection="0"/>
    <xf numFmtId="9" fontId="1" fillId="0" borderId="1" applyFont="0" applyFill="0" applyBorder="0" applyAlignment="0" applyProtection="0"/>
    <xf numFmtId="9" fontId="99" fillId="0" borderId="1" applyFont="0" applyFill="0" applyBorder="0" applyAlignment="0" applyProtection="0"/>
    <xf numFmtId="0" fontId="88" fillId="0" borderId="1"/>
    <xf numFmtId="0" fontId="158" fillId="0" borderId="1"/>
    <xf numFmtId="0" fontId="158" fillId="0" borderId="1"/>
    <xf numFmtId="0" fontId="159" fillId="0" borderId="1">
      <alignment vertical="top"/>
    </xf>
    <xf numFmtId="0" fontId="88" fillId="0" borderId="1"/>
    <xf numFmtId="0" fontId="159" fillId="0" borderId="1">
      <alignment vertical="top"/>
    </xf>
    <xf numFmtId="0" fontId="88" fillId="0" borderId="1"/>
    <xf numFmtId="0" fontId="159" fillId="0" borderId="1">
      <alignment vertical="top"/>
    </xf>
    <xf numFmtId="0" fontId="88" fillId="0" borderId="1"/>
    <xf numFmtId="0" fontId="158" fillId="0" borderId="1"/>
    <xf numFmtId="0" fontId="88" fillId="0" borderId="1">
      <alignment vertical="top"/>
    </xf>
    <xf numFmtId="0" fontId="88" fillId="0" borderId="1"/>
    <xf numFmtId="0" fontId="88" fillId="0" borderId="1"/>
    <xf numFmtId="0" fontId="88" fillId="0" borderId="1"/>
    <xf numFmtId="0" fontId="88" fillId="0" borderId="1"/>
    <xf numFmtId="0" fontId="158" fillId="0" borderId="1"/>
    <xf numFmtId="0" fontId="88" fillId="0" borderId="1"/>
    <xf numFmtId="0" fontId="156" fillId="0" borderId="1"/>
    <xf numFmtId="0" fontId="156" fillId="0" borderId="1"/>
    <xf numFmtId="0" fontId="88" fillId="0" borderId="1"/>
    <xf numFmtId="0" fontId="156" fillId="0" borderId="1"/>
    <xf numFmtId="0" fontId="88" fillId="0" borderId="1"/>
    <xf numFmtId="0" fontId="156" fillId="0" borderId="1"/>
    <xf numFmtId="0" fontId="156" fillId="0" borderId="1"/>
    <xf numFmtId="0" fontId="88" fillId="0" borderId="1"/>
    <xf numFmtId="0" fontId="88" fillId="0" borderId="1"/>
    <xf numFmtId="0" fontId="88" fillId="0" borderId="1"/>
    <xf numFmtId="0" fontId="88" fillId="0" borderId="1"/>
    <xf numFmtId="0" fontId="88" fillId="0" borderId="1"/>
    <xf numFmtId="0" fontId="88" fillId="0" borderId="1"/>
    <xf numFmtId="0" fontId="156" fillId="0" borderId="1"/>
    <xf numFmtId="0" fontId="156" fillId="0" borderId="1"/>
    <xf numFmtId="0" fontId="156" fillId="0" borderId="1"/>
    <xf numFmtId="0" fontId="88" fillId="0" borderId="1"/>
    <xf numFmtId="0" fontId="88" fillId="0" borderId="1"/>
    <xf numFmtId="0" fontId="156" fillId="0" borderId="1"/>
    <xf numFmtId="0" fontId="156" fillId="0" borderId="1"/>
    <xf numFmtId="0" fontId="88" fillId="0" borderId="1"/>
    <xf numFmtId="0" fontId="88" fillId="127" borderId="1"/>
    <xf numFmtId="0" fontId="88" fillId="127" borderId="1"/>
    <xf numFmtId="0" fontId="88" fillId="127" borderId="1"/>
    <xf numFmtId="0" fontId="88" fillId="127" borderId="1"/>
    <xf numFmtId="0" fontId="88" fillId="127" borderId="1"/>
    <xf numFmtId="0" fontId="88" fillId="127" borderId="1"/>
    <xf numFmtId="0" fontId="88" fillId="127" borderId="1"/>
    <xf numFmtId="0" fontId="88" fillId="127" borderId="1"/>
    <xf numFmtId="0" fontId="88" fillId="127" borderId="1"/>
    <xf numFmtId="0" fontId="88" fillId="127" borderId="1"/>
    <xf numFmtId="0" fontId="88" fillId="127" borderId="1"/>
    <xf numFmtId="0" fontId="88" fillId="127" borderId="1"/>
    <xf numFmtId="0" fontId="88" fillId="127" borderId="1"/>
    <xf numFmtId="0" fontId="160" fillId="128" borderId="1"/>
    <xf numFmtId="0" fontId="160" fillId="128" borderId="1"/>
    <xf numFmtId="0" fontId="160" fillId="128" borderId="1"/>
    <xf numFmtId="0" fontId="161" fillId="129" borderId="1"/>
    <xf numFmtId="0" fontId="162" fillId="130" borderId="1"/>
    <xf numFmtId="0" fontId="163" fillId="0" borderId="1"/>
    <xf numFmtId="0" fontId="164" fillId="0" borderId="1"/>
    <xf numFmtId="0" fontId="66" fillId="0" borderId="1"/>
    <xf numFmtId="0" fontId="66" fillId="0" borderId="1"/>
    <xf numFmtId="0" fontId="66" fillId="0" borderId="1"/>
    <xf numFmtId="0" fontId="66" fillId="0" borderId="1"/>
    <xf numFmtId="0" fontId="66" fillId="0" borderId="1"/>
    <xf numFmtId="0" fontId="66" fillId="0" borderId="1"/>
    <xf numFmtId="0" fontId="66" fillId="0" borderId="1"/>
    <xf numFmtId="4" fontId="88" fillId="100" borderId="1"/>
    <xf numFmtId="4" fontId="88" fillId="100" borderId="1"/>
    <xf numFmtId="4" fontId="88" fillId="100" borderId="1"/>
    <xf numFmtId="4" fontId="88" fillId="100" borderId="1"/>
    <xf numFmtId="4" fontId="88" fillId="100" borderId="1"/>
    <xf numFmtId="4" fontId="88" fillId="100" borderId="1"/>
    <xf numFmtId="4" fontId="88" fillId="100" borderId="1"/>
    <xf numFmtId="4" fontId="88" fillId="100" borderId="1"/>
    <xf numFmtId="4" fontId="88" fillId="100" borderId="1"/>
    <xf numFmtId="4" fontId="88" fillId="100" borderId="1"/>
    <xf numFmtId="4" fontId="88" fillId="100" borderId="1"/>
    <xf numFmtId="4" fontId="88" fillId="100" borderId="1"/>
    <xf numFmtId="4" fontId="88" fillId="10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159" fillId="0" borderId="1">
      <alignment vertical="top"/>
    </xf>
    <xf numFmtId="0" fontId="88" fillId="0" borderId="1"/>
    <xf numFmtId="0" fontId="88" fillId="0" borderId="1"/>
    <xf numFmtId="0" fontId="88" fillId="0" borderId="1"/>
    <xf numFmtId="0" fontId="88" fillId="0" borderId="1"/>
    <xf numFmtId="0" fontId="165" fillId="119" borderId="1"/>
    <xf numFmtId="0" fontId="156" fillId="0" borderId="1"/>
    <xf numFmtId="0" fontId="88" fillId="127" borderId="1"/>
    <xf numFmtId="0" fontId="88" fillId="127" borderId="1"/>
    <xf numFmtId="0" fontId="88" fillId="127" borderId="1"/>
    <xf numFmtId="0" fontId="88" fillId="127" borderId="1"/>
    <xf numFmtId="0" fontId="88" fillId="127" borderId="1"/>
    <xf numFmtId="0" fontId="88" fillId="127" borderId="1"/>
    <xf numFmtId="0" fontId="88" fillId="127" borderId="1"/>
    <xf numFmtId="0" fontId="88" fillId="127" borderId="1"/>
    <xf numFmtId="0" fontId="88" fillId="127" borderId="1"/>
    <xf numFmtId="0" fontId="88" fillId="127" borderId="1"/>
    <xf numFmtId="0" fontId="88" fillId="127" borderId="1"/>
    <xf numFmtId="0" fontId="88" fillId="127" borderId="1"/>
    <xf numFmtId="0" fontId="88" fillId="127" borderId="1"/>
    <xf numFmtId="0" fontId="160" fillId="128" borderId="1"/>
    <xf numFmtId="0" fontId="160" fillId="128" borderId="1"/>
    <xf numFmtId="0" fontId="160" fillId="128" borderId="1"/>
    <xf numFmtId="0" fontId="161" fillId="129" borderId="1"/>
    <xf numFmtId="0" fontId="162" fillId="130" borderId="1"/>
    <xf numFmtId="0" fontId="163" fillId="0" borderId="1"/>
    <xf numFmtId="0" fontId="164" fillId="0" borderId="1"/>
    <xf numFmtId="0" fontId="66" fillId="0" borderId="1"/>
    <xf numFmtId="0" fontId="66" fillId="0" borderId="1"/>
    <xf numFmtId="0" fontId="66" fillId="0" borderId="1"/>
    <xf numFmtId="0" fontId="66" fillId="0" borderId="1"/>
    <xf numFmtId="0" fontId="66" fillId="0" borderId="1"/>
    <xf numFmtId="0" fontId="66" fillId="0" borderId="1"/>
    <xf numFmtId="0" fontId="66" fillId="0" borderId="1"/>
    <xf numFmtId="0" fontId="159" fillId="0" borderId="1">
      <alignment vertical="top"/>
    </xf>
    <xf numFmtId="188" fontId="166" fillId="0" borderId="118" applyBorder="0">
      <alignment horizontal="right"/>
    </xf>
    <xf numFmtId="0" fontId="83" fillId="45" borderId="1" applyNumberFormat="0" applyBorder="0" applyAlignment="0" applyProtection="0"/>
    <xf numFmtId="0" fontId="83" fillId="46" borderId="1" applyNumberFormat="0" applyBorder="0" applyAlignment="0" applyProtection="0"/>
    <xf numFmtId="0" fontId="83" fillId="47" borderId="1" applyNumberFormat="0" applyBorder="0" applyAlignment="0" applyProtection="0"/>
    <xf numFmtId="0" fontId="83" fillId="48" borderId="1" applyNumberFormat="0" applyBorder="0" applyAlignment="0" applyProtection="0"/>
    <xf numFmtId="0" fontId="83" fillId="49" borderId="1" applyNumberFormat="0" applyBorder="0" applyAlignment="0" applyProtection="0"/>
    <xf numFmtId="0" fontId="83" fillId="50" borderId="1" applyNumberFormat="0" applyBorder="0" applyAlignment="0" applyProtection="0"/>
    <xf numFmtId="0" fontId="159" fillId="95" borderId="1" applyNumberFormat="0" applyBorder="0" applyAlignment="0" applyProtection="0"/>
    <xf numFmtId="0" fontId="83" fillId="131" borderId="1" applyNumberFormat="0" applyBorder="0" applyAlignment="0" applyProtection="0"/>
    <xf numFmtId="0" fontId="83" fillId="131" borderId="1" applyNumberFormat="0" applyBorder="0" applyAlignment="0" applyProtection="0"/>
    <xf numFmtId="0" fontId="83" fillId="131" borderId="1" applyNumberFormat="0" applyBorder="0" applyAlignment="0" applyProtection="0"/>
    <xf numFmtId="0" fontId="83" fillId="131" borderId="1" applyNumberFormat="0" applyBorder="0" applyAlignment="0" applyProtection="0"/>
    <xf numFmtId="0" fontId="83" fillId="131"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59" fillId="52" borderId="1" applyNumberFormat="0" applyBorder="0" applyAlignment="0" applyProtection="0"/>
    <xf numFmtId="0" fontId="83" fillId="50" borderId="1" applyNumberFormat="0" applyBorder="0" applyAlignment="0" applyProtection="0"/>
    <xf numFmtId="0" fontId="83" fillId="50" borderId="1" applyNumberFormat="0" applyBorder="0" applyAlignment="0" applyProtection="0"/>
    <xf numFmtId="0" fontId="83" fillId="50" borderId="1" applyNumberFormat="0" applyBorder="0" applyAlignment="0" applyProtection="0"/>
    <xf numFmtId="0" fontId="83" fillId="50" borderId="1" applyNumberFormat="0" applyBorder="0" applyAlignment="0" applyProtection="0"/>
    <xf numFmtId="0" fontId="83" fillId="50"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59" fillId="99" borderId="1" applyNumberFormat="0" applyBorder="0" applyAlignment="0" applyProtection="0"/>
    <xf numFmtId="0" fontId="83" fillId="99" borderId="1" applyNumberFormat="0" applyBorder="0" applyAlignment="0" applyProtection="0"/>
    <xf numFmtId="0" fontId="83" fillId="99" borderId="1" applyNumberFormat="0" applyBorder="0" applyAlignment="0" applyProtection="0"/>
    <xf numFmtId="0" fontId="83" fillId="99" borderId="1" applyNumberFormat="0" applyBorder="0" applyAlignment="0" applyProtection="0"/>
    <xf numFmtId="0" fontId="83" fillId="99" borderId="1" applyNumberFormat="0" applyBorder="0" applyAlignment="0" applyProtection="0"/>
    <xf numFmtId="0" fontId="83" fillId="99"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59" fillId="98" borderId="1" applyNumberFormat="0" applyBorder="0" applyAlignment="0" applyProtection="0"/>
    <xf numFmtId="0" fontId="83" fillId="56" borderId="1" applyNumberFormat="0" applyBorder="0" applyAlignment="0" applyProtection="0"/>
    <xf numFmtId="0" fontId="83" fillId="56" borderId="1" applyNumberFormat="0" applyBorder="0" applyAlignment="0" applyProtection="0"/>
    <xf numFmtId="0" fontId="83" fillId="56" borderId="1" applyNumberFormat="0" applyBorder="0" applyAlignment="0" applyProtection="0"/>
    <xf numFmtId="0" fontId="83" fillId="56" borderId="1" applyNumberFormat="0" applyBorder="0" applyAlignment="0" applyProtection="0"/>
    <xf numFmtId="0" fontId="83" fillId="56"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59" fillId="51" borderId="1" applyNumberFormat="0" applyBorder="0" applyAlignment="0" applyProtection="0"/>
    <xf numFmtId="0" fontId="83" fillId="131" borderId="1" applyNumberFormat="0" applyBorder="0" applyAlignment="0" applyProtection="0"/>
    <xf numFmtId="0" fontId="83" fillId="131" borderId="1" applyNumberFormat="0" applyBorder="0" applyAlignment="0" applyProtection="0"/>
    <xf numFmtId="0" fontId="83" fillId="131" borderId="1" applyNumberFormat="0" applyBorder="0" applyAlignment="0" applyProtection="0"/>
    <xf numFmtId="0" fontId="83" fillId="131" borderId="1" applyNumberFormat="0" applyBorder="0" applyAlignment="0" applyProtection="0"/>
    <xf numFmtId="0" fontId="83" fillId="1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59" fillId="46" borderId="1" applyNumberFormat="0" applyBorder="0" applyAlignment="0" applyProtection="0"/>
    <xf numFmtId="0" fontId="83" fillId="50" borderId="1" applyNumberFormat="0" applyBorder="0" applyAlignment="0" applyProtection="0"/>
    <xf numFmtId="0" fontId="83" fillId="50" borderId="1" applyNumberFormat="0" applyBorder="0" applyAlignment="0" applyProtection="0"/>
    <xf numFmtId="0" fontId="83" fillId="50" borderId="1" applyNumberFormat="0" applyBorder="0" applyAlignment="0" applyProtection="0"/>
    <xf numFmtId="0" fontId="83" fillId="50" borderId="1" applyNumberFormat="0" applyBorder="0" applyAlignment="0" applyProtection="0"/>
    <xf numFmtId="0" fontId="83" fillId="50"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83" fillId="95" borderId="1" applyNumberFormat="0" applyBorder="0" applyAlignment="0" applyProtection="0"/>
    <xf numFmtId="0" fontId="83" fillId="95" borderId="1" applyNumberFormat="0" applyBorder="0" applyAlignment="0" applyProtection="0"/>
    <xf numFmtId="0" fontId="83" fillId="95" borderId="1" applyNumberFormat="0" applyBorder="0" applyAlignment="0" applyProtection="0"/>
    <xf numFmtId="0" fontId="83" fillId="52" borderId="1" applyNumberFormat="0" applyBorder="0" applyAlignment="0" applyProtection="0"/>
    <xf numFmtId="0" fontId="83" fillId="52" borderId="1" applyNumberFormat="0" applyBorder="0" applyAlignment="0" applyProtection="0"/>
    <xf numFmtId="0" fontId="83" fillId="52" borderId="1" applyNumberFormat="0" applyBorder="0" applyAlignment="0" applyProtection="0"/>
    <xf numFmtId="0" fontId="83" fillId="99" borderId="1" applyNumberFormat="0" applyBorder="0" applyAlignment="0" applyProtection="0"/>
    <xf numFmtId="0" fontId="83" fillId="99" borderId="1" applyNumberFormat="0" applyBorder="0" applyAlignment="0" applyProtection="0"/>
    <xf numFmtId="0" fontId="83" fillId="99" borderId="1" applyNumberFormat="0" applyBorder="0" applyAlignment="0" applyProtection="0"/>
    <xf numFmtId="0" fontId="83" fillId="98" borderId="1" applyNumberFormat="0" applyBorder="0" applyAlignment="0" applyProtection="0"/>
    <xf numFmtId="0" fontId="83" fillId="98" borderId="1" applyNumberFormat="0" applyBorder="0" applyAlignment="0" applyProtection="0"/>
    <xf numFmtId="0" fontId="83" fillId="98" borderId="1" applyNumberFormat="0" applyBorder="0" applyAlignment="0" applyProtection="0"/>
    <xf numFmtId="0" fontId="83" fillId="51" borderId="1" applyNumberFormat="0" applyBorder="0" applyAlignment="0" applyProtection="0"/>
    <xf numFmtId="0" fontId="83" fillId="51" borderId="1" applyNumberFormat="0" applyBorder="0" applyAlignment="0" applyProtection="0"/>
    <xf numFmtId="0" fontId="83" fillId="51" borderId="1" applyNumberFormat="0" applyBorder="0" applyAlignment="0" applyProtection="0"/>
    <xf numFmtId="0" fontId="83" fillId="46" borderId="1" applyNumberFormat="0" applyBorder="0" applyAlignment="0" applyProtection="0"/>
    <xf numFmtId="0" fontId="83" fillId="46" borderId="1" applyNumberFormat="0" applyBorder="0" applyAlignment="0" applyProtection="0"/>
    <xf numFmtId="0" fontId="83" fillId="46" borderId="1" applyNumberFormat="0" applyBorder="0" applyAlignment="0" applyProtection="0"/>
    <xf numFmtId="0" fontId="83" fillId="45" borderId="1" applyNumberFormat="0" applyBorder="0" applyAlignment="0" applyProtection="0"/>
    <xf numFmtId="0" fontId="83" fillId="46" borderId="1" applyNumberFormat="0" applyBorder="0" applyAlignment="0" applyProtection="0"/>
    <xf numFmtId="0" fontId="83" fillId="47" borderId="1" applyNumberFormat="0" applyBorder="0" applyAlignment="0" applyProtection="0"/>
    <xf numFmtId="0" fontId="83" fillId="48" borderId="1" applyNumberFormat="0" applyBorder="0" applyAlignment="0" applyProtection="0"/>
    <xf numFmtId="0" fontId="83" fillId="49" borderId="1" applyNumberFormat="0" applyBorder="0" applyAlignment="0" applyProtection="0"/>
    <xf numFmtId="0" fontId="83" fillId="50"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83" fillId="99"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83" fillId="45" borderId="1" applyNumberFormat="0" applyBorder="0" applyAlignment="0" applyProtection="0"/>
    <xf numFmtId="0" fontId="83" fillId="45" borderId="1" applyNumberFormat="0" applyBorder="0" applyAlignment="0" applyProtection="0"/>
    <xf numFmtId="0" fontId="83" fillId="45" borderId="1" applyNumberFormat="0" applyBorder="0" applyAlignment="0" applyProtection="0"/>
    <xf numFmtId="0" fontId="83" fillId="45" borderId="1" applyNumberFormat="0" applyBorder="0" applyAlignment="0" applyProtection="0"/>
    <xf numFmtId="0" fontId="83" fillId="45" borderId="1" applyNumberFormat="0" applyBorder="0" applyAlignment="0" applyProtection="0"/>
    <xf numFmtId="0" fontId="83" fillId="45" borderId="1" applyNumberFormat="0" applyBorder="0" applyAlignment="0" applyProtection="0"/>
    <xf numFmtId="0" fontId="83" fillId="45" borderId="1" applyNumberFormat="0" applyBorder="0" applyAlignment="0" applyProtection="0"/>
    <xf numFmtId="0" fontId="83" fillId="45" borderId="1" applyNumberFormat="0" applyBorder="0" applyAlignment="0" applyProtection="0"/>
    <xf numFmtId="0" fontId="83" fillId="45" borderId="1" applyNumberFormat="0" applyBorder="0" applyAlignment="0" applyProtection="0"/>
    <xf numFmtId="0" fontId="83" fillId="4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83" fillId="99"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83" fillId="99"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83" fillId="99"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83" fillId="99"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83" fillId="99"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83" fillId="99"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83" fillId="99"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83" fillId="99"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83" fillId="99"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83" fillId="99"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83" fillId="99"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83" fillId="99"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83" fillId="99"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83" fillId="99"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83" fillId="99"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83" fillId="99"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83" fillId="99"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83" fillId="99"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83" fillId="99"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83" fillId="99"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83" fillId="99"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83" fillId="99"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83" fillId="99"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83" fillId="99"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83" fillId="99"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83" fillId="99"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83" fillId="99"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83" fillId="99"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83" fillId="99"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83" fillId="99"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83" fillId="99"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83" fillId="99"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83" fillId="99"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83" fillId="99"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83" fillId="99"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83" fillId="99"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83" fillId="50"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83" fillId="46" borderId="1" applyNumberFormat="0" applyBorder="0" applyAlignment="0" applyProtection="0"/>
    <xf numFmtId="0" fontId="83" fillId="46" borderId="1" applyNumberFormat="0" applyBorder="0" applyAlignment="0" applyProtection="0"/>
    <xf numFmtId="0" fontId="83" fillId="46" borderId="1" applyNumberFormat="0" applyBorder="0" applyAlignment="0" applyProtection="0"/>
    <xf numFmtId="0" fontId="83" fillId="46" borderId="1" applyNumberFormat="0" applyBorder="0" applyAlignment="0" applyProtection="0"/>
    <xf numFmtId="0" fontId="83" fillId="46" borderId="1" applyNumberFormat="0" applyBorder="0" applyAlignment="0" applyProtection="0"/>
    <xf numFmtId="0" fontId="83" fillId="46" borderId="1" applyNumberFormat="0" applyBorder="0" applyAlignment="0" applyProtection="0"/>
    <xf numFmtId="0" fontId="83" fillId="46" borderId="1" applyNumberFormat="0" applyBorder="0" applyAlignment="0" applyProtection="0"/>
    <xf numFmtId="0" fontId="83" fillId="46" borderId="1" applyNumberFormat="0" applyBorder="0" applyAlignment="0" applyProtection="0"/>
    <xf numFmtId="0" fontId="83" fillId="46" borderId="1" applyNumberFormat="0" applyBorder="0" applyAlignment="0" applyProtection="0"/>
    <xf numFmtId="0" fontId="83" fillId="46"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83" fillId="50"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83" fillId="50"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83" fillId="50"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83" fillId="50"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83" fillId="50"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83" fillId="50"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83" fillId="50"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83" fillId="50"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83" fillId="50"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83" fillId="50"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83" fillId="50"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83" fillId="50"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83" fillId="50"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83" fillId="50"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83" fillId="50"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83" fillId="50"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83" fillId="50"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83" fillId="50"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83" fillId="50"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83" fillId="50"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83" fillId="50"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83" fillId="50"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83" fillId="50"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83" fillId="50"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83" fillId="50"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83" fillId="50"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83" fillId="50"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83" fillId="50"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83" fillId="50"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83" fillId="50"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83" fillId="50"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83" fillId="50"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83" fillId="50"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83" fillId="50"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83" fillId="50"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83" fillId="50"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83" fillId="49"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83" fillId="47" borderId="1" applyNumberFormat="0" applyBorder="0" applyAlignment="0" applyProtection="0"/>
    <xf numFmtId="0" fontId="83" fillId="47" borderId="1" applyNumberFormat="0" applyBorder="0" applyAlignment="0" applyProtection="0"/>
    <xf numFmtId="0" fontId="83" fillId="47" borderId="1" applyNumberFormat="0" applyBorder="0" applyAlignment="0" applyProtection="0"/>
    <xf numFmtId="0" fontId="83" fillId="47" borderId="1" applyNumberFormat="0" applyBorder="0" applyAlignment="0" applyProtection="0"/>
    <xf numFmtId="0" fontId="83" fillId="47" borderId="1" applyNumberFormat="0" applyBorder="0" applyAlignment="0" applyProtection="0"/>
    <xf numFmtId="0" fontId="83" fillId="47" borderId="1" applyNumberFormat="0" applyBorder="0" applyAlignment="0" applyProtection="0"/>
    <xf numFmtId="0" fontId="83" fillId="47" borderId="1" applyNumberFormat="0" applyBorder="0" applyAlignment="0" applyProtection="0"/>
    <xf numFmtId="0" fontId="83" fillId="47" borderId="1" applyNumberFormat="0" applyBorder="0" applyAlignment="0" applyProtection="0"/>
    <xf numFmtId="0" fontId="83" fillId="47" borderId="1" applyNumberFormat="0" applyBorder="0" applyAlignment="0" applyProtection="0"/>
    <xf numFmtId="0" fontId="83" fillId="47"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83" fillId="49"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83" fillId="49"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83" fillId="49"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83" fillId="49"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83" fillId="49"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83" fillId="49"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83" fillId="49"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83" fillId="49"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83" fillId="49"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83" fillId="49"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83" fillId="49"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83" fillId="49"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83" fillId="49"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83" fillId="49"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83" fillId="49"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83" fillId="49"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83" fillId="49"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83" fillId="49"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83" fillId="49"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83" fillId="49"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83" fillId="49"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83" fillId="49"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83" fillId="49"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83" fillId="49"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83" fillId="49"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83" fillId="49"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83" fillId="49"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83" fillId="49"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83" fillId="49"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83" fillId="49"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83" fillId="49"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83" fillId="49"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83" fillId="49"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83" fillId="49"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83" fillId="49"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83" fillId="49"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83" fillId="51"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83" fillId="48" borderId="1" applyNumberFormat="0" applyBorder="0" applyAlignment="0" applyProtection="0"/>
    <xf numFmtId="0" fontId="83" fillId="48" borderId="1" applyNumberFormat="0" applyBorder="0" applyAlignment="0" applyProtection="0"/>
    <xf numFmtId="0" fontId="83" fillId="48" borderId="1" applyNumberFormat="0" applyBorder="0" applyAlignment="0" applyProtection="0"/>
    <xf numFmtId="0" fontId="83" fillId="48" borderId="1" applyNumberFormat="0" applyBorder="0" applyAlignment="0" applyProtection="0"/>
    <xf numFmtId="0" fontId="83" fillId="48" borderId="1" applyNumberFormat="0" applyBorder="0" applyAlignment="0" applyProtection="0"/>
    <xf numFmtId="0" fontId="83" fillId="48" borderId="1" applyNumberFormat="0" applyBorder="0" applyAlignment="0" applyProtection="0"/>
    <xf numFmtId="0" fontId="83" fillId="48" borderId="1" applyNumberFormat="0" applyBorder="0" applyAlignment="0" applyProtection="0"/>
    <xf numFmtId="0" fontId="83" fillId="48" borderId="1" applyNumberFormat="0" applyBorder="0" applyAlignment="0" applyProtection="0"/>
    <xf numFmtId="0" fontId="83" fillId="48" borderId="1" applyNumberFormat="0" applyBorder="0" applyAlignment="0" applyProtection="0"/>
    <xf numFmtId="0" fontId="83" fillId="48"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83" fillId="51"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83" fillId="51"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83" fillId="51"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83" fillId="51"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83" fillId="51"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83" fillId="51"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83" fillId="51"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83" fillId="51"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83" fillId="51"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83" fillId="51"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83" fillId="51"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83" fillId="51"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83" fillId="51"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83" fillId="51"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83" fillId="51"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83" fillId="51"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83" fillId="51"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83" fillId="51"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83" fillId="51"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83" fillId="51"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83" fillId="51"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83" fillId="51"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83" fillId="51"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83" fillId="51"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83" fillId="51"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83" fillId="51"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83" fillId="51"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83" fillId="51"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83" fillId="51"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83" fillId="51"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83" fillId="51"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83" fillId="51"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83" fillId="51"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83" fillId="51"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83" fillId="51"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83" fillId="51"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83" fillId="5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83" fillId="49" borderId="1" applyNumberFormat="0" applyBorder="0" applyAlignment="0" applyProtection="0"/>
    <xf numFmtId="0" fontId="83" fillId="49" borderId="1" applyNumberFormat="0" applyBorder="0" applyAlignment="0" applyProtection="0"/>
    <xf numFmtId="0" fontId="83" fillId="49" borderId="1" applyNumberFormat="0" applyBorder="0" applyAlignment="0" applyProtection="0"/>
    <xf numFmtId="0" fontId="83" fillId="49" borderId="1" applyNumberFormat="0" applyBorder="0" applyAlignment="0" applyProtection="0"/>
    <xf numFmtId="0" fontId="83" fillId="49" borderId="1" applyNumberFormat="0" applyBorder="0" applyAlignment="0" applyProtection="0"/>
    <xf numFmtId="0" fontId="83" fillId="49" borderId="1" applyNumberFormat="0" applyBorder="0" applyAlignment="0" applyProtection="0"/>
    <xf numFmtId="0" fontId="83" fillId="49" borderId="1" applyNumberFormat="0" applyBorder="0" applyAlignment="0" applyProtection="0"/>
    <xf numFmtId="0" fontId="83" fillId="49" borderId="1" applyNumberFormat="0" applyBorder="0" applyAlignment="0" applyProtection="0"/>
    <xf numFmtId="0" fontId="83" fillId="49" borderId="1" applyNumberFormat="0" applyBorder="0" applyAlignment="0" applyProtection="0"/>
    <xf numFmtId="0" fontId="83" fillId="49"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83" fillId="5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83" fillId="5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83" fillId="5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83" fillId="5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83" fillId="5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83" fillId="5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83" fillId="5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83" fillId="5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83" fillId="5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83" fillId="5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83" fillId="5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83" fillId="5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83" fillId="5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83" fillId="5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83" fillId="5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83" fillId="5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83" fillId="5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83" fillId="5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83" fillId="5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83" fillId="5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83" fillId="5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83" fillId="5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83" fillId="5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83" fillId="5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83" fillId="5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83" fillId="5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83" fillId="5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83" fillId="5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83" fillId="5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83" fillId="5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83" fillId="5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83" fillId="5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83" fillId="5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83" fillId="5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83" fillId="5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83" fillId="5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83" fillId="46"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83" fillId="50" borderId="1" applyNumberFormat="0" applyBorder="0" applyAlignment="0" applyProtection="0"/>
    <xf numFmtId="0" fontId="83" fillId="50" borderId="1" applyNumberFormat="0" applyBorder="0" applyAlignment="0" applyProtection="0"/>
    <xf numFmtId="0" fontId="83" fillId="50" borderId="1" applyNumberFormat="0" applyBorder="0" applyAlignment="0" applyProtection="0"/>
    <xf numFmtId="0" fontId="83" fillId="50" borderId="1" applyNumberFormat="0" applyBorder="0" applyAlignment="0" applyProtection="0"/>
    <xf numFmtId="0" fontId="83" fillId="50" borderId="1" applyNumberFormat="0" applyBorder="0" applyAlignment="0" applyProtection="0"/>
    <xf numFmtId="0" fontId="83" fillId="50" borderId="1" applyNumberFormat="0" applyBorder="0" applyAlignment="0" applyProtection="0"/>
    <xf numFmtId="0" fontId="83" fillId="50" borderId="1" applyNumberFormat="0" applyBorder="0" applyAlignment="0" applyProtection="0"/>
    <xf numFmtId="0" fontId="83" fillId="50" borderId="1" applyNumberFormat="0" applyBorder="0" applyAlignment="0" applyProtection="0"/>
    <xf numFmtId="0" fontId="83" fillId="50" borderId="1" applyNumberFormat="0" applyBorder="0" applyAlignment="0" applyProtection="0"/>
    <xf numFmtId="0" fontId="83" fillId="50"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83" fillId="46"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83" fillId="46"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83" fillId="46"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83" fillId="46"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83" fillId="46"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83" fillId="46"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83" fillId="46"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83" fillId="46"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83" fillId="46"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83" fillId="46"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83" fillId="46"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83" fillId="46"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83" fillId="46"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83" fillId="46"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83" fillId="46"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83" fillId="46"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83" fillId="46"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83" fillId="46"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83" fillId="46"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83" fillId="46"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83" fillId="46"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83" fillId="46"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83" fillId="46"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83" fillId="46"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83" fillId="46"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83" fillId="46"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83" fillId="46"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83" fillId="46"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83" fillId="46"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83" fillId="46"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83" fillId="46"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83" fillId="46"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83" fillId="46"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83" fillId="46"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83" fillId="46"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83" fillId="46"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83" fillId="51" borderId="1" applyNumberFormat="0" applyBorder="0" applyAlignment="0" applyProtection="0"/>
    <xf numFmtId="0" fontId="83" fillId="52" borderId="1" applyNumberFormat="0" applyBorder="0" applyAlignment="0" applyProtection="0"/>
    <xf numFmtId="0" fontId="83" fillId="53" borderId="1" applyNumberFormat="0" applyBorder="0" applyAlignment="0" applyProtection="0"/>
    <xf numFmtId="0" fontId="83" fillId="48" borderId="1" applyNumberFormat="0" applyBorder="0" applyAlignment="0" applyProtection="0"/>
    <xf numFmtId="0" fontId="83" fillId="51" borderId="1" applyNumberFormat="0" applyBorder="0" applyAlignment="0" applyProtection="0"/>
    <xf numFmtId="0" fontId="83" fillId="54" borderId="1" applyNumberFormat="0" applyBorder="0" applyAlignment="0" applyProtection="0"/>
    <xf numFmtId="0" fontId="159" fillId="94" borderId="1" applyNumberFormat="0" applyBorder="0" applyAlignment="0" applyProtection="0"/>
    <xf numFmtId="0" fontId="83" fillId="131" borderId="1" applyNumberFormat="0" applyBorder="0" applyAlignment="0" applyProtection="0"/>
    <xf numFmtId="0" fontId="83" fillId="131" borderId="1" applyNumberFormat="0" applyBorder="0" applyAlignment="0" applyProtection="0"/>
    <xf numFmtId="0" fontId="83" fillId="131" borderId="1" applyNumberFormat="0" applyBorder="0" applyAlignment="0" applyProtection="0"/>
    <xf numFmtId="0" fontId="83" fillId="131" borderId="1" applyNumberFormat="0" applyBorder="0" applyAlignment="0" applyProtection="0"/>
    <xf numFmtId="0" fontId="83" fillId="131"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59" fillId="52" borderId="1" applyNumberFormat="0" applyBorder="0" applyAlignment="0" applyProtection="0"/>
    <xf numFmtId="0" fontId="83" fillId="50" borderId="1" applyNumberFormat="0" applyBorder="0" applyAlignment="0" applyProtection="0"/>
    <xf numFmtId="0" fontId="83" fillId="50" borderId="1" applyNumberFormat="0" applyBorder="0" applyAlignment="0" applyProtection="0"/>
    <xf numFmtId="0" fontId="83" fillId="50" borderId="1" applyNumberFormat="0" applyBorder="0" applyAlignment="0" applyProtection="0"/>
    <xf numFmtId="0" fontId="83" fillId="50" borderId="1" applyNumberFormat="0" applyBorder="0" applyAlignment="0" applyProtection="0"/>
    <xf numFmtId="0" fontId="83" fillId="5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59" fillId="75" borderId="1" applyNumberFormat="0" applyBorder="0" applyAlignment="0" applyProtection="0"/>
    <xf numFmtId="0" fontId="83" fillId="88" borderId="1" applyNumberFormat="0" applyBorder="0" applyAlignment="0" applyProtection="0"/>
    <xf numFmtId="0" fontId="83" fillId="88" borderId="1" applyNumberFormat="0" applyBorder="0" applyAlignment="0" applyProtection="0"/>
    <xf numFmtId="0" fontId="83" fillId="88" borderId="1" applyNumberFormat="0" applyBorder="0" applyAlignment="0" applyProtection="0"/>
    <xf numFmtId="0" fontId="83" fillId="88" borderId="1" applyNumberFormat="0" applyBorder="0" applyAlignment="0" applyProtection="0"/>
    <xf numFmtId="0" fontId="83" fillId="88"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59" fillId="79" borderId="1" applyNumberFormat="0" applyBorder="0" applyAlignment="0" applyProtection="0"/>
    <xf numFmtId="0" fontId="83" fillId="132" borderId="1" applyNumberFormat="0" applyBorder="0" applyAlignment="0" applyProtection="0"/>
    <xf numFmtId="0" fontId="83" fillId="132" borderId="1" applyNumberFormat="0" applyBorder="0" applyAlignment="0" applyProtection="0"/>
    <xf numFmtId="0" fontId="83" fillId="132" borderId="1" applyNumberFormat="0" applyBorder="0" applyAlignment="0" applyProtection="0"/>
    <xf numFmtId="0" fontId="83" fillId="132" borderId="1" applyNumberFormat="0" applyBorder="0" applyAlignment="0" applyProtection="0"/>
    <xf numFmtId="0" fontId="83" fillId="132"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59" fillId="94" borderId="1" applyNumberFormat="0" applyBorder="0" applyAlignment="0" applyProtection="0"/>
    <xf numFmtId="0" fontId="83" fillId="131" borderId="1" applyNumberFormat="0" applyBorder="0" applyAlignment="0" applyProtection="0"/>
    <xf numFmtId="0" fontId="83" fillId="131" borderId="1" applyNumberFormat="0" applyBorder="0" applyAlignment="0" applyProtection="0"/>
    <xf numFmtId="0" fontId="83" fillId="131" borderId="1" applyNumberFormat="0" applyBorder="0" applyAlignment="0" applyProtection="0"/>
    <xf numFmtId="0" fontId="83" fillId="131" borderId="1" applyNumberFormat="0" applyBorder="0" applyAlignment="0" applyProtection="0"/>
    <xf numFmtId="0" fontId="83" fillId="131"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59" fillId="50" borderId="1" applyNumberFormat="0" applyBorder="0" applyAlignment="0" applyProtection="0"/>
    <xf numFmtId="0" fontId="83" fillId="50" borderId="1" applyNumberFormat="0" applyBorder="0" applyAlignment="0" applyProtection="0"/>
    <xf numFmtId="0" fontId="83" fillId="50" borderId="1" applyNumberFormat="0" applyBorder="0" applyAlignment="0" applyProtection="0"/>
    <xf numFmtId="0" fontId="83" fillId="50" borderId="1" applyNumberFormat="0" applyBorder="0" applyAlignment="0" applyProtection="0"/>
    <xf numFmtId="0" fontId="83" fillId="50" borderId="1" applyNumberFormat="0" applyBorder="0" applyAlignment="0" applyProtection="0"/>
    <xf numFmtId="0" fontId="83" fillId="50"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83" fillId="94" borderId="1" applyNumberFormat="0" applyBorder="0" applyAlignment="0" applyProtection="0"/>
    <xf numFmtId="0" fontId="83" fillId="94" borderId="1" applyNumberFormat="0" applyBorder="0" applyAlignment="0" applyProtection="0"/>
    <xf numFmtId="0" fontId="83" fillId="94" borderId="1" applyNumberFormat="0" applyBorder="0" applyAlignment="0" applyProtection="0"/>
    <xf numFmtId="0" fontId="83" fillId="52" borderId="1" applyNumberFormat="0" applyBorder="0" applyAlignment="0" applyProtection="0"/>
    <xf numFmtId="0" fontId="83" fillId="52" borderId="1" applyNumberFormat="0" applyBorder="0" applyAlignment="0" applyProtection="0"/>
    <xf numFmtId="0" fontId="83" fillId="52" borderId="1" applyNumberFormat="0" applyBorder="0" applyAlignment="0" applyProtection="0"/>
    <xf numFmtId="0" fontId="83" fillId="75" borderId="1" applyNumberFormat="0" applyBorder="0" applyAlignment="0" applyProtection="0"/>
    <xf numFmtId="0" fontId="83" fillId="75" borderId="1" applyNumberFormat="0" applyBorder="0" applyAlignment="0" applyProtection="0"/>
    <xf numFmtId="0" fontId="83" fillId="75" borderId="1" applyNumberFormat="0" applyBorder="0" applyAlignment="0" applyProtection="0"/>
    <xf numFmtId="0" fontId="83" fillId="79" borderId="1" applyNumberFormat="0" applyBorder="0" applyAlignment="0" applyProtection="0"/>
    <xf numFmtId="0" fontId="83" fillId="79" borderId="1" applyNumberFormat="0" applyBorder="0" applyAlignment="0" applyProtection="0"/>
    <xf numFmtId="0" fontId="83" fillId="79" borderId="1" applyNumberFormat="0" applyBorder="0" applyAlignment="0" applyProtection="0"/>
    <xf numFmtId="0" fontId="83" fillId="94" borderId="1" applyNumberFormat="0" applyBorder="0" applyAlignment="0" applyProtection="0"/>
    <xf numFmtId="0" fontId="83" fillId="94" borderId="1" applyNumberFormat="0" applyBorder="0" applyAlignment="0" applyProtection="0"/>
    <xf numFmtId="0" fontId="83" fillId="94" borderId="1" applyNumberFormat="0" applyBorder="0" applyAlignment="0" applyProtection="0"/>
    <xf numFmtId="0" fontId="83" fillId="50" borderId="1" applyNumberFormat="0" applyBorder="0" applyAlignment="0" applyProtection="0"/>
    <xf numFmtId="0" fontId="83" fillId="50" borderId="1" applyNumberFormat="0" applyBorder="0" applyAlignment="0" applyProtection="0"/>
    <xf numFmtId="0" fontId="83" fillId="50" borderId="1" applyNumberFormat="0" applyBorder="0" applyAlignment="0" applyProtection="0"/>
    <xf numFmtId="0" fontId="83" fillId="51" borderId="1" applyNumberFormat="0" applyBorder="0" applyAlignment="0" applyProtection="0"/>
    <xf numFmtId="0" fontId="83" fillId="52" borderId="1" applyNumberFormat="0" applyBorder="0" applyAlignment="0" applyProtection="0"/>
    <xf numFmtId="0" fontId="83" fillId="53" borderId="1" applyNumberFormat="0" applyBorder="0" applyAlignment="0" applyProtection="0"/>
    <xf numFmtId="0" fontId="83" fillId="48" borderId="1" applyNumberFormat="0" applyBorder="0" applyAlignment="0" applyProtection="0"/>
    <xf numFmtId="0" fontId="83" fillId="51" borderId="1" applyNumberFormat="0" applyBorder="0" applyAlignment="0" applyProtection="0"/>
    <xf numFmtId="0" fontId="83" fillId="54"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83" fillId="99"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83" fillId="51" borderId="1" applyNumberFormat="0" applyBorder="0" applyAlignment="0" applyProtection="0"/>
    <xf numFmtId="0" fontId="83" fillId="51" borderId="1" applyNumberFormat="0" applyBorder="0" applyAlignment="0" applyProtection="0"/>
    <xf numFmtId="0" fontId="83" fillId="51" borderId="1" applyNumberFormat="0" applyBorder="0" applyAlignment="0" applyProtection="0"/>
    <xf numFmtId="0" fontId="83" fillId="51" borderId="1" applyNumberFormat="0" applyBorder="0" applyAlignment="0" applyProtection="0"/>
    <xf numFmtId="0" fontId="83" fillId="51" borderId="1" applyNumberFormat="0" applyBorder="0" applyAlignment="0" applyProtection="0"/>
    <xf numFmtId="0" fontId="83" fillId="51" borderId="1" applyNumberFormat="0" applyBorder="0" applyAlignment="0" applyProtection="0"/>
    <xf numFmtId="0" fontId="83" fillId="51" borderId="1" applyNumberFormat="0" applyBorder="0" applyAlignment="0" applyProtection="0"/>
    <xf numFmtId="0" fontId="83" fillId="51" borderId="1" applyNumberFormat="0" applyBorder="0" applyAlignment="0" applyProtection="0"/>
    <xf numFmtId="0" fontId="83" fillId="51" borderId="1" applyNumberFormat="0" applyBorder="0" applyAlignment="0" applyProtection="0"/>
    <xf numFmtId="0" fontId="83" fillId="51"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83" fillId="99"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83" fillId="99"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83" fillId="99"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83" fillId="99"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83" fillId="99"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83" fillId="99"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83" fillId="99"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83" fillId="99"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83" fillId="99"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83" fillId="99"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83" fillId="99"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83" fillId="99"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83" fillId="99"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83" fillId="99"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83" fillId="99"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83" fillId="99"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83" fillId="99"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83" fillId="99"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83" fillId="99"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83" fillId="99"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83" fillId="99"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83" fillId="99"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83" fillId="99"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83" fillId="99"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83" fillId="99"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83" fillId="99"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83" fillId="99"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83" fillId="99"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83" fillId="99"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83" fillId="99"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83" fillId="99"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83" fillId="99"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83" fillId="99"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83" fillId="99"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83" fillId="99"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83" fillId="99"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83" fillId="49"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83" fillId="52" borderId="1" applyNumberFormat="0" applyBorder="0" applyAlignment="0" applyProtection="0"/>
    <xf numFmtId="0" fontId="83" fillId="52" borderId="1" applyNumberFormat="0" applyBorder="0" applyAlignment="0" applyProtection="0"/>
    <xf numFmtId="0" fontId="83" fillId="52" borderId="1" applyNumberFormat="0" applyBorder="0" applyAlignment="0" applyProtection="0"/>
    <xf numFmtId="0" fontId="83" fillId="52" borderId="1" applyNumberFormat="0" applyBorder="0" applyAlignment="0" applyProtection="0"/>
    <xf numFmtId="0" fontId="83" fillId="52" borderId="1" applyNumberFormat="0" applyBorder="0" applyAlignment="0" applyProtection="0"/>
    <xf numFmtId="0" fontId="83" fillId="52" borderId="1" applyNumberFormat="0" applyBorder="0" applyAlignment="0" applyProtection="0"/>
    <xf numFmtId="0" fontId="83" fillId="52" borderId="1" applyNumberFormat="0" applyBorder="0" applyAlignment="0" applyProtection="0"/>
    <xf numFmtId="0" fontId="83" fillId="52" borderId="1" applyNumberFormat="0" applyBorder="0" applyAlignment="0" applyProtection="0"/>
    <xf numFmtId="0" fontId="83" fillId="52" borderId="1" applyNumberFormat="0" applyBorder="0" applyAlignment="0" applyProtection="0"/>
    <xf numFmtId="0" fontId="83" fillId="52"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83" fillId="49"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83" fillId="49"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83" fillId="49"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83" fillId="49"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83" fillId="0" borderId="1"/>
    <xf numFmtId="0" fontId="1"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157"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99" fillId="0" borderId="1"/>
    <xf numFmtId="43" fontId="99"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99" fillId="0" borderId="1" applyFont="0" applyFill="0" applyBorder="0" applyAlignment="0" applyProtection="0"/>
    <xf numFmtId="43" fontId="99" fillId="0" borderId="1" applyFont="0" applyFill="0" applyBorder="0" applyAlignment="0" applyProtection="0"/>
    <xf numFmtId="0" fontId="88" fillId="0" borderId="1"/>
    <xf numFmtId="0" fontId="88" fillId="0" borderId="1"/>
    <xf numFmtId="0" fontId="88" fillId="0" borderId="1"/>
    <xf numFmtId="0" fontId="88" fillId="0" borderId="1"/>
    <xf numFmtId="3" fontId="145" fillId="0" borderId="1"/>
    <xf numFmtId="0" fontId="84" fillId="135" borderId="1" applyNumberFormat="0" applyBorder="0" applyAlignment="0" applyProtection="0"/>
    <xf numFmtId="0" fontId="84" fillId="135" borderId="1" applyNumberFormat="0" applyBorder="0" applyAlignment="0" applyProtection="0"/>
    <xf numFmtId="0" fontId="84" fillId="134" borderId="1" applyNumberFormat="0" applyBorder="0" applyAlignment="0" applyProtection="0"/>
    <xf numFmtId="0" fontId="84" fillId="134" borderId="1" applyNumberFormat="0" applyBorder="0" applyAlignment="0" applyProtection="0"/>
    <xf numFmtId="0" fontId="84" fillId="133" borderId="1" applyNumberFormat="0" applyBorder="0" applyAlignment="0" applyProtection="0"/>
    <xf numFmtId="0" fontId="84" fillId="133" borderId="1" applyNumberFormat="0" applyBorder="0" applyAlignment="0" applyProtection="0"/>
    <xf numFmtId="0" fontId="84" fillId="67" borderId="1" applyNumberFormat="0" applyBorder="0" applyAlignment="0" applyProtection="0"/>
    <xf numFmtId="0" fontId="84" fillId="67" borderId="1" applyNumberFormat="0" applyBorder="0" applyAlignment="0" applyProtection="0"/>
    <xf numFmtId="0" fontId="84" fillId="84" borderId="1" applyNumberFormat="0" applyBorder="0" applyAlignment="0" applyProtection="0"/>
    <xf numFmtId="0" fontId="84" fillId="84" borderId="1" applyNumberFormat="0" applyBorder="0" applyAlignment="0" applyProtection="0"/>
    <xf numFmtId="0" fontId="84" fillId="83" borderId="1" applyNumberFormat="0" applyBorder="0" applyAlignment="0" applyProtection="0"/>
    <xf numFmtId="0" fontId="84" fillId="83"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83" fillId="49"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83" fillId="49"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83" fillId="49"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83" fillId="49"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83" fillId="49"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83" fillId="49"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83" fillId="49"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83" fillId="49"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83" fillId="49"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83" fillId="49"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83" fillId="49"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83" fillId="49"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83" fillId="49"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83" fillId="49"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83" fillId="49"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83" fillId="49"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83" fillId="49"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83" fillId="49"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83" fillId="49"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83" fillId="49"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83" fillId="49"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83" fillId="49"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83" fillId="49"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83" fillId="49"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83" fillId="49"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83" fillId="49"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83" fillId="49"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83" fillId="49"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83" fillId="49"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83" fillId="49"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83" fillId="49"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83" fillId="49"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83" fillId="49"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83" fillId="53" borderId="1" applyNumberFormat="0" applyBorder="0" applyAlignment="0" applyProtection="0"/>
    <xf numFmtId="0" fontId="83" fillId="53" borderId="1" applyNumberFormat="0" applyBorder="0" applyAlignment="0" applyProtection="0"/>
    <xf numFmtId="0" fontId="83" fillId="53" borderId="1" applyNumberFormat="0" applyBorder="0" applyAlignment="0" applyProtection="0"/>
    <xf numFmtId="0" fontId="83" fillId="53" borderId="1" applyNumberFormat="0" applyBorder="0" applyAlignment="0" applyProtection="0"/>
    <xf numFmtId="0" fontId="83" fillId="53" borderId="1" applyNumberFormat="0" applyBorder="0" applyAlignment="0" applyProtection="0"/>
    <xf numFmtId="0" fontId="83" fillId="53" borderId="1" applyNumberFormat="0" applyBorder="0" applyAlignment="0" applyProtection="0"/>
    <xf numFmtId="0" fontId="83" fillId="53" borderId="1" applyNumberFormat="0" applyBorder="0" applyAlignment="0" applyProtection="0"/>
    <xf numFmtId="0" fontId="83" fillId="53" borderId="1" applyNumberFormat="0" applyBorder="0" applyAlignment="0" applyProtection="0"/>
    <xf numFmtId="0" fontId="83" fillId="53" borderId="1" applyNumberFormat="0" applyBorder="0" applyAlignment="0" applyProtection="0"/>
    <xf numFmtId="0" fontId="83" fillId="53"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83" fillId="49"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83" fillId="49"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83" fillId="49"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83" fillId="49"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83" fillId="49"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83" fillId="49"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83" fillId="49"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83" fillId="49"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83" fillId="49"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83" fillId="49"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83" fillId="49"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83" fillId="49"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83" fillId="49"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83" fillId="49"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83" fillId="49"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83" fillId="49"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83" fillId="49"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83" fillId="49"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83" fillId="49"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83" fillId="49"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83" fillId="49"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83" fillId="49"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83" fillId="49"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83" fillId="49"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83" fillId="49"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83" fillId="49"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83" fillId="49"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83" fillId="49"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83" fillId="49"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83" fillId="49"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83" fillId="49"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83" fillId="49"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83" fillId="49"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83" fillId="49"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83" fillId="49"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83" fillId="49"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83" fillId="51"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83" fillId="48" borderId="1" applyNumberFormat="0" applyBorder="0" applyAlignment="0" applyProtection="0"/>
    <xf numFmtId="0" fontId="83" fillId="48" borderId="1" applyNumberFormat="0" applyBorder="0" applyAlignment="0" applyProtection="0"/>
    <xf numFmtId="0" fontId="83" fillId="48" borderId="1" applyNumberFormat="0" applyBorder="0" applyAlignment="0" applyProtection="0"/>
    <xf numFmtId="0" fontId="83" fillId="48" borderId="1" applyNumberFormat="0" applyBorder="0" applyAlignment="0" applyProtection="0"/>
    <xf numFmtId="0" fontId="83" fillId="48" borderId="1" applyNumberFormat="0" applyBorder="0" applyAlignment="0" applyProtection="0"/>
    <xf numFmtId="0" fontId="83" fillId="48" borderId="1" applyNumberFormat="0" applyBorder="0" applyAlignment="0" applyProtection="0"/>
    <xf numFmtId="0" fontId="83" fillId="48" borderId="1" applyNumberFormat="0" applyBorder="0" applyAlignment="0" applyProtection="0"/>
    <xf numFmtId="0" fontId="83" fillId="48" borderId="1" applyNumberFormat="0" applyBorder="0" applyAlignment="0" applyProtection="0"/>
    <xf numFmtId="0" fontId="83" fillId="48" borderId="1" applyNumberFormat="0" applyBorder="0" applyAlignment="0" applyProtection="0"/>
    <xf numFmtId="0" fontId="83" fillId="4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83" fillId="51"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83" fillId="51"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83" fillId="51"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83" fillId="51"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83" fillId="51"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83" fillId="51"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83" fillId="51"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83" fillId="51"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83" fillId="51"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83" fillId="51"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83" fillId="51"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83" fillId="51"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83" fillId="51"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83" fillId="51"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83" fillId="51"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83" fillId="51"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83" fillId="51"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83" fillId="51"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83" fillId="51"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83" fillId="51"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83" fillId="51"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83" fillId="51"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83" fillId="51"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83" fillId="51"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83" fillId="51"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83" fillId="51"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83" fillId="51"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83" fillId="51"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83" fillId="51"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83" fillId="51"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83" fillId="51"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83" fillId="51"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83" fillId="51"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83" fillId="51"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83" fillId="51"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83" fillId="51"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83" fillId="51"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83" fillId="51" borderId="1" applyNumberFormat="0" applyBorder="0" applyAlignment="0" applyProtection="0"/>
    <xf numFmtId="0" fontId="83" fillId="51" borderId="1" applyNumberFormat="0" applyBorder="0" applyAlignment="0" applyProtection="0"/>
    <xf numFmtId="0" fontId="83" fillId="51" borderId="1" applyNumberFormat="0" applyBorder="0" applyAlignment="0" applyProtection="0"/>
    <xf numFmtId="0" fontId="83" fillId="51" borderId="1" applyNumberFormat="0" applyBorder="0" applyAlignment="0" applyProtection="0"/>
    <xf numFmtId="0" fontId="83" fillId="51" borderId="1" applyNumberFormat="0" applyBorder="0" applyAlignment="0" applyProtection="0"/>
    <xf numFmtId="0" fontId="83" fillId="51" borderId="1" applyNumberFormat="0" applyBorder="0" applyAlignment="0" applyProtection="0"/>
    <xf numFmtId="0" fontId="83" fillId="51" borderId="1" applyNumberFormat="0" applyBorder="0" applyAlignment="0" applyProtection="0"/>
    <xf numFmtId="0" fontId="83" fillId="51" borderId="1" applyNumberFormat="0" applyBorder="0" applyAlignment="0" applyProtection="0"/>
    <xf numFmtId="0" fontId="83" fillId="51" borderId="1" applyNumberFormat="0" applyBorder="0" applyAlignment="0" applyProtection="0"/>
    <xf numFmtId="0" fontId="83" fillId="51"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83" fillId="51"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83" fillId="51"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83" fillId="51"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83" fillId="51"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83" fillId="51"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83" fillId="51"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83" fillId="51"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83" fillId="51"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83" fillId="51"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83" fillId="51"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83" fillId="51"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83" fillId="51"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83" fillId="51"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83" fillId="51"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83" fillId="51"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83" fillId="51"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83" fillId="51"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83" fillId="51"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83" fillId="51"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83" fillId="51"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83" fillId="51"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83" fillId="51"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83" fillId="51"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83" fillId="51"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83" fillId="51"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83" fillId="51"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83" fillId="51"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83" fillId="51"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83" fillId="51"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83" fillId="51"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83" fillId="51"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83" fillId="51"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83" fillId="51"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83" fillId="51"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83" fillId="51"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83" fillId="51"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83" fillId="4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83" fillId="54" borderId="1" applyNumberFormat="0" applyBorder="0" applyAlignment="0" applyProtection="0"/>
    <xf numFmtId="0" fontId="83" fillId="54" borderId="1" applyNumberFormat="0" applyBorder="0" applyAlignment="0" applyProtection="0"/>
    <xf numFmtId="0" fontId="83" fillId="54" borderId="1" applyNumberFormat="0" applyBorder="0" applyAlignment="0" applyProtection="0"/>
    <xf numFmtId="0" fontId="83" fillId="54" borderId="1" applyNumberFormat="0" applyBorder="0" applyAlignment="0" applyProtection="0"/>
    <xf numFmtId="0" fontId="83" fillId="54" borderId="1" applyNumberFormat="0" applyBorder="0" applyAlignment="0" applyProtection="0"/>
    <xf numFmtId="0" fontId="83" fillId="54" borderId="1" applyNumberFormat="0" applyBorder="0" applyAlignment="0" applyProtection="0"/>
    <xf numFmtId="0" fontId="83" fillId="54" borderId="1" applyNumberFormat="0" applyBorder="0" applyAlignment="0" applyProtection="0"/>
    <xf numFmtId="0" fontId="83" fillId="54" borderId="1" applyNumberFormat="0" applyBorder="0" applyAlignment="0" applyProtection="0"/>
    <xf numFmtId="0" fontId="83" fillId="54" borderId="1" applyNumberFormat="0" applyBorder="0" applyAlignment="0" applyProtection="0"/>
    <xf numFmtId="0" fontId="83" fillId="54"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83" fillId="4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83" fillId="4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83" fillId="4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83" fillId="4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83" fillId="4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83" fillId="4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83" fillId="4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83" fillId="4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83" fillId="4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83" fillId="4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83" fillId="4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83" fillId="4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83" fillId="4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83" fillId="4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83" fillId="4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83" fillId="4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83" fillId="4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83" fillId="4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83" fillId="4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83" fillId="4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83" fillId="4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83" fillId="4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83" fillId="4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83" fillId="4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83" fillId="4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83" fillId="4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83" fillId="4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83" fillId="4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83" fillId="4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83" fillId="4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83" fillId="4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83" fillId="4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83" fillId="4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83" fillId="4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83" fillId="4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83" fillId="4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84" fillId="55" borderId="1" applyNumberFormat="0" applyBorder="0" applyAlignment="0" applyProtection="0"/>
    <xf numFmtId="0" fontId="84" fillId="52" borderId="1" applyNumberFormat="0" applyBorder="0" applyAlignment="0" applyProtection="0"/>
    <xf numFmtId="0" fontId="84" fillId="53" borderId="1" applyNumberFormat="0" applyBorder="0" applyAlignment="0" applyProtection="0"/>
    <xf numFmtId="0" fontId="84" fillId="56" borderId="1" applyNumberFormat="0" applyBorder="0" applyAlignment="0" applyProtection="0"/>
    <xf numFmtId="0" fontId="84" fillId="39" borderId="1" applyNumberFormat="0" applyBorder="0" applyAlignment="0" applyProtection="0"/>
    <xf numFmtId="0" fontId="84" fillId="57" borderId="1" applyNumberFormat="0" applyBorder="0" applyAlignment="0" applyProtection="0"/>
    <xf numFmtId="0" fontId="160" fillId="94" borderId="1" applyNumberFormat="0" applyBorder="0" applyAlignment="0" applyProtection="0"/>
    <xf numFmtId="0" fontId="84" fillId="131" borderId="1" applyNumberFormat="0" applyBorder="0" applyAlignment="0" applyProtection="0"/>
    <xf numFmtId="0" fontId="84" fillId="131" borderId="1" applyNumberFormat="0" applyBorder="0" applyAlignment="0" applyProtection="0"/>
    <xf numFmtId="0" fontId="84" fillId="131" borderId="1" applyNumberFormat="0" applyBorder="0" applyAlignment="0" applyProtection="0"/>
    <xf numFmtId="0" fontId="84" fillId="131" borderId="1" applyNumberFormat="0" applyBorder="0" applyAlignment="0" applyProtection="0"/>
    <xf numFmtId="0" fontId="84" fillId="131" borderId="1" applyNumberFormat="0" applyBorder="0" applyAlignment="0" applyProtection="0"/>
    <xf numFmtId="0" fontId="47" fillId="17" borderId="1" applyNumberFormat="0" applyBorder="0" applyAlignment="0" applyProtection="0"/>
    <xf numFmtId="0" fontId="160" fillId="52" borderId="1" applyNumberFormat="0" applyBorder="0" applyAlignment="0" applyProtection="0"/>
    <xf numFmtId="0" fontId="84" fillId="50" borderId="1" applyNumberFormat="0" applyBorder="0" applyAlignment="0" applyProtection="0"/>
    <xf numFmtId="0" fontId="84" fillId="50" borderId="1" applyNumberFormat="0" applyBorder="0" applyAlignment="0" applyProtection="0"/>
    <xf numFmtId="0" fontId="84" fillId="50" borderId="1" applyNumberFormat="0" applyBorder="0" applyAlignment="0" applyProtection="0"/>
    <xf numFmtId="0" fontId="84" fillId="50" borderId="1" applyNumberFormat="0" applyBorder="0" applyAlignment="0" applyProtection="0"/>
    <xf numFmtId="0" fontId="84" fillId="50" borderId="1" applyNumberFormat="0" applyBorder="0" applyAlignment="0" applyProtection="0"/>
    <xf numFmtId="0" fontId="47" fillId="21" borderId="1" applyNumberFormat="0" applyBorder="0" applyAlignment="0" applyProtection="0"/>
    <xf numFmtId="0" fontId="160" fillId="75" borderId="1" applyNumberFormat="0" applyBorder="0" applyAlignment="0" applyProtection="0"/>
    <xf numFmtId="0" fontId="84" fillId="88" borderId="1" applyNumberFormat="0" applyBorder="0" applyAlignment="0" applyProtection="0"/>
    <xf numFmtId="0" fontId="84" fillId="88" borderId="1" applyNumberFormat="0" applyBorder="0" applyAlignment="0" applyProtection="0"/>
    <xf numFmtId="0" fontId="84" fillId="88" borderId="1" applyNumberFormat="0" applyBorder="0" applyAlignment="0" applyProtection="0"/>
    <xf numFmtId="0" fontId="84" fillId="88" borderId="1" applyNumberFormat="0" applyBorder="0" applyAlignment="0" applyProtection="0"/>
    <xf numFmtId="0" fontId="84" fillId="88" borderId="1" applyNumberFormat="0" applyBorder="0" applyAlignment="0" applyProtection="0"/>
    <xf numFmtId="0" fontId="47" fillId="25" borderId="1" applyNumberFormat="0" applyBorder="0" applyAlignment="0" applyProtection="0"/>
    <xf numFmtId="0" fontId="160" fillId="79" borderId="1" applyNumberFormat="0" applyBorder="0" applyAlignment="0" applyProtection="0"/>
    <xf numFmtId="0" fontId="84" fillId="79" borderId="1" applyNumberFormat="0" applyBorder="0" applyAlignment="0" applyProtection="0"/>
    <xf numFmtId="0" fontId="84" fillId="79" borderId="1" applyNumberFormat="0" applyBorder="0" applyAlignment="0" applyProtection="0"/>
    <xf numFmtId="0" fontId="84" fillId="79" borderId="1" applyNumberFormat="0" applyBorder="0" applyAlignment="0" applyProtection="0"/>
    <xf numFmtId="0" fontId="84" fillId="79" borderId="1" applyNumberFormat="0" applyBorder="0" applyAlignment="0" applyProtection="0"/>
    <xf numFmtId="0" fontId="84" fillId="79" borderId="1" applyNumberFormat="0" applyBorder="0" applyAlignment="0" applyProtection="0"/>
    <xf numFmtId="0" fontId="47" fillId="29" borderId="1" applyNumberFormat="0" applyBorder="0" applyAlignment="0" applyProtection="0"/>
    <xf numFmtId="0" fontId="160" fillId="94" borderId="1" applyNumberFormat="0" applyBorder="0" applyAlignment="0" applyProtection="0"/>
    <xf numFmtId="0" fontId="84" fillId="39" borderId="1" applyNumberFormat="0" applyBorder="0" applyAlignment="0" applyProtection="0"/>
    <xf numFmtId="0" fontId="84" fillId="39" borderId="1" applyNumberFormat="0" applyBorder="0" applyAlignment="0" applyProtection="0"/>
    <xf numFmtId="0" fontId="84" fillId="39" borderId="1" applyNumberFormat="0" applyBorder="0" applyAlignment="0" applyProtection="0"/>
    <xf numFmtId="0" fontId="84" fillId="39" borderId="1" applyNumberFormat="0" applyBorder="0" applyAlignment="0" applyProtection="0"/>
    <xf numFmtId="0" fontId="84" fillId="39" borderId="1" applyNumberFormat="0" applyBorder="0" applyAlignment="0" applyProtection="0"/>
    <xf numFmtId="0" fontId="47" fillId="33" borderId="1" applyNumberFormat="0" applyBorder="0" applyAlignment="0" applyProtection="0"/>
    <xf numFmtId="0" fontId="160" fillId="50" borderId="1" applyNumberFormat="0" applyBorder="0" applyAlignment="0" applyProtection="0"/>
    <xf numFmtId="0" fontId="84" fillId="50" borderId="1" applyNumberFormat="0" applyBorder="0" applyAlignment="0" applyProtection="0"/>
    <xf numFmtId="0" fontId="84" fillId="50" borderId="1" applyNumberFormat="0" applyBorder="0" applyAlignment="0" applyProtection="0"/>
    <xf numFmtId="0" fontId="84" fillId="50" borderId="1" applyNumberFormat="0" applyBorder="0" applyAlignment="0" applyProtection="0"/>
    <xf numFmtId="0" fontId="84" fillId="50" borderId="1" applyNumberFormat="0" applyBorder="0" applyAlignment="0" applyProtection="0"/>
    <xf numFmtId="0" fontId="84" fillId="50" borderId="1" applyNumberFormat="0" applyBorder="0" applyAlignment="0" applyProtection="0"/>
    <xf numFmtId="0" fontId="47" fillId="37" borderId="1" applyNumberFormat="0" applyBorder="0" applyAlignment="0" applyProtection="0"/>
    <xf numFmtId="0" fontId="84" fillId="94" borderId="1" applyNumberFormat="0" applyBorder="0" applyAlignment="0" applyProtection="0"/>
    <xf numFmtId="0" fontId="84" fillId="52" borderId="1" applyNumberFormat="0" applyBorder="0" applyAlignment="0" applyProtection="0"/>
    <xf numFmtId="0" fontId="84" fillId="75" borderId="1" applyNumberFormat="0" applyBorder="0" applyAlignment="0" applyProtection="0"/>
    <xf numFmtId="0" fontId="84" fillId="79" borderId="1" applyNumberFormat="0" applyBorder="0" applyAlignment="0" applyProtection="0"/>
    <xf numFmtId="0" fontId="84" fillId="94" borderId="1" applyNumberFormat="0" applyBorder="0" applyAlignment="0" applyProtection="0"/>
    <xf numFmtId="0" fontId="84" fillId="50" borderId="1" applyNumberFormat="0" applyBorder="0" applyAlignment="0" applyProtection="0"/>
    <xf numFmtId="0" fontId="84" fillId="55" borderId="1" applyNumberFormat="0" applyBorder="0" applyAlignment="0" applyProtection="0"/>
    <xf numFmtId="0" fontId="84" fillId="52" borderId="1" applyNumberFormat="0" applyBorder="0" applyAlignment="0" applyProtection="0"/>
    <xf numFmtId="0" fontId="84" fillId="53" borderId="1" applyNumberFormat="0" applyBorder="0" applyAlignment="0" applyProtection="0"/>
    <xf numFmtId="0" fontId="84" fillId="56" borderId="1" applyNumberFormat="0" applyBorder="0" applyAlignment="0" applyProtection="0"/>
    <xf numFmtId="0" fontId="84" fillId="39" borderId="1" applyNumberFormat="0" applyBorder="0" applyAlignment="0" applyProtection="0"/>
    <xf numFmtId="0" fontId="84" fillId="57" borderId="1" applyNumberFormat="0" applyBorder="0" applyAlignment="0" applyProtection="0"/>
    <xf numFmtId="0" fontId="84" fillId="55" borderId="1" applyNumberFormat="0" applyBorder="0" applyAlignment="0" applyProtection="0"/>
    <xf numFmtId="0" fontId="84" fillId="55" borderId="1" applyNumberFormat="0" applyBorder="0" applyAlignment="0" applyProtection="0"/>
    <xf numFmtId="0" fontId="84" fillId="55" borderId="1" applyNumberFormat="0" applyBorder="0" applyAlignment="0" applyProtection="0"/>
    <xf numFmtId="0" fontId="84" fillId="55" borderId="1" applyNumberFormat="0" applyBorder="0" applyAlignment="0" applyProtection="0"/>
    <xf numFmtId="0" fontId="84" fillId="55" borderId="1" applyNumberFormat="0" applyBorder="0" applyAlignment="0" applyProtection="0"/>
    <xf numFmtId="0" fontId="84" fillId="55" borderId="1" applyNumberFormat="0" applyBorder="0" applyAlignment="0" applyProtection="0"/>
    <xf numFmtId="0" fontId="84" fillId="55" borderId="1" applyNumberFormat="0" applyBorder="0" applyAlignment="0" applyProtection="0"/>
    <xf numFmtId="0" fontId="84" fillId="55" borderId="1" applyNumberFormat="0" applyBorder="0" applyAlignment="0" applyProtection="0"/>
    <xf numFmtId="0" fontId="84" fillId="55" borderId="1" applyNumberFormat="0" applyBorder="0" applyAlignment="0" applyProtection="0"/>
    <xf numFmtId="0" fontId="84" fillId="55" borderId="1" applyNumberFormat="0" applyBorder="0" applyAlignment="0" applyProtection="0"/>
    <xf numFmtId="0" fontId="47" fillId="17" borderId="1" applyNumberFormat="0" applyBorder="0" applyAlignment="0" applyProtection="0"/>
    <xf numFmtId="0" fontId="47" fillId="17" borderId="1" applyNumberFormat="0" applyBorder="0" applyAlignment="0" applyProtection="0"/>
    <xf numFmtId="0" fontId="47" fillId="17" borderId="1" applyNumberFormat="0" applyBorder="0" applyAlignment="0" applyProtection="0"/>
    <xf numFmtId="0" fontId="47" fillId="17" borderId="1" applyNumberFormat="0" applyBorder="0" applyAlignment="0" applyProtection="0"/>
    <xf numFmtId="0" fontId="84" fillId="88" borderId="1" applyNumberFormat="0" applyBorder="0" applyAlignment="0" applyProtection="0"/>
    <xf numFmtId="0" fontId="84" fillId="52" borderId="1" applyNumberFormat="0" applyBorder="0" applyAlignment="0" applyProtection="0"/>
    <xf numFmtId="0" fontId="84" fillId="52" borderId="1" applyNumberFormat="0" applyBorder="0" applyAlignment="0" applyProtection="0"/>
    <xf numFmtId="0" fontId="84" fillId="52" borderId="1" applyNumberFormat="0" applyBorder="0" applyAlignment="0" applyProtection="0"/>
    <xf numFmtId="0" fontId="84" fillId="52" borderId="1" applyNumberFormat="0" applyBorder="0" applyAlignment="0" applyProtection="0"/>
    <xf numFmtId="0" fontId="84" fillId="52" borderId="1" applyNumberFormat="0" applyBorder="0" applyAlignment="0" applyProtection="0"/>
    <xf numFmtId="0" fontId="84" fillId="52" borderId="1" applyNumberFormat="0" applyBorder="0" applyAlignment="0" applyProtection="0"/>
    <xf numFmtId="0" fontId="84" fillId="52" borderId="1" applyNumberFormat="0" applyBorder="0" applyAlignment="0" applyProtection="0"/>
    <xf numFmtId="0" fontId="84" fillId="52" borderId="1" applyNumberFormat="0" applyBorder="0" applyAlignment="0" applyProtection="0"/>
    <xf numFmtId="0" fontId="84" fillId="52" borderId="1" applyNumberFormat="0" applyBorder="0" applyAlignment="0" applyProtection="0"/>
    <xf numFmtId="0" fontId="84" fillId="52" borderId="1" applyNumberFormat="0" applyBorder="0" applyAlignment="0" applyProtection="0"/>
    <xf numFmtId="0" fontId="47" fillId="21" borderId="1" applyNumberFormat="0" applyBorder="0" applyAlignment="0" applyProtection="0"/>
    <xf numFmtId="0" fontId="47" fillId="21" borderId="1" applyNumberFormat="0" applyBorder="0" applyAlignment="0" applyProtection="0"/>
    <xf numFmtId="0" fontId="47" fillId="21" borderId="1" applyNumberFormat="0" applyBorder="0" applyAlignment="0" applyProtection="0"/>
    <xf numFmtId="0" fontId="47" fillId="21" borderId="1" applyNumberFormat="0" applyBorder="0" applyAlignment="0" applyProtection="0"/>
    <xf numFmtId="0" fontId="84" fillId="49" borderId="1" applyNumberFormat="0" applyBorder="0" applyAlignment="0" applyProtection="0"/>
    <xf numFmtId="0" fontId="84" fillId="53" borderId="1" applyNumberFormat="0" applyBorder="0" applyAlignment="0" applyProtection="0"/>
    <xf numFmtId="0" fontId="84" fillId="53" borderId="1" applyNumberFormat="0" applyBorder="0" applyAlignment="0" applyProtection="0"/>
    <xf numFmtId="0" fontId="84" fillId="53" borderId="1" applyNumberFormat="0" applyBorder="0" applyAlignment="0" applyProtection="0"/>
    <xf numFmtId="0" fontId="84" fillId="53" borderId="1" applyNumberFormat="0" applyBorder="0" applyAlignment="0" applyProtection="0"/>
    <xf numFmtId="0" fontId="84" fillId="53" borderId="1" applyNumberFormat="0" applyBorder="0" applyAlignment="0" applyProtection="0"/>
    <xf numFmtId="0" fontId="84" fillId="53" borderId="1" applyNumberFormat="0" applyBorder="0" applyAlignment="0" applyProtection="0"/>
    <xf numFmtId="0" fontId="84" fillId="53" borderId="1" applyNumberFormat="0" applyBorder="0" applyAlignment="0" applyProtection="0"/>
    <xf numFmtId="0" fontId="84" fillId="53" borderId="1" applyNumberFormat="0" applyBorder="0" applyAlignment="0" applyProtection="0"/>
    <xf numFmtId="0" fontId="84" fillId="53" borderId="1" applyNumberFormat="0" applyBorder="0" applyAlignment="0" applyProtection="0"/>
    <xf numFmtId="0" fontId="84" fillId="53" borderId="1" applyNumberFormat="0" applyBorder="0" applyAlignment="0" applyProtection="0"/>
    <xf numFmtId="0" fontId="47" fillId="25" borderId="1" applyNumberFormat="0" applyBorder="0" applyAlignment="0" applyProtection="0"/>
    <xf numFmtId="0" fontId="47" fillId="25" borderId="1" applyNumberFormat="0" applyBorder="0" applyAlignment="0" applyProtection="0"/>
    <xf numFmtId="0" fontId="47" fillId="25" borderId="1" applyNumberFormat="0" applyBorder="0" applyAlignment="0" applyProtection="0"/>
    <xf numFmtId="0" fontId="47" fillId="25" borderId="1" applyNumberFormat="0" applyBorder="0" applyAlignment="0" applyProtection="0"/>
    <xf numFmtId="0" fontId="84" fillId="49" borderId="1" applyNumberFormat="0" applyBorder="0" applyAlignment="0" applyProtection="0"/>
    <xf numFmtId="0" fontId="84" fillId="56" borderId="1" applyNumberFormat="0" applyBorder="0" applyAlignment="0" applyProtection="0"/>
    <xf numFmtId="0" fontId="84" fillId="56" borderId="1" applyNumberFormat="0" applyBorder="0" applyAlignment="0" applyProtection="0"/>
    <xf numFmtId="0" fontId="84" fillId="56" borderId="1" applyNumberFormat="0" applyBorder="0" applyAlignment="0" applyProtection="0"/>
    <xf numFmtId="0" fontId="84" fillId="56" borderId="1" applyNumberFormat="0" applyBorder="0" applyAlignment="0" applyProtection="0"/>
    <xf numFmtId="0" fontId="84" fillId="56" borderId="1" applyNumberFormat="0" applyBorder="0" applyAlignment="0" applyProtection="0"/>
    <xf numFmtId="0" fontId="84" fillId="56" borderId="1" applyNumberFormat="0" applyBorder="0" applyAlignment="0" applyProtection="0"/>
    <xf numFmtId="0" fontId="84" fillId="56" borderId="1" applyNumberFormat="0" applyBorder="0" applyAlignment="0" applyProtection="0"/>
    <xf numFmtId="0" fontId="84" fillId="56" borderId="1" applyNumberFormat="0" applyBorder="0" applyAlignment="0" applyProtection="0"/>
    <xf numFmtId="0" fontId="84" fillId="56" borderId="1" applyNumberFormat="0" applyBorder="0" applyAlignment="0" applyProtection="0"/>
    <xf numFmtId="0" fontId="84" fillId="56" borderId="1" applyNumberFormat="0" applyBorder="0" applyAlignment="0" applyProtection="0"/>
    <xf numFmtId="0" fontId="47" fillId="29" borderId="1" applyNumberFormat="0" applyBorder="0" applyAlignment="0" applyProtection="0"/>
    <xf numFmtId="0" fontId="47" fillId="29" borderId="1" applyNumberFormat="0" applyBorder="0" applyAlignment="0" applyProtection="0"/>
    <xf numFmtId="0" fontId="47" fillId="29" borderId="1" applyNumberFormat="0" applyBorder="0" applyAlignment="0" applyProtection="0"/>
    <xf numFmtId="0" fontId="47" fillId="29" borderId="1" applyNumberFormat="0" applyBorder="0" applyAlignment="0" applyProtection="0"/>
    <xf numFmtId="0" fontId="84" fillId="51" borderId="1" applyNumberFormat="0" applyBorder="0" applyAlignment="0" applyProtection="0"/>
    <xf numFmtId="0" fontId="84" fillId="39" borderId="1" applyNumberFormat="0" applyBorder="0" applyAlignment="0" applyProtection="0"/>
    <xf numFmtId="0" fontId="84" fillId="39" borderId="1" applyNumberFormat="0" applyBorder="0" applyAlignment="0" applyProtection="0"/>
    <xf numFmtId="0" fontId="84" fillId="39" borderId="1" applyNumberFormat="0" applyBorder="0" applyAlignment="0" applyProtection="0"/>
    <xf numFmtId="0" fontId="84" fillId="39" borderId="1" applyNumberFormat="0" applyBorder="0" applyAlignment="0" applyProtection="0"/>
    <xf numFmtId="0" fontId="84" fillId="39" borderId="1" applyNumberFormat="0" applyBorder="0" applyAlignment="0" applyProtection="0"/>
    <xf numFmtId="0" fontId="84" fillId="39" borderId="1" applyNumberFormat="0" applyBorder="0" applyAlignment="0" applyProtection="0"/>
    <xf numFmtId="0" fontId="84" fillId="39" borderId="1" applyNumberFormat="0" applyBorder="0" applyAlignment="0" applyProtection="0"/>
    <xf numFmtId="0" fontId="84" fillId="39" borderId="1" applyNumberFormat="0" applyBorder="0" applyAlignment="0" applyProtection="0"/>
    <xf numFmtId="0" fontId="84" fillId="39" borderId="1" applyNumberFormat="0" applyBorder="0" applyAlignment="0" applyProtection="0"/>
    <xf numFmtId="0" fontId="84" fillId="39" borderId="1" applyNumberFormat="0" applyBorder="0" applyAlignment="0" applyProtection="0"/>
    <xf numFmtId="0" fontId="47" fillId="33" borderId="1" applyNumberFormat="0" applyBorder="0" applyAlignment="0" applyProtection="0"/>
    <xf numFmtId="0" fontId="47" fillId="33" borderId="1" applyNumberFormat="0" applyBorder="0" applyAlignment="0" applyProtection="0"/>
    <xf numFmtId="0" fontId="47" fillId="33" borderId="1" applyNumberFormat="0" applyBorder="0" applyAlignment="0" applyProtection="0"/>
    <xf numFmtId="0" fontId="47" fillId="33" borderId="1" applyNumberFormat="0" applyBorder="0" applyAlignment="0" applyProtection="0"/>
    <xf numFmtId="0" fontId="84" fillId="51" borderId="1" applyNumberFormat="0" applyBorder="0" applyAlignment="0" applyProtection="0"/>
    <xf numFmtId="0" fontId="84" fillId="57" borderId="1" applyNumberFormat="0" applyBorder="0" applyAlignment="0" applyProtection="0"/>
    <xf numFmtId="0" fontId="84" fillId="57" borderId="1" applyNumberFormat="0" applyBorder="0" applyAlignment="0" applyProtection="0"/>
    <xf numFmtId="0" fontId="84" fillId="57" borderId="1" applyNumberFormat="0" applyBorder="0" applyAlignment="0" applyProtection="0"/>
    <xf numFmtId="0" fontId="84" fillId="57" borderId="1" applyNumberFormat="0" applyBorder="0" applyAlignment="0" applyProtection="0"/>
    <xf numFmtId="0" fontId="84" fillId="57" borderId="1" applyNumberFormat="0" applyBorder="0" applyAlignment="0" applyProtection="0"/>
    <xf numFmtId="0" fontId="84" fillId="57" borderId="1" applyNumberFormat="0" applyBorder="0" applyAlignment="0" applyProtection="0"/>
    <xf numFmtId="0" fontId="84" fillId="57" borderId="1" applyNumberFormat="0" applyBorder="0" applyAlignment="0" applyProtection="0"/>
    <xf numFmtId="0" fontId="84" fillId="57" borderId="1" applyNumberFormat="0" applyBorder="0" applyAlignment="0" applyProtection="0"/>
    <xf numFmtId="0" fontId="84" fillId="57" borderId="1" applyNumberFormat="0" applyBorder="0" applyAlignment="0" applyProtection="0"/>
    <xf numFmtId="0" fontId="84" fillId="57" borderId="1" applyNumberFormat="0" applyBorder="0" applyAlignment="0" applyProtection="0"/>
    <xf numFmtId="0" fontId="47" fillId="37" borderId="1" applyNumberFormat="0" applyBorder="0" applyAlignment="0" applyProtection="0"/>
    <xf numFmtId="0" fontId="47" fillId="37" borderId="1" applyNumberFormat="0" applyBorder="0" applyAlignment="0" applyProtection="0"/>
    <xf numFmtId="0" fontId="47" fillId="37" borderId="1" applyNumberFormat="0" applyBorder="0" applyAlignment="0" applyProtection="0"/>
    <xf numFmtId="0" fontId="47" fillId="37" borderId="1" applyNumberFormat="0" applyBorder="0" applyAlignment="0" applyProtection="0"/>
    <xf numFmtId="0" fontId="84" fillId="46" borderId="1" applyNumberFormat="0" applyBorder="0" applyAlignment="0" applyProtection="0"/>
    <xf numFmtId="0" fontId="159" fillId="0" borderId="1">
      <alignment vertical="top"/>
    </xf>
    <xf numFmtId="0" fontId="159" fillId="0" borderId="1">
      <alignment vertical="top"/>
    </xf>
    <xf numFmtId="0" fontId="84" fillId="83" borderId="1" applyNumberFormat="0" applyBorder="0" applyAlignment="0" applyProtection="0"/>
    <xf numFmtId="0" fontId="83" fillId="58" borderId="1" applyNumberFormat="0" applyBorder="0" applyAlignment="0" applyProtection="0"/>
    <xf numFmtId="0" fontId="83" fillId="58" borderId="1" applyNumberFormat="0" applyBorder="0" applyAlignment="0" applyProtection="0"/>
    <xf numFmtId="0" fontId="83" fillId="58" borderId="1" applyNumberFormat="0" applyBorder="0" applyAlignment="0" applyProtection="0"/>
    <xf numFmtId="0" fontId="83" fillId="59" borderId="1" applyNumberFormat="0" applyBorder="0" applyAlignment="0" applyProtection="0"/>
    <xf numFmtId="0" fontId="83" fillId="59" borderId="1" applyNumberFormat="0" applyBorder="0" applyAlignment="0" applyProtection="0"/>
    <xf numFmtId="0" fontId="83" fillId="59" borderId="1" applyNumberFormat="0" applyBorder="0" applyAlignment="0" applyProtection="0"/>
    <xf numFmtId="0" fontId="84" fillId="60" borderId="1" applyNumberFormat="0" applyBorder="0" applyAlignment="0" applyProtection="0"/>
    <xf numFmtId="0" fontId="84" fillId="39" borderId="1" applyNumberFormat="0" applyBorder="0" applyAlignment="0" applyProtection="0"/>
    <xf numFmtId="0" fontId="84" fillId="39" borderId="1" applyNumberFormat="0" applyBorder="0" applyAlignment="0" applyProtection="0"/>
    <xf numFmtId="0" fontId="84" fillId="39" borderId="1" applyNumberFormat="0" applyBorder="0" applyAlignment="0" applyProtection="0"/>
    <xf numFmtId="0" fontId="84" fillId="39" borderId="1" applyNumberFormat="0" applyBorder="0" applyAlignment="0" applyProtection="0"/>
    <xf numFmtId="0" fontId="84" fillId="39" borderId="1" applyNumberFormat="0" applyBorder="0" applyAlignment="0" applyProtection="0"/>
    <xf numFmtId="0" fontId="47" fillId="14" borderId="1" applyNumberFormat="0" applyBorder="0" applyAlignment="0" applyProtection="0"/>
    <xf numFmtId="0" fontId="47" fillId="14" borderId="1" applyNumberFormat="0" applyBorder="0" applyAlignment="0" applyProtection="0"/>
    <xf numFmtId="0" fontId="47" fillId="14" borderId="1" applyNumberFormat="0" applyBorder="0" applyAlignment="0" applyProtection="0"/>
    <xf numFmtId="0" fontId="84" fillId="84" borderId="1" applyNumberFormat="0" applyBorder="0" applyAlignment="0" applyProtection="0"/>
    <xf numFmtId="0" fontId="83" fillId="61" borderId="1" applyNumberFormat="0" applyBorder="0" applyAlignment="0" applyProtection="0"/>
    <xf numFmtId="0" fontId="83" fillId="61" borderId="1" applyNumberFormat="0" applyBorder="0" applyAlignment="0" applyProtection="0"/>
    <xf numFmtId="0" fontId="83" fillId="61" borderId="1" applyNumberFormat="0" applyBorder="0" applyAlignment="0" applyProtection="0"/>
    <xf numFmtId="0" fontId="83" fillId="62" borderId="1" applyNumberFormat="0" applyBorder="0" applyAlignment="0" applyProtection="0"/>
    <xf numFmtId="0" fontId="83" fillId="62" borderId="1" applyNumberFormat="0" applyBorder="0" applyAlignment="0" applyProtection="0"/>
    <xf numFmtId="0" fontId="83" fillId="62" borderId="1" applyNumberFormat="0" applyBorder="0" applyAlignment="0" applyProtection="0"/>
    <xf numFmtId="0" fontId="84" fillId="63" borderId="1" applyNumberFormat="0" applyBorder="0" applyAlignment="0" applyProtection="0"/>
    <xf numFmtId="0" fontId="84" fillId="74" borderId="1" applyNumberFormat="0" applyBorder="0" applyAlignment="0" applyProtection="0"/>
    <xf numFmtId="0" fontId="84" fillId="74" borderId="1" applyNumberFormat="0" applyBorder="0" applyAlignment="0" applyProtection="0"/>
    <xf numFmtId="0" fontId="84" fillId="74" borderId="1" applyNumberFormat="0" applyBorder="0" applyAlignment="0" applyProtection="0"/>
    <xf numFmtId="0" fontId="84" fillId="74" borderId="1" applyNumberFormat="0" applyBorder="0" applyAlignment="0" applyProtection="0"/>
    <xf numFmtId="0" fontId="84" fillId="74" borderId="1" applyNumberFormat="0" applyBorder="0" applyAlignment="0" applyProtection="0"/>
    <xf numFmtId="0" fontId="47" fillId="18" borderId="1" applyNumberFormat="0" applyBorder="0" applyAlignment="0" applyProtection="0"/>
    <xf numFmtId="0" fontId="47" fillId="18" borderId="1" applyNumberFormat="0" applyBorder="0" applyAlignment="0" applyProtection="0"/>
    <xf numFmtId="0" fontId="47" fillId="18" borderId="1" applyNumberFormat="0" applyBorder="0" applyAlignment="0" applyProtection="0"/>
    <xf numFmtId="0" fontId="84" fillId="67" borderId="1" applyNumberFormat="0" applyBorder="0" applyAlignment="0" applyProtection="0"/>
    <xf numFmtId="0" fontId="83" fillId="64" borderId="1" applyNumberFormat="0" applyBorder="0" applyAlignment="0" applyProtection="0"/>
    <xf numFmtId="0" fontId="83" fillId="64" borderId="1" applyNumberFormat="0" applyBorder="0" applyAlignment="0" applyProtection="0"/>
    <xf numFmtId="0" fontId="83" fillId="64" borderId="1" applyNumberFormat="0" applyBorder="0" applyAlignment="0" applyProtection="0"/>
    <xf numFmtId="0" fontId="83" fillId="65" borderId="1" applyNumberFormat="0" applyBorder="0" applyAlignment="0" applyProtection="0"/>
    <xf numFmtId="0" fontId="83" fillId="65" borderId="1" applyNumberFormat="0" applyBorder="0" applyAlignment="0" applyProtection="0"/>
    <xf numFmtId="0" fontId="83" fillId="65" borderId="1" applyNumberFormat="0" applyBorder="0" applyAlignment="0" applyProtection="0"/>
    <xf numFmtId="0" fontId="84" fillId="66" borderId="1" applyNumberFormat="0" applyBorder="0" applyAlignment="0" applyProtection="0"/>
    <xf numFmtId="0" fontId="84" fillId="75" borderId="1" applyNumberFormat="0" applyBorder="0" applyAlignment="0" applyProtection="0"/>
    <xf numFmtId="0" fontId="84" fillId="75" borderId="1" applyNumberFormat="0" applyBorder="0" applyAlignment="0" applyProtection="0"/>
    <xf numFmtId="0" fontId="84" fillId="75" borderId="1" applyNumberFormat="0" applyBorder="0" applyAlignment="0" applyProtection="0"/>
    <xf numFmtId="0" fontId="84" fillId="75" borderId="1" applyNumberFormat="0" applyBorder="0" applyAlignment="0" applyProtection="0"/>
    <xf numFmtId="0" fontId="84" fillId="75" borderId="1" applyNumberFormat="0" applyBorder="0" applyAlignment="0" applyProtection="0"/>
    <xf numFmtId="0" fontId="47" fillId="22" borderId="1" applyNumberFormat="0" applyBorder="0" applyAlignment="0" applyProtection="0"/>
    <xf numFmtId="0" fontId="47" fillId="22" borderId="1" applyNumberFormat="0" applyBorder="0" applyAlignment="0" applyProtection="0"/>
    <xf numFmtId="0" fontId="47" fillId="22" borderId="1" applyNumberFormat="0" applyBorder="0" applyAlignment="0" applyProtection="0"/>
    <xf numFmtId="0" fontId="84" fillId="133" borderId="1" applyNumberFormat="0" applyBorder="0" applyAlignment="0" applyProtection="0"/>
    <xf numFmtId="0" fontId="83" fillId="61" borderId="1" applyNumberFormat="0" applyBorder="0" applyAlignment="0" applyProtection="0"/>
    <xf numFmtId="0" fontId="83" fillId="61" borderId="1" applyNumberFormat="0" applyBorder="0" applyAlignment="0" applyProtection="0"/>
    <xf numFmtId="0" fontId="83" fillId="61" borderId="1" applyNumberFormat="0" applyBorder="0" applyAlignment="0" applyProtection="0"/>
    <xf numFmtId="0" fontId="83" fillId="67" borderId="1" applyNumberFormat="0" applyBorder="0" applyAlignment="0" applyProtection="0"/>
    <xf numFmtId="0" fontId="83" fillId="67" borderId="1" applyNumberFormat="0" applyBorder="0" applyAlignment="0" applyProtection="0"/>
    <xf numFmtId="0" fontId="83" fillId="67" borderId="1" applyNumberFormat="0" applyBorder="0" applyAlignment="0" applyProtection="0"/>
    <xf numFmtId="0" fontId="84" fillId="62" borderId="1" applyNumberFormat="0" applyBorder="0" applyAlignment="0" applyProtection="0"/>
    <xf numFmtId="0" fontId="84" fillId="94" borderId="1" applyNumberFormat="0" applyBorder="0" applyAlignment="0" applyProtection="0"/>
    <xf numFmtId="0" fontId="84" fillId="94" borderId="1" applyNumberFormat="0" applyBorder="0" applyAlignment="0" applyProtection="0"/>
    <xf numFmtId="0" fontId="84" fillId="94" borderId="1" applyNumberFormat="0" applyBorder="0" applyAlignment="0" applyProtection="0"/>
    <xf numFmtId="0" fontId="84" fillId="94" borderId="1" applyNumberFormat="0" applyBorder="0" applyAlignment="0" applyProtection="0"/>
    <xf numFmtId="0" fontId="84" fillId="94" borderId="1" applyNumberFormat="0" applyBorder="0" applyAlignment="0" applyProtection="0"/>
    <xf numFmtId="0" fontId="47" fillId="26" borderId="1" applyNumberFormat="0" applyBorder="0" applyAlignment="0" applyProtection="0"/>
    <xf numFmtId="0" fontId="47" fillId="26" borderId="1" applyNumberFormat="0" applyBorder="0" applyAlignment="0" applyProtection="0"/>
    <xf numFmtId="0" fontId="47" fillId="26" borderId="1" applyNumberFormat="0" applyBorder="0" applyAlignment="0" applyProtection="0"/>
    <xf numFmtId="0" fontId="84" fillId="134" borderId="1" applyNumberFormat="0" applyBorder="0" applyAlignment="0" applyProtection="0"/>
    <xf numFmtId="0" fontId="83" fillId="68" borderId="1" applyNumberFormat="0" applyBorder="0" applyAlignment="0" applyProtection="0"/>
    <xf numFmtId="0" fontId="83" fillId="68" borderId="1" applyNumberFormat="0" applyBorder="0" applyAlignment="0" applyProtection="0"/>
    <xf numFmtId="0" fontId="83" fillId="68" borderId="1" applyNumberFormat="0" applyBorder="0" applyAlignment="0" applyProtection="0"/>
    <xf numFmtId="0" fontId="83" fillId="69" borderId="1" applyNumberFormat="0" applyBorder="0" applyAlignment="0" applyProtection="0"/>
    <xf numFmtId="0" fontId="83" fillId="69" borderId="1" applyNumberFormat="0" applyBorder="0" applyAlignment="0" applyProtection="0"/>
    <xf numFmtId="0" fontId="83" fillId="69" borderId="1" applyNumberFormat="0" applyBorder="0" applyAlignment="0" applyProtection="0"/>
    <xf numFmtId="0" fontId="84" fillId="60" borderId="1" applyNumberFormat="0" applyBorder="0" applyAlignment="0" applyProtection="0"/>
    <xf numFmtId="0" fontId="84" fillId="39" borderId="1" applyNumberFormat="0" applyBorder="0" applyAlignment="0" applyProtection="0"/>
    <xf numFmtId="0" fontId="84" fillId="39" borderId="1" applyNumberFormat="0" applyBorder="0" applyAlignment="0" applyProtection="0"/>
    <xf numFmtId="0" fontId="84" fillId="39" borderId="1" applyNumberFormat="0" applyBorder="0" applyAlignment="0" applyProtection="0"/>
    <xf numFmtId="0" fontId="84" fillId="39" borderId="1" applyNumberFormat="0" applyBorder="0" applyAlignment="0" applyProtection="0"/>
    <xf numFmtId="0" fontId="84" fillId="39" borderId="1" applyNumberFormat="0" applyBorder="0" applyAlignment="0" applyProtection="0"/>
    <xf numFmtId="0" fontId="47" fillId="30" borderId="1" applyNumberFormat="0" applyBorder="0" applyAlignment="0" applyProtection="0"/>
    <xf numFmtId="0" fontId="47" fillId="30" borderId="1" applyNumberFormat="0" applyBorder="0" applyAlignment="0" applyProtection="0"/>
    <xf numFmtId="0" fontId="47" fillId="30" borderId="1" applyNumberFormat="0" applyBorder="0" applyAlignment="0" applyProtection="0"/>
    <xf numFmtId="0" fontId="84" fillId="135" borderId="1" applyNumberFormat="0" applyBorder="0" applyAlignment="0" applyProtection="0"/>
    <xf numFmtId="0" fontId="83" fillId="70" borderId="1" applyNumberFormat="0" applyBorder="0" applyAlignment="0" applyProtection="0"/>
    <xf numFmtId="0" fontId="83" fillId="70" borderId="1" applyNumberFormat="0" applyBorder="0" applyAlignment="0" applyProtection="0"/>
    <xf numFmtId="0" fontId="83" fillId="70" borderId="1" applyNumberFormat="0" applyBorder="0" applyAlignment="0" applyProtection="0"/>
    <xf numFmtId="0" fontId="83" fillId="71" borderId="1" applyNumberFormat="0" applyBorder="0" applyAlignment="0" applyProtection="0"/>
    <xf numFmtId="0" fontId="83" fillId="71" borderId="1" applyNumberFormat="0" applyBorder="0" applyAlignment="0" applyProtection="0"/>
    <xf numFmtId="0" fontId="83" fillId="71" borderId="1" applyNumberFormat="0" applyBorder="0" applyAlignment="0" applyProtection="0"/>
    <xf numFmtId="0" fontId="84" fillId="72" borderId="1" applyNumberFormat="0" applyBorder="0" applyAlignment="0" applyProtection="0"/>
    <xf numFmtId="0" fontId="84" fillId="76" borderId="1" applyNumberFormat="0" applyBorder="0" applyAlignment="0" applyProtection="0"/>
    <xf numFmtId="0" fontId="84" fillId="76" borderId="1" applyNumberFormat="0" applyBorder="0" applyAlignment="0" applyProtection="0"/>
    <xf numFmtId="0" fontId="84" fillId="76" borderId="1" applyNumberFormat="0" applyBorder="0" applyAlignment="0" applyProtection="0"/>
    <xf numFmtId="0" fontId="84" fillId="76" borderId="1" applyNumberFormat="0" applyBorder="0" applyAlignment="0" applyProtection="0"/>
    <xf numFmtId="0" fontId="84" fillId="76" borderId="1" applyNumberFormat="0" applyBorder="0" applyAlignment="0" applyProtection="0"/>
    <xf numFmtId="0" fontId="47" fillId="34" borderId="1" applyNumberFormat="0" applyBorder="0" applyAlignment="0" applyProtection="0"/>
    <xf numFmtId="0" fontId="47" fillId="34" borderId="1" applyNumberFormat="0" applyBorder="0" applyAlignment="0" applyProtection="0"/>
    <xf numFmtId="0" fontId="47" fillId="34" borderId="1" applyNumberFormat="0" applyBorder="0" applyAlignment="0" applyProtection="0"/>
    <xf numFmtId="0" fontId="84" fillId="39" borderId="1" applyNumberFormat="0" applyBorder="0" applyAlignment="0" applyProtection="0"/>
    <xf numFmtId="0" fontId="84" fillId="74" borderId="1" applyNumberFormat="0" applyBorder="0" applyAlignment="0" applyProtection="0"/>
    <xf numFmtId="0" fontId="84" fillId="75" borderId="1" applyNumberFormat="0" applyBorder="0" applyAlignment="0" applyProtection="0"/>
    <xf numFmtId="0" fontId="84" fillId="97" borderId="1" applyNumberFormat="0" applyBorder="0" applyAlignment="0" applyProtection="0"/>
    <xf numFmtId="0" fontId="84" fillId="39" borderId="1" applyNumberFormat="0" applyBorder="0" applyAlignment="0" applyProtection="0"/>
    <xf numFmtId="0" fontId="84" fillId="54" borderId="1" applyNumberFormat="0" applyBorder="0" applyAlignment="0" applyProtection="0"/>
    <xf numFmtId="0" fontId="106" fillId="98" borderId="99" applyNumberFormat="0" applyAlignment="0" applyProtection="0"/>
    <xf numFmtId="0" fontId="167" fillId="0" borderId="1" applyNumberFormat="0" applyFill="0" applyBorder="0" applyAlignment="0" applyProtection="0"/>
    <xf numFmtId="0" fontId="168" fillId="127" borderId="1" applyFont="0" applyAlignment="0"/>
    <xf numFmtId="0" fontId="169" fillId="63" borderId="1" applyNumberFormat="0" applyBorder="0" applyAlignment="0" applyProtection="0"/>
    <xf numFmtId="0" fontId="170" fillId="46" borderId="1" applyNumberFormat="0" applyBorder="0" applyAlignment="0" applyProtection="0"/>
    <xf numFmtId="0" fontId="170" fillId="46" borderId="1" applyNumberFormat="0" applyBorder="0" applyAlignment="0" applyProtection="0"/>
    <xf numFmtId="0" fontId="170" fillId="46" borderId="1" applyNumberFormat="0" applyBorder="0" applyAlignment="0" applyProtection="0"/>
    <xf numFmtId="0" fontId="170" fillId="46" borderId="1" applyNumberFormat="0" applyBorder="0" applyAlignment="0" applyProtection="0"/>
    <xf numFmtId="0" fontId="170" fillId="46" borderId="1" applyNumberFormat="0" applyBorder="0" applyAlignment="0" applyProtection="0"/>
    <xf numFmtId="0" fontId="56" fillId="8" borderId="1" applyNumberFormat="0" applyBorder="0" applyAlignment="0" applyProtection="0"/>
    <xf numFmtId="0" fontId="171" fillId="98" borderId="98" applyNumberFormat="0" applyAlignment="0" applyProtection="0"/>
    <xf numFmtId="0" fontId="87" fillId="47" borderId="1" applyNumberFormat="0" applyBorder="0" applyAlignment="0" applyProtection="0"/>
    <xf numFmtId="189" fontId="172" fillId="0" borderId="1"/>
    <xf numFmtId="189" fontId="172" fillId="0" borderId="1"/>
    <xf numFmtId="189" fontId="172" fillId="0" borderId="1"/>
    <xf numFmtId="0" fontId="83" fillId="65" borderId="1" applyNumberFormat="0" applyBorder="0" applyAlignment="0" applyProtection="0"/>
    <xf numFmtId="0" fontId="87" fillId="47" borderId="1" applyNumberFormat="0" applyBorder="0" applyAlignment="0" applyProtection="0"/>
    <xf numFmtId="0" fontId="83" fillId="65" borderId="1" applyNumberFormat="0" applyBorder="0" applyAlignment="0" applyProtection="0"/>
    <xf numFmtId="0" fontId="87" fillId="47" borderId="1" applyNumberFormat="0" applyBorder="0" applyAlignment="0" applyProtection="0"/>
    <xf numFmtId="0" fontId="87" fillId="47" borderId="1" applyNumberFormat="0" applyBorder="0" applyAlignment="0" applyProtection="0"/>
    <xf numFmtId="0" fontId="87" fillId="47" borderId="1" applyNumberFormat="0" applyBorder="0" applyAlignment="0" applyProtection="0"/>
    <xf numFmtId="0" fontId="87" fillId="47" borderId="1" applyNumberFormat="0" applyBorder="0" applyAlignment="0" applyProtection="0"/>
    <xf numFmtId="0" fontId="87" fillId="47" borderId="1" applyNumberFormat="0" applyBorder="0" applyAlignment="0" applyProtection="0"/>
    <xf numFmtId="0" fontId="87" fillId="47" borderId="1" applyNumberFormat="0" applyBorder="0" applyAlignment="0" applyProtection="0"/>
    <xf numFmtId="0" fontId="87" fillId="47" borderId="1" applyNumberFormat="0" applyBorder="0" applyAlignment="0" applyProtection="0"/>
    <xf numFmtId="0" fontId="87" fillId="47" borderId="1" applyNumberFormat="0" applyBorder="0" applyAlignment="0" applyProtection="0"/>
    <xf numFmtId="0" fontId="55" fillId="7" borderId="1" applyNumberFormat="0" applyBorder="0" applyAlignment="0" applyProtection="0"/>
    <xf numFmtId="0" fontId="55" fillId="7" borderId="1" applyNumberFormat="0" applyBorder="0" applyAlignment="0" applyProtection="0"/>
    <xf numFmtId="0" fontId="55" fillId="7" borderId="1" applyNumberFormat="0" applyBorder="0" applyAlignment="0" applyProtection="0"/>
    <xf numFmtId="0" fontId="55" fillId="7" borderId="1" applyNumberFormat="0" applyBorder="0" applyAlignment="0" applyProtection="0"/>
    <xf numFmtId="0" fontId="87" fillId="49" borderId="1" applyNumberFormat="0" applyBorder="0" applyAlignment="0" applyProtection="0"/>
    <xf numFmtId="0" fontId="173" fillId="79" borderId="98" applyNumberFormat="0" applyAlignment="0" applyProtection="0"/>
    <xf numFmtId="0" fontId="171" fillId="136" borderId="98" applyNumberFormat="0" applyAlignment="0" applyProtection="0"/>
    <xf numFmtId="0" fontId="173" fillId="131" borderId="98" applyNumberFormat="0" applyAlignment="0" applyProtection="0"/>
    <xf numFmtId="0" fontId="173" fillId="131" borderId="98" applyNumberFormat="0" applyAlignment="0" applyProtection="0"/>
    <xf numFmtId="0" fontId="173" fillId="131" borderId="98" applyNumberFormat="0" applyAlignment="0" applyProtection="0"/>
    <xf numFmtId="0" fontId="173" fillId="131" borderId="98" applyNumberFormat="0" applyAlignment="0" applyProtection="0"/>
    <xf numFmtId="0" fontId="173" fillId="131" borderId="98" applyNumberFormat="0" applyAlignment="0" applyProtection="0"/>
    <xf numFmtId="0" fontId="60" fillId="11" borderId="79" applyNumberFormat="0" applyAlignment="0" applyProtection="0"/>
    <xf numFmtId="0" fontId="173" fillId="79" borderId="98" applyNumberFormat="0" applyAlignment="0" applyProtection="0"/>
    <xf numFmtId="0" fontId="173" fillId="79" borderId="98" applyNumberFormat="0" applyAlignment="0" applyProtection="0"/>
    <xf numFmtId="0" fontId="173" fillId="79" borderId="98" applyNumberFormat="0" applyAlignment="0" applyProtection="0"/>
    <xf numFmtId="0" fontId="173" fillId="79" borderId="98" applyNumberFormat="0" applyAlignment="0" applyProtection="0"/>
    <xf numFmtId="0" fontId="173" fillId="79" borderId="98" applyNumberFormat="0" applyAlignment="0" applyProtection="0"/>
    <xf numFmtId="0" fontId="173" fillId="79" borderId="98" applyNumberFormat="0" applyAlignment="0" applyProtection="0"/>
    <xf numFmtId="0" fontId="173" fillId="79" borderId="98" applyNumberFormat="0" applyAlignment="0" applyProtection="0"/>
    <xf numFmtId="0" fontId="173" fillId="79" borderId="98" applyNumberFormat="0" applyAlignment="0" applyProtection="0"/>
    <xf numFmtId="0" fontId="173" fillId="79" borderId="98" applyNumberFormat="0" applyAlignment="0" applyProtection="0"/>
    <xf numFmtId="0" fontId="173" fillId="79" borderId="98" applyNumberFormat="0" applyAlignment="0" applyProtection="0"/>
    <xf numFmtId="0" fontId="60" fillId="11" borderId="79" applyNumberFormat="0" applyAlignment="0" applyProtection="0"/>
    <xf numFmtId="0" fontId="60" fillId="11" borderId="79" applyNumberFormat="0" applyAlignment="0" applyProtection="0"/>
    <xf numFmtId="0" fontId="60" fillId="11" borderId="79" applyNumberFormat="0" applyAlignment="0" applyProtection="0"/>
    <xf numFmtId="0" fontId="60" fillId="11" borderId="79" applyNumberFormat="0" applyAlignment="0" applyProtection="0"/>
    <xf numFmtId="0" fontId="174" fillId="98" borderId="98" applyNumberFormat="0" applyAlignment="0" applyProtection="0"/>
    <xf numFmtId="0" fontId="175" fillId="0" borderId="1"/>
    <xf numFmtId="0" fontId="86" fillId="78" borderId="96" applyNumberFormat="0" applyAlignment="0" applyProtection="0"/>
    <xf numFmtId="0" fontId="86" fillId="87" borderId="96" applyNumberFormat="0" applyAlignment="0" applyProtection="0"/>
    <xf numFmtId="0" fontId="86" fillId="78" borderId="96" applyNumberFormat="0" applyAlignment="0" applyProtection="0"/>
    <xf numFmtId="0" fontId="86" fillId="87" borderId="96" applyNumberFormat="0" applyAlignment="0" applyProtection="0"/>
    <xf numFmtId="0" fontId="86" fillId="87" borderId="96" applyNumberFormat="0" applyAlignment="0" applyProtection="0"/>
    <xf numFmtId="0" fontId="86" fillId="87" borderId="96" applyNumberFormat="0" applyAlignment="0" applyProtection="0"/>
    <xf numFmtId="0" fontId="86" fillId="87" borderId="96" applyNumberFormat="0" applyAlignment="0" applyProtection="0"/>
    <xf numFmtId="0" fontId="86" fillId="87" borderId="96" applyNumberFormat="0" applyAlignment="0" applyProtection="0"/>
    <xf numFmtId="0" fontId="86" fillId="87" borderId="96" applyNumberFormat="0" applyAlignment="0" applyProtection="0"/>
    <xf numFmtId="0" fontId="86" fillId="87" borderId="96" applyNumberFormat="0" applyAlignment="0" applyProtection="0"/>
    <xf numFmtId="0" fontId="86" fillId="87" borderId="96" applyNumberFormat="0" applyAlignment="0" applyProtection="0"/>
    <xf numFmtId="0" fontId="62" fillId="12" borderId="82" applyNumberFormat="0" applyAlignment="0" applyProtection="0"/>
    <xf numFmtId="0" fontId="62" fillId="12" borderId="82" applyNumberFormat="0" applyAlignment="0" applyProtection="0"/>
    <xf numFmtId="0" fontId="62" fillId="12" borderId="82" applyNumberFormat="0" applyAlignment="0" applyProtection="0"/>
    <xf numFmtId="0" fontId="62" fillId="12" borderId="82" applyNumberFormat="0" applyAlignment="0" applyProtection="0"/>
    <xf numFmtId="0" fontId="86" fillId="87" borderId="96" applyNumberFormat="0" applyAlignment="0" applyProtection="0"/>
    <xf numFmtId="0" fontId="87" fillId="0" borderId="97" applyNumberFormat="0" applyFill="0" applyAlignment="0" applyProtection="0"/>
    <xf numFmtId="0" fontId="176" fillId="0" borderId="100" applyNumberFormat="0" applyFill="0" applyAlignment="0" applyProtection="0"/>
    <xf numFmtId="0" fontId="87" fillId="0" borderId="97" applyNumberFormat="0" applyFill="0" applyAlignment="0" applyProtection="0"/>
    <xf numFmtId="0" fontId="176" fillId="0" borderId="100" applyNumberFormat="0" applyFill="0" applyAlignment="0" applyProtection="0"/>
    <xf numFmtId="0" fontId="176" fillId="0" borderId="100" applyNumberFormat="0" applyFill="0" applyAlignment="0" applyProtection="0"/>
    <xf numFmtId="0" fontId="176" fillId="0" borderId="100" applyNumberFormat="0" applyFill="0" applyAlignment="0" applyProtection="0"/>
    <xf numFmtId="0" fontId="176" fillId="0" borderId="100" applyNumberFormat="0" applyFill="0" applyAlignment="0" applyProtection="0"/>
    <xf numFmtId="0" fontId="176" fillId="0" borderId="100" applyNumberFormat="0" applyFill="0" applyAlignment="0" applyProtection="0"/>
    <xf numFmtId="0" fontId="176" fillId="0" borderId="100" applyNumberFormat="0" applyFill="0" applyAlignment="0" applyProtection="0"/>
    <xf numFmtId="0" fontId="176" fillId="0" borderId="100" applyNumberFormat="0" applyFill="0" applyAlignment="0" applyProtection="0"/>
    <xf numFmtId="0" fontId="176" fillId="0" borderId="100" applyNumberFormat="0" applyFill="0" applyAlignment="0" applyProtection="0"/>
    <xf numFmtId="0" fontId="61" fillId="0" borderId="81" applyNumberFormat="0" applyFill="0" applyAlignment="0" applyProtection="0"/>
    <xf numFmtId="0" fontId="61" fillId="0" borderId="81" applyNumberFormat="0" applyFill="0" applyAlignment="0" applyProtection="0"/>
    <xf numFmtId="0" fontId="61" fillId="0" borderId="81" applyNumberFormat="0" applyFill="0" applyAlignment="0" applyProtection="0"/>
    <xf numFmtId="0" fontId="61" fillId="0" borderId="81" applyNumberFormat="0" applyFill="0" applyAlignment="0" applyProtection="0"/>
    <xf numFmtId="0" fontId="167" fillId="0" borderId="128" applyNumberFormat="0" applyFill="0" applyAlignment="0" applyProtection="0"/>
    <xf numFmtId="0" fontId="176" fillId="0" borderId="100" applyNumberFormat="0" applyFill="0" applyAlignment="0" applyProtection="0"/>
    <xf numFmtId="0" fontId="86" fillId="87" borderId="96" applyNumberFormat="0" applyAlignment="0" applyProtection="0"/>
    <xf numFmtId="0" fontId="176" fillId="0" borderId="100" applyNumberFormat="0" applyFill="0" applyAlignment="0" applyProtection="0"/>
    <xf numFmtId="0" fontId="86" fillId="67" borderId="96" applyNumberFormat="0" applyAlignment="0" applyProtection="0"/>
    <xf numFmtId="0" fontId="86" fillId="137" borderId="96" applyNumberFormat="0" applyAlignment="0" applyProtection="0"/>
    <xf numFmtId="0" fontId="86" fillId="137" borderId="96" applyNumberFormat="0" applyAlignment="0" applyProtection="0"/>
    <xf numFmtId="0" fontId="86" fillId="137" borderId="96" applyNumberFormat="0" applyAlignment="0" applyProtection="0"/>
    <xf numFmtId="0" fontId="86" fillId="137" borderId="96" applyNumberFormat="0" applyAlignment="0" applyProtection="0"/>
    <xf numFmtId="0" fontId="86" fillId="137" borderId="96" applyNumberFormat="0" applyAlignment="0" applyProtection="0"/>
    <xf numFmtId="0" fontId="62" fillId="12" borderId="82" applyNumberFormat="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165" fontId="83" fillId="0" borderId="1" applyFont="0" applyFill="0" applyBorder="0" applyAlignment="0" applyProtection="0"/>
    <xf numFmtId="0" fontId="88" fillId="99" borderId="113" applyNumberFormat="0" applyFont="0" applyAlignment="0" applyProtection="0"/>
    <xf numFmtId="0" fontId="88" fillId="0" borderId="1">
      <protection locked="0"/>
    </xf>
    <xf numFmtId="0" fontId="88" fillId="0" borderId="1">
      <protection locked="0"/>
    </xf>
    <xf numFmtId="0" fontId="88" fillId="0" borderId="1">
      <protection locked="0"/>
    </xf>
    <xf numFmtId="0" fontId="88" fillId="0" borderId="1">
      <protection locked="0"/>
    </xf>
    <xf numFmtId="0" fontId="177" fillId="50" borderId="98" applyNumberFormat="0" applyAlignment="0" applyProtection="0"/>
    <xf numFmtId="0" fontId="92" fillId="80" borderId="1" applyNumberFormat="0" applyBorder="0" applyAlignment="0" applyProtection="0"/>
    <xf numFmtId="0" fontId="92" fillId="81" borderId="1" applyNumberFormat="0" applyBorder="0" applyAlignment="0" applyProtection="0"/>
    <xf numFmtId="0" fontId="92" fillId="82" borderId="1" applyNumberFormat="0" applyBorder="0" applyAlignment="0" applyProtection="0"/>
    <xf numFmtId="0" fontId="93" fillId="0" borderId="1" applyNumberFormat="0" applyFill="0" applyBorder="0" applyAlignment="0" applyProtection="0"/>
    <xf numFmtId="0" fontId="178" fillId="0" borderId="1" applyNumberFormat="0" applyFill="0" applyBorder="0" applyAlignment="0" applyProtection="0"/>
    <xf numFmtId="0" fontId="93" fillId="0" borderId="1" applyNumberFormat="0" applyFill="0" applyBorder="0" applyAlignment="0" applyProtection="0"/>
    <xf numFmtId="0" fontId="178" fillId="0" borderId="1" applyNumberFormat="0" applyFill="0" applyBorder="0" applyAlignment="0" applyProtection="0"/>
    <xf numFmtId="0" fontId="178" fillId="0" borderId="1" applyNumberFormat="0" applyFill="0" applyBorder="0" applyAlignment="0" applyProtection="0"/>
    <xf numFmtId="0" fontId="178" fillId="0" borderId="1" applyNumberFormat="0" applyFill="0" applyBorder="0" applyAlignment="0" applyProtection="0"/>
    <xf numFmtId="0" fontId="178" fillId="0" borderId="1" applyNumberFormat="0" applyFill="0" applyBorder="0" applyAlignment="0" applyProtection="0"/>
    <xf numFmtId="0" fontId="178" fillId="0" borderId="1" applyNumberFormat="0" applyFill="0" applyBorder="0" applyAlignment="0" applyProtection="0"/>
    <xf numFmtId="0" fontId="178" fillId="0" borderId="1" applyNumberFormat="0" applyFill="0" applyBorder="0" applyAlignment="0" applyProtection="0"/>
    <xf numFmtId="0" fontId="178" fillId="0" borderId="1" applyNumberFormat="0" applyFill="0" applyBorder="0" applyAlignment="0" applyProtection="0"/>
    <xf numFmtId="0" fontId="178" fillId="0" borderId="1" applyNumberFormat="0" applyFill="0" applyBorder="0" applyAlignment="0" applyProtection="0"/>
    <xf numFmtId="0" fontId="54" fillId="0" borderId="1" applyNumberFormat="0" applyFill="0" applyBorder="0" applyAlignment="0" applyProtection="0"/>
    <xf numFmtId="0" fontId="54" fillId="0" borderId="1" applyNumberFormat="0" applyFill="0" applyBorder="0" applyAlignment="0" applyProtection="0"/>
    <xf numFmtId="0" fontId="54" fillId="0" borderId="1" applyNumberFormat="0" applyFill="0" applyBorder="0" applyAlignment="0" applyProtection="0"/>
    <xf numFmtId="0" fontId="54" fillId="0" borderId="1" applyNumberFormat="0" applyFill="0" applyBorder="0" applyAlignment="0" applyProtection="0"/>
    <xf numFmtId="0" fontId="179" fillId="0" borderId="1" applyNumberFormat="0" applyFill="0" applyBorder="0" applyAlignment="0" applyProtection="0"/>
    <xf numFmtId="0" fontId="84" fillId="73" borderId="1" applyNumberFormat="0" applyBorder="0" applyAlignment="0" applyProtection="0"/>
    <xf numFmtId="0" fontId="84" fillId="74" borderId="1" applyNumberFormat="0" applyBorder="0" applyAlignment="0" applyProtection="0"/>
    <xf numFmtId="0" fontId="84" fillId="75" borderId="1" applyNumberFormat="0" applyBorder="0" applyAlignment="0" applyProtection="0"/>
    <xf numFmtId="0" fontId="84" fillId="56" borderId="1" applyNumberFormat="0" applyBorder="0" applyAlignment="0" applyProtection="0"/>
    <xf numFmtId="0" fontId="84" fillId="39" borderId="1" applyNumberFormat="0" applyBorder="0" applyAlignment="0" applyProtection="0"/>
    <xf numFmtId="0" fontId="84" fillId="76" borderId="1" applyNumberFormat="0" applyBorder="0" applyAlignment="0" applyProtection="0"/>
    <xf numFmtId="0" fontId="84" fillId="73" borderId="1" applyNumberFormat="0" applyBorder="0" applyAlignment="0" applyProtection="0"/>
    <xf numFmtId="0" fontId="84" fillId="73" borderId="1" applyNumberFormat="0" applyBorder="0" applyAlignment="0" applyProtection="0"/>
    <xf numFmtId="0" fontId="84" fillId="73" borderId="1" applyNumberFormat="0" applyBorder="0" applyAlignment="0" applyProtection="0"/>
    <xf numFmtId="0" fontId="84" fillId="73" borderId="1" applyNumberFormat="0" applyBorder="0" applyAlignment="0" applyProtection="0"/>
    <xf numFmtId="0" fontId="84" fillId="73" borderId="1" applyNumberFormat="0" applyBorder="0" applyAlignment="0" applyProtection="0"/>
    <xf numFmtId="0" fontId="84" fillId="73" borderId="1" applyNumberFormat="0" applyBorder="0" applyAlignment="0" applyProtection="0"/>
    <xf numFmtId="0" fontId="84" fillId="73" borderId="1" applyNumberFormat="0" applyBorder="0" applyAlignment="0" applyProtection="0"/>
    <xf numFmtId="0" fontId="84" fillId="73" borderId="1" applyNumberFormat="0" applyBorder="0" applyAlignment="0" applyProtection="0"/>
    <xf numFmtId="0" fontId="84" fillId="73" borderId="1" applyNumberFormat="0" applyBorder="0" applyAlignment="0" applyProtection="0"/>
    <xf numFmtId="0" fontId="84" fillId="73" borderId="1" applyNumberFormat="0" applyBorder="0" applyAlignment="0" applyProtection="0"/>
    <xf numFmtId="0" fontId="47" fillId="14" borderId="1" applyNumberFormat="0" applyBorder="0" applyAlignment="0" applyProtection="0"/>
    <xf numFmtId="0" fontId="47" fillId="14" borderId="1" applyNumberFormat="0" applyBorder="0" applyAlignment="0" applyProtection="0"/>
    <xf numFmtId="0" fontId="47" fillId="14" borderId="1" applyNumberFormat="0" applyBorder="0" applyAlignment="0" applyProtection="0"/>
    <xf numFmtId="0" fontId="47" fillId="14" borderId="1" applyNumberFormat="0" applyBorder="0" applyAlignment="0" applyProtection="0"/>
    <xf numFmtId="0" fontId="84" fillId="54" borderId="1" applyNumberFormat="0" applyBorder="0" applyAlignment="0" applyProtection="0"/>
    <xf numFmtId="0" fontId="84" fillId="74" borderId="1" applyNumberFormat="0" applyBorder="0" applyAlignment="0" applyProtection="0"/>
    <xf numFmtId="0" fontId="84" fillId="74" borderId="1" applyNumberFormat="0" applyBorder="0" applyAlignment="0" applyProtection="0"/>
    <xf numFmtId="0" fontId="84" fillId="74" borderId="1" applyNumberFormat="0" applyBorder="0" applyAlignment="0" applyProtection="0"/>
    <xf numFmtId="0" fontId="84" fillId="74" borderId="1" applyNumberFormat="0" applyBorder="0" applyAlignment="0" applyProtection="0"/>
    <xf numFmtId="0" fontId="84" fillId="74" borderId="1" applyNumberFormat="0" applyBorder="0" applyAlignment="0" applyProtection="0"/>
    <xf numFmtId="0" fontId="84" fillId="74" borderId="1" applyNumberFormat="0" applyBorder="0" applyAlignment="0" applyProtection="0"/>
    <xf numFmtId="0" fontId="84" fillId="74" borderId="1" applyNumberFormat="0" applyBorder="0" applyAlignment="0" applyProtection="0"/>
    <xf numFmtId="0" fontId="84" fillId="74" borderId="1" applyNumberFormat="0" applyBorder="0" applyAlignment="0" applyProtection="0"/>
    <xf numFmtId="0" fontId="84" fillId="74" borderId="1" applyNumberFormat="0" applyBorder="0" applyAlignment="0" applyProtection="0"/>
    <xf numFmtId="0" fontId="84" fillId="74" borderId="1" applyNumberFormat="0" applyBorder="0" applyAlignment="0" applyProtection="0"/>
    <xf numFmtId="0" fontId="47" fillId="18" borderId="1" applyNumberFormat="0" applyBorder="0" applyAlignment="0" applyProtection="0"/>
    <xf numFmtId="0" fontId="47" fillId="18" borderId="1" applyNumberFormat="0" applyBorder="0" applyAlignment="0" applyProtection="0"/>
    <xf numFmtId="0" fontId="47" fillId="18" borderId="1" applyNumberFormat="0" applyBorder="0" applyAlignment="0" applyProtection="0"/>
    <xf numFmtId="0" fontId="47" fillId="18" borderId="1" applyNumberFormat="0" applyBorder="0" applyAlignment="0" applyProtection="0"/>
    <xf numFmtId="0" fontId="84" fillId="54" borderId="1" applyNumberFormat="0" applyBorder="0" applyAlignment="0" applyProtection="0"/>
    <xf numFmtId="0" fontId="84" fillId="75" borderId="1" applyNumberFormat="0" applyBorder="0" applyAlignment="0" applyProtection="0"/>
    <xf numFmtId="0" fontId="84" fillId="75" borderId="1" applyNumberFormat="0" applyBorder="0" applyAlignment="0" applyProtection="0"/>
    <xf numFmtId="0" fontId="84" fillId="75" borderId="1" applyNumberFormat="0" applyBorder="0" applyAlignment="0" applyProtection="0"/>
    <xf numFmtId="0" fontId="84" fillId="75" borderId="1" applyNumberFormat="0" applyBorder="0" applyAlignment="0" applyProtection="0"/>
    <xf numFmtId="0" fontId="84" fillId="75" borderId="1" applyNumberFormat="0" applyBorder="0" applyAlignment="0" applyProtection="0"/>
    <xf numFmtId="0" fontId="84" fillId="75" borderId="1" applyNumberFormat="0" applyBorder="0" applyAlignment="0" applyProtection="0"/>
    <xf numFmtId="0" fontId="84" fillId="75" borderId="1" applyNumberFormat="0" applyBorder="0" applyAlignment="0" applyProtection="0"/>
    <xf numFmtId="0" fontId="84" fillId="75" borderId="1" applyNumberFormat="0" applyBorder="0" applyAlignment="0" applyProtection="0"/>
    <xf numFmtId="0" fontId="84" fillId="75" borderId="1" applyNumberFormat="0" applyBorder="0" applyAlignment="0" applyProtection="0"/>
    <xf numFmtId="0" fontId="84" fillId="75" borderId="1" applyNumberFormat="0" applyBorder="0" applyAlignment="0" applyProtection="0"/>
    <xf numFmtId="0" fontId="47" fillId="22" borderId="1" applyNumberFormat="0" applyBorder="0" applyAlignment="0" applyProtection="0"/>
    <xf numFmtId="0" fontId="47" fillId="22" borderId="1" applyNumberFormat="0" applyBorder="0" applyAlignment="0" applyProtection="0"/>
    <xf numFmtId="0" fontId="47" fillId="22" borderId="1" applyNumberFormat="0" applyBorder="0" applyAlignment="0" applyProtection="0"/>
    <xf numFmtId="0" fontId="47" fillId="22" borderId="1" applyNumberFormat="0" applyBorder="0" applyAlignment="0" applyProtection="0"/>
    <xf numFmtId="0" fontId="84" fillId="39" borderId="1" applyNumberFormat="0" applyBorder="0" applyAlignment="0" applyProtection="0"/>
    <xf numFmtId="0" fontId="84" fillId="56" borderId="1" applyNumberFormat="0" applyBorder="0" applyAlignment="0" applyProtection="0"/>
    <xf numFmtId="0" fontId="84" fillId="56" borderId="1" applyNumberFormat="0" applyBorder="0" applyAlignment="0" applyProtection="0"/>
    <xf numFmtId="0" fontId="84" fillId="56" borderId="1" applyNumberFormat="0" applyBorder="0" applyAlignment="0" applyProtection="0"/>
    <xf numFmtId="0" fontId="84" fillId="56" borderId="1" applyNumberFormat="0" applyBorder="0" applyAlignment="0" applyProtection="0"/>
    <xf numFmtId="0" fontId="84" fillId="56" borderId="1" applyNumberFormat="0" applyBorder="0" applyAlignment="0" applyProtection="0"/>
    <xf numFmtId="0" fontId="84" fillId="56" borderId="1" applyNumberFormat="0" applyBorder="0" applyAlignment="0" applyProtection="0"/>
    <xf numFmtId="0" fontId="84" fillId="56" borderId="1" applyNumberFormat="0" applyBorder="0" applyAlignment="0" applyProtection="0"/>
    <xf numFmtId="0" fontId="84" fillId="56" borderId="1" applyNumberFormat="0" applyBorder="0" applyAlignment="0" applyProtection="0"/>
    <xf numFmtId="0" fontId="84" fillId="56" borderId="1" applyNumberFormat="0" applyBorder="0" applyAlignment="0" applyProtection="0"/>
    <xf numFmtId="0" fontId="84" fillId="56" borderId="1" applyNumberFormat="0" applyBorder="0" applyAlignment="0" applyProtection="0"/>
    <xf numFmtId="0" fontId="47" fillId="26" borderId="1" applyNumberFormat="0" applyBorder="0" applyAlignment="0" applyProtection="0"/>
    <xf numFmtId="0" fontId="47" fillId="26" borderId="1" applyNumberFormat="0" applyBorder="0" applyAlignment="0" applyProtection="0"/>
    <xf numFmtId="0" fontId="47" fillId="26" borderId="1" applyNumberFormat="0" applyBorder="0" applyAlignment="0" applyProtection="0"/>
    <xf numFmtId="0" fontId="47" fillId="26" borderId="1" applyNumberFormat="0" applyBorder="0" applyAlignment="0" applyProtection="0"/>
    <xf numFmtId="0" fontId="84" fillId="138" borderId="1" applyNumberFormat="0" applyBorder="0" applyAlignment="0" applyProtection="0"/>
    <xf numFmtId="0" fontId="84" fillId="39" borderId="1" applyNumberFormat="0" applyBorder="0" applyAlignment="0" applyProtection="0"/>
    <xf numFmtId="0" fontId="84" fillId="39" borderId="1" applyNumberFormat="0" applyBorder="0" applyAlignment="0" applyProtection="0"/>
    <xf numFmtId="0" fontId="84" fillId="39" borderId="1" applyNumberFormat="0" applyBorder="0" applyAlignment="0" applyProtection="0"/>
    <xf numFmtId="0" fontId="84" fillId="39" borderId="1" applyNumberFormat="0" applyBorder="0" applyAlignment="0" applyProtection="0"/>
    <xf numFmtId="0" fontId="84" fillId="39" borderId="1" applyNumberFormat="0" applyBorder="0" applyAlignment="0" applyProtection="0"/>
    <xf numFmtId="0" fontId="84" fillId="39" borderId="1" applyNumberFormat="0" applyBorder="0" applyAlignment="0" applyProtection="0"/>
    <xf numFmtId="0" fontId="84" fillId="39" borderId="1" applyNumberFormat="0" applyBorder="0" applyAlignment="0" applyProtection="0"/>
    <xf numFmtId="0" fontId="84" fillId="39" borderId="1" applyNumberFormat="0" applyBorder="0" applyAlignment="0" applyProtection="0"/>
    <xf numFmtId="0" fontId="84" fillId="39" borderId="1" applyNumberFormat="0" applyBorder="0" applyAlignment="0" applyProtection="0"/>
    <xf numFmtId="0" fontId="84" fillId="39" borderId="1" applyNumberFormat="0" applyBorder="0" applyAlignment="0" applyProtection="0"/>
    <xf numFmtId="0" fontId="47" fillId="30" borderId="1" applyNumberFormat="0" applyBorder="0" applyAlignment="0" applyProtection="0"/>
    <xf numFmtId="0" fontId="47" fillId="30" borderId="1" applyNumberFormat="0" applyBorder="0" applyAlignment="0" applyProtection="0"/>
    <xf numFmtId="0" fontId="47" fillId="30" borderId="1" applyNumberFormat="0" applyBorder="0" applyAlignment="0" applyProtection="0"/>
    <xf numFmtId="0" fontId="47" fillId="30" borderId="1" applyNumberFormat="0" applyBorder="0" applyAlignment="0" applyProtection="0"/>
    <xf numFmtId="0" fontId="84" fillId="138" borderId="1" applyNumberFormat="0" applyBorder="0" applyAlignment="0" applyProtection="0"/>
    <xf numFmtId="0" fontId="84" fillId="76" borderId="1" applyNumberFormat="0" applyBorder="0" applyAlignment="0" applyProtection="0"/>
    <xf numFmtId="0" fontId="84" fillId="76" borderId="1" applyNumberFormat="0" applyBorder="0" applyAlignment="0" applyProtection="0"/>
    <xf numFmtId="0" fontId="84" fillId="76" borderId="1" applyNumberFormat="0" applyBorder="0" applyAlignment="0" applyProtection="0"/>
    <xf numFmtId="0" fontId="84" fillId="76" borderId="1" applyNumberFormat="0" applyBorder="0" applyAlignment="0" applyProtection="0"/>
    <xf numFmtId="0" fontId="84" fillId="76" borderId="1" applyNumberFormat="0" applyBorder="0" applyAlignment="0" applyProtection="0"/>
    <xf numFmtId="0" fontId="84" fillId="76" borderId="1" applyNumberFormat="0" applyBorder="0" applyAlignment="0" applyProtection="0"/>
    <xf numFmtId="0" fontId="84" fillId="76" borderId="1" applyNumberFormat="0" applyBorder="0" applyAlignment="0" applyProtection="0"/>
    <xf numFmtId="0" fontId="84" fillId="76" borderId="1" applyNumberFormat="0" applyBorder="0" applyAlignment="0" applyProtection="0"/>
    <xf numFmtId="0" fontId="84" fillId="76" borderId="1" applyNumberFormat="0" applyBorder="0" applyAlignment="0" applyProtection="0"/>
    <xf numFmtId="0" fontId="84" fillId="76" borderId="1" applyNumberFormat="0" applyBorder="0" applyAlignment="0" applyProtection="0"/>
    <xf numFmtId="0" fontId="47" fillId="34" borderId="1" applyNumberFormat="0" applyBorder="0" applyAlignment="0" applyProtection="0"/>
    <xf numFmtId="0" fontId="47" fillId="34" borderId="1" applyNumberFormat="0" applyBorder="0" applyAlignment="0" applyProtection="0"/>
    <xf numFmtId="0" fontId="47" fillId="34" borderId="1" applyNumberFormat="0" applyBorder="0" applyAlignment="0" applyProtection="0"/>
    <xf numFmtId="0" fontId="47" fillId="34" borderId="1" applyNumberFormat="0" applyBorder="0" applyAlignment="0" applyProtection="0"/>
    <xf numFmtId="0" fontId="84" fillId="46" borderId="1" applyNumberFormat="0" applyBorder="0" applyAlignment="0" applyProtection="0"/>
    <xf numFmtId="0" fontId="94" fillId="71" borderId="85" applyNumberFormat="0" applyAlignment="0" applyProtection="0"/>
    <xf numFmtId="0" fontId="177" fillId="50" borderId="98" applyNumberFormat="0" applyAlignment="0" applyProtection="0"/>
    <xf numFmtId="0" fontId="94" fillId="71" borderId="85" applyNumberFormat="0" applyAlignment="0" applyProtection="0"/>
    <xf numFmtId="0" fontId="177" fillId="50" borderId="98" applyNumberFormat="0" applyAlignment="0" applyProtection="0"/>
    <xf numFmtId="0" fontId="177" fillId="50" borderId="98" applyNumberFormat="0" applyAlignment="0" applyProtection="0"/>
    <xf numFmtId="0" fontId="177" fillId="50" borderId="98" applyNumberFormat="0" applyAlignment="0" applyProtection="0"/>
    <xf numFmtId="0" fontId="177" fillId="50" borderId="98" applyNumberFormat="0" applyAlignment="0" applyProtection="0"/>
    <xf numFmtId="0" fontId="177" fillId="50" borderId="98" applyNumberFormat="0" applyAlignment="0" applyProtection="0"/>
    <xf numFmtId="0" fontId="177" fillId="50" borderId="98" applyNumberFormat="0" applyAlignment="0" applyProtection="0"/>
    <xf numFmtId="0" fontId="177" fillId="50" borderId="98" applyNumberFormat="0" applyAlignment="0" applyProtection="0"/>
    <xf numFmtId="0" fontId="177" fillId="50" borderId="98" applyNumberFormat="0" applyAlignment="0" applyProtection="0"/>
    <xf numFmtId="0" fontId="58" fillId="10" borderId="79" applyNumberFormat="0" applyAlignment="0" applyProtection="0"/>
    <xf numFmtId="0" fontId="58" fillId="10" borderId="79" applyNumberFormat="0" applyAlignment="0" applyProtection="0"/>
    <xf numFmtId="0" fontId="58" fillId="10" borderId="79" applyNumberFormat="0" applyAlignment="0" applyProtection="0"/>
    <xf numFmtId="0" fontId="58" fillId="10" borderId="79" applyNumberFormat="0" applyAlignment="0" applyProtection="0"/>
    <xf numFmtId="0" fontId="177" fillId="88" borderId="98" applyNumberFormat="0" applyAlignment="0" applyProtection="0"/>
    <xf numFmtId="0" fontId="177" fillId="50" borderId="98" applyNumberFormat="0" applyAlignment="0" applyProtection="0"/>
    <xf numFmtId="0" fontId="92" fillId="0" borderId="129" applyNumberFormat="0" applyFill="0" applyAlignment="0" applyProtection="0"/>
    <xf numFmtId="0" fontId="180" fillId="0" borderId="1" applyNumberFormat="0" applyFill="0" applyBorder="0" applyAlignment="0" applyProtection="0"/>
    <xf numFmtId="3" fontId="88" fillId="0" borderId="1"/>
    <xf numFmtId="0" fontId="88" fillId="0" borderId="1"/>
    <xf numFmtId="0" fontId="159" fillId="0" borderId="1">
      <alignment vertical="top"/>
    </xf>
    <xf numFmtId="0" fontId="88" fillId="0" borderId="1"/>
    <xf numFmtId="0" fontId="88" fillId="0" borderId="1"/>
    <xf numFmtId="0" fontId="159" fillId="0" borderId="1">
      <alignment vertical="top"/>
    </xf>
    <xf numFmtId="0" fontId="88" fillId="0" borderId="1"/>
    <xf numFmtId="192" fontId="88" fillId="0" borderId="1" applyFont="0" applyFill="0" applyBorder="0" applyAlignment="0" applyProtection="0"/>
    <xf numFmtId="193" fontId="88" fillId="0" borderId="1" applyFont="0" applyFill="0" applyBorder="0" applyAlignment="0" applyProtection="0"/>
    <xf numFmtId="192" fontId="88" fillId="0" borderId="1" applyFont="0" applyFill="0" applyBorder="0" applyAlignment="0" applyProtection="0"/>
    <xf numFmtId="192" fontId="88" fillId="0" borderId="1" applyFont="0" applyFill="0" applyBorder="0" applyAlignment="0" applyProtection="0"/>
    <xf numFmtId="192" fontId="88" fillId="0" borderId="1" applyFont="0" applyFill="0" applyBorder="0" applyAlignment="0" applyProtection="0"/>
    <xf numFmtId="192" fontId="88" fillId="0" borderId="1" applyFont="0" applyFill="0" applyBorder="0" applyAlignment="0" applyProtection="0"/>
    <xf numFmtId="192" fontId="88" fillId="0" borderId="1" applyFont="0" applyFill="0" applyBorder="0" applyAlignment="0" applyProtection="0"/>
    <xf numFmtId="192" fontId="88" fillId="0" borderId="1" applyFont="0" applyFill="0" applyBorder="0" applyAlignment="0" applyProtection="0"/>
    <xf numFmtId="192" fontId="88" fillId="0" borderId="1" applyFont="0" applyFill="0" applyBorder="0" applyAlignment="0" applyProtection="0"/>
    <xf numFmtId="192" fontId="88" fillId="0" borderId="1" applyFont="0" applyFill="0" applyBorder="0" applyAlignment="0" applyProtection="0"/>
    <xf numFmtId="192" fontId="88" fillId="0" borderId="1" applyFont="0" applyFill="0" applyBorder="0" applyAlignment="0" applyProtection="0"/>
    <xf numFmtId="192" fontId="88" fillId="0" borderId="1" applyFont="0" applyFill="0" applyBorder="0" applyAlignment="0" applyProtection="0"/>
    <xf numFmtId="192" fontId="88" fillId="0" borderId="1" applyFont="0" applyFill="0" applyBorder="0" applyAlignment="0" applyProtection="0"/>
    <xf numFmtId="192" fontId="88" fillId="0" borderId="1" applyFont="0" applyFill="0" applyBorder="0" applyAlignment="0" applyProtection="0"/>
    <xf numFmtId="192" fontId="88" fillId="0" borderId="1" applyFont="0" applyFill="0" applyBorder="0" applyAlignment="0" applyProtection="0"/>
    <xf numFmtId="192" fontId="88" fillId="0" borderId="1" applyFont="0" applyFill="0" applyBorder="0" applyAlignment="0" applyProtection="0"/>
    <xf numFmtId="192" fontId="88" fillId="0" borderId="1" applyFont="0" applyFill="0" applyBorder="0" applyAlignment="0" applyProtection="0"/>
    <xf numFmtId="192" fontId="88" fillId="0" borderId="1" applyFont="0" applyFill="0" applyBorder="0" applyAlignment="0" applyProtection="0"/>
    <xf numFmtId="192" fontId="88" fillId="0" borderId="1" applyFont="0" applyFill="0" applyBorder="0" applyAlignment="0" applyProtection="0"/>
    <xf numFmtId="192" fontId="88" fillId="0" borderId="1" applyFont="0" applyFill="0" applyBorder="0" applyAlignment="0" applyProtection="0"/>
    <xf numFmtId="192" fontId="88" fillId="0" borderId="1" applyFont="0" applyFill="0" applyBorder="0" applyAlignment="0" applyProtection="0"/>
    <xf numFmtId="192" fontId="88" fillId="0" borderId="1" applyFont="0" applyFill="0" applyBorder="0" applyAlignment="0" applyProtection="0"/>
    <xf numFmtId="192" fontId="88" fillId="0" borderId="1" applyFont="0" applyFill="0" applyBorder="0" applyAlignment="0" applyProtection="0"/>
    <xf numFmtId="192" fontId="88" fillId="0" borderId="1" applyFont="0" applyFill="0" applyBorder="0" applyAlignment="0" applyProtection="0"/>
    <xf numFmtId="192" fontId="88" fillId="0" borderId="1" applyFont="0" applyFill="0" applyBorder="0" applyAlignment="0" applyProtection="0"/>
    <xf numFmtId="192" fontId="88" fillId="0" borderId="1" applyFont="0" applyFill="0" applyBorder="0" applyAlignment="0" applyProtection="0"/>
    <xf numFmtId="192" fontId="88" fillId="0" borderId="1" applyFont="0" applyFill="0" applyBorder="0" applyAlignment="0" applyProtection="0"/>
    <xf numFmtId="192" fontId="88" fillId="0" borderId="1" applyFont="0" applyFill="0" applyBorder="0" applyAlignment="0" applyProtection="0"/>
    <xf numFmtId="192" fontId="88" fillId="0" borderId="1" applyFont="0" applyFill="0" applyBorder="0" applyAlignment="0" applyProtection="0"/>
    <xf numFmtId="192" fontId="88" fillId="0" borderId="1" applyFont="0" applyFill="0" applyBorder="0" applyAlignment="0" applyProtection="0"/>
    <xf numFmtId="192" fontId="88" fillId="0" borderId="1" applyFont="0" applyFill="0" applyBorder="0" applyAlignment="0" applyProtection="0"/>
    <xf numFmtId="192" fontId="88" fillId="0" borderId="1" applyFont="0" applyFill="0" applyBorder="0" applyAlignment="0" applyProtection="0"/>
    <xf numFmtId="192" fontId="88" fillId="0" borderId="1" applyFont="0" applyFill="0" applyBorder="0" applyAlignment="0" applyProtection="0"/>
    <xf numFmtId="192" fontId="88" fillId="0" borderId="1" applyFont="0" applyFill="0" applyBorder="0" applyAlignment="0" applyProtection="0"/>
    <xf numFmtId="192" fontId="88" fillId="0" borderId="1" applyFont="0" applyFill="0" applyBorder="0" applyAlignment="0" applyProtection="0"/>
    <xf numFmtId="192" fontId="88" fillId="0" borderId="1" applyFont="0" applyFill="0" applyBorder="0" applyAlignment="0" applyProtection="0"/>
    <xf numFmtId="192" fontId="88" fillId="0" borderId="1" applyFont="0" applyFill="0" applyBorder="0" applyAlignment="0" applyProtection="0"/>
    <xf numFmtId="192" fontId="88" fillId="0" borderId="1" applyFont="0" applyFill="0" applyBorder="0" applyAlignment="0" applyProtection="0"/>
    <xf numFmtId="192" fontId="88" fillId="0" borderId="1" applyFont="0" applyFill="0" applyBorder="0" applyAlignment="0" applyProtection="0"/>
    <xf numFmtId="192" fontId="88" fillId="0" borderId="1" applyFont="0" applyFill="0" applyBorder="0" applyAlignment="0" applyProtection="0"/>
    <xf numFmtId="192" fontId="88" fillId="0" borderId="1" applyFont="0" applyFill="0" applyBorder="0" applyAlignment="0" applyProtection="0"/>
    <xf numFmtId="192" fontId="88" fillId="0" borderId="1" applyFont="0" applyFill="0" applyBorder="0" applyAlignment="0" applyProtection="0"/>
    <xf numFmtId="192" fontId="88" fillId="0" borderId="1" applyFont="0" applyFill="0" applyBorder="0" applyAlignment="0" applyProtection="0"/>
    <xf numFmtId="192" fontId="88" fillId="0" borderId="1" applyFont="0" applyFill="0" applyBorder="0" applyAlignment="0" applyProtection="0"/>
    <xf numFmtId="192" fontId="88" fillId="0" borderId="1" applyFont="0" applyFill="0" applyBorder="0" applyAlignment="0" applyProtection="0"/>
    <xf numFmtId="192" fontId="88" fillId="0" borderId="1" applyFont="0" applyFill="0" applyBorder="0" applyAlignment="0" applyProtection="0"/>
    <xf numFmtId="192" fontId="88" fillId="0" borderId="1" applyFont="0" applyFill="0" applyBorder="0" applyAlignment="0" applyProtection="0"/>
    <xf numFmtId="192" fontId="88" fillId="0" borderId="1" applyFont="0" applyFill="0" applyBorder="0" applyAlignment="0" applyProtection="0"/>
    <xf numFmtId="192" fontId="88" fillId="0" borderId="1" applyFont="0" applyFill="0" applyBorder="0" applyAlignment="0" applyProtection="0"/>
    <xf numFmtId="192" fontId="88" fillId="0" borderId="1" applyFont="0" applyFill="0" applyBorder="0" applyAlignment="0" applyProtection="0"/>
    <xf numFmtId="193" fontId="88" fillId="0" borderId="1" applyFont="0" applyFill="0" applyBorder="0" applyAlignment="0" applyProtection="0"/>
    <xf numFmtId="194" fontId="88" fillId="0" borderId="1" applyFont="0" applyFill="0" applyBorder="0" applyAlignment="0" applyProtection="0"/>
    <xf numFmtId="193" fontId="88" fillId="0" borderId="1" applyFont="0" applyFill="0" applyBorder="0" applyAlignment="0" applyProtection="0"/>
    <xf numFmtId="192" fontId="88" fillId="0" borderId="1" applyFont="0" applyFill="0" applyBorder="0" applyAlignment="0" applyProtection="0"/>
    <xf numFmtId="193" fontId="88" fillId="0" borderId="1" applyFont="0" applyFill="0" applyBorder="0" applyAlignment="0" applyProtection="0"/>
    <xf numFmtId="193" fontId="88" fillId="0" borderId="1" applyFont="0" applyFill="0" applyBorder="0" applyAlignment="0" applyProtection="0"/>
    <xf numFmtId="192" fontId="88" fillId="0" borderId="1" applyFont="0" applyFill="0" applyBorder="0" applyAlignment="0" applyProtection="0"/>
    <xf numFmtId="194" fontId="88" fillId="0" borderId="1" applyFont="0" applyFill="0" applyBorder="0" applyAlignment="0" applyProtection="0"/>
    <xf numFmtId="194" fontId="88" fillId="0" borderId="1" applyFont="0" applyFill="0" applyBorder="0" applyAlignment="0" applyProtection="0"/>
    <xf numFmtId="194" fontId="88" fillId="0" borderId="1" applyFont="0" applyFill="0" applyBorder="0" applyAlignment="0" applyProtection="0"/>
    <xf numFmtId="194" fontId="88" fillId="0" borderId="1" applyFont="0" applyFill="0" applyBorder="0" applyAlignment="0" applyProtection="0"/>
    <xf numFmtId="192" fontId="88" fillId="0" borderId="1" applyFont="0" applyFill="0" applyBorder="0" applyAlignment="0" applyProtection="0"/>
    <xf numFmtId="192" fontId="88" fillId="0" borderId="1" applyFont="0" applyFill="0" applyBorder="0" applyAlignment="0" applyProtection="0"/>
    <xf numFmtId="192" fontId="88" fillId="0" borderId="1" applyFont="0" applyFill="0" applyBorder="0" applyAlignment="0" applyProtection="0"/>
    <xf numFmtId="192" fontId="88" fillId="0" borderId="1" applyFont="0" applyFill="0" applyBorder="0" applyAlignment="0" applyProtection="0"/>
    <xf numFmtId="192" fontId="88" fillId="0" borderId="1" applyFont="0" applyFill="0" applyBorder="0" applyAlignment="0" applyProtection="0"/>
    <xf numFmtId="192" fontId="88" fillId="0" borderId="1" applyFont="0" applyFill="0" applyBorder="0" applyAlignment="0" applyProtection="0"/>
    <xf numFmtId="193" fontId="88" fillId="0" borderId="1" applyFont="0" applyFill="0" applyBorder="0" applyAlignment="0" applyProtection="0"/>
    <xf numFmtId="193" fontId="88" fillId="0" borderId="1" applyFont="0" applyFill="0" applyBorder="0" applyAlignment="0" applyProtection="0"/>
    <xf numFmtId="192" fontId="88" fillId="0" borderId="1" applyFont="0" applyFill="0" applyBorder="0" applyAlignment="0" applyProtection="0"/>
    <xf numFmtId="192" fontId="88" fillId="0" borderId="1" applyFont="0" applyFill="0" applyBorder="0" applyAlignment="0" applyProtection="0"/>
    <xf numFmtId="192" fontId="88" fillId="0" borderId="1" applyFont="0" applyFill="0" applyBorder="0" applyAlignment="0" applyProtection="0"/>
    <xf numFmtId="193" fontId="88" fillId="0" borderId="1" applyFont="0" applyFill="0" applyBorder="0" applyAlignment="0" applyProtection="0"/>
    <xf numFmtId="0" fontId="181" fillId="0" borderId="1" applyNumberFormat="0" applyFill="0" applyBorder="0" applyAlignment="0" applyProtection="0"/>
    <xf numFmtId="0" fontId="180" fillId="0" borderId="1" applyNumberFormat="0" applyFill="0" applyBorder="0" applyAlignment="0" applyProtection="0"/>
    <xf numFmtId="0" fontId="180" fillId="0" borderId="1" applyNumberFormat="0" applyFill="0" applyBorder="0" applyAlignment="0" applyProtection="0"/>
    <xf numFmtId="0" fontId="180" fillId="0" borderId="1" applyNumberFormat="0" applyFill="0" applyBorder="0" applyAlignment="0" applyProtection="0"/>
    <xf numFmtId="0" fontId="180" fillId="0" borderId="1" applyNumberFormat="0" applyFill="0" applyBorder="0" applyAlignment="0" applyProtection="0"/>
    <xf numFmtId="0" fontId="180" fillId="0" borderId="1" applyNumberFormat="0" applyFill="0" applyBorder="0" applyAlignment="0" applyProtection="0"/>
    <xf numFmtId="0" fontId="64" fillId="0" borderId="1" applyNumberFormat="0" applyFill="0" applyBorder="0" applyAlignment="0" applyProtection="0"/>
    <xf numFmtId="0" fontId="88" fillId="0" borderId="1">
      <protection locked="0"/>
    </xf>
    <xf numFmtId="0" fontId="88" fillId="0" borderId="1">
      <protection locked="0"/>
    </xf>
    <xf numFmtId="0" fontId="88" fillId="0" borderId="1">
      <protection locked="0"/>
    </xf>
    <xf numFmtId="0" fontId="88" fillId="0" borderId="1">
      <protection locked="0"/>
    </xf>
    <xf numFmtId="0" fontId="182" fillId="0" borderId="124" applyNumberFormat="0" applyFill="0" applyProtection="0">
      <alignment vertical="top" wrapText="1"/>
      <protection locked="0"/>
    </xf>
    <xf numFmtId="0" fontId="87" fillId="139" borderId="1" applyNumberFormat="0" applyBorder="0" applyAlignment="0" applyProtection="0"/>
    <xf numFmtId="0" fontId="83" fillId="65" borderId="1" applyNumberFormat="0" applyBorder="0" applyAlignment="0" applyProtection="0"/>
    <xf numFmtId="0" fontId="87" fillId="47" borderId="1" applyNumberFormat="0" applyBorder="0" applyAlignment="0" applyProtection="0"/>
    <xf numFmtId="0" fontId="83" fillId="65" borderId="1" applyNumberFormat="0" applyBorder="0" applyAlignment="0" applyProtection="0"/>
    <xf numFmtId="0" fontId="87" fillId="47" borderId="1" applyNumberFormat="0" applyBorder="0" applyAlignment="0" applyProtection="0"/>
    <xf numFmtId="0" fontId="87" fillId="47" borderId="1" applyNumberFormat="0" applyBorder="0" applyAlignment="0" applyProtection="0"/>
    <xf numFmtId="0" fontId="87" fillId="47" borderId="1" applyNumberFormat="0" applyBorder="0" applyAlignment="0" applyProtection="0"/>
    <xf numFmtId="0" fontId="87" fillId="47" borderId="1" applyNumberFormat="0" applyBorder="0" applyAlignment="0" applyProtection="0"/>
    <xf numFmtId="0" fontId="55" fillId="7" borderId="1" applyNumberFormat="0" applyBorder="0" applyAlignment="0" applyProtection="0"/>
    <xf numFmtId="0" fontId="87" fillId="92" borderId="1" applyNumberFormat="0" applyBorder="0" applyAlignment="0" applyProtection="0"/>
    <xf numFmtId="0" fontId="183" fillId="0" borderId="1" applyNumberFormat="0" applyFill="0" applyProtection="0">
      <alignment horizontal="center"/>
    </xf>
    <xf numFmtId="0" fontId="184" fillId="0" borderId="1"/>
    <xf numFmtId="0" fontId="185" fillId="0" borderId="1">
      <alignment horizontal="right"/>
    </xf>
    <xf numFmtId="0" fontId="184" fillId="0" borderId="127"/>
    <xf numFmtId="0" fontId="117" fillId="0" borderId="109" applyNumberFormat="0" applyFill="0" applyAlignment="0" applyProtection="0"/>
    <xf numFmtId="0" fontId="117" fillId="0" borderId="130" applyNumberFormat="0" applyFill="0" applyAlignment="0" applyProtection="0"/>
    <xf numFmtId="0" fontId="117" fillId="0" borderId="130" applyNumberFormat="0" applyFill="0" applyAlignment="0" applyProtection="0"/>
    <xf numFmtId="0" fontId="117" fillId="0" borderId="130" applyNumberFormat="0" applyFill="0" applyAlignment="0" applyProtection="0"/>
    <xf numFmtId="0" fontId="117" fillId="0" borderId="130" applyNumberFormat="0" applyFill="0" applyAlignment="0" applyProtection="0"/>
    <xf numFmtId="0" fontId="117" fillId="0" borderId="130" applyNumberFormat="0" applyFill="0" applyAlignment="0" applyProtection="0"/>
    <xf numFmtId="0" fontId="52" fillId="0" borderId="76" applyNumberFormat="0" applyFill="0" applyAlignment="0" applyProtection="0"/>
    <xf numFmtId="0" fontId="118" fillId="0" borderId="102" applyNumberFormat="0" applyFill="0" applyAlignment="0" applyProtection="0"/>
    <xf numFmtId="0" fontId="118" fillId="0" borderId="131" applyNumberFormat="0" applyFill="0" applyAlignment="0" applyProtection="0"/>
    <xf numFmtId="0" fontId="118" fillId="0" borderId="131" applyNumberFormat="0" applyFill="0" applyAlignment="0" applyProtection="0"/>
    <xf numFmtId="0" fontId="118" fillId="0" borderId="131" applyNumberFormat="0" applyFill="0" applyAlignment="0" applyProtection="0"/>
    <xf numFmtId="0" fontId="118" fillId="0" borderId="131" applyNumberFormat="0" applyFill="0" applyAlignment="0" applyProtection="0"/>
    <xf numFmtId="0" fontId="118" fillId="0" borderId="131" applyNumberFormat="0" applyFill="0" applyAlignment="0" applyProtection="0"/>
    <xf numFmtId="0" fontId="53" fillId="0" borderId="77" applyNumberFormat="0" applyFill="0" applyAlignment="0" applyProtection="0"/>
    <xf numFmtId="0" fontId="93" fillId="0" borderId="132" applyNumberFormat="0" applyFill="0" applyAlignment="0" applyProtection="0"/>
    <xf numFmtId="0" fontId="93" fillId="0" borderId="132" applyNumberFormat="0" applyFill="0" applyAlignment="0" applyProtection="0"/>
    <xf numFmtId="0" fontId="93" fillId="0" borderId="132" applyNumberFormat="0" applyFill="0" applyAlignment="0" applyProtection="0"/>
    <xf numFmtId="0" fontId="93" fillId="0" borderId="132" applyNumberFormat="0" applyFill="0" applyAlignment="0" applyProtection="0"/>
    <xf numFmtId="0" fontId="93" fillId="0" borderId="132" applyNumberFormat="0" applyFill="0" applyAlignment="0" applyProtection="0"/>
    <xf numFmtId="0" fontId="93" fillId="0" borderId="132" applyNumberFormat="0" applyFill="0" applyAlignment="0" applyProtection="0"/>
    <xf numFmtId="0" fontId="54" fillId="0" borderId="78" applyNumberFormat="0" applyFill="0" applyAlignment="0" applyProtection="0"/>
    <xf numFmtId="0" fontId="93" fillId="0" borderId="1" applyNumberFormat="0" applyFill="0" applyBorder="0" applyAlignment="0" applyProtection="0"/>
    <xf numFmtId="0" fontId="93" fillId="0" borderId="1" applyNumberFormat="0" applyFill="0" applyBorder="0" applyAlignment="0" applyProtection="0"/>
    <xf numFmtId="0" fontId="93" fillId="0" borderId="1" applyNumberFormat="0" applyFill="0" applyBorder="0" applyAlignment="0" applyProtection="0"/>
    <xf numFmtId="0" fontId="93" fillId="0" borderId="1" applyNumberFormat="0" applyFill="0" applyBorder="0" applyAlignment="0" applyProtection="0"/>
    <xf numFmtId="0" fontId="93" fillId="0" borderId="1" applyNumberFormat="0" applyFill="0" applyBorder="0" applyAlignment="0" applyProtection="0"/>
    <xf numFmtId="0" fontId="93" fillId="0" borderId="1" applyNumberFormat="0" applyFill="0" applyBorder="0" applyAlignment="0" applyProtection="0"/>
    <xf numFmtId="0" fontId="54" fillId="0" borderId="1" applyNumberFormat="0" applyFill="0" applyBorder="0" applyAlignment="0" applyProtection="0"/>
    <xf numFmtId="186" fontId="88" fillId="0" borderId="1">
      <protection locked="0"/>
    </xf>
    <xf numFmtId="186" fontId="88" fillId="0" borderId="1">
      <protection locked="0"/>
    </xf>
    <xf numFmtId="186" fontId="88" fillId="0" borderId="1">
      <protection locked="0"/>
    </xf>
    <xf numFmtId="186" fontId="88" fillId="0" borderId="1">
      <protection locked="0"/>
    </xf>
    <xf numFmtId="186" fontId="88" fillId="0" borderId="1">
      <protection locked="0"/>
    </xf>
    <xf numFmtId="186" fontId="88" fillId="0" borderId="1">
      <protection locked="0"/>
    </xf>
    <xf numFmtId="186" fontId="88" fillId="0" borderId="1">
      <protection locked="0"/>
    </xf>
    <xf numFmtId="186" fontId="88" fillId="0" borderId="1">
      <protection locked="0"/>
    </xf>
    <xf numFmtId="0" fontId="186" fillId="0" borderId="1" applyNumberFormat="0" applyFill="0" applyBorder="0" applyAlignment="0" applyProtection="0"/>
    <xf numFmtId="0" fontId="186" fillId="0" borderId="1" applyNumberFormat="0" applyFill="0" applyBorder="0" applyAlignment="0" applyProtection="0"/>
    <xf numFmtId="0" fontId="187" fillId="0" borderId="1" applyNumberFormat="0" applyFill="0" applyBorder="0" applyAlignment="0" applyProtection="0"/>
    <xf numFmtId="0" fontId="170" fillId="46" borderId="1" applyNumberFormat="0" applyBorder="0" applyAlignment="0" applyProtection="0"/>
    <xf numFmtId="0" fontId="170" fillId="46" borderId="1" applyNumberFormat="0" applyBorder="0" applyAlignment="0" applyProtection="0"/>
    <xf numFmtId="0" fontId="170" fillId="46" borderId="1" applyNumberFormat="0" applyBorder="0" applyAlignment="0" applyProtection="0"/>
    <xf numFmtId="0" fontId="170" fillId="46" borderId="1" applyNumberFormat="0" applyBorder="0" applyAlignment="0" applyProtection="0"/>
    <xf numFmtId="0" fontId="170" fillId="46" borderId="1" applyNumberFormat="0" applyBorder="0" applyAlignment="0" applyProtection="0"/>
    <xf numFmtId="0" fontId="170" fillId="46" borderId="1" applyNumberFormat="0" applyBorder="0" applyAlignment="0" applyProtection="0"/>
    <xf numFmtId="0" fontId="170" fillId="46" borderId="1" applyNumberFormat="0" applyBorder="0" applyAlignment="0" applyProtection="0"/>
    <xf numFmtId="0" fontId="170" fillId="46" borderId="1" applyNumberFormat="0" applyBorder="0" applyAlignment="0" applyProtection="0"/>
    <xf numFmtId="0" fontId="170" fillId="46" borderId="1" applyNumberFormat="0" applyBorder="0" applyAlignment="0" applyProtection="0"/>
    <xf numFmtId="0" fontId="170" fillId="46" borderId="1" applyNumberFormat="0" applyBorder="0" applyAlignment="0" applyProtection="0"/>
    <xf numFmtId="0" fontId="56" fillId="8" borderId="1" applyNumberFormat="0" applyBorder="0" applyAlignment="0" applyProtection="0"/>
    <xf numFmtId="0" fontId="56" fillId="8" borderId="1" applyNumberFormat="0" applyBorder="0" applyAlignment="0" applyProtection="0"/>
    <xf numFmtId="0" fontId="56" fillId="8" borderId="1" applyNumberFormat="0" applyBorder="0" applyAlignment="0" applyProtection="0"/>
    <xf numFmtId="0" fontId="56" fillId="8" borderId="1" applyNumberFormat="0" applyBorder="0" applyAlignment="0" applyProtection="0"/>
    <xf numFmtId="0" fontId="170" fillId="48" borderId="1" applyNumberFormat="0" applyBorder="0" applyAlignment="0" applyProtection="0"/>
    <xf numFmtId="0" fontId="170" fillId="46" borderId="1" applyNumberFormat="0" applyBorder="0" applyAlignment="0" applyProtection="0"/>
    <xf numFmtId="0" fontId="94" fillId="71" borderId="98" applyNumberFormat="0" applyAlignment="0" applyProtection="0"/>
    <xf numFmtId="0" fontId="177" fillId="50" borderId="98" applyNumberFormat="0" applyAlignment="0" applyProtection="0"/>
    <xf numFmtId="0" fontId="177" fillId="50" borderId="98" applyNumberFormat="0" applyAlignment="0" applyProtection="0"/>
    <xf numFmtId="0" fontId="177" fillId="50" borderId="98" applyNumberFormat="0" applyAlignment="0" applyProtection="0"/>
    <xf numFmtId="0" fontId="177" fillId="50" borderId="98" applyNumberFormat="0" applyAlignment="0" applyProtection="0"/>
    <xf numFmtId="0" fontId="177" fillId="50" borderId="98" applyNumberFormat="0" applyAlignment="0" applyProtection="0"/>
    <xf numFmtId="0" fontId="58" fillId="10" borderId="79" applyNumberFormat="0" applyAlignment="0" applyProtection="0"/>
    <xf numFmtId="0" fontId="170" fillId="46" borderId="1" applyNumberFormat="0" applyBorder="0" applyAlignment="0" applyProtection="0"/>
    <xf numFmtId="195" fontId="188" fillId="0" borderId="133" applyNumberFormat="0" applyBorder="0" applyAlignment="0">
      <alignment horizontal="right"/>
    </xf>
    <xf numFmtId="195" fontId="188" fillId="0" borderId="133" applyNumberFormat="0" applyBorder="0" applyAlignment="0">
      <alignment horizontal="right"/>
    </xf>
    <xf numFmtId="0" fontId="88" fillId="0" borderId="1"/>
    <xf numFmtId="0" fontId="189" fillId="0" borderId="134" applyNumberFormat="0" applyFill="0" applyAlignment="0" applyProtection="0"/>
    <xf numFmtId="0" fontId="176" fillId="0" borderId="100" applyNumberFormat="0" applyFill="0" applyAlignment="0" applyProtection="0"/>
    <xf numFmtId="0" fontId="176" fillId="0" borderId="100" applyNumberFormat="0" applyFill="0" applyAlignment="0" applyProtection="0"/>
    <xf numFmtId="0" fontId="176" fillId="0" borderId="100" applyNumberFormat="0" applyFill="0" applyAlignment="0" applyProtection="0"/>
    <xf numFmtId="0" fontId="176" fillId="0" borderId="100" applyNumberFormat="0" applyFill="0" applyAlignment="0" applyProtection="0"/>
    <xf numFmtId="0" fontId="176" fillId="0" borderId="100" applyNumberFormat="0" applyFill="0" applyAlignment="0" applyProtection="0"/>
    <xf numFmtId="0" fontId="61" fillId="0" borderId="81" applyNumberFormat="0" applyFill="0" applyAlignment="0" applyProtection="0"/>
    <xf numFmtId="41" fontId="88" fillId="0" borderId="1" applyFont="0" applyFill="0" applyBorder="0" applyAlignment="0" applyProtection="0"/>
    <xf numFmtId="41" fontId="88" fillId="0" borderId="1" applyFont="0" applyFill="0" applyBorder="0" applyAlignment="0" applyProtection="0"/>
    <xf numFmtId="41" fontId="99" fillId="0" borderId="1" applyFont="0" applyFill="0" applyBorder="0" applyAlignment="0" applyProtection="0"/>
    <xf numFmtId="191" fontId="88" fillId="0" borderId="1" applyFont="0" applyFill="0" applyBorder="0" applyAlignment="0" applyProtection="0"/>
    <xf numFmtId="191" fontId="88" fillId="0" borderId="1" applyFont="0" applyFill="0" applyBorder="0" applyAlignment="0" applyProtection="0"/>
    <xf numFmtId="191" fontId="88" fillId="0" borderId="1" applyFont="0" applyFill="0" applyBorder="0" applyAlignment="0" applyProtection="0"/>
    <xf numFmtId="196" fontId="66" fillId="0" borderId="1" applyFont="0" applyFill="0" applyBorder="0" applyAlignment="0" applyProtection="0"/>
    <xf numFmtId="191" fontId="88" fillId="0" borderId="1" applyFont="0" applyFill="0" applyBorder="0" applyAlignment="0" applyProtection="0"/>
    <xf numFmtId="197" fontId="88" fillId="0" borderId="1" applyFont="0" applyFill="0" applyBorder="0" applyAlignment="0" applyProtection="0"/>
    <xf numFmtId="41" fontId="88" fillId="0" borderId="1" applyFont="0" applyFill="0" applyBorder="0" applyAlignment="0" applyProtection="0"/>
    <xf numFmtId="41" fontId="88" fillId="0" borderId="1" applyFont="0" applyFill="0" applyBorder="0" applyAlignment="0" applyProtection="0"/>
    <xf numFmtId="41" fontId="88" fillId="0" borderId="1" applyFont="0" applyFill="0" applyBorder="0" applyAlignment="0" applyProtection="0"/>
    <xf numFmtId="41" fontId="88" fillId="0" borderId="1" applyFont="0" applyFill="0" applyBorder="0" applyAlignment="0" applyProtection="0"/>
    <xf numFmtId="41" fontId="88" fillId="0" borderId="1" applyFont="0" applyFill="0" applyBorder="0" applyAlignment="0" applyProtection="0"/>
    <xf numFmtId="41" fontId="88" fillId="0" borderId="1" applyFont="0" applyFill="0" applyBorder="0" applyAlignment="0" applyProtection="0"/>
    <xf numFmtId="41"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198" fontId="88" fillId="0" borderId="1" applyFont="0" applyFill="0" applyBorder="0" applyAlignment="0" applyProtection="0"/>
    <xf numFmtId="165" fontId="88"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83" fillId="0" borderId="1" applyFont="0" applyFill="0" applyBorder="0" applyAlignment="0" applyProtection="0"/>
    <xf numFmtId="190"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198" fontId="88"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165"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165"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165"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8"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165"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8"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83"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83"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83"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83" fillId="0" borderId="1" applyFont="0" applyFill="0" applyBorder="0" applyAlignment="0" applyProtection="0"/>
    <xf numFmtId="190"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83"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83" fillId="0" borderId="1" applyFont="0" applyFill="0" applyBorder="0" applyAlignment="0" applyProtection="0"/>
    <xf numFmtId="190"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198" fontId="88"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165"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165"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165"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8"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165"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8"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8"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165"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165"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8"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8"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190"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43" fontId="88"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8"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190"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198" fontId="88"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8" fillId="0" borderId="1" applyFont="0" applyFill="0" applyBorder="0" applyAlignment="0" applyProtection="0"/>
    <xf numFmtId="43"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165"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8"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8"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190"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43" fontId="88"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198" fontId="88"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8"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198" fontId="88"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8"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8"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198" fontId="88" fillId="0" borderId="1" applyFont="0" applyFill="0" applyBorder="0" applyAlignment="0" applyProtection="0"/>
    <xf numFmtId="43" fontId="83"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190" fontId="88" fillId="0" borderId="1" applyFont="0" applyFill="0" applyBorder="0" applyAlignment="0" applyProtection="0"/>
    <xf numFmtId="190" fontId="88"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43" fontId="1" fillId="0" borderId="1" applyFont="0" applyFill="0" applyBorder="0" applyAlignment="0" applyProtection="0"/>
    <xf numFmtId="43" fontId="88" fillId="0" borderId="1" applyFont="0" applyFill="0" applyBorder="0" applyAlignment="0" applyProtection="0"/>
    <xf numFmtId="165"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5" fontId="88" fillId="0" borderId="1" applyFont="0" applyFill="0" applyBorder="0" applyAlignment="0" applyProtection="0">
      <alignment wrapText="1"/>
    </xf>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8" fillId="0" borderId="1" applyFont="0" applyFill="0" applyBorder="0" applyAlignment="0" applyProtection="0"/>
    <xf numFmtId="198" fontId="88" fillId="0" borderId="1" applyFont="0" applyFill="0" applyBorder="0" applyAlignment="0" applyProtection="0"/>
    <xf numFmtId="165" fontId="88" fillId="0" borderId="1" applyFont="0" applyFill="0" applyBorder="0" applyAlignment="0" applyProtection="0"/>
    <xf numFmtId="198" fontId="88" fillId="0" borderId="1" applyFont="0" applyFill="0" applyBorder="0" applyAlignment="0" applyProtection="0"/>
    <xf numFmtId="5" fontId="88" fillId="0" borderId="1" applyFont="0" applyFill="0" applyBorder="0" applyAlignment="0" applyProtection="0">
      <alignment wrapText="1"/>
    </xf>
    <xf numFmtId="198" fontId="88"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43" fontId="88"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43" fontId="88"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43" fontId="88"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190" fontId="88" fillId="0" borderId="1" applyFont="0" applyFill="0" applyBorder="0" applyAlignment="0" applyProtection="0"/>
    <xf numFmtId="43" fontId="88" fillId="0" borderId="1" applyFont="0" applyFill="0" applyBorder="0" applyAlignment="0" applyProtection="0"/>
    <xf numFmtId="43" fontId="83" fillId="0" borderId="1" applyFont="0" applyFill="0" applyBorder="0" applyAlignment="0" applyProtection="0"/>
    <xf numFmtId="43" fontId="88" fillId="0" borderId="1" applyFont="0" applyFill="0" applyBorder="0" applyAlignment="0" applyProtection="0"/>
    <xf numFmtId="190" fontId="88"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190" fontId="88" fillId="0" borderId="1" applyFont="0" applyFill="0" applyBorder="0" applyAlignment="0" applyProtection="0"/>
    <xf numFmtId="5" fontId="88" fillId="0" borderId="1" applyFont="0" applyFill="0" applyBorder="0" applyAlignment="0" applyProtection="0">
      <alignment wrapText="1"/>
    </xf>
    <xf numFmtId="43" fontId="88" fillId="0" borderId="1" applyFont="0" applyFill="0" applyBorder="0" applyAlignment="0" applyProtection="0"/>
    <xf numFmtId="43" fontId="88" fillId="0" borderId="1" applyFont="0" applyFill="0" applyBorder="0" applyAlignment="0" applyProtection="0"/>
    <xf numFmtId="199" fontId="66" fillId="0" borderId="1" applyFont="0" applyFill="0" applyBorder="0" applyAlignment="0" applyProtection="0"/>
    <xf numFmtId="185" fontId="88" fillId="0" borderId="1" applyFont="0" applyFill="0" applyBorder="0" applyAlignment="0" applyProtection="0"/>
    <xf numFmtId="185" fontId="88" fillId="0" borderId="1" applyFont="0" applyFill="0" applyBorder="0" applyAlignment="0" applyProtection="0"/>
    <xf numFmtId="185" fontId="88" fillId="0" borderId="1" applyFont="0" applyFill="0" applyBorder="0" applyAlignment="0" applyProtection="0"/>
    <xf numFmtId="5" fontId="88" fillId="0" borderId="1" applyFont="0" applyFill="0" applyBorder="0" applyAlignment="0" applyProtection="0">
      <alignment wrapText="1"/>
    </xf>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199" fontId="66" fillId="0" borderId="1" applyFont="0" applyFill="0" applyBorder="0" applyAlignment="0" applyProtection="0"/>
    <xf numFmtId="199" fontId="66" fillId="0" borderId="1" applyFont="0" applyFill="0" applyBorder="0" applyAlignment="0" applyProtection="0"/>
    <xf numFmtId="199" fontId="66"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185" fontId="88" fillId="0" borderId="1" applyFont="0" applyFill="0" applyBorder="0" applyAlignment="0" applyProtection="0"/>
    <xf numFmtId="185" fontId="88" fillId="0" borderId="1" applyFont="0" applyFill="0" applyBorder="0" applyAlignment="0" applyProtection="0"/>
    <xf numFmtId="185"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165"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165"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8" fillId="0" borderId="1" applyFont="0" applyFill="0" applyBorder="0" applyAlignment="0" applyProtection="0"/>
    <xf numFmtId="198" fontId="88" fillId="0" borderId="1" applyFont="0" applyFill="0" applyBorder="0" applyAlignment="0" applyProtection="0"/>
    <xf numFmtId="43" fontId="83" fillId="0" borderId="1" applyFont="0" applyFill="0" applyBorder="0" applyAlignment="0" applyProtection="0"/>
    <xf numFmtId="43" fontId="88" fillId="0" borderId="1" applyFont="0" applyFill="0" applyBorder="0" applyAlignment="0" applyProtection="0"/>
    <xf numFmtId="198" fontId="88"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198" fontId="88"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198" fontId="88"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8" fillId="0" borderId="1" applyFont="0" applyFill="0" applyBorder="0" applyAlignment="0" applyProtection="0"/>
    <xf numFmtId="198"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198" fontId="88" fillId="0" borderId="1" applyFont="0" applyFill="0" applyBorder="0" applyAlignment="0" applyProtection="0"/>
    <xf numFmtId="43" fontId="88" fillId="0" borderId="1" applyFont="0" applyFill="0" applyBorder="0" applyAlignment="0" applyProtection="0"/>
    <xf numFmtId="198" fontId="88" fillId="0" borderId="1" applyFont="0" applyFill="0" applyBorder="0" applyAlignment="0" applyProtection="0"/>
    <xf numFmtId="198" fontId="88"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83" fillId="0" borderId="1" applyFont="0" applyFill="0" applyBorder="0" applyAlignment="0" applyProtection="0"/>
    <xf numFmtId="190" fontId="1" fillId="0" borderId="1" applyFont="0" applyFill="0" applyBorder="0" applyAlignment="0" applyProtection="0"/>
    <xf numFmtId="43" fontId="99"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200"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198" fontId="190" fillId="0" borderId="1" applyFont="0" applyFill="0" applyBorder="0" applyAlignment="0" applyProtection="0"/>
    <xf numFmtId="43" fontId="88"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190" fontId="88" fillId="0" borderId="1" applyFont="0" applyFill="0" applyBorder="0" applyAlignment="0" applyProtection="0"/>
    <xf numFmtId="185" fontId="88" fillId="0" borderId="1" applyFont="0" applyFill="0" applyBorder="0" applyAlignment="0" applyProtection="0"/>
    <xf numFmtId="185" fontId="88" fillId="0" borderId="1" applyFont="0" applyFill="0" applyBorder="0" applyAlignment="0" applyProtection="0"/>
    <xf numFmtId="185" fontId="88" fillId="0" borderId="1" applyFont="0" applyFill="0" applyBorder="0" applyAlignment="0" applyProtection="0"/>
    <xf numFmtId="198" fontId="190" fillId="0" borderId="1" applyFont="0" applyFill="0" applyBorder="0" applyAlignment="0" applyProtection="0"/>
    <xf numFmtId="43" fontId="88" fillId="0" borderId="1" applyFont="0" applyFill="0" applyBorder="0" applyAlignment="0" applyProtection="0"/>
    <xf numFmtId="200"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198" fontId="190" fillId="0" borderId="1" applyFont="0" applyFill="0" applyBorder="0" applyAlignment="0" applyProtection="0"/>
    <xf numFmtId="198" fontId="190"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165" fontId="1"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185" fontId="88" fillId="0" borderId="1" applyFont="0" applyFill="0" applyBorder="0" applyAlignment="0" applyProtection="0"/>
    <xf numFmtId="185" fontId="88" fillId="0" borderId="1" applyFont="0" applyFill="0" applyBorder="0" applyAlignment="0" applyProtection="0"/>
    <xf numFmtId="185"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185" fontId="88" fillId="0" borderId="1" applyFont="0" applyFill="0" applyBorder="0" applyAlignment="0" applyProtection="0"/>
    <xf numFmtId="185" fontId="88" fillId="0" borderId="1" applyFont="0" applyFill="0" applyBorder="0" applyAlignment="0" applyProtection="0"/>
    <xf numFmtId="185"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165"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83" fillId="0" borderId="1" applyFont="0" applyFill="0" applyBorder="0" applyAlignment="0" applyProtection="0"/>
    <xf numFmtId="190" fontId="1" fillId="0" borderId="1" applyFont="0" applyFill="0" applyBorder="0" applyAlignment="0" applyProtection="0"/>
    <xf numFmtId="198" fontId="88"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83" fillId="0" borderId="1" applyFont="0" applyFill="0" applyBorder="0" applyAlignment="0" applyProtection="0"/>
    <xf numFmtId="190" fontId="1" fillId="0" borderId="1" applyFont="0" applyFill="0" applyBorder="0" applyAlignment="0" applyProtection="0"/>
    <xf numFmtId="198" fontId="88"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83" fillId="0" borderId="1" applyFont="0" applyFill="0" applyBorder="0" applyAlignment="0" applyProtection="0"/>
    <xf numFmtId="190" fontId="1" fillId="0" borderId="1" applyFont="0" applyFill="0" applyBorder="0" applyAlignment="0" applyProtection="0"/>
    <xf numFmtId="198" fontId="88" fillId="0" borderId="1" applyFont="0" applyFill="0" applyBorder="0" applyAlignment="0" applyProtection="0"/>
    <xf numFmtId="198" fontId="88" fillId="0" borderId="1" applyFont="0" applyFill="0" applyBorder="0" applyAlignment="0" applyProtection="0"/>
    <xf numFmtId="198" fontId="88" fillId="0" borderId="1" applyFont="0" applyFill="0" applyBorder="0" applyAlignment="0" applyProtection="0"/>
    <xf numFmtId="198" fontId="88" fillId="0" borderId="1" applyFont="0" applyFill="0" applyBorder="0" applyAlignment="0" applyProtection="0"/>
    <xf numFmtId="198" fontId="88" fillId="0" borderId="1" applyFont="0" applyFill="0" applyBorder="0" applyAlignment="0" applyProtection="0"/>
    <xf numFmtId="165"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3"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201" fontId="88"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201" fontId="88"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165" fontId="1"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185" fontId="88" fillId="0" borderId="1" applyFont="0" applyFill="0" applyBorder="0" applyAlignment="0" applyProtection="0"/>
    <xf numFmtId="185" fontId="88" fillId="0" borderId="1" applyFont="0" applyFill="0" applyBorder="0" applyAlignment="0" applyProtection="0"/>
    <xf numFmtId="185" fontId="88" fillId="0" borderId="1" applyFont="0" applyFill="0" applyBorder="0" applyAlignment="0" applyProtection="0"/>
    <xf numFmtId="43" fontId="88" fillId="0" borderId="1" applyFont="0" applyFill="0" applyBorder="0" applyAlignment="0" applyProtection="0"/>
    <xf numFmtId="43" fontId="83"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85" fontId="88" fillId="0" borderId="1" applyFont="0" applyFill="0" applyBorder="0" applyAlignment="0" applyProtection="0"/>
    <xf numFmtId="185" fontId="88" fillId="0" borderId="1" applyFont="0" applyFill="0" applyBorder="0" applyAlignment="0" applyProtection="0"/>
    <xf numFmtId="185"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185" fontId="88" fillId="0" borderId="1" applyFont="0" applyFill="0" applyBorder="0" applyAlignment="0" applyProtection="0"/>
    <xf numFmtId="185" fontId="88" fillId="0" borderId="1" applyFont="0" applyFill="0" applyBorder="0" applyAlignment="0" applyProtection="0"/>
    <xf numFmtId="185"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202" fontId="88" fillId="0" borderId="1" applyFont="0" applyFill="0" applyBorder="0" applyAlignment="0" applyProtection="0"/>
    <xf numFmtId="202" fontId="88" fillId="0" borderId="1" applyFont="0" applyFill="0" applyBorder="0" applyAlignment="0" applyProtection="0"/>
    <xf numFmtId="202"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83"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83"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83" fillId="0" borderId="1" applyFont="0" applyFill="0" applyBorder="0" applyAlignment="0" applyProtection="0"/>
    <xf numFmtId="190" fontId="1" fillId="0" borderId="1" applyFont="0" applyFill="0" applyBorder="0" applyAlignment="0" applyProtection="0"/>
    <xf numFmtId="198" fontId="88"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83" fillId="0" borderId="1" applyFont="0" applyFill="0" applyBorder="0" applyAlignment="0" applyProtection="0"/>
    <xf numFmtId="190" fontId="1" fillId="0" borderId="1" applyFont="0" applyFill="0" applyBorder="0" applyAlignment="0" applyProtection="0"/>
    <xf numFmtId="198" fontId="88"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83"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83"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83" fillId="0" borderId="1" applyFont="0" applyFill="0" applyBorder="0" applyAlignment="0" applyProtection="0"/>
    <xf numFmtId="190" fontId="1" fillId="0" borderId="1" applyFont="0" applyFill="0" applyBorder="0" applyAlignment="0" applyProtection="0"/>
    <xf numFmtId="198"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191"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3" fillId="0" borderId="1" applyFont="0" applyFill="0" applyBorder="0" applyAlignment="0" applyProtection="0"/>
    <xf numFmtId="43" fontId="19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165" fontId="1"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165" fontId="1"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185" fontId="88" fillId="0" borderId="1" applyFont="0" applyFill="0" applyBorder="0" applyAlignment="0" applyProtection="0"/>
    <xf numFmtId="185" fontId="88" fillId="0" borderId="1" applyFont="0" applyFill="0" applyBorder="0" applyAlignment="0" applyProtection="0"/>
    <xf numFmtId="185"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185" fontId="88" fillId="0" borderId="1" applyFont="0" applyFill="0" applyBorder="0" applyAlignment="0" applyProtection="0"/>
    <xf numFmtId="185" fontId="88" fillId="0" borderId="1" applyFont="0" applyFill="0" applyBorder="0" applyAlignment="0" applyProtection="0"/>
    <xf numFmtId="185"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202" fontId="88" fillId="0" borderId="1" applyFont="0" applyFill="0" applyBorder="0" applyAlignment="0" applyProtection="0"/>
    <xf numFmtId="202" fontId="88" fillId="0" borderId="1" applyFont="0" applyFill="0" applyBorder="0" applyAlignment="0" applyProtection="0"/>
    <xf numFmtId="202"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190" fontId="88" fillId="0" borderId="1" applyFont="0" applyFill="0" applyBorder="0" applyAlignment="0" applyProtection="0"/>
    <xf numFmtId="190" fontId="88" fillId="0" borderId="1" applyFont="0" applyFill="0" applyBorder="0" applyAlignment="0" applyProtection="0"/>
    <xf numFmtId="190"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83" fillId="0" borderId="1" applyFont="0" applyFill="0" applyBorder="0" applyAlignment="0" applyProtection="0"/>
    <xf numFmtId="190" fontId="1" fillId="0" borderId="1" applyFont="0" applyFill="0" applyBorder="0" applyAlignment="0" applyProtection="0"/>
    <xf numFmtId="198" fontId="88"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83"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83" fillId="0" borderId="1" applyFont="0" applyFill="0" applyBorder="0" applyAlignment="0" applyProtection="0"/>
    <xf numFmtId="190" fontId="1" fillId="0" borderId="1" applyFont="0" applyFill="0" applyBorder="0" applyAlignment="0" applyProtection="0"/>
    <xf numFmtId="198" fontId="88" fillId="0" borderId="1" applyFont="0" applyFill="0" applyBorder="0" applyAlignment="0" applyProtection="0"/>
    <xf numFmtId="198" fontId="88" fillId="0" borderId="1" applyFont="0" applyFill="0" applyBorder="0" applyAlignment="0" applyProtection="0"/>
    <xf numFmtId="198" fontId="88"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83"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83"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83" fillId="0" borderId="1" applyFont="0" applyFill="0" applyBorder="0" applyAlignment="0" applyProtection="0"/>
    <xf numFmtId="190" fontId="1" fillId="0" borderId="1" applyFont="0" applyFill="0" applyBorder="0" applyAlignment="0" applyProtection="0"/>
    <xf numFmtId="43" fontId="88" fillId="0" borderId="1" applyFont="0" applyFill="0" applyBorder="0" applyAlignment="0" applyProtection="0"/>
    <xf numFmtId="190" fontId="88" fillId="0" borderId="1" applyFont="0" applyFill="0" applyBorder="0" applyAlignment="0" applyProtection="0"/>
    <xf numFmtId="190" fontId="88" fillId="0" borderId="1" applyFont="0" applyFill="0" applyBorder="0" applyAlignment="0" applyProtection="0"/>
    <xf numFmtId="190" fontId="88"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83"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83"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83"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83"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190" fontId="1" fillId="0" borderId="1" applyFont="0" applyFill="0" applyBorder="0" applyAlignment="0" applyProtection="0"/>
    <xf numFmtId="43"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83"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83"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83"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83"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43" fontId="1" fillId="0" borderId="1" applyFont="0" applyFill="0" applyBorder="0" applyAlignment="0" applyProtection="0"/>
    <xf numFmtId="190" fontId="83"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83"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83"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43" fontId="88"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83"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43" fontId="88"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85" fontId="88"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174" fontId="88" fillId="0" borderId="1" applyFont="0" applyFill="0" applyBorder="0" applyAlignment="0" applyProtection="0"/>
    <xf numFmtId="174" fontId="88" fillId="0" borderId="1" applyFont="0" applyFill="0" applyBorder="0" applyAlignment="0" applyProtection="0"/>
    <xf numFmtId="174" fontId="88" fillId="0" borderId="1" applyFont="0" applyFill="0" applyBorder="0" applyAlignment="0" applyProtection="0"/>
    <xf numFmtId="198" fontId="88"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83"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83"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83"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83"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83"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83"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1" fillId="0" borderId="1" applyFont="0" applyFill="0" applyBorder="0" applyAlignment="0" applyProtection="0"/>
    <xf numFmtId="190" fontId="83" fillId="0" borderId="1" applyFont="0" applyFill="0" applyBorder="0" applyAlignment="0" applyProtection="0"/>
    <xf numFmtId="190"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190" fontId="88" fillId="0" borderId="1" applyFont="0" applyFill="0" applyBorder="0" applyAlignment="0" applyProtection="0"/>
    <xf numFmtId="43" fontId="99" fillId="0" borderId="1" applyFont="0" applyFill="0" applyBorder="0" applyAlignment="0" applyProtection="0"/>
    <xf numFmtId="190" fontId="88"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190" fontId="88"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165" fontId="1" fillId="0" borderId="1" applyFont="0" applyFill="0" applyBorder="0" applyAlignment="0" applyProtection="0"/>
    <xf numFmtId="185" fontId="88" fillId="0" borderId="1" applyFont="0" applyFill="0" applyBorder="0" applyAlignment="0" applyProtection="0"/>
    <xf numFmtId="43" fontId="88" fillId="0" borderId="1" applyFont="0" applyFill="0" applyBorder="0" applyAlignment="0" applyProtection="0"/>
    <xf numFmtId="185" fontId="88" fillId="0" borderId="1" applyFont="0" applyFill="0" applyBorder="0" applyAlignment="0" applyProtection="0"/>
    <xf numFmtId="190" fontId="88" fillId="0" borderId="1" applyFont="0" applyFill="0" applyBorder="0" applyAlignment="0" applyProtection="0"/>
    <xf numFmtId="190" fontId="88" fillId="0" borderId="1" applyFont="0" applyFill="0" applyBorder="0" applyAlignment="0" applyProtection="0"/>
    <xf numFmtId="190" fontId="88" fillId="0" borderId="1" applyFont="0" applyFill="0" applyBorder="0" applyAlignment="0" applyProtection="0"/>
    <xf numFmtId="43" fontId="88" fillId="0" borderId="1" applyFont="0" applyFill="0" applyBorder="0" applyAlignment="0" applyProtection="0"/>
    <xf numFmtId="190" fontId="88" fillId="0" borderId="1" applyFont="0" applyFill="0" applyBorder="0" applyAlignment="0" applyProtection="0"/>
    <xf numFmtId="43" fontId="99" fillId="0" borderId="1" applyFont="0" applyFill="0" applyBorder="0" applyAlignment="0" applyProtection="0"/>
    <xf numFmtId="190" fontId="88"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198" fontId="88" fillId="0" borderId="1" applyFont="0" applyFill="0" applyBorder="0" applyAlignment="0" applyProtection="0"/>
    <xf numFmtId="198" fontId="88" fillId="0" borderId="1" applyFont="0" applyFill="0" applyBorder="0" applyAlignment="0" applyProtection="0"/>
    <xf numFmtId="198" fontId="88" fillId="0" borderId="1" applyFont="0" applyFill="0" applyBorder="0" applyAlignment="0" applyProtection="0"/>
    <xf numFmtId="198" fontId="88" fillId="0" borderId="1" applyFont="0" applyFill="0" applyBorder="0" applyAlignment="0" applyProtection="0"/>
    <xf numFmtId="198" fontId="88" fillId="0" borderId="1" applyFont="0" applyFill="0" applyBorder="0" applyAlignment="0" applyProtection="0"/>
    <xf numFmtId="198" fontId="88" fillId="0" borderId="1" applyFont="0" applyFill="0" applyBorder="0" applyAlignment="0" applyProtection="0"/>
    <xf numFmtId="198" fontId="88" fillId="0" borderId="1" applyFont="0" applyFill="0" applyBorder="0" applyAlignment="0" applyProtection="0"/>
    <xf numFmtId="198" fontId="88" fillId="0" borderId="1" applyFont="0" applyFill="0" applyBorder="0" applyAlignment="0" applyProtection="0"/>
    <xf numFmtId="198" fontId="88" fillId="0" borderId="1" applyFont="0" applyFill="0" applyBorder="0" applyAlignment="0" applyProtection="0"/>
    <xf numFmtId="190" fontId="88" fillId="0" borderId="1" applyFont="0" applyFill="0" applyBorder="0" applyAlignment="0" applyProtection="0"/>
    <xf numFmtId="190"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190" fontId="88" fillId="0" borderId="1" applyFont="0" applyFill="0" applyBorder="0" applyAlignment="0" applyProtection="0"/>
    <xf numFmtId="190" fontId="88" fillId="0" borderId="1" applyFont="0" applyFill="0" applyBorder="0" applyAlignment="0" applyProtection="0"/>
    <xf numFmtId="43" fontId="88" fillId="0" borderId="1" applyFont="0" applyFill="0" applyBorder="0" applyAlignment="0" applyProtection="0"/>
    <xf numFmtId="43" fontId="83" fillId="0" borderId="1" applyFont="0" applyFill="0" applyBorder="0" applyAlignment="0" applyProtection="0"/>
    <xf numFmtId="43" fontId="83" fillId="0" borderId="1" applyFont="0" applyFill="0" applyBorder="0" applyAlignment="0" applyProtection="0"/>
    <xf numFmtId="43" fontId="83" fillId="0" borderId="1" applyFont="0" applyFill="0" applyBorder="0" applyAlignment="0" applyProtection="0"/>
    <xf numFmtId="165" fontId="88" fillId="0" borderId="1" applyFont="0" applyFill="0" applyBorder="0" applyAlignment="0" applyProtection="0"/>
    <xf numFmtId="198" fontId="88" fillId="0" borderId="1" applyFont="0" applyFill="0" applyBorder="0" applyAlignment="0" applyProtection="0"/>
    <xf numFmtId="198" fontId="88" fillId="0" borderId="1" applyFont="0" applyFill="0" applyBorder="0" applyAlignment="0" applyProtection="0"/>
    <xf numFmtId="198" fontId="88" fillId="0" borderId="1" applyFont="0" applyFill="0" applyBorder="0" applyAlignment="0" applyProtection="0"/>
    <xf numFmtId="198" fontId="88" fillId="0" borderId="1" applyFont="0" applyFill="0" applyBorder="0" applyAlignment="0" applyProtection="0"/>
    <xf numFmtId="198" fontId="88" fillId="0" borderId="1" applyFont="0" applyFill="0" applyBorder="0" applyAlignment="0" applyProtection="0"/>
    <xf numFmtId="198" fontId="88" fillId="0" borderId="1" applyFont="0" applyFill="0" applyBorder="0" applyAlignment="0" applyProtection="0"/>
    <xf numFmtId="198" fontId="88" fillId="0" borderId="1" applyFont="0" applyFill="0" applyBorder="0" applyAlignment="0" applyProtection="0"/>
    <xf numFmtId="198" fontId="88" fillId="0" borderId="1" applyFont="0" applyFill="0" applyBorder="0" applyAlignment="0" applyProtection="0"/>
    <xf numFmtId="198" fontId="88" fillId="0" borderId="1" applyFont="0" applyFill="0" applyBorder="0" applyAlignment="0" applyProtection="0"/>
    <xf numFmtId="198" fontId="88" fillId="0" borderId="1" applyFont="0" applyFill="0" applyBorder="0" applyAlignment="0" applyProtection="0"/>
    <xf numFmtId="185" fontId="88" fillId="0" borderId="1" applyFont="0" applyFill="0" applyBorder="0" applyAlignment="0" applyProtection="0"/>
    <xf numFmtId="185" fontId="88" fillId="0" borderId="1" applyFont="0" applyFill="0" applyBorder="0" applyAlignment="0" applyProtection="0"/>
    <xf numFmtId="43" fontId="88" fillId="0" borderId="1" applyFont="0" applyFill="0" applyBorder="0" applyAlignment="0" applyProtection="0"/>
    <xf numFmtId="43" fontId="88" fillId="0" borderId="1" applyFont="0" applyFill="0" applyBorder="0" applyAlignment="0" applyProtection="0"/>
    <xf numFmtId="198" fontId="88" fillId="0" borderId="1" applyFont="0" applyFill="0" applyBorder="0" applyAlignment="0" applyProtection="0"/>
    <xf numFmtId="198" fontId="88" fillId="0" borderId="1" applyFont="0" applyFill="0" applyBorder="0" applyAlignment="0" applyProtection="0"/>
    <xf numFmtId="198" fontId="88" fillId="0" borderId="1" applyFont="0" applyFill="0" applyBorder="0" applyAlignment="0" applyProtection="0"/>
    <xf numFmtId="198" fontId="88" fillId="0" borderId="1" applyFont="0" applyFill="0" applyBorder="0" applyAlignment="0" applyProtection="0"/>
    <xf numFmtId="198" fontId="88" fillId="0" borderId="1" applyFont="0" applyFill="0" applyBorder="0" applyAlignment="0" applyProtection="0"/>
    <xf numFmtId="198" fontId="88" fillId="0" borderId="1" applyFont="0" applyFill="0" applyBorder="0" applyAlignment="0" applyProtection="0"/>
    <xf numFmtId="198" fontId="88" fillId="0" borderId="1" applyFont="0" applyFill="0" applyBorder="0" applyAlignment="0" applyProtection="0"/>
    <xf numFmtId="198" fontId="88"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83"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88" fillId="0" borderId="1" applyFont="0" applyFill="0" applyBorder="0" applyAlignment="0" applyProtection="0"/>
    <xf numFmtId="0" fontId="88" fillId="0" borderId="1" applyFont="0" applyFill="0" applyBorder="0" applyAlignment="0" applyProtection="0"/>
    <xf numFmtId="203" fontId="190" fillId="0" borderId="1" applyFont="0" applyFill="0" applyBorder="0" applyAlignment="0" applyProtection="0"/>
    <xf numFmtId="44" fontId="88" fillId="0" borderId="1" applyFont="0" applyFill="0" applyBorder="0" applyAlignment="0" applyProtection="0"/>
    <xf numFmtId="203" fontId="190" fillId="0" borderId="1" applyFont="0" applyFill="0" applyBorder="0" applyAlignment="0" applyProtection="0"/>
    <xf numFmtId="204" fontId="83" fillId="0" borderId="1" applyFont="0" applyFill="0" applyBorder="0" applyAlignment="0" applyProtection="0"/>
    <xf numFmtId="203" fontId="190" fillId="0" borderId="1" applyFont="0" applyFill="0" applyBorder="0" applyAlignment="0" applyProtection="0"/>
    <xf numFmtId="205" fontId="88" fillId="0" borderId="1" applyFont="0" applyFill="0" applyBorder="0" applyAlignment="0" applyProtection="0"/>
    <xf numFmtId="44" fontId="88" fillId="0" borderId="1" applyFont="0" applyFill="0" applyBorder="0" applyAlignment="0" applyProtection="0"/>
    <xf numFmtId="44" fontId="88" fillId="0" borderId="1" applyFont="0" applyFill="0" applyBorder="0" applyAlignment="0" applyProtection="0"/>
    <xf numFmtId="203" fontId="88" fillId="0" borderId="1" applyFont="0" applyFill="0" applyBorder="0" applyAlignment="0" applyProtection="0"/>
    <xf numFmtId="44" fontId="88" fillId="0" borderId="1" applyFont="0" applyFill="0" applyBorder="0" applyAlignment="0" applyProtection="0"/>
    <xf numFmtId="205" fontId="88"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205"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83"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83"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83"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83"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83"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83"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83"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83"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83"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83"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83"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83"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83"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83"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83"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83"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83"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83"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83"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83"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83"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83"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83"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83"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0" fontId="192" fillId="88" borderId="1" applyNumberFormat="0" applyBorder="0" applyAlignment="0" applyProtection="0"/>
    <xf numFmtId="0" fontId="192" fillId="88" borderId="1" applyNumberFormat="0" applyBorder="0" applyAlignment="0" applyProtection="0"/>
    <xf numFmtId="0" fontId="87" fillId="71" borderId="1" applyNumberFormat="0" applyBorder="0" applyAlignment="0" applyProtection="0"/>
    <xf numFmtId="0" fontId="192" fillId="88" borderId="1" applyNumberFormat="0" applyBorder="0" applyAlignment="0" applyProtection="0"/>
    <xf numFmtId="0" fontId="57" fillId="9" borderId="1" applyNumberFormat="0" applyBorder="0" applyAlignment="0" applyProtection="0"/>
    <xf numFmtId="0" fontId="57" fillId="9" borderId="1" applyNumberFormat="0" applyBorder="0" applyAlignment="0" applyProtection="0"/>
    <xf numFmtId="0" fontId="57" fillId="9" borderId="1" applyNumberFormat="0" applyBorder="0" applyAlignment="0" applyProtection="0"/>
    <xf numFmtId="0" fontId="57" fillId="9" borderId="1" applyNumberFormat="0" applyBorder="0" applyAlignment="0" applyProtection="0"/>
    <xf numFmtId="0" fontId="193" fillId="88" borderId="1" applyNumberFormat="0" applyBorder="0" applyAlignment="0" applyProtection="0"/>
    <xf numFmtId="0" fontId="87" fillId="71" borderId="1" applyNumberFormat="0" applyBorder="0" applyAlignment="0" applyProtection="0"/>
    <xf numFmtId="0" fontId="192" fillId="88" borderId="1" applyNumberFormat="0" applyBorder="0" applyAlignment="0" applyProtection="0"/>
    <xf numFmtId="0" fontId="192" fillId="88" borderId="1" applyNumberFormat="0" applyBorder="0" applyAlignment="0" applyProtection="0"/>
    <xf numFmtId="0" fontId="192" fillId="71" borderId="1" applyNumberFormat="0" applyBorder="0" applyAlignment="0" applyProtection="0"/>
    <xf numFmtId="0" fontId="192" fillId="88" borderId="1" applyNumberFormat="0" applyBorder="0" applyAlignment="0" applyProtection="0"/>
    <xf numFmtId="0" fontId="192" fillId="88" borderId="1" applyNumberFormat="0" applyBorder="0" applyAlignment="0" applyProtection="0"/>
    <xf numFmtId="0" fontId="192" fillId="88" borderId="1" applyNumberFormat="0" applyBorder="0" applyAlignment="0" applyProtection="0"/>
    <xf numFmtId="0" fontId="192" fillId="88" borderId="1" applyNumberFormat="0" applyBorder="0" applyAlignment="0" applyProtection="0"/>
    <xf numFmtId="0" fontId="192" fillId="88" borderId="1" applyNumberFormat="0" applyBorder="0" applyAlignment="0" applyProtection="0"/>
    <xf numFmtId="0" fontId="192" fillId="88" borderId="1" applyNumberFormat="0" applyBorder="0" applyAlignment="0" applyProtection="0"/>
    <xf numFmtId="0" fontId="57" fillId="9" borderId="1" applyNumberFormat="0" applyBorder="0" applyAlignment="0" applyProtection="0"/>
    <xf numFmtId="0" fontId="57" fillId="9" borderId="1" applyNumberFormat="0" applyBorder="0" applyAlignment="0" applyProtection="0"/>
    <xf numFmtId="0" fontId="57" fillId="9" borderId="1" applyNumberFormat="0" applyBorder="0" applyAlignment="0" applyProtection="0"/>
    <xf numFmtId="0" fontId="57" fillId="9" borderId="1" applyNumberFormat="0" applyBorder="0" applyAlignment="0" applyProtection="0"/>
    <xf numFmtId="0" fontId="193" fillId="88" borderId="1" applyNumberFormat="0" applyBorder="0" applyAlignment="0" applyProtection="0"/>
    <xf numFmtId="0" fontId="192" fillId="88" borderId="1" applyNumberFormat="0" applyBorder="0" applyAlignment="0" applyProtection="0"/>
    <xf numFmtId="0" fontId="145" fillId="0" borderId="1"/>
    <xf numFmtId="0" fontId="145" fillId="0" borderId="1"/>
    <xf numFmtId="0" fontId="145" fillId="0" borderId="1"/>
    <xf numFmtId="0" fontId="145" fillId="0" borderId="1"/>
    <xf numFmtId="0" fontId="145" fillId="0" borderId="1"/>
    <xf numFmtId="0" fontId="145" fillId="0" borderId="1"/>
    <xf numFmtId="0" fontId="194" fillId="0" borderId="1"/>
    <xf numFmtId="0" fontId="145" fillId="0" borderId="1"/>
    <xf numFmtId="0" fontId="145" fillId="0" borderId="1"/>
    <xf numFmtId="0" fontId="145" fillId="0" borderId="1"/>
    <xf numFmtId="0" fontId="145" fillId="0" borderId="1"/>
    <xf numFmtId="0" fontId="145" fillId="0" borderId="1"/>
    <xf numFmtId="0" fontId="145" fillId="0" borderId="1"/>
    <xf numFmtId="0" fontId="145" fillId="0" borderId="1"/>
    <xf numFmtId="0" fontId="195" fillId="0" borderId="1"/>
    <xf numFmtId="0" fontId="196" fillId="0" borderId="1"/>
    <xf numFmtId="0" fontId="196" fillId="0" borderId="1"/>
    <xf numFmtId="0" fontId="196" fillId="0" borderId="1"/>
    <xf numFmtId="0" fontId="195" fillId="0" borderId="1"/>
    <xf numFmtId="0" fontId="195"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3" fillId="0" borderId="1"/>
    <xf numFmtId="0" fontId="88" fillId="0" borderId="1"/>
    <xf numFmtId="0" fontId="88" fillId="0" borderId="1"/>
    <xf numFmtId="0" fontId="88" fillId="0" borderId="1"/>
    <xf numFmtId="0" fontId="83" fillId="0" borderId="1"/>
    <xf numFmtId="0" fontId="83" fillId="0" borderId="1"/>
    <xf numFmtId="0" fontId="88" fillId="0" borderId="1"/>
    <xf numFmtId="0" fontId="88" fillId="0" borderId="1"/>
    <xf numFmtId="0" fontId="88" fillId="0" borderId="1"/>
    <xf numFmtId="0" fontId="83" fillId="0" borderId="1"/>
    <xf numFmtId="0" fontId="83" fillId="0" borderId="1"/>
    <xf numFmtId="0" fontId="88" fillId="0" borderId="1"/>
    <xf numFmtId="0" fontId="88" fillId="0" borderId="1"/>
    <xf numFmtId="0" fontId="88" fillId="0" borderId="1"/>
    <xf numFmtId="0" fontId="83" fillId="0" borderId="1"/>
    <xf numFmtId="0" fontId="88" fillId="0" borderId="1"/>
    <xf numFmtId="0" fontId="145" fillId="0" borderId="1"/>
    <xf numFmtId="0" fontId="145" fillId="0" borderId="1"/>
    <xf numFmtId="0" fontId="88" fillId="0" borderId="1"/>
    <xf numFmtId="0" fontId="88" fillId="0" borderId="1">
      <alignment vertical="top"/>
    </xf>
    <xf numFmtId="0" fontId="88" fillId="0" borderId="1"/>
    <xf numFmtId="0" fontId="88" fillId="0" borderId="1">
      <alignment vertical="top"/>
    </xf>
    <xf numFmtId="0" fontId="88" fillId="0" borderId="1"/>
    <xf numFmtId="0" fontId="88" fillId="0" borderId="1"/>
    <xf numFmtId="0" fontId="197" fillId="0" borderId="1"/>
    <xf numFmtId="0" fontId="197" fillId="0" borderId="1"/>
    <xf numFmtId="0" fontId="88" fillId="0" borderId="1">
      <alignment vertical="top"/>
    </xf>
    <xf numFmtId="0" fontId="88" fillId="0" borderId="1"/>
    <xf numFmtId="0" fontId="88" fillId="0" borderId="1"/>
    <xf numFmtId="3" fontId="145" fillId="0" borderId="1"/>
    <xf numFmtId="0" fontId="88" fillId="0" borderId="1">
      <alignment vertical="top"/>
    </xf>
    <xf numFmtId="0" fontId="88" fillId="0" borderId="1">
      <alignment vertical="top"/>
    </xf>
    <xf numFmtId="0" fontId="88" fillId="0" borderId="1"/>
    <xf numFmtId="0" fontId="88" fillId="0" borderId="1"/>
    <xf numFmtId="0" fontId="88" fillId="0" borderId="1"/>
    <xf numFmtId="0" fontId="88" fillId="0" borderId="1"/>
    <xf numFmtId="0" fontId="88" fillId="0" borderId="1"/>
    <xf numFmtId="0" fontId="88" fillId="0" borderId="1">
      <alignment vertical="top"/>
    </xf>
    <xf numFmtId="0" fontId="88" fillId="0" borderId="1"/>
    <xf numFmtId="0" fontId="88" fillId="0" borderId="1"/>
    <xf numFmtId="0" fontId="88" fillId="0" borderId="1"/>
    <xf numFmtId="0" fontId="88" fillId="0" borderId="1">
      <alignment vertical="top"/>
    </xf>
    <xf numFmtId="0" fontId="88" fillId="0" borderId="1">
      <alignment vertical="top"/>
    </xf>
    <xf numFmtId="0" fontId="88" fillId="0" borderId="1">
      <alignment vertical="top"/>
    </xf>
    <xf numFmtId="0" fontId="88" fillId="0" borderId="1">
      <alignment vertical="top"/>
    </xf>
    <xf numFmtId="0" fontId="88" fillId="0" borderId="1">
      <alignment vertical="top"/>
    </xf>
    <xf numFmtId="0" fontId="88" fillId="0" borderId="1">
      <alignment vertical="top"/>
    </xf>
    <xf numFmtId="0" fontId="88" fillId="0" borderId="1">
      <alignment vertical="top"/>
    </xf>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8" fillId="0" borderId="1">
      <alignment vertical="top"/>
    </xf>
    <xf numFmtId="0" fontId="88" fillId="0" borderId="1">
      <alignment vertical="top"/>
    </xf>
    <xf numFmtId="0" fontId="88"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145" fillId="0" borderId="1"/>
    <xf numFmtId="0" fontId="145" fillId="0" borderId="1"/>
    <xf numFmtId="0" fontId="83" fillId="0" borderId="1"/>
    <xf numFmtId="0" fontId="88" fillId="0" borderId="1">
      <alignment vertical="top"/>
    </xf>
    <xf numFmtId="0" fontId="88" fillId="0" borderId="1">
      <alignment vertical="top"/>
    </xf>
    <xf numFmtId="0" fontId="88" fillId="0" borderId="1">
      <alignment vertical="top"/>
    </xf>
    <xf numFmtId="0" fontId="88" fillId="0" borderId="1">
      <alignment vertical="top"/>
    </xf>
    <xf numFmtId="0" fontId="88" fillId="0" borderId="1"/>
    <xf numFmtId="0" fontId="88" fillId="0" borderId="1"/>
    <xf numFmtId="0" fontId="88" fillId="0" borderId="1">
      <alignment vertical="top"/>
    </xf>
    <xf numFmtId="0" fontId="88" fillId="0" borderId="1">
      <alignment vertical="top"/>
    </xf>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8" fillId="0" borderId="1">
      <alignment vertical="top"/>
    </xf>
    <xf numFmtId="0" fontId="88" fillId="0" borderId="1">
      <alignment vertical="top"/>
    </xf>
    <xf numFmtId="0" fontId="88"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8" fillId="0" borderId="1"/>
    <xf numFmtId="0" fontId="88" fillId="0" borderId="1"/>
    <xf numFmtId="0" fontId="88" fillId="0" borderId="1"/>
    <xf numFmtId="0" fontId="88" fillId="0" borderId="1"/>
    <xf numFmtId="0" fontId="88" fillId="0" borderId="1"/>
    <xf numFmtId="0" fontId="88" fillId="0" borderId="1">
      <alignment vertical="top"/>
    </xf>
    <xf numFmtId="0" fontId="88" fillId="0" borderId="1">
      <alignment vertical="top"/>
    </xf>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alignment vertical="top"/>
    </xf>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3" fontId="145" fillId="0" borderId="1"/>
    <xf numFmtId="0" fontId="83" fillId="0" borderId="1"/>
    <xf numFmtId="3" fontId="145"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8" fillId="0" borderId="1">
      <alignment vertical="top"/>
    </xf>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alignment vertical="top"/>
    </xf>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8" fillId="0" borderId="1">
      <alignment vertical="top"/>
    </xf>
    <xf numFmtId="0" fontId="88" fillId="0" borderId="1"/>
    <xf numFmtId="0" fontId="88" fillId="0" borderId="1"/>
    <xf numFmtId="0" fontId="88" fillId="0" borderId="1"/>
    <xf numFmtId="0" fontId="88" fillId="0" borderId="1">
      <alignment vertical="top"/>
    </xf>
    <xf numFmtId="0" fontId="88" fillId="0" borderId="1">
      <alignment vertical="top"/>
    </xf>
    <xf numFmtId="0" fontId="88" fillId="0" borderId="1">
      <alignment vertical="top"/>
    </xf>
    <xf numFmtId="0" fontId="88" fillId="0" borderId="1">
      <alignment vertical="top"/>
    </xf>
    <xf numFmtId="0" fontId="88" fillId="0" borderId="1">
      <alignment vertical="top"/>
    </xf>
    <xf numFmtId="0" fontId="88" fillId="0" borderId="1">
      <alignment vertical="top"/>
    </xf>
    <xf numFmtId="0" fontId="88" fillId="0" borderId="1"/>
    <xf numFmtId="0" fontId="88" fillId="0" borderId="1"/>
    <xf numFmtId="0" fontId="88" fillId="0" borderId="1"/>
    <xf numFmtId="0" fontId="88" fillId="0" borderId="1">
      <alignment vertical="top"/>
    </xf>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8" fillId="0" borderId="1">
      <alignment vertical="top"/>
    </xf>
    <xf numFmtId="0" fontId="88" fillId="0" borderId="1">
      <alignment vertical="top"/>
    </xf>
    <xf numFmtId="0" fontId="88" fillId="0" borderId="1">
      <alignment vertical="top"/>
    </xf>
    <xf numFmtId="0" fontId="88" fillId="0" borderId="1">
      <alignment vertical="top"/>
    </xf>
    <xf numFmtId="0" fontId="88" fillId="0" borderId="1"/>
    <xf numFmtId="0" fontId="88" fillId="0" borderId="1"/>
    <xf numFmtId="3" fontId="145"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alignment wrapText="1"/>
    </xf>
    <xf numFmtId="0" fontId="88" fillId="0" borderId="1"/>
    <xf numFmtId="0" fontId="88" fillId="0" borderId="1">
      <alignment wrapText="1"/>
    </xf>
    <xf numFmtId="0" fontId="88" fillId="0" borderId="1"/>
    <xf numFmtId="0" fontId="145" fillId="0" borderId="1"/>
    <xf numFmtId="0" fontId="88" fillId="0" borderId="1">
      <alignment wrapText="1"/>
    </xf>
    <xf numFmtId="0" fontId="88" fillId="0" borderId="1">
      <alignment wrapText="1"/>
    </xf>
    <xf numFmtId="0" fontId="88" fillId="0" borderId="1">
      <alignment vertical="top"/>
    </xf>
    <xf numFmtId="0" fontId="88" fillId="0" borderId="1">
      <alignment wrapText="1"/>
    </xf>
    <xf numFmtId="0" fontId="88" fillId="0" borderId="1"/>
    <xf numFmtId="0" fontId="88" fillId="0" borderId="1"/>
    <xf numFmtId="0" fontId="88" fillId="0" borderId="1">
      <alignment vertical="top"/>
    </xf>
    <xf numFmtId="0" fontId="88" fillId="0" borderId="1">
      <alignment vertical="top"/>
    </xf>
    <xf numFmtId="0" fontId="88" fillId="0" borderId="1">
      <alignment vertical="top"/>
    </xf>
    <xf numFmtId="0" fontId="88" fillId="0" borderId="1">
      <alignment vertical="top"/>
    </xf>
    <xf numFmtId="0" fontId="88" fillId="0" borderId="1"/>
    <xf numFmtId="0" fontId="88" fillId="0" borderId="1"/>
    <xf numFmtId="0" fontId="158" fillId="0" borderId="1"/>
    <xf numFmtId="0" fontId="88" fillId="0" borderId="1"/>
    <xf numFmtId="0" fontId="88" fillId="0" borderId="1"/>
    <xf numFmtId="0" fontId="88" fillId="0" borderId="1">
      <alignment wrapText="1"/>
    </xf>
    <xf numFmtId="0" fontId="88" fillId="0" borderId="1">
      <alignment wrapText="1"/>
    </xf>
    <xf numFmtId="0" fontId="88" fillId="0" borderId="1">
      <alignment vertical="top"/>
    </xf>
    <xf numFmtId="0" fontId="88" fillId="0" borderId="1">
      <alignment vertical="top"/>
    </xf>
    <xf numFmtId="0" fontId="88" fillId="0" borderId="1">
      <alignment wrapText="1"/>
    </xf>
    <xf numFmtId="0" fontId="88" fillId="0" borderId="1">
      <alignment vertical="top"/>
    </xf>
    <xf numFmtId="0" fontId="88" fillId="0" borderId="1"/>
    <xf numFmtId="0" fontId="88" fillId="0" borderId="1"/>
    <xf numFmtId="0" fontId="88" fillId="0" borderId="1">
      <alignment vertical="top"/>
    </xf>
    <xf numFmtId="0" fontId="88" fillId="0" borderId="1"/>
    <xf numFmtId="0" fontId="88" fillId="0" borderId="1"/>
    <xf numFmtId="0" fontId="66" fillId="0" borderId="1"/>
    <xf numFmtId="0" fontId="88" fillId="0" borderId="1"/>
    <xf numFmtId="0" fontId="88" fillId="0" borderId="1"/>
    <xf numFmtId="0" fontId="88" fillId="0" borderId="1"/>
    <xf numFmtId="0" fontId="88" fillId="0" borderId="1"/>
    <xf numFmtId="0" fontId="88" fillId="0" borderId="1">
      <alignment vertical="top"/>
    </xf>
    <xf numFmtId="0" fontId="88" fillId="0" borderId="1"/>
    <xf numFmtId="0" fontId="88" fillId="0" borderId="1"/>
    <xf numFmtId="0" fontId="88" fillId="0" borderId="1"/>
    <xf numFmtId="0" fontId="88" fillId="0" borderId="1"/>
    <xf numFmtId="0" fontId="88" fillId="0" borderId="1">
      <alignment vertical="top"/>
    </xf>
    <xf numFmtId="0" fontId="88" fillId="0" borderId="1">
      <alignment vertical="top"/>
    </xf>
    <xf numFmtId="0" fontId="88" fillId="0" borderId="1">
      <alignment vertical="top"/>
    </xf>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alignment vertical="top"/>
    </xf>
    <xf numFmtId="0" fontId="88" fillId="0" borderId="1">
      <alignment vertical="top"/>
    </xf>
    <xf numFmtId="0" fontId="88" fillId="0" borderId="1"/>
    <xf numFmtId="0" fontId="88" fillId="0" borderId="1"/>
    <xf numFmtId="0" fontId="88" fillId="0" borderId="1"/>
    <xf numFmtId="0" fontId="88" fillId="0" borderId="1">
      <alignment vertical="top"/>
    </xf>
    <xf numFmtId="0" fontId="88" fillId="0" borderId="1">
      <alignment vertical="top"/>
    </xf>
    <xf numFmtId="0" fontId="88" fillId="0" borderId="1"/>
    <xf numFmtId="0" fontId="88" fillId="0" borderId="1"/>
    <xf numFmtId="0" fontId="88" fillId="0" borderId="1"/>
    <xf numFmtId="0" fontId="88" fillId="0" borderId="1">
      <alignment vertical="top"/>
    </xf>
    <xf numFmtId="0" fontId="88" fillId="0" borderId="1">
      <alignment vertical="top"/>
    </xf>
    <xf numFmtId="0" fontId="88" fillId="0" borderId="1"/>
    <xf numFmtId="0" fontId="88" fillId="0" borderId="1"/>
    <xf numFmtId="0" fontId="88" fillId="0" borderId="1"/>
    <xf numFmtId="0" fontId="88" fillId="0" borderId="1">
      <alignment vertical="top"/>
    </xf>
    <xf numFmtId="0" fontId="88" fillId="0" borderId="1">
      <alignment vertical="top"/>
    </xf>
    <xf numFmtId="0" fontId="88" fillId="0" borderId="1"/>
    <xf numFmtId="0" fontId="88" fillId="0" borderId="1"/>
    <xf numFmtId="0" fontId="88" fillId="0" borderId="1"/>
    <xf numFmtId="0" fontId="88" fillId="0" borderId="1">
      <alignment vertical="top"/>
    </xf>
    <xf numFmtId="0" fontId="88" fillId="0" borderId="1">
      <alignment vertical="top"/>
    </xf>
    <xf numFmtId="0" fontId="88" fillId="0" borderId="1"/>
    <xf numFmtId="0" fontId="88" fillId="0" borderId="1"/>
    <xf numFmtId="0" fontId="88" fillId="0" borderId="1"/>
    <xf numFmtId="0" fontId="88" fillId="0" borderId="1">
      <alignment vertical="top"/>
    </xf>
    <xf numFmtId="0" fontId="88" fillId="0" borderId="1">
      <alignment vertical="top"/>
    </xf>
    <xf numFmtId="0" fontId="88" fillId="0" borderId="1"/>
    <xf numFmtId="0" fontId="88" fillId="0" borderId="1"/>
    <xf numFmtId="0" fontId="88" fillId="0" borderId="1"/>
    <xf numFmtId="0" fontId="88" fillId="0" borderId="1">
      <alignment vertical="top"/>
    </xf>
    <xf numFmtId="0" fontId="88" fillId="0" borderId="1">
      <alignment vertical="top"/>
    </xf>
    <xf numFmtId="0" fontId="88" fillId="0" borderId="1"/>
    <xf numFmtId="0" fontId="88" fillId="0" borderId="1"/>
    <xf numFmtId="0" fontId="88" fillId="0" borderId="1"/>
    <xf numFmtId="0" fontId="88" fillId="0" borderId="1">
      <alignment vertical="top"/>
    </xf>
    <xf numFmtId="0" fontId="88" fillId="0" borderId="1">
      <alignment vertical="top"/>
    </xf>
    <xf numFmtId="0" fontId="88" fillId="0" borderId="1"/>
    <xf numFmtId="0" fontId="88" fillId="0" borderId="1"/>
    <xf numFmtId="0" fontId="88" fillId="0" borderId="1"/>
    <xf numFmtId="0" fontId="88" fillId="0" borderId="1"/>
    <xf numFmtId="0" fontId="88" fillId="0" borderId="1"/>
    <xf numFmtId="0" fontId="88" fillId="0" borderId="1"/>
    <xf numFmtId="0" fontId="145" fillId="0" borderId="1"/>
    <xf numFmtId="0" fontId="145" fillId="0" borderId="1"/>
    <xf numFmtId="0" fontId="88" fillId="0" borderId="1">
      <alignment wrapText="1"/>
    </xf>
    <xf numFmtId="0" fontId="145" fillId="0" borderId="1"/>
    <xf numFmtId="0" fontId="88" fillId="0" borderId="1"/>
    <xf numFmtId="0" fontId="88" fillId="0" borderId="1"/>
    <xf numFmtId="0" fontId="198" fillId="0" borderId="1"/>
    <xf numFmtId="0" fontId="88" fillId="0" borderId="1">
      <alignment vertical="top"/>
    </xf>
    <xf numFmtId="3" fontId="145" fillId="0" borderId="1"/>
    <xf numFmtId="0" fontId="88"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8" fillId="0" borderId="1">
      <alignment vertical="top"/>
    </xf>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8" fillId="0" borderId="1"/>
    <xf numFmtId="0" fontId="88" fillId="0" borderId="1"/>
    <xf numFmtId="0" fontId="88" fillId="0" borderId="1">
      <alignment vertical="top"/>
    </xf>
    <xf numFmtId="0" fontId="88" fillId="0" borderId="1">
      <alignment wrapText="1"/>
    </xf>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8" fillId="0" borderId="1">
      <alignment vertical="top"/>
    </xf>
    <xf numFmtId="0" fontId="88" fillId="0" borderId="1">
      <alignment vertical="top"/>
    </xf>
    <xf numFmtId="0" fontId="88" fillId="0" borderId="1">
      <alignment vertical="top"/>
    </xf>
    <xf numFmtId="0" fontId="88" fillId="0" borderId="1">
      <alignment wrapText="1"/>
    </xf>
    <xf numFmtId="0" fontId="145" fillId="0" borderId="1"/>
    <xf numFmtId="0" fontId="145" fillId="0" borderId="1"/>
    <xf numFmtId="0" fontId="145" fillId="0" borderId="1"/>
    <xf numFmtId="0" fontId="145"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145" fillId="0" borderId="1"/>
    <xf numFmtId="0" fontId="88" fillId="0" borderId="1">
      <alignment wrapText="1"/>
    </xf>
    <xf numFmtId="0" fontId="88" fillId="0" borderId="1"/>
    <xf numFmtId="0" fontId="88" fillId="0" borderId="1">
      <alignment vertical="top"/>
    </xf>
    <xf numFmtId="0" fontId="190"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8"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8" fillId="0" borderId="1">
      <alignment vertical="top"/>
    </xf>
    <xf numFmtId="0" fontId="88" fillId="0" borderId="1">
      <alignment vertical="top"/>
    </xf>
    <xf numFmtId="0" fontId="88" fillId="0" borderId="1">
      <alignment wrapText="1"/>
    </xf>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8" fillId="0" borderId="1"/>
    <xf numFmtId="0" fontId="88" fillId="0" borderId="1">
      <alignment vertical="top"/>
    </xf>
    <xf numFmtId="0" fontId="88" fillId="0" borderId="1">
      <alignment wrapText="1"/>
    </xf>
    <xf numFmtId="0" fontId="88" fillId="0" borderId="1"/>
    <xf numFmtId="0" fontId="88" fillId="0" borderId="1">
      <alignment vertical="top"/>
    </xf>
    <xf numFmtId="0" fontId="88" fillId="0" borderId="1">
      <alignment vertical="top"/>
    </xf>
    <xf numFmtId="0" fontId="88" fillId="0" borderId="1">
      <alignment vertical="top"/>
    </xf>
    <xf numFmtId="0" fontId="88" fillId="0" borderId="1">
      <alignment wrapText="1"/>
    </xf>
    <xf numFmtId="0" fontId="88" fillId="0" borderId="1">
      <alignment wrapText="1"/>
    </xf>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145" fillId="0" borderId="1"/>
    <xf numFmtId="0" fontId="88" fillId="0" borderId="1">
      <alignment vertical="top"/>
    </xf>
    <xf numFmtId="37" fontId="194" fillId="0" borderId="1"/>
    <xf numFmtId="0" fontId="88" fillId="0" borderId="1">
      <alignment vertical="top"/>
    </xf>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8" fillId="0" borderId="1">
      <alignment vertical="top"/>
    </xf>
    <xf numFmtId="0" fontId="88" fillId="0" borderId="1">
      <alignment vertical="top"/>
    </xf>
    <xf numFmtId="37" fontId="194"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8" fillId="0" borderId="1"/>
    <xf numFmtId="0" fontId="88" fillId="0" borderId="1">
      <alignment vertical="top"/>
    </xf>
    <xf numFmtId="0" fontId="83" fillId="0" borderId="1"/>
    <xf numFmtId="0" fontId="83" fillId="0" borderId="1"/>
    <xf numFmtId="0" fontId="83" fillId="0" borderId="1"/>
    <xf numFmtId="0" fontId="88"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3"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3" fontId="145" fillId="0" borderId="1"/>
    <xf numFmtId="0" fontId="83" fillId="0" borderId="1"/>
    <xf numFmtId="0" fontId="83" fillId="0" borderId="1"/>
    <xf numFmtId="0" fontId="88" fillId="0" borderId="1"/>
    <xf numFmtId="0" fontId="83" fillId="0" borderId="1"/>
    <xf numFmtId="0" fontId="83" fillId="0" borderId="1"/>
    <xf numFmtId="0" fontId="88" fillId="0" borderId="1">
      <alignment vertical="top"/>
    </xf>
    <xf numFmtId="0" fontId="88" fillId="0" borderId="1">
      <alignment vertical="top"/>
    </xf>
    <xf numFmtId="0" fontId="88" fillId="0" borderId="1">
      <alignment vertical="top"/>
    </xf>
    <xf numFmtId="0" fontId="83" fillId="0" borderId="1"/>
    <xf numFmtId="0" fontId="83" fillId="0" borderId="1"/>
    <xf numFmtId="0" fontId="83" fillId="0" borderId="1"/>
    <xf numFmtId="0" fontId="83" fillId="0" borderId="1"/>
    <xf numFmtId="0" fontId="88" fillId="0" borderId="1"/>
    <xf numFmtId="0" fontId="83" fillId="0" borderId="1"/>
    <xf numFmtId="0" fontId="83" fillId="0" borderId="1"/>
    <xf numFmtId="0" fontId="88" fillId="0" borderId="1"/>
    <xf numFmtId="0" fontId="83" fillId="0" borderId="1"/>
    <xf numFmtId="0" fontId="83" fillId="0" borderId="1"/>
    <xf numFmtId="0" fontId="83" fillId="0" borderId="1"/>
    <xf numFmtId="0" fontId="88" fillId="0" borderId="1">
      <alignment vertical="top"/>
    </xf>
    <xf numFmtId="0" fontId="88" fillId="0" borderId="1">
      <alignment vertical="top"/>
    </xf>
    <xf numFmtId="0" fontId="88" fillId="0" borderId="1">
      <alignment vertical="top"/>
    </xf>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92" fillId="0" borderId="108" applyNumberFormat="0" applyFill="0" applyAlignment="0" applyProtection="0"/>
    <xf numFmtId="0" fontId="99" fillId="0" borderId="1"/>
    <xf numFmtId="0" fontId="88" fillId="0" borderId="1"/>
    <xf numFmtId="0" fontId="191" fillId="0" borderId="1"/>
    <xf numFmtId="0" fontId="191" fillId="0" borderId="1"/>
    <xf numFmtId="0" fontId="88" fillId="0" borderId="1"/>
    <xf numFmtId="0" fontId="88" fillId="0" borderId="1"/>
    <xf numFmtId="0" fontId="88" fillId="0" borderId="1"/>
    <xf numFmtId="0" fontId="92" fillId="0" borderId="108" applyNumberFormat="0" applyFill="0" applyAlignment="0" applyProtection="0"/>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8" fillId="0" borderId="1"/>
    <xf numFmtId="0" fontId="83" fillId="99" borderId="113" applyNumberFormat="0" applyFont="0" applyAlignment="0" applyProtection="0"/>
    <xf numFmtId="0" fontId="83" fillId="13" borderId="83" applyNumberFormat="0" applyFont="0" applyAlignment="0" applyProtection="0"/>
    <xf numFmtId="0" fontId="83"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66" fillId="70" borderId="85"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88" fillId="99" borderId="113" applyNumberFormat="0" applyFont="0" applyAlignment="0" applyProtection="0"/>
    <xf numFmtId="0" fontId="66" fillId="70" borderId="85" applyNumberFormat="0" applyFont="0" applyAlignment="0" applyProtection="0"/>
    <xf numFmtId="0" fontId="88"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66" fillId="99" borderId="113" applyNumberFormat="0" applyFont="0" applyAlignment="0" applyProtection="0"/>
    <xf numFmtId="0" fontId="66" fillId="99" borderId="113" applyNumberFormat="0" applyFont="0" applyAlignment="0" applyProtection="0"/>
    <xf numFmtId="0" fontId="66" fillId="99" borderId="113" applyNumberFormat="0" applyFont="0" applyAlignment="0" applyProtection="0"/>
    <xf numFmtId="0" fontId="83" fillId="99" borderId="113" applyNumberFormat="0" applyFont="0" applyAlignment="0" applyProtection="0"/>
    <xf numFmtId="0" fontId="88" fillId="99" borderId="113" applyNumberFormat="0" applyFont="0" applyAlignment="0" applyProtection="0"/>
    <xf numFmtId="0" fontId="83" fillId="99" borderId="113" applyNumberFormat="0" applyFont="0" applyAlignment="0" applyProtection="0"/>
    <xf numFmtId="0" fontId="88" fillId="99" borderId="113" applyNumberFormat="0" applyFont="0" applyAlignment="0" applyProtection="0"/>
    <xf numFmtId="0" fontId="88" fillId="99" borderId="113" applyNumberFormat="0" applyFont="0" applyAlignment="0" applyProtection="0"/>
    <xf numFmtId="0" fontId="88" fillId="99" borderId="113" applyNumberFormat="0" applyFont="0" applyAlignment="0" applyProtection="0"/>
    <xf numFmtId="0" fontId="88" fillId="99" borderId="113" applyNumberFormat="0" applyFont="0" applyAlignment="0" applyProtection="0"/>
    <xf numFmtId="0" fontId="83" fillId="99" borderId="113" applyNumberFormat="0" applyFont="0" applyAlignment="0" applyProtection="0"/>
    <xf numFmtId="0" fontId="88" fillId="99" borderId="113" applyNumberFormat="0" applyFont="0" applyAlignment="0" applyProtection="0"/>
    <xf numFmtId="0" fontId="88" fillId="99" borderId="113" applyNumberFormat="0" applyFont="0" applyAlignment="0" applyProtection="0"/>
    <xf numFmtId="0" fontId="88" fillId="99" borderId="113" applyNumberFormat="0" applyFont="0" applyAlignment="0" applyProtection="0"/>
    <xf numFmtId="0" fontId="88" fillId="99" borderId="113" applyNumberFormat="0" applyFont="0" applyAlignment="0" applyProtection="0"/>
    <xf numFmtId="0" fontId="88" fillId="99" borderId="113" applyNumberFormat="0" applyFont="0" applyAlignment="0" applyProtection="0"/>
    <xf numFmtId="0" fontId="88"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3"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88" fillId="70" borderId="113" applyNumberFormat="0" applyFont="0" applyAlignment="0" applyProtection="0"/>
    <xf numFmtId="0" fontId="88" fillId="70" borderId="113" applyNumberFormat="0" applyFont="0" applyAlignment="0" applyProtection="0"/>
    <xf numFmtId="0" fontId="88" fillId="70" borderId="113" applyNumberFormat="0" applyFont="0" applyAlignment="0" applyProtection="0"/>
    <xf numFmtId="0" fontId="88" fillId="99" borderId="113" applyNumberFormat="0" applyFont="0" applyAlignment="0" applyProtection="0"/>
    <xf numFmtId="0" fontId="88" fillId="99" borderId="113" applyNumberFormat="0" applyFont="0" applyAlignment="0" applyProtection="0"/>
    <xf numFmtId="0" fontId="88" fillId="99" borderId="113" applyNumberFormat="0" applyFont="0" applyAlignment="0" applyProtection="0"/>
    <xf numFmtId="0" fontId="88" fillId="99" borderId="113" applyNumberFormat="0" applyFont="0" applyAlignment="0" applyProtection="0"/>
    <xf numFmtId="0" fontId="88" fillId="99" borderId="11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58" fillId="99" borderId="113" applyNumberFormat="0" applyFont="0" applyAlignment="0" applyProtection="0"/>
    <xf numFmtId="0" fontId="106" fillId="136" borderId="99" applyNumberFormat="0" applyAlignment="0" applyProtection="0"/>
    <xf numFmtId="0" fontId="106" fillId="131" borderId="99" applyNumberFormat="0" applyAlignment="0" applyProtection="0"/>
    <xf numFmtId="0" fontId="106" fillId="131" borderId="99" applyNumberFormat="0" applyAlignment="0" applyProtection="0"/>
    <xf numFmtId="0" fontId="106" fillId="131" borderId="99" applyNumberFormat="0" applyAlignment="0" applyProtection="0"/>
    <xf numFmtId="0" fontId="106" fillId="131" borderId="99" applyNumberFormat="0" applyAlignment="0" applyProtection="0"/>
    <xf numFmtId="0" fontId="106" fillId="131" borderId="99" applyNumberFormat="0" applyAlignment="0" applyProtection="0"/>
    <xf numFmtId="0" fontId="59" fillId="11" borderId="80" applyNumberFormat="0" applyAlignment="0" applyProtection="0"/>
    <xf numFmtId="9" fontId="88" fillId="0" borderId="1" applyFont="0" applyFill="0" applyBorder="0" applyAlignment="0" applyProtection="0"/>
    <xf numFmtId="9" fontId="88" fillId="0" borderId="1" applyFont="0" applyFill="0" applyBorder="0" applyAlignment="0" applyProtection="0"/>
    <xf numFmtId="9" fontId="83" fillId="0" borderId="1" applyFont="0" applyFill="0" applyBorder="0" applyAlignment="0" applyProtection="0"/>
    <xf numFmtId="9" fontId="88" fillId="0" borderId="1" applyFont="0" applyFill="0" applyBorder="0" applyAlignment="0" applyProtection="0"/>
    <xf numFmtId="9" fontId="1" fillId="0" borderId="1" applyFont="0" applyFill="0" applyBorder="0" applyAlignment="0" applyProtection="0"/>
    <xf numFmtId="9" fontId="88" fillId="0" borderId="1" applyFont="0" applyFill="0" applyBorder="0" applyAlignment="0" applyProtection="0"/>
    <xf numFmtId="9" fontId="1" fillId="0" borderId="1" applyFont="0" applyFill="0" applyBorder="0" applyAlignment="0" applyProtection="0"/>
    <xf numFmtId="9" fontId="88"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3" fontId="145" fillId="0" borderId="1"/>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alignment wrapText="1"/>
    </xf>
    <xf numFmtId="9" fontId="88" fillId="0" borderId="1" applyFont="0" applyFill="0" applyBorder="0" applyAlignment="0" applyProtection="0">
      <alignment wrapText="1"/>
    </xf>
    <xf numFmtId="43" fontId="99" fillId="0" borderId="1" applyFont="0" applyFill="0" applyBorder="0" applyAlignment="0" applyProtection="0"/>
    <xf numFmtId="0" fontId="99" fillId="0" borderId="1"/>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3"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190"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90"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190"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3" fillId="0" borderId="1" applyFont="0" applyFill="0" applyBorder="0" applyAlignment="0" applyProtection="0"/>
    <xf numFmtId="9" fontId="190"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1"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8"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9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8"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9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8"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8"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8"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3"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88" fillId="0" borderId="1" applyFont="0" applyFill="0" applyBorder="0" applyAlignment="0" applyProtection="0"/>
    <xf numFmtId="9" fontId="88" fillId="0" borderId="1" applyFont="0" applyFill="0" applyBorder="0" applyAlignment="0" applyProtection="0"/>
    <xf numFmtId="0" fontId="199" fillId="0" borderId="1" applyNumberFormat="0" applyFont="0" applyFill="0" applyBorder="0" applyAlignment="0" applyProtection="0">
      <alignment horizontal="left"/>
    </xf>
    <xf numFmtId="0" fontId="200" fillId="126" borderId="113">
      <alignment vertical="center"/>
    </xf>
    <xf numFmtId="0" fontId="201" fillId="0" borderId="135" applyNumberFormat="0" applyAlignment="0">
      <protection locked="0"/>
    </xf>
    <xf numFmtId="0" fontId="201" fillId="0" borderId="135" applyNumberFormat="0" applyAlignment="0">
      <protection locked="0"/>
    </xf>
    <xf numFmtId="0" fontId="106" fillId="79" borderId="99" applyNumberFormat="0" applyAlignment="0" applyProtection="0"/>
    <xf numFmtId="0" fontId="106" fillId="79" borderId="99" applyNumberFormat="0" applyAlignment="0" applyProtection="0"/>
    <xf numFmtId="0" fontId="106" fillId="79" borderId="99" applyNumberFormat="0" applyAlignment="0" applyProtection="0"/>
    <xf numFmtId="0" fontId="106" fillId="79" borderId="99" applyNumberFormat="0" applyAlignment="0" applyProtection="0"/>
    <xf numFmtId="0" fontId="106" fillId="79" borderId="99" applyNumberFormat="0" applyAlignment="0" applyProtection="0"/>
    <xf numFmtId="0" fontId="106" fillId="79" borderId="99" applyNumberFormat="0" applyAlignment="0" applyProtection="0"/>
    <xf numFmtId="0" fontId="106" fillId="79" borderId="99" applyNumberFormat="0" applyAlignment="0" applyProtection="0"/>
    <xf numFmtId="0" fontId="106" fillId="79" borderId="99" applyNumberFormat="0" applyAlignment="0" applyProtection="0"/>
    <xf numFmtId="0" fontId="106" fillId="79" borderId="99" applyNumberFormat="0" applyAlignment="0" applyProtection="0"/>
    <xf numFmtId="0" fontId="106" fillId="79" borderId="99" applyNumberFormat="0" applyAlignment="0" applyProtection="0"/>
    <xf numFmtId="0" fontId="106" fillId="79" borderId="99" applyNumberFormat="0" applyAlignment="0" applyProtection="0"/>
    <xf numFmtId="0" fontId="59" fillId="11" borderId="80" applyNumberFormat="0" applyAlignment="0" applyProtection="0"/>
    <xf numFmtId="0" fontId="59" fillId="11" borderId="80" applyNumberFormat="0" applyAlignment="0" applyProtection="0"/>
    <xf numFmtId="0" fontId="59" fillId="11" borderId="80" applyNumberFormat="0" applyAlignment="0" applyProtection="0"/>
    <xf numFmtId="0" fontId="59" fillId="11" borderId="80" applyNumberFormat="0" applyAlignment="0" applyProtection="0"/>
    <xf numFmtId="0" fontId="106" fillId="98" borderId="99" applyNumberFormat="0" applyAlignment="0" applyProtection="0"/>
    <xf numFmtId="4" fontId="159" fillId="90" borderId="99" applyNumberFormat="0" applyProtection="0">
      <alignment vertical="center"/>
    </xf>
    <xf numFmtId="4" fontId="202" fillId="88" borderId="104" applyNumberFormat="0" applyProtection="0">
      <alignment vertical="center"/>
    </xf>
    <xf numFmtId="4" fontId="159" fillId="90" borderId="99" applyNumberFormat="0" applyProtection="0">
      <alignment vertical="center"/>
    </xf>
    <xf numFmtId="4" fontId="203" fillId="90" borderId="104" applyNumberFormat="0" applyProtection="0">
      <alignment vertical="center"/>
    </xf>
    <xf numFmtId="0" fontId="88" fillId="0" borderId="1"/>
    <xf numFmtId="4" fontId="204" fillId="90" borderId="99" applyNumberFormat="0" applyProtection="0">
      <alignment vertical="center"/>
    </xf>
    <xf numFmtId="4" fontId="205" fillId="88" borderId="104" applyNumberFormat="0" applyProtection="0">
      <alignment vertical="center"/>
    </xf>
    <xf numFmtId="4" fontId="204" fillId="90" borderId="99" applyNumberFormat="0" applyProtection="0">
      <alignment vertical="center"/>
    </xf>
    <xf numFmtId="4" fontId="206" fillId="90" borderId="104" applyNumberFormat="0" applyProtection="0">
      <alignment vertical="center"/>
    </xf>
    <xf numFmtId="0" fontId="88" fillId="0" borderId="1"/>
    <xf numFmtId="4" fontId="159" fillId="90" borderId="99" applyNumberFormat="0" applyProtection="0">
      <alignment horizontal="left" vertical="center" indent="1"/>
    </xf>
    <xf numFmtId="4" fontId="202" fillId="88" borderId="104" applyNumberFormat="0" applyProtection="0">
      <alignment horizontal="left" vertical="center" indent="1"/>
    </xf>
    <xf numFmtId="4" fontId="159" fillId="90" borderId="99" applyNumberFormat="0" applyProtection="0">
      <alignment horizontal="left" vertical="center" indent="1"/>
    </xf>
    <xf numFmtId="4" fontId="207" fillId="90" borderId="104" applyNumberFormat="0" applyProtection="0">
      <alignment horizontal="left" vertical="center" indent="1"/>
    </xf>
    <xf numFmtId="0" fontId="88" fillId="0" borderId="1"/>
    <xf numFmtId="4" fontId="159" fillId="90" borderId="99" applyNumberFormat="0" applyProtection="0">
      <alignment horizontal="left" vertical="center" indent="1"/>
    </xf>
    <xf numFmtId="0" fontId="202" fillId="88" borderId="104" applyNumberFormat="0" applyProtection="0">
      <alignment horizontal="left" vertical="top" indent="1"/>
    </xf>
    <xf numFmtId="0" fontId="88" fillId="0" borderId="1"/>
    <xf numFmtId="0" fontId="88" fillId="125" borderId="99" applyNumberFormat="0" applyProtection="0">
      <alignment horizontal="left" vertical="center" indent="1"/>
    </xf>
    <xf numFmtId="4" fontId="207" fillId="129" borderId="1" applyNumberFormat="0" applyProtection="0">
      <alignment horizontal="left" vertical="center" indent="1"/>
    </xf>
    <xf numFmtId="4" fontId="202" fillId="95" borderId="1" applyNumberFormat="0" applyProtection="0">
      <alignment horizontal="left" vertical="center" indent="1"/>
    </xf>
    <xf numFmtId="4" fontId="202" fillId="95" borderId="1" applyNumberFormat="0" applyProtection="0">
      <alignment horizontal="left" vertical="center" indent="1"/>
    </xf>
    <xf numFmtId="4" fontId="66" fillId="39" borderId="85" applyNumberFormat="0" applyProtection="0">
      <alignment horizontal="left" vertical="center" indent="1"/>
    </xf>
    <xf numFmtId="0" fontId="88" fillId="125" borderId="99" applyNumberFormat="0" applyProtection="0">
      <alignment horizontal="left" vertical="center" indent="1"/>
    </xf>
    <xf numFmtId="4" fontId="207" fillId="129" borderId="1" applyNumberFormat="0" applyProtection="0">
      <alignment horizontal="left" vertical="center" indent="1"/>
    </xf>
    <xf numFmtId="4" fontId="66" fillId="39" borderId="85" applyNumberFormat="0" applyProtection="0">
      <alignment horizontal="left" vertical="center" indent="1"/>
    </xf>
    <xf numFmtId="4" fontId="207" fillId="129" borderId="1" applyNumberFormat="0" applyProtection="0">
      <alignment horizontal="left" vertical="center" indent="1"/>
    </xf>
    <xf numFmtId="4" fontId="207" fillId="129" borderId="1" applyNumberFormat="0" applyProtection="0">
      <alignment horizontal="left" vertical="center" indent="1"/>
    </xf>
    <xf numFmtId="4" fontId="207" fillId="129" borderId="1" applyNumberFormat="0" applyProtection="0">
      <alignment horizontal="left" vertical="center" indent="1"/>
    </xf>
    <xf numFmtId="4" fontId="207" fillId="129" borderId="1" applyNumberFormat="0" applyProtection="0">
      <alignment horizontal="left" vertical="center" indent="1"/>
    </xf>
    <xf numFmtId="4" fontId="207" fillId="129" borderId="1" applyNumberFormat="0" applyProtection="0">
      <alignment horizontal="left" vertical="center" indent="1"/>
    </xf>
    <xf numFmtId="4" fontId="159" fillId="124" borderId="99" applyNumberFormat="0" applyProtection="0">
      <alignment horizontal="right" vertical="center"/>
    </xf>
    <xf numFmtId="4" fontId="159" fillId="46" borderId="104" applyNumberFormat="0" applyProtection="0">
      <alignment horizontal="right" vertical="center"/>
    </xf>
    <xf numFmtId="4" fontId="159" fillId="124" borderId="99" applyNumberFormat="0" applyProtection="0">
      <alignment horizontal="right" vertical="center"/>
    </xf>
    <xf numFmtId="4" fontId="207" fillId="140" borderId="104" applyNumberFormat="0" applyProtection="0">
      <alignment horizontal="right" vertical="center"/>
    </xf>
    <xf numFmtId="0" fontId="88" fillId="0" borderId="1"/>
    <xf numFmtId="4" fontId="159" fillId="141" borderId="99" applyNumberFormat="0" applyProtection="0">
      <alignment horizontal="right" vertical="center"/>
    </xf>
    <xf numFmtId="4" fontId="159" fillId="52" borderId="104" applyNumberFormat="0" applyProtection="0">
      <alignment horizontal="right" vertical="center"/>
    </xf>
    <xf numFmtId="4" fontId="159" fillId="141" borderId="99" applyNumberFormat="0" applyProtection="0">
      <alignment horizontal="right" vertical="center"/>
    </xf>
    <xf numFmtId="4" fontId="207" fillId="124" borderId="104" applyNumberFormat="0" applyProtection="0">
      <alignment horizontal="right" vertical="center"/>
    </xf>
    <xf numFmtId="0" fontId="88" fillId="0" borderId="1"/>
    <xf numFmtId="4" fontId="159" fillId="140" borderId="99" applyNumberFormat="0" applyProtection="0">
      <alignment horizontal="right" vertical="center"/>
    </xf>
    <xf numFmtId="4" fontId="159" fillId="74" borderId="104" applyNumberFormat="0" applyProtection="0">
      <alignment horizontal="right" vertical="center"/>
    </xf>
    <xf numFmtId="4" fontId="159" fillId="140" borderId="99" applyNumberFormat="0" applyProtection="0">
      <alignment horizontal="right" vertical="center"/>
    </xf>
    <xf numFmtId="4" fontId="207" fillId="141" borderId="104" applyNumberFormat="0" applyProtection="0">
      <alignment horizontal="right" vertical="center"/>
    </xf>
    <xf numFmtId="0" fontId="88" fillId="0" borderId="1"/>
    <xf numFmtId="4" fontId="159" fillId="123" borderId="99" applyNumberFormat="0" applyProtection="0">
      <alignment horizontal="right" vertical="center"/>
    </xf>
    <xf numFmtId="4" fontId="159" fillId="54" borderId="104" applyNumberFormat="0" applyProtection="0">
      <alignment horizontal="right" vertical="center"/>
    </xf>
    <xf numFmtId="4" fontId="159" fillId="123" borderId="99" applyNumberFormat="0" applyProtection="0">
      <alignment horizontal="right" vertical="center"/>
    </xf>
    <xf numFmtId="4" fontId="207" fillId="126" borderId="104" applyNumberFormat="0" applyProtection="0">
      <alignment horizontal="right" vertical="center"/>
    </xf>
    <xf numFmtId="0" fontId="88" fillId="0" borderId="1"/>
    <xf numFmtId="4" fontId="159" fillId="142" borderId="99" applyNumberFormat="0" applyProtection="0">
      <alignment horizontal="right" vertical="center"/>
    </xf>
    <xf numFmtId="4" fontId="159" fillId="57" borderId="104" applyNumberFormat="0" applyProtection="0">
      <alignment horizontal="right" vertical="center"/>
    </xf>
    <xf numFmtId="4" fontId="159" fillId="142" borderId="99" applyNumberFormat="0" applyProtection="0">
      <alignment horizontal="right" vertical="center"/>
    </xf>
    <xf numFmtId="4" fontId="207" fillId="123" borderId="104" applyNumberFormat="0" applyProtection="0">
      <alignment horizontal="right" vertical="center"/>
    </xf>
    <xf numFmtId="0" fontId="88" fillId="0" borderId="1"/>
    <xf numFmtId="4" fontId="159" fillId="143" borderId="99" applyNumberFormat="0" applyProtection="0">
      <alignment horizontal="right" vertical="center"/>
    </xf>
    <xf numFmtId="4" fontId="159" fillId="76" borderId="104" applyNumberFormat="0" applyProtection="0">
      <alignment horizontal="right" vertical="center"/>
    </xf>
    <xf numFmtId="4" fontId="159" fillId="143" borderId="99" applyNumberFormat="0" applyProtection="0">
      <alignment horizontal="right" vertical="center"/>
    </xf>
    <xf numFmtId="4" fontId="207" fillId="120" borderId="104" applyNumberFormat="0" applyProtection="0">
      <alignment horizontal="right" vertical="center"/>
    </xf>
    <xf numFmtId="0" fontId="88" fillId="0" borderId="1"/>
    <xf numFmtId="4" fontId="159" fillId="144" borderId="99" applyNumberFormat="0" applyProtection="0">
      <alignment horizontal="right" vertical="center"/>
    </xf>
    <xf numFmtId="4" fontId="159" fillId="75" borderId="104" applyNumberFormat="0" applyProtection="0">
      <alignment horizontal="right" vertical="center"/>
    </xf>
    <xf numFmtId="4" fontId="159" fillId="144" borderId="99" applyNumberFormat="0" applyProtection="0">
      <alignment horizontal="right" vertical="center"/>
    </xf>
    <xf numFmtId="4" fontId="207" fillId="118" borderId="104" applyNumberFormat="0" applyProtection="0">
      <alignment horizontal="right" vertical="center"/>
    </xf>
    <xf numFmtId="0" fontId="88" fillId="0" borderId="1"/>
    <xf numFmtId="4" fontId="159" fillId="118" borderId="99" applyNumberFormat="0" applyProtection="0">
      <alignment horizontal="right" vertical="center"/>
    </xf>
    <xf numFmtId="4" fontId="159" fillId="92" borderId="104" applyNumberFormat="0" applyProtection="0">
      <alignment horizontal="right" vertical="center"/>
    </xf>
    <xf numFmtId="4" fontId="159" fillId="118" borderId="99" applyNumberFormat="0" applyProtection="0">
      <alignment horizontal="right" vertical="center"/>
    </xf>
    <xf numFmtId="4" fontId="207" fillId="117" borderId="104" applyNumberFormat="0" applyProtection="0">
      <alignment horizontal="right" vertical="center"/>
    </xf>
    <xf numFmtId="0" fontId="88" fillId="0" borderId="1"/>
    <xf numFmtId="4" fontId="159" fillId="117" borderId="99" applyNumberFormat="0" applyProtection="0">
      <alignment horizontal="right" vertical="center"/>
    </xf>
    <xf numFmtId="4" fontId="159" fillId="53" borderId="104" applyNumberFormat="0" applyProtection="0">
      <alignment horizontal="right" vertical="center"/>
    </xf>
    <xf numFmtId="4" fontId="159" fillId="117" borderId="99" applyNumberFormat="0" applyProtection="0">
      <alignment horizontal="right" vertical="center"/>
    </xf>
    <xf numFmtId="4" fontId="207" fillId="145" borderId="104" applyNumberFormat="0" applyProtection="0">
      <alignment horizontal="right" vertical="center"/>
    </xf>
    <xf numFmtId="0" fontId="88" fillId="0" borderId="1"/>
    <xf numFmtId="4" fontId="202" fillId="146" borderId="99" applyNumberFormat="0" applyProtection="0">
      <alignment horizontal="left" vertical="center" indent="1"/>
    </xf>
    <xf numFmtId="4" fontId="202" fillId="93" borderId="136" applyNumberFormat="0" applyProtection="0">
      <alignment horizontal="left" vertical="center" indent="1"/>
    </xf>
    <xf numFmtId="4" fontId="202" fillId="146" borderId="99" applyNumberFormat="0" applyProtection="0">
      <alignment horizontal="left" vertical="center" indent="1"/>
    </xf>
    <xf numFmtId="4" fontId="203" fillId="147" borderId="136" applyNumberFormat="0" applyProtection="0">
      <alignment horizontal="left" vertical="center" indent="1"/>
    </xf>
    <xf numFmtId="0" fontId="88" fillId="0" borderId="1"/>
    <xf numFmtId="4" fontId="159" fillId="148" borderId="137" applyNumberFormat="0" applyProtection="0">
      <alignment horizontal="left" vertical="center" indent="1"/>
    </xf>
    <xf numFmtId="4" fontId="159" fillId="96" borderId="1" applyNumberFormat="0" applyProtection="0">
      <alignment horizontal="left" vertical="center" indent="1"/>
    </xf>
    <xf numFmtId="4" fontId="159" fillId="148" borderId="137" applyNumberFormat="0" applyProtection="0">
      <alignment horizontal="left" vertical="center" indent="1"/>
    </xf>
    <xf numFmtId="4" fontId="203" fillId="122" borderId="1" applyNumberFormat="0" applyProtection="0">
      <alignment horizontal="left" vertical="center" indent="1"/>
    </xf>
    <xf numFmtId="0" fontId="88" fillId="0" borderId="1"/>
    <xf numFmtId="4" fontId="203" fillId="129" borderId="1" applyNumberFormat="0" applyProtection="0">
      <alignment horizontal="left" vertical="center" indent="1"/>
    </xf>
    <xf numFmtId="4" fontId="203" fillId="94" borderId="1" applyNumberFormat="0" applyProtection="0">
      <alignment horizontal="left" vertical="center" indent="1"/>
    </xf>
    <xf numFmtId="4" fontId="203" fillId="129" borderId="1" applyNumberFormat="0" applyProtection="0">
      <alignment horizontal="left" vertical="center" indent="1"/>
    </xf>
    <xf numFmtId="0" fontId="88" fillId="0" borderId="1"/>
    <xf numFmtId="0" fontId="88" fillId="125" borderId="99" applyNumberFormat="0" applyProtection="0">
      <alignment horizontal="left" vertical="center" indent="1"/>
    </xf>
    <xf numFmtId="4" fontId="159" fillId="95" borderId="104" applyNumberFormat="0" applyProtection="0">
      <alignment horizontal="right" vertical="center"/>
    </xf>
    <xf numFmtId="0" fontId="88" fillId="125" borderId="99" applyNumberFormat="0" applyProtection="0">
      <alignment horizontal="left" vertical="center" indent="1"/>
    </xf>
    <xf numFmtId="4" fontId="207" fillId="122" borderId="104" applyNumberFormat="0" applyProtection="0">
      <alignment horizontal="right" vertical="center"/>
    </xf>
    <xf numFmtId="0" fontId="88" fillId="0" borderId="1"/>
    <xf numFmtId="4" fontId="159" fillId="148" borderId="99" applyNumberFormat="0" applyProtection="0">
      <alignment horizontal="left" vertical="center" indent="1"/>
    </xf>
    <xf numFmtId="4" fontId="159" fillId="96" borderId="1" applyNumberFormat="0" applyProtection="0">
      <alignment horizontal="left" vertical="center" indent="1"/>
    </xf>
    <xf numFmtId="4" fontId="159" fillId="148" borderId="99" applyNumberFormat="0" applyProtection="0">
      <alignment horizontal="left" vertical="center" indent="1"/>
    </xf>
    <xf numFmtId="4" fontId="159" fillId="122" borderId="1" applyNumberFormat="0" applyProtection="0">
      <alignment horizontal="left" vertical="center" indent="1"/>
    </xf>
    <xf numFmtId="4" fontId="159" fillId="148" borderId="99" applyNumberFormat="0" applyProtection="0">
      <alignment horizontal="left" vertical="center" indent="1"/>
    </xf>
    <xf numFmtId="0" fontId="88" fillId="0" borderId="1"/>
    <xf numFmtId="4" fontId="159" fillId="122" borderId="1" applyNumberFormat="0" applyProtection="0">
      <alignment horizontal="left" vertical="center" indent="1"/>
    </xf>
    <xf numFmtId="4" fontId="159" fillId="149" borderId="99" applyNumberFormat="0" applyProtection="0">
      <alignment horizontal="left" vertical="center" indent="1"/>
    </xf>
    <xf numFmtId="4" fontId="159" fillId="95" borderId="1" applyNumberFormat="0" applyProtection="0">
      <alignment horizontal="left" vertical="center" indent="1"/>
    </xf>
    <xf numFmtId="4" fontId="159" fillId="149" borderId="99" applyNumberFormat="0" applyProtection="0">
      <alignment horizontal="left" vertical="center" indent="1"/>
    </xf>
    <xf numFmtId="4" fontId="159" fillId="129" borderId="1" applyNumberFormat="0" applyProtection="0">
      <alignment horizontal="left" vertical="center" indent="1"/>
    </xf>
    <xf numFmtId="4" fontId="159" fillId="149" borderId="99" applyNumberFormat="0" applyProtection="0">
      <alignment horizontal="left" vertical="center" indent="1"/>
    </xf>
    <xf numFmtId="0" fontId="88" fillId="0" borderId="1"/>
    <xf numFmtId="4" fontId="159" fillId="129" borderId="1" applyNumberFormat="0" applyProtection="0">
      <alignment horizontal="left" vertical="center" indent="1"/>
    </xf>
    <xf numFmtId="0" fontId="88" fillId="149" borderId="99" applyNumberFormat="0" applyProtection="0">
      <alignment horizontal="left" vertical="center" indent="1"/>
    </xf>
    <xf numFmtId="0" fontId="88" fillId="94" borderId="104" applyNumberFormat="0" applyProtection="0">
      <alignment horizontal="left" vertical="center" indent="1"/>
    </xf>
    <xf numFmtId="0" fontId="88" fillId="94" borderId="104" applyNumberFormat="0" applyProtection="0">
      <alignment horizontal="left" vertical="center" indent="1"/>
    </xf>
    <xf numFmtId="0" fontId="88" fillId="94" borderId="104" applyNumberFormat="0" applyProtection="0">
      <alignment horizontal="left" vertical="center" indent="1"/>
    </xf>
    <xf numFmtId="0" fontId="66" fillId="79" borderId="85" applyNumberFormat="0" applyProtection="0">
      <alignment horizontal="left" vertical="center" indent="1"/>
    </xf>
    <xf numFmtId="0" fontId="88" fillId="149" borderId="99" applyNumberFormat="0" applyProtection="0">
      <alignment horizontal="left" vertical="center" indent="1"/>
    </xf>
    <xf numFmtId="0" fontId="88" fillId="94" borderId="104" applyNumberFormat="0" applyProtection="0">
      <alignment horizontal="left" vertical="center" indent="1"/>
    </xf>
    <xf numFmtId="0" fontId="66" fillId="79" borderId="85" applyNumberFormat="0" applyProtection="0">
      <alignment horizontal="left" vertical="center" indent="1"/>
    </xf>
    <xf numFmtId="0" fontId="88" fillId="149" borderId="99" applyNumberFormat="0" applyProtection="0">
      <alignment horizontal="left" vertical="center" indent="1"/>
    </xf>
    <xf numFmtId="0" fontId="88" fillId="94" borderId="104" applyNumberFormat="0" applyProtection="0">
      <alignment horizontal="left" vertical="top" indent="1"/>
    </xf>
    <xf numFmtId="0" fontId="88" fillId="94" borderId="104" applyNumberFormat="0" applyProtection="0">
      <alignment horizontal="left" vertical="top" indent="1"/>
    </xf>
    <xf numFmtId="0" fontId="88" fillId="149" borderId="99" applyNumberFormat="0" applyProtection="0">
      <alignment horizontal="left" vertical="center" indent="1"/>
    </xf>
    <xf numFmtId="0" fontId="88" fillId="94" borderId="104" applyNumberFormat="0" applyProtection="0">
      <alignment horizontal="left" vertical="top" indent="1"/>
    </xf>
    <xf numFmtId="0" fontId="88" fillId="0" borderId="1"/>
    <xf numFmtId="0" fontId="88" fillId="128" borderId="99" applyNumberFormat="0" applyProtection="0">
      <alignment horizontal="left" vertical="center" indent="1"/>
    </xf>
    <xf numFmtId="0" fontId="88" fillId="95" borderId="104" applyNumberFormat="0" applyProtection="0">
      <alignment horizontal="left" vertical="center" indent="1"/>
    </xf>
    <xf numFmtId="0" fontId="88" fillId="95" borderId="104" applyNumberFormat="0" applyProtection="0">
      <alignment horizontal="left" vertical="center" indent="1"/>
    </xf>
    <xf numFmtId="0" fontId="88" fillId="95" borderId="104" applyNumberFormat="0" applyProtection="0">
      <alignment horizontal="left" vertical="center" indent="1"/>
    </xf>
    <xf numFmtId="0" fontId="66" fillId="97" borderId="85" applyNumberFormat="0" applyProtection="0">
      <alignment horizontal="left" vertical="center" indent="1"/>
    </xf>
    <xf numFmtId="0" fontId="88" fillId="128" borderId="99" applyNumberFormat="0" applyProtection="0">
      <alignment horizontal="left" vertical="center" indent="1"/>
    </xf>
    <xf numFmtId="0" fontId="88" fillId="95" borderId="104" applyNumberFormat="0" applyProtection="0">
      <alignment horizontal="left" vertical="center" indent="1"/>
    </xf>
    <xf numFmtId="0" fontId="66" fillId="97" borderId="85" applyNumberFormat="0" applyProtection="0">
      <alignment horizontal="left" vertical="center" indent="1"/>
    </xf>
    <xf numFmtId="0" fontId="88" fillId="128" borderId="99" applyNumberFormat="0" applyProtection="0">
      <alignment horizontal="left" vertical="center" indent="1"/>
    </xf>
    <xf numFmtId="0" fontId="88" fillId="95" borderId="104" applyNumberFormat="0" applyProtection="0">
      <alignment horizontal="left" vertical="top" indent="1"/>
    </xf>
    <xf numFmtId="0" fontId="88" fillId="95" borderId="104" applyNumberFormat="0" applyProtection="0">
      <alignment horizontal="left" vertical="top" indent="1"/>
    </xf>
    <xf numFmtId="0" fontId="88" fillId="128" borderId="99" applyNumberFormat="0" applyProtection="0">
      <alignment horizontal="left" vertical="center" indent="1"/>
    </xf>
    <xf numFmtId="0" fontId="88" fillId="95" borderId="104" applyNumberFormat="0" applyProtection="0">
      <alignment horizontal="left" vertical="top" indent="1"/>
    </xf>
    <xf numFmtId="0" fontId="88" fillId="0" borderId="1"/>
    <xf numFmtId="0" fontId="88" fillId="127" borderId="99" applyNumberFormat="0" applyProtection="0">
      <alignment horizontal="left" vertical="center" indent="1"/>
    </xf>
    <xf numFmtId="0" fontId="88" fillId="51" borderId="104" applyNumberFormat="0" applyProtection="0">
      <alignment horizontal="left" vertical="center" indent="1"/>
    </xf>
    <xf numFmtId="0" fontId="88" fillId="51" borderId="104" applyNumberFormat="0" applyProtection="0">
      <alignment horizontal="left" vertical="center" indent="1"/>
    </xf>
    <xf numFmtId="0" fontId="88" fillId="127" borderId="99" applyNumberFormat="0" applyProtection="0">
      <alignment horizontal="left" vertical="center" indent="1"/>
    </xf>
    <xf numFmtId="0" fontId="88" fillId="51" borderId="104" applyNumberFormat="0" applyProtection="0">
      <alignment horizontal="left" vertical="center" indent="1"/>
    </xf>
    <xf numFmtId="0" fontId="88" fillId="0" borderId="1"/>
    <xf numFmtId="0" fontId="88" fillId="127" borderId="99" applyNumberFormat="0" applyProtection="0">
      <alignment horizontal="left" vertical="center" indent="1"/>
    </xf>
    <xf numFmtId="0" fontId="88" fillId="51" borderId="104" applyNumberFormat="0" applyProtection="0">
      <alignment horizontal="left" vertical="top" indent="1"/>
    </xf>
    <xf numFmtId="0" fontId="88" fillId="51" borderId="104" applyNumberFormat="0" applyProtection="0">
      <alignment horizontal="left" vertical="top" indent="1"/>
    </xf>
    <xf numFmtId="0" fontId="88" fillId="127" borderId="99" applyNumberFormat="0" applyProtection="0">
      <alignment horizontal="left" vertical="center" indent="1"/>
    </xf>
    <xf numFmtId="0" fontId="88" fillId="51" borderId="104" applyNumberFormat="0" applyProtection="0">
      <alignment horizontal="left" vertical="top" indent="1"/>
    </xf>
    <xf numFmtId="0" fontId="88" fillId="0" borderId="1"/>
    <xf numFmtId="0" fontId="88" fillId="125" borderId="99" applyNumberFormat="0" applyProtection="0">
      <alignment horizontal="left" vertical="center" indent="1"/>
    </xf>
    <xf numFmtId="0" fontId="88" fillId="96" borderId="104" applyNumberFormat="0" applyProtection="0">
      <alignment horizontal="left" vertical="center" indent="1"/>
    </xf>
    <xf numFmtId="0" fontId="88" fillId="96" borderId="104" applyNumberFormat="0" applyProtection="0">
      <alignment horizontal="left" vertical="center" indent="1"/>
    </xf>
    <xf numFmtId="0" fontId="88" fillId="125" borderId="99" applyNumberFormat="0" applyProtection="0">
      <alignment horizontal="left" vertical="center" indent="1"/>
    </xf>
    <xf numFmtId="0" fontId="88" fillId="96" borderId="104" applyNumberFormat="0" applyProtection="0">
      <alignment horizontal="left" vertical="center" indent="1"/>
    </xf>
    <xf numFmtId="0" fontId="88" fillId="0" borderId="1"/>
    <xf numFmtId="0" fontId="88" fillId="125" borderId="99" applyNumberFormat="0" applyProtection="0">
      <alignment horizontal="left" vertical="center" indent="1"/>
    </xf>
    <xf numFmtId="0" fontId="88" fillId="96" borderId="104" applyNumberFormat="0" applyProtection="0">
      <alignment horizontal="left" vertical="top" indent="1"/>
    </xf>
    <xf numFmtId="0" fontId="88" fillId="96" borderId="104" applyNumberFormat="0" applyProtection="0">
      <alignment horizontal="left" vertical="top" indent="1"/>
    </xf>
    <xf numFmtId="0" fontId="88" fillId="125" borderId="99" applyNumberFormat="0" applyProtection="0">
      <alignment horizontal="left" vertical="center" indent="1"/>
    </xf>
    <xf numFmtId="0" fontId="88" fillId="96" borderId="104" applyNumberFormat="0" applyProtection="0">
      <alignment horizontal="left" vertical="top" indent="1"/>
    </xf>
    <xf numFmtId="0" fontId="88" fillId="0" borderId="1"/>
    <xf numFmtId="0" fontId="66" fillId="98" borderId="106" applyNumberFormat="0">
      <protection locked="0"/>
    </xf>
    <xf numFmtId="0" fontId="88" fillId="98" borderId="4" applyNumberFormat="0">
      <protection locked="0"/>
    </xf>
    <xf numFmtId="0" fontId="88" fillId="98" borderId="4" applyNumberFormat="0">
      <protection locked="0"/>
    </xf>
    <xf numFmtId="0" fontId="66" fillId="98" borderId="106" applyNumberFormat="0">
      <protection locked="0"/>
    </xf>
    <xf numFmtId="0" fontId="88" fillId="0" borderId="1"/>
    <xf numFmtId="0" fontId="88" fillId="98" borderId="4" applyNumberFormat="0">
      <protection locked="0"/>
    </xf>
    <xf numFmtId="0" fontId="88" fillId="0" borderId="1"/>
    <xf numFmtId="0" fontId="88" fillId="0" borderId="1"/>
    <xf numFmtId="0" fontId="72" fillId="94" borderId="107" applyBorder="0"/>
    <xf numFmtId="4" fontId="159" fillId="100" borderId="99" applyNumberFormat="0" applyProtection="0">
      <alignment vertical="center"/>
    </xf>
    <xf numFmtId="4" fontId="159" fillId="99" borderId="104" applyNumberFormat="0" applyProtection="0">
      <alignment vertical="center"/>
    </xf>
    <xf numFmtId="4" fontId="159" fillId="100" borderId="99" applyNumberFormat="0" applyProtection="0">
      <alignment vertical="center"/>
    </xf>
    <xf numFmtId="4" fontId="207" fillId="150" borderId="104" applyNumberFormat="0" applyProtection="0">
      <alignment vertical="center"/>
    </xf>
    <xf numFmtId="0" fontId="88" fillId="0" borderId="1"/>
    <xf numFmtId="4" fontId="204" fillId="100" borderId="99" applyNumberFormat="0" applyProtection="0">
      <alignment vertical="center"/>
    </xf>
    <xf numFmtId="4" fontId="204" fillId="99" borderId="104" applyNumberFormat="0" applyProtection="0">
      <alignment vertical="center"/>
    </xf>
    <xf numFmtId="4" fontId="204" fillId="100" borderId="99" applyNumberFormat="0" applyProtection="0">
      <alignment vertical="center"/>
    </xf>
    <xf numFmtId="4" fontId="208" fillId="150" borderId="104" applyNumberFormat="0" applyProtection="0">
      <alignment vertical="center"/>
    </xf>
    <xf numFmtId="0" fontId="88" fillId="0" borderId="1"/>
    <xf numFmtId="4" fontId="159" fillId="100" borderId="99" applyNumberFormat="0" applyProtection="0">
      <alignment horizontal="left" vertical="center" indent="1"/>
    </xf>
    <xf numFmtId="4" fontId="159" fillId="99" borderId="104" applyNumberFormat="0" applyProtection="0">
      <alignment horizontal="left" vertical="center" indent="1"/>
    </xf>
    <xf numFmtId="4" fontId="159" fillId="100" borderId="99" applyNumberFormat="0" applyProtection="0">
      <alignment horizontal="left" vertical="center" indent="1"/>
    </xf>
    <xf numFmtId="4" fontId="203" fillId="122" borderId="138" applyNumberFormat="0" applyProtection="0">
      <alignment horizontal="left" vertical="center" indent="1"/>
    </xf>
    <xf numFmtId="0" fontId="88" fillId="0" borderId="1"/>
    <xf numFmtId="4" fontId="159" fillId="100" borderId="99" applyNumberFormat="0" applyProtection="0">
      <alignment horizontal="left" vertical="center" indent="1"/>
    </xf>
    <xf numFmtId="0" fontId="159" fillId="99" borderId="104" applyNumberFormat="0" applyProtection="0">
      <alignment horizontal="left" vertical="top" indent="1"/>
    </xf>
    <xf numFmtId="0" fontId="88" fillId="0" borderId="1"/>
    <xf numFmtId="4" fontId="159" fillId="96" borderId="104" applyNumberFormat="0" applyProtection="0">
      <alignment horizontal="right" vertical="center"/>
    </xf>
    <xf numFmtId="4" fontId="159" fillId="96" borderId="104" applyNumberFormat="0" applyProtection="0">
      <alignment horizontal="right" vertical="center"/>
    </xf>
    <xf numFmtId="4" fontId="159" fillId="96" borderId="104" applyNumberFormat="0" applyProtection="0">
      <alignment horizontal="right" vertical="center"/>
    </xf>
    <xf numFmtId="4" fontId="159" fillId="148" borderId="99" applyNumberFormat="0" applyProtection="0">
      <alignment horizontal="right" vertical="center"/>
    </xf>
    <xf numFmtId="4" fontId="66" fillId="0" borderId="85" applyNumberFormat="0" applyProtection="0">
      <alignment horizontal="right" vertical="center"/>
    </xf>
    <xf numFmtId="4" fontId="207" fillId="150" borderId="104" applyNumberFormat="0" applyProtection="0">
      <alignment horizontal="right" vertical="center"/>
    </xf>
    <xf numFmtId="4" fontId="66" fillId="0" borderId="85" applyNumberFormat="0" applyProtection="0">
      <alignment horizontal="right" vertical="center"/>
    </xf>
    <xf numFmtId="4" fontId="204" fillId="148" borderId="99" applyNumberFormat="0" applyProtection="0">
      <alignment horizontal="right" vertical="center"/>
    </xf>
    <xf numFmtId="4" fontId="204" fillId="96" borderId="104" applyNumberFormat="0" applyProtection="0">
      <alignment horizontal="right" vertical="center"/>
    </xf>
    <xf numFmtId="4" fontId="204" fillId="148" borderId="99" applyNumberFormat="0" applyProtection="0">
      <alignment horizontal="right" vertical="center"/>
    </xf>
    <xf numFmtId="4" fontId="208" fillId="150" borderId="104" applyNumberFormat="0" applyProtection="0">
      <alignment horizontal="right" vertical="center"/>
    </xf>
    <xf numFmtId="0" fontId="88" fillId="0" borderId="1"/>
    <xf numFmtId="0" fontId="88" fillId="125" borderId="99" applyNumberFormat="0" applyProtection="0">
      <alignment horizontal="left" vertical="center" indent="1"/>
    </xf>
    <xf numFmtId="4" fontId="203" fillId="122" borderId="104" applyNumberFormat="0" applyProtection="0">
      <alignment horizontal="left" vertical="center" indent="1"/>
    </xf>
    <xf numFmtId="4" fontId="159" fillId="95" borderId="104" applyNumberFormat="0" applyProtection="0">
      <alignment horizontal="left" vertical="center" indent="1"/>
    </xf>
    <xf numFmtId="4" fontId="159" fillId="95" borderId="104" applyNumberFormat="0" applyProtection="0">
      <alignment horizontal="left" vertical="center" indent="1"/>
    </xf>
    <xf numFmtId="4" fontId="66" fillId="39" borderId="85" applyNumberFormat="0" applyProtection="0">
      <alignment horizontal="left" vertical="center" indent="1"/>
    </xf>
    <xf numFmtId="0" fontId="88" fillId="125" borderId="99" applyNumberFormat="0" applyProtection="0">
      <alignment horizontal="left" vertical="center" indent="1"/>
    </xf>
    <xf numFmtId="4" fontId="203" fillId="122" borderId="104" applyNumberFormat="0" applyProtection="0">
      <alignment horizontal="left" vertical="center" indent="1"/>
    </xf>
    <xf numFmtId="4" fontId="66" fillId="39" borderId="85" applyNumberFormat="0" applyProtection="0">
      <alignment horizontal="left" vertical="center" indent="1"/>
    </xf>
    <xf numFmtId="4" fontId="203" fillId="122" borderId="104" applyNumberFormat="0" applyProtection="0">
      <alignment horizontal="left" vertical="center" indent="1"/>
    </xf>
    <xf numFmtId="4" fontId="203" fillId="122" borderId="104" applyNumberFormat="0" applyProtection="0">
      <alignment horizontal="left" vertical="center" indent="1"/>
    </xf>
    <xf numFmtId="4" fontId="203" fillId="122" borderId="104" applyNumberFormat="0" applyProtection="0">
      <alignment horizontal="left" vertical="center" indent="1"/>
    </xf>
    <xf numFmtId="4" fontId="203" fillId="122" borderId="104" applyNumberFormat="0" applyProtection="0">
      <alignment horizontal="left" vertical="center" indent="1"/>
    </xf>
    <xf numFmtId="4" fontId="203" fillId="122" borderId="104" applyNumberFormat="0" applyProtection="0">
      <alignment horizontal="left" vertical="center" indent="1"/>
    </xf>
    <xf numFmtId="0" fontId="88" fillId="125" borderId="99" applyNumberFormat="0" applyProtection="0">
      <alignment horizontal="left" vertical="center" indent="1"/>
    </xf>
    <xf numFmtId="0" fontId="159" fillId="95" borderId="104" applyNumberFormat="0" applyProtection="0">
      <alignment horizontal="left" vertical="top" indent="1"/>
    </xf>
    <xf numFmtId="0" fontId="88" fillId="125" borderId="99" applyNumberFormat="0" applyProtection="0">
      <alignment horizontal="left" vertical="center" indent="1"/>
    </xf>
    <xf numFmtId="0" fontId="88" fillId="0" borderId="1"/>
    <xf numFmtId="0" fontId="209" fillId="0" borderId="1"/>
    <xf numFmtId="4" fontId="210" fillId="102" borderId="1" applyNumberFormat="0" applyProtection="0">
      <alignment horizontal="left" vertical="center" indent="1"/>
    </xf>
    <xf numFmtId="0" fontId="209" fillId="0" borderId="1"/>
    <xf numFmtId="4" fontId="210" fillId="121" borderId="138" applyNumberFormat="0" applyProtection="0">
      <alignment horizontal="left" vertical="center" indent="1"/>
    </xf>
    <xf numFmtId="0" fontId="88" fillId="0" borderId="1"/>
    <xf numFmtId="0" fontId="66" fillId="103" borderId="4"/>
    <xf numFmtId="4" fontId="211" fillId="148" borderId="99" applyNumberFormat="0" applyProtection="0">
      <alignment horizontal="right" vertical="center"/>
    </xf>
    <xf numFmtId="4" fontId="211" fillId="96" borderId="104" applyNumberFormat="0" applyProtection="0">
      <alignment horizontal="right" vertical="center"/>
    </xf>
    <xf numFmtId="4" fontId="211" fillId="148" borderId="99" applyNumberFormat="0" applyProtection="0">
      <alignment horizontal="right" vertical="center"/>
    </xf>
    <xf numFmtId="4" fontId="212" fillId="150" borderId="104" applyNumberFormat="0" applyProtection="0">
      <alignment horizontal="right" vertical="center"/>
    </xf>
    <xf numFmtId="0" fontId="88" fillId="0" borderId="1"/>
    <xf numFmtId="0" fontId="87" fillId="47" borderId="1" applyNumberFormat="0" applyBorder="0" applyAlignment="0" applyProtection="0"/>
    <xf numFmtId="0" fontId="170" fillId="48" borderId="1" applyNumberFormat="0" applyBorder="0" applyAlignment="0" applyProtection="0"/>
    <xf numFmtId="43" fontId="88" fillId="0" borderId="1" applyFont="0" applyFill="0" applyBorder="0" applyAlignment="0" applyProtection="0"/>
    <xf numFmtId="165" fontId="88" fillId="0" borderId="1" applyFont="0" applyFill="0" applyBorder="0" applyAlignment="0" applyProtection="0"/>
    <xf numFmtId="0" fontId="112" fillId="0" borderId="1" applyNumberFormat="0" applyFill="0" applyBorder="0" applyAlignment="0" applyProtection="0"/>
    <xf numFmtId="0" fontId="106" fillId="79" borderId="99" applyNumberFormat="0" applyAlignment="0" applyProtection="0"/>
    <xf numFmtId="0" fontId="159" fillId="0" borderId="1">
      <alignment vertical="top"/>
    </xf>
    <xf numFmtId="0" fontId="88" fillId="0" borderId="1"/>
    <xf numFmtId="0" fontId="88" fillId="0" borderId="1"/>
    <xf numFmtId="0" fontId="182" fillId="121" borderId="139" applyFill="0" applyBorder="0">
      <alignment wrapText="1"/>
      <protection locked="0"/>
    </xf>
    <xf numFmtId="0" fontId="180" fillId="0" borderId="1" applyNumberFormat="0" applyFill="0" applyBorder="0" applyAlignment="0" applyProtection="0"/>
    <xf numFmtId="0" fontId="116" fillId="0" borderId="1" applyNumberFormat="0" applyFill="0" applyBorder="0" applyAlignment="0" applyProtection="0"/>
    <xf numFmtId="0" fontId="167" fillId="0" borderId="1" applyNumberFormat="0" applyFill="0" applyBorder="0" applyAlignment="0" applyProtection="0"/>
    <xf numFmtId="0" fontId="116" fillId="0" borderId="1" applyNumberFormat="0" applyFill="0" applyBorder="0" applyAlignment="0" applyProtection="0"/>
    <xf numFmtId="0" fontId="167" fillId="0" borderId="1" applyNumberFormat="0" applyFill="0" applyBorder="0" applyAlignment="0" applyProtection="0"/>
    <xf numFmtId="0" fontId="167" fillId="0" borderId="1" applyNumberFormat="0" applyFill="0" applyBorder="0" applyAlignment="0" applyProtection="0"/>
    <xf numFmtId="0" fontId="167" fillId="0" borderId="1" applyNumberFormat="0" applyFill="0" applyBorder="0" applyAlignment="0" applyProtection="0"/>
    <xf numFmtId="0" fontId="167" fillId="0" borderId="1" applyNumberFormat="0" applyFill="0" applyBorder="0" applyAlignment="0" applyProtection="0"/>
    <xf numFmtId="0" fontId="167" fillId="0" borderId="1" applyNumberFormat="0" applyFill="0" applyBorder="0" applyAlignment="0" applyProtection="0"/>
    <xf numFmtId="0" fontId="167" fillId="0" borderId="1" applyNumberFormat="0" applyFill="0" applyBorder="0" applyAlignment="0" applyProtection="0"/>
    <xf numFmtId="0" fontId="167" fillId="0" borderId="1" applyNumberFormat="0" applyFill="0" applyBorder="0" applyAlignment="0" applyProtection="0"/>
    <xf numFmtId="0" fontId="167" fillId="0" borderId="1" applyNumberFormat="0" applyFill="0" applyBorder="0" applyAlignment="0" applyProtection="0"/>
    <xf numFmtId="0" fontId="63" fillId="0" borderId="1" applyNumberFormat="0" applyFill="0" applyBorder="0" applyAlignment="0" applyProtection="0"/>
    <xf numFmtId="0" fontId="63" fillId="0" borderId="1" applyNumberFormat="0" applyFill="0" applyBorder="0" applyAlignment="0" applyProtection="0"/>
    <xf numFmtId="0" fontId="63" fillId="0" borderId="1" applyNumberFormat="0" applyFill="0" applyBorder="0" applyAlignment="0" applyProtection="0"/>
    <xf numFmtId="0" fontId="63" fillId="0" borderId="1" applyNumberFormat="0" applyFill="0" applyBorder="0" applyAlignment="0" applyProtection="0"/>
    <xf numFmtId="0" fontId="167" fillId="0" borderId="1" applyNumberFormat="0" applyFill="0" applyBorder="0" applyAlignment="0" applyProtection="0"/>
    <xf numFmtId="0" fontId="167" fillId="0" borderId="1" applyNumberFormat="0" applyFill="0" applyBorder="0" applyAlignment="0" applyProtection="0"/>
    <xf numFmtId="0" fontId="180" fillId="0" borderId="1" applyNumberFormat="0" applyFill="0" applyBorder="0" applyAlignment="0" applyProtection="0"/>
    <xf numFmtId="0" fontId="180" fillId="0" borderId="1" applyNumberFormat="0" applyFill="0" applyBorder="0" applyAlignment="0" applyProtection="0"/>
    <xf numFmtId="0" fontId="180" fillId="0" borderId="1" applyNumberFormat="0" applyFill="0" applyBorder="0" applyAlignment="0" applyProtection="0"/>
    <xf numFmtId="0" fontId="180" fillId="0" borderId="1" applyNumberFormat="0" applyFill="0" applyBorder="0" applyAlignment="0" applyProtection="0"/>
    <xf numFmtId="0" fontId="180" fillId="0" borderId="1" applyNumberFormat="0" applyFill="0" applyBorder="0" applyAlignment="0" applyProtection="0"/>
    <xf numFmtId="0" fontId="180" fillId="0" borderId="1" applyNumberFormat="0" applyFill="0" applyBorder="0" applyAlignment="0" applyProtection="0"/>
    <xf numFmtId="0" fontId="180" fillId="0" borderId="1" applyNumberFormat="0" applyFill="0" applyBorder="0" applyAlignment="0" applyProtection="0"/>
    <xf numFmtId="0" fontId="180" fillId="0" borderId="1" applyNumberFormat="0" applyFill="0" applyBorder="0" applyAlignment="0" applyProtection="0"/>
    <xf numFmtId="0" fontId="180" fillId="0" borderId="1" applyNumberFormat="0" applyFill="0" applyBorder="0" applyAlignment="0" applyProtection="0"/>
    <xf numFmtId="0" fontId="180" fillId="0" borderId="1" applyNumberFormat="0" applyFill="0" applyBorder="0" applyAlignment="0" applyProtection="0"/>
    <xf numFmtId="0" fontId="64" fillId="0" borderId="1" applyNumberFormat="0" applyFill="0" applyBorder="0" applyAlignment="0" applyProtection="0"/>
    <xf numFmtId="0" fontId="64" fillId="0" borderId="1" applyNumberFormat="0" applyFill="0" applyBorder="0" applyAlignment="0" applyProtection="0"/>
    <xf numFmtId="0" fontId="64" fillId="0" borderId="1" applyNumberFormat="0" applyFill="0" applyBorder="0" applyAlignment="0" applyProtection="0"/>
    <xf numFmtId="0" fontId="64" fillId="0" borderId="1" applyNumberFormat="0" applyFill="0" applyBorder="0" applyAlignment="0" applyProtection="0"/>
    <xf numFmtId="0" fontId="180" fillId="0" borderId="1" applyNumberFormat="0" applyFill="0" applyBorder="0" applyAlignment="0" applyProtection="0"/>
    <xf numFmtId="0" fontId="112" fillId="0" borderId="1" applyNumberFormat="0" applyFill="0" applyBorder="0" applyAlignment="0" applyProtection="0"/>
    <xf numFmtId="0" fontId="112" fillId="0" borderId="1" applyNumberFormat="0" applyFill="0" applyBorder="0" applyAlignment="0" applyProtection="0"/>
    <xf numFmtId="0" fontId="112" fillId="0" borderId="1" applyNumberFormat="0" applyFill="0" applyBorder="0" applyAlignment="0" applyProtection="0"/>
    <xf numFmtId="0" fontId="112" fillId="0" borderId="1" applyNumberFormat="0" applyFill="0" applyBorder="0" applyAlignment="0" applyProtection="0"/>
    <xf numFmtId="0" fontId="112" fillId="0" borderId="1" applyNumberFormat="0" applyFill="0" applyBorder="0" applyAlignment="0" applyProtection="0"/>
    <xf numFmtId="0" fontId="112" fillId="0" borderId="1" applyNumberFormat="0" applyFill="0" applyBorder="0" applyAlignment="0" applyProtection="0"/>
    <xf numFmtId="0" fontId="51" fillId="0" borderId="1" applyNumberFormat="0" applyFill="0" applyBorder="0" applyAlignment="0" applyProtection="0"/>
    <xf numFmtId="0" fontId="213" fillId="0" borderId="1" applyNumberFormat="0" applyFill="0" applyBorder="0" applyAlignment="0" applyProtection="0"/>
    <xf numFmtId="0" fontId="214" fillId="0" borderId="101" applyNumberFormat="0" applyFill="0" applyAlignment="0" applyProtection="0"/>
    <xf numFmtId="0" fontId="215" fillId="0" borderId="102" applyNumberFormat="0" applyFill="0" applyAlignment="0" applyProtection="0"/>
    <xf numFmtId="0" fontId="178" fillId="0" borderId="103" applyNumberFormat="0" applyFill="0" applyAlignment="0" applyProtection="0"/>
    <xf numFmtId="0" fontId="178" fillId="0" borderId="1" applyNumberFormat="0" applyFill="0" applyBorder="0" applyAlignment="0" applyProtection="0"/>
    <xf numFmtId="0" fontId="214" fillId="0" borderId="101" applyNumberFormat="0" applyFill="0" applyAlignment="0" applyProtection="0"/>
    <xf numFmtId="0" fontId="214" fillId="0" borderId="101" applyNumberFormat="0" applyFill="0" applyAlignment="0" applyProtection="0"/>
    <xf numFmtId="0" fontId="214" fillId="0" borderId="101" applyNumberFormat="0" applyFill="0" applyAlignment="0" applyProtection="0"/>
    <xf numFmtId="0" fontId="214" fillId="0" borderId="101" applyNumberFormat="0" applyFill="0" applyAlignment="0" applyProtection="0"/>
    <xf numFmtId="0" fontId="214" fillId="0" borderId="101" applyNumberFormat="0" applyFill="0" applyAlignment="0" applyProtection="0"/>
    <xf numFmtId="0" fontId="214" fillId="0" borderId="101" applyNumberFormat="0" applyFill="0" applyAlignment="0" applyProtection="0"/>
    <xf numFmtId="0" fontId="214" fillId="0" borderId="101" applyNumberFormat="0" applyFill="0" applyAlignment="0" applyProtection="0"/>
    <xf numFmtId="0" fontId="214" fillId="0" borderId="101" applyNumberFormat="0" applyFill="0" applyAlignment="0" applyProtection="0"/>
    <xf numFmtId="0" fontId="214" fillId="0" borderId="101" applyNumberFormat="0" applyFill="0" applyAlignment="0" applyProtection="0"/>
    <xf numFmtId="0" fontId="214" fillId="0" borderId="101" applyNumberFormat="0" applyFill="0" applyAlignment="0" applyProtection="0"/>
    <xf numFmtId="0" fontId="52" fillId="0" borderId="76" applyNumberFormat="0" applyFill="0" applyAlignment="0" applyProtection="0"/>
    <xf numFmtId="0" fontId="52" fillId="0" borderId="76" applyNumberFormat="0" applyFill="0" applyAlignment="0" applyProtection="0"/>
    <xf numFmtId="0" fontId="52" fillId="0" borderId="76" applyNumberFormat="0" applyFill="0" applyAlignment="0" applyProtection="0"/>
    <xf numFmtId="0" fontId="52" fillId="0" borderId="76" applyNumberFormat="0" applyFill="0" applyAlignment="0" applyProtection="0"/>
    <xf numFmtId="0" fontId="216" fillId="0" borderId="140" applyNumberFormat="0" applyFill="0" applyAlignment="0" applyProtection="0"/>
    <xf numFmtId="0" fontId="51" fillId="0" borderId="1" applyNumberFormat="0" applyFill="0" applyBorder="0" applyAlignment="0" applyProtection="0"/>
    <xf numFmtId="0" fontId="51" fillId="0" borderId="1" applyNumberFormat="0" applyFill="0" applyBorder="0" applyAlignment="0" applyProtection="0"/>
    <xf numFmtId="0" fontId="51" fillId="0" borderId="1" applyNumberFormat="0" applyFill="0" applyBorder="0" applyAlignment="0" applyProtection="0"/>
    <xf numFmtId="0" fontId="51" fillId="0" borderId="1" applyNumberFormat="0" applyFill="0" applyBorder="0" applyAlignment="0" applyProtection="0"/>
    <xf numFmtId="0" fontId="217" fillId="0" borderId="1" applyNumberFormat="0" applyFill="0" applyBorder="0" applyAlignment="0" applyProtection="0"/>
    <xf numFmtId="0" fontId="215" fillId="0" borderId="102" applyNumberFormat="0" applyFill="0" applyAlignment="0" applyProtection="0"/>
    <xf numFmtId="0" fontId="215" fillId="0" borderId="102" applyNumberFormat="0" applyFill="0" applyAlignment="0" applyProtection="0"/>
    <xf numFmtId="0" fontId="215" fillId="0" borderId="102" applyNumberFormat="0" applyFill="0" applyAlignment="0" applyProtection="0"/>
    <xf numFmtId="0" fontId="215" fillId="0" borderId="102" applyNumberFormat="0" applyFill="0" applyAlignment="0" applyProtection="0"/>
    <xf numFmtId="0" fontId="215" fillId="0" borderId="102" applyNumberFormat="0" applyFill="0" applyAlignment="0" applyProtection="0"/>
    <xf numFmtId="0" fontId="215" fillId="0" borderId="102" applyNumberFormat="0" applyFill="0" applyAlignment="0" applyProtection="0"/>
    <xf numFmtId="0" fontId="215" fillId="0" borderId="102" applyNumberFormat="0" applyFill="0" applyAlignment="0" applyProtection="0"/>
    <xf numFmtId="0" fontId="215" fillId="0" borderId="102" applyNumberFormat="0" applyFill="0" applyAlignment="0" applyProtection="0"/>
    <xf numFmtId="0" fontId="215" fillId="0" borderId="102" applyNumberFormat="0" applyFill="0" applyAlignment="0" applyProtection="0"/>
    <xf numFmtId="0" fontId="215" fillId="0" borderId="102" applyNumberFormat="0" applyFill="0" applyAlignment="0" applyProtection="0"/>
    <xf numFmtId="0" fontId="53" fillId="0" borderId="77" applyNumberFormat="0" applyFill="0" applyAlignment="0" applyProtection="0"/>
    <xf numFmtId="0" fontId="53" fillId="0" borderId="77" applyNumberFormat="0" applyFill="0" applyAlignment="0" applyProtection="0"/>
    <xf numFmtId="0" fontId="53" fillId="0" borderId="77" applyNumberFormat="0" applyFill="0" applyAlignment="0" applyProtection="0"/>
    <xf numFmtId="0" fontId="53" fillId="0" borderId="77" applyNumberFormat="0" applyFill="0" applyAlignment="0" applyProtection="0"/>
    <xf numFmtId="0" fontId="218" fillId="0" borderId="141" applyNumberFormat="0" applyFill="0" applyAlignment="0" applyProtection="0"/>
    <xf numFmtId="0" fontId="178" fillId="0" borderId="103" applyNumberFormat="0" applyFill="0" applyAlignment="0" applyProtection="0"/>
    <xf numFmtId="0" fontId="178" fillId="0" borderId="103" applyNumberFormat="0" applyFill="0" applyAlignment="0" applyProtection="0"/>
    <xf numFmtId="0" fontId="178" fillId="0" borderId="103" applyNumberFormat="0" applyFill="0" applyAlignment="0" applyProtection="0"/>
    <xf numFmtId="0" fontId="178" fillId="0" borderId="103" applyNumberFormat="0" applyFill="0" applyAlignment="0" applyProtection="0"/>
    <xf numFmtId="0" fontId="178" fillId="0" borderId="103" applyNumberFormat="0" applyFill="0" applyAlignment="0" applyProtection="0"/>
    <xf numFmtId="0" fontId="178" fillId="0" borderId="103" applyNumberFormat="0" applyFill="0" applyAlignment="0" applyProtection="0"/>
    <xf numFmtId="0" fontId="178" fillId="0" borderId="103" applyNumberFormat="0" applyFill="0" applyAlignment="0" applyProtection="0"/>
    <xf numFmtId="0" fontId="178" fillId="0" borderId="103" applyNumberFormat="0" applyFill="0" applyAlignment="0" applyProtection="0"/>
    <xf numFmtId="0" fontId="178" fillId="0" borderId="103" applyNumberFormat="0" applyFill="0" applyAlignment="0" applyProtection="0"/>
    <xf numFmtId="0" fontId="178" fillId="0" borderId="103" applyNumberFormat="0" applyFill="0" applyAlignment="0" applyProtection="0"/>
    <xf numFmtId="0" fontId="54" fillId="0" borderId="78" applyNumberFormat="0" applyFill="0" applyAlignment="0" applyProtection="0"/>
    <xf numFmtId="0" fontId="54" fillId="0" borderId="78" applyNumberFormat="0" applyFill="0" applyAlignment="0" applyProtection="0"/>
    <xf numFmtId="0" fontId="54" fillId="0" borderId="78" applyNumberFormat="0" applyFill="0" applyAlignment="0" applyProtection="0"/>
    <xf numFmtId="0" fontId="54" fillId="0" borderId="78" applyNumberFormat="0" applyFill="0" applyAlignment="0" applyProtection="0"/>
    <xf numFmtId="0" fontId="179" fillId="0" borderId="142" applyNumberFormat="0" applyFill="0" applyAlignment="0" applyProtection="0"/>
    <xf numFmtId="0" fontId="213" fillId="0" borderId="1" applyNumberFormat="0" applyFill="0" applyBorder="0" applyAlignment="0" applyProtection="0"/>
    <xf numFmtId="0" fontId="213" fillId="0" borderId="1" applyNumberFormat="0" applyFill="0" applyBorder="0" applyAlignment="0" applyProtection="0"/>
    <xf numFmtId="0" fontId="178" fillId="0" borderId="1" applyNumberFormat="0" applyFill="0" applyBorder="0" applyAlignment="0" applyProtection="0"/>
    <xf numFmtId="0" fontId="178" fillId="0" borderId="1" applyNumberFormat="0" applyFill="0" applyBorder="0" applyAlignment="0" applyProtection="0"/>
    <xf numFmtId="0" fontId="213" fillId="0" borderId="1" applyNumberFormat="0" applyFill="0" applyBorder="0" applyAlignment="0" applyProtection="0"/>
    <xf numFmtId="0" fontId="213" fillId="0" borderId="1" applyNumberFormat="0" applyFill="0" applyBorder="0" applyAlignment="0" applyProtection="0"/>
    <xf numFmtId="0" fontId="213" fillId="0" borderId="1" applyNumberFormat="0" applyFill="0" applyBorder="0" applyAlignment="0" applyProtection="0"/>
    <xf numFmtId="0" fontId="213" fillId="0" borderId="1" applyNumberFormat="0" applyFill="0" applyBorder="0" applyAlignment="0" applyProtection="0"/>
    <xf numFmtId="0" fontId="213" fillId="0" borderId="1" applyNumberFormat="0" applyFill="0" applyBorder="0" applyAlignment="0" applyProtection="0"/>
    <xf numFmtId="0" fontId="213" fillId="0" borderId="1" applyNumberFormat="0" applyFill="0" applyBorder="0" applyAlignment="0" applyProtection="0"/>
    <xf numFmtId="0" fontId="213" fillId="0" borderId="1" applyNumberFormat="0" applyFill="0" applyBorder="0" applyAlignment="0" applyProtection="0"/>
    <xf numFmtId="0" fontId="213" fillId="0" borderId="1" applyNumberFormat="0" applyFill="0" applyBorder="0" applyAlignment="0" applyProtection="0"/>
    <xf numFmtId="0" fontId="92" fillId="0" borderId="108" applyNumberFormat="0" applyFill="0" applyAlignment="0" applyProtection="0"/>
    <xf numFmtId="0" fontId="92" fillId="0" borderId="108" applyNumberFormat="0" applyFill="0" applyAlignment="0" applyProtection="0"/>
    <xf numFmtId="0" fontId="92" fillId="0" borderId="112" applyNumberFormat="0" applyFill="0" applyAlignment="0" applyProtection="0"/>
    <xf numFmtId="0" fontId="92" fillId="0" borderId="112" applyNumberFormat="0" applyFill="0" applyAlignment="0" applyProtection="0"/>
    <xf numFmtId="186" fontId="88" fillId="0" borderId="143">
      <protection locked="0"/>
    </xf>
    <xf numFmtId="0" fontId="92" fillId="0" borderId="108" applyNumberFormat="0" applyFill="0" applyAlignment="0" applyProtection="0"/>
    <xf numFmtId="0" fontId="92" fillId="0" borderId="129" applyNumberFormat="0" applyFill="0" applyAlignment="0" applyProtection="0"/>
    <xf numFmtId="0" fontId="19" fillId="0" borderId="84" applyNumberFormat="0" applyFill="0" applyAlignment="0" applyProtection="0"/>
    <xf numFmtId="0" fontId="92" fillId="0" borderId="108" applyNumberFormat="0" applyFill="0" applyAlignment="0" applyProtection="0"/>
    <xf numFmtId="0" fontId="19" fillId="0" borderId="84" applyNumberFormat="0" applyFill="0" applyAlignment="0" applyProtection="0"/>
    <xf numFmtId="0" fontId="19" fillId="0" borderId="84" applyNumberFormat="0" applyFill="0" applyAlignment="0" applyProtection="0"/>
    <xf numFmtId="0" fontId="19" fillId="0" borderId="84" applyNumberFormat="0" applyFill="0" applyAlignment="0" applyProtection="0"/>
    <xf numFmtId="0" fontId="92" fillId="0" borderId="144" applyNumberFormat="0" applyFill="0" applyAlignment="0" applyProtection="0"/>
    <xf numFmtId="186" fontId="88" fillId="0" borderId="143">
      <protection locked="0"/>
    </xf>
    <xf numFmtId="0" fontId="92" fillId="0" borderId="112" applyNumberFormat="0" applyFill="0" applyAlignment="0" applyProtection="0"/>
    <xf numFmtId="0" fontId="92" fillId="0" borderId="108" applyNumberFormat="0" applyFill="0" applyAlignment="0" applyProtection="0"/>
    <xf numFmtId="0" fontId="92" fillId="0" borderId="129" applyNumberFormat="0" applyFill="0" applyAlignment="0" applyProtection="0"/>
    <xf numFmtId="0" fontId="92" fillId="0" borderId="108" applyNumberFormat="0" applyFill="0" applyAlignment="0" applyProtection="0"/>
    <xf numFmtId="186" fontId="88" fillId="0" borderId="143">
      <protection locked="0"/>
    </xf>
    <xf numFmtId="0" fontId="92" fillId="0" borderId="108" applyNumberFormat="0" applyFill="0" applyAlignment="0" applyProtection="0"/>
    <xf numFmtId="0" fontId="92" fillId="0" borderId="108" applyNumberFormat="0" applyFill="0" applyAlignment="0" applyProtection="0"/>
    <xf numFmtId="0" fontId="92" fillId="0" borderId="108" applyNumberFormat="0" applyFill="0" applyAlignment="0" applyProtection="0"/>
    <xf numFmtId="0" fontId="92" fillId="0" borderId="112" applyNumberFormat="0" applyFill="0" applyAlignment="0" applyProtection="0"/>
    <xf numFmtId="0" fontId="92" fillId="0" borderId="129" applyNumberFormat="0" applyFill="0" applyAlignment="0" applyProtection="0"/>
    <xf numFmtId="0" fontId="92" fillId="0" borderId="108" applyNumberFormat="0" applyFill="0" applyAlignment="0" applyProtection="0"/>
    <xf numFmtId="0" fontId="92" fillId="0" borderId="108" applyNumberFormat="0" applyFill="0" applyAlignment="0" applyProtection="0"/>
    <xf numFmtId="0" fontId="92" fillId="0" borderId="129" applyNumberFormat="0" applyFill="0" applyAlignment="0" applyProtection="0"/>
    <xf numFmtId="0" fontId="92" fillId="0" borderId="108" applyNumberFormat="0" applyFill="0" applyAlignment="0" applyProtection="0"/>
    <xf numFmtId="0" fontId="92" fillId="0" borderId="129" applyNumberFormat="0" applyFill="0" applyAlignment="0" applyProtection="0"/>
    <xf numFmtId="0" fontId="92" fillId="0" borderId="108" applyNumberFormat="0" applyFill="0" applyAlignment="0" applyProtection="0"/>
    <xf numFmtId="0" fontId="19" fillId="0" borderId="84" applyNumberFormat="0" applyFill="0" applyAlignment="0" applyProtection="0"/>
    <xf numFmtId="0" fontId="92" fillId="0" borderId="108" applyNumberFormat="0" applyFill="0" applyAlignment="0" applyProtection="0"/>
    <xf numFmtId="0" fontId="19" fillId="0" borderId="84" applyNumberFormat="0" applyFill="0" applyAlignment="0" applyProtection="0"/>
    <xf numFmtId="0" fontId="19" fillId="0" borderId="84" applyNumberFormat="0" applyFill="0" applyAlignment="0" applyProtection="0"/>
    <xf numFmtId="0" fontId="19" fillId="0" borderId="84" applyNumberFormat="0" applyFill="0" applyAlignment="0" applyProtection="0"/>
    <xf numFmtId="0" fontId="92" fillId="0" borderId="144" applyNumberFormat="0" applyFill="0" applyAlignment="0" applyProtection="0"/>
    <xf numFmtId="0" fontId="92" fillId="0" borderId="108" applyNumberFormat="0" applyFill="0" applyAlignment="0" applyProtection="0"/>
    <xf numFmtId="0" fontId="112" fillId="0" borderId="1" applyNumberFormat="0" applyFill="0" applyBorder="0" applyAlignment="0" applyProtection="0"/>
    <xf numFmtId="0" fontId="117" fillId="0" borderId="130" applyNumberFormat="0" applyFill="0" applyAlignment="0" applyProtection="0"/>
    <xf numFmtId="0" fontId="118" fillId="0" borderId="145" applyNumberFormat="0" applyFill="0" applyAlignment="0" applyProtection="0"/>
    <xf numFmtId="0" fontId="93" fillId="0" borderId="146" applyNumberFormat="0" applyFill="0" applyAlignment="0" applyProtection="0"/>
    <xf numFmtId="0" fontId="93" fillId="0" borderId="1" applyNumberFormat="0" applyFill="0" applyBorder="0" applyAlignment="0" applyProtection="0"/>
    <xf numFmtId="0" fontId="86" fillId="87" borderId="96" applyNumberFormat="0" applyAlignment="0" applyProtection="0"/>
    <xf numFmtId="0" fontId="189" fillId="0" borderId="134" applyNumberFormat="0" applyFill="0" applyAlignment="0" applyProtection="0"/>
    <xf numFmtId="0" fontId="167" fillId="0" borderId="1" applyNumberFormat="0" applyFill="0" applyBorder="0" applyAlignment="0" applyProtection="0"/>
    <xf numFmtId="0" fontId="167" fillId="0" borderId="1" applyNumberFormat="0" applyFill="0" applyBorder="0" applyAlignment="0" applyProtection="0"/>
    <xf numFmtId="0" fontId="167" fillId="0" borderId="1" applyNumberFormat="0" applyFill="0" applyBorder="0" applyAlignment="0" applyProtection="0"/>
    <xf numFmtId="0" fontId="167" fillId="0" borderId="1" applyNumberFormat="0" applyFill="0" applyBorder="0" applyAlignment="0" applyProtection="0"/>
    <xf numFmtId="0" fontId="167" fillId="0" borderId="1" applyNumberFormat="0" applyFill="0" applyBorder="0" applyAlignment="0" applyProtection="0"/>
    <xf numFmtId="0" fontId="167" fillId="0" borderId="1" applyNumberFormat="0" applyFill="0" applyBorder="0" applyAlignment="0" applyProtection="0"/>
    <xf numFmtId="0" fontId="167" fillId="0" borderId="1" applyNumberFormat="0" applyFill="0" applyBorder="0" applyAlignment="0" applyProtection="0"/>
    <xf numFmtId="0" fontId="63" fillId="0" borderId="1" applyNumberFormat="0" applyFill="0" applyBorder="0" applyAlignment="0" applyProtection="0"/>
    <xf numFmtId="0" fontId="86" fillId="87" borderId="96" applyNumberFormat="0" applyAlignment="0" applyProtection="0"/>
    <xf numFmtId="0" fontId="219" fillId="0" borderId="1">
      <alignment horizontal="left"/>
      <protection locked="0"/>
    </xf>
    <xf numFmtId="43" fontId="99" fillId="0" borderId="1" applyFont="0" applyFill="0" applyBorder="0" applyAlignment="0" applyProtection="0"/>
    <xf numFmtId="43" fontId="99" fillId="0" borderId="1" applyFont="0" applyFill="0" applyBorder="0" applyAlignment="0" applyProtection="0"/>
    <xf numFmtId="0" fontId="88" fillId="0" borderId="1"/>
    <xf numFmtId="0" fontId="88" fillId="0" borderId="1"/>
    <xf numFmtId="0" fontId="88" fillId="0" borderId="1"/>
    <xf numFmtId="0" fontId="88" fillId="0" borderId="1"/>
    <xf numFmtId="3" fontId="145" fillId="0" borderId="1"/>
    <xf numFmtId="0" fontId="84" fillId="135" borderId="1" applyNumberFormat="0" applyBorder="0" applyAlignment="0" applyProtection="0"/>
    <xf numFmtId="0" fontId="84" fillId="135" borderId="1" applyNumberFormat="0" applyBorder="0" applyAlignment="0" applyProtection="0"/>
    <xf numFmtId="0" fontId="84" fillId="134" borderId="1" applyNumberFormat="0" applyBorder="0" applyAlignment="0" applyProtection="0"/>
    <xf numFmtId="0" fontId="84" fillId="134" borderId="1" applyNumberFormat="0" applyBorder="0" applyAlignment="0" applyProtection="0"/>
    <xf numFmtId="0" fontId="84" fillId="133" borderId="1" applyNumberFormat="0" applyBorder="0" applyAlignment="0" applyProtection="0"/>
    <xf numFmtId="0" fontId="84" fillId="133" borderId="1" applyNumberFormat="0" applyBorder="0" applyAlignment="0" applyProtection="0"/>
    <xf numFmtId="0" fontId="84" fillId="67" borderId="1" applyNumberFormat="0" applyBorder="0" applyAlignment="0" applyProtection="0"/>
    <xf numFmtId="0" fontId="84" fillId="67" borderId="1" applyNumberFormat="0" applyBorder="0" applyAlignment="0" applyProtection="0"/>
    <xf numFmtId="0" fontId="84" fillId="84" borderId="1" applyNumberFormat="0" applyBorder="0" applyAlignment="0" applyProtection="0"/>
    <xf numFmtId="0" fontId="84" fillId="84" borderId="1" applyNumberFormat="0" applyBorder="0" applyAlignment="0" applyProtection="0"/>
    <xf numFmtId="0" fontId="84" fillId="83" borderId="1" applyNumberFormat="0" applyBorder="0" applyAlignment="0" applyProtection="0"/>
    <xf numFmtId="0" fontId="84" fillId="83" borderId="1" applyNumberFormat="0" applyBorder="0" applyAlignment="0" applyProtection="0"/>
    <xf numFmtId="0" fontId="145" fillId="0" borderId="1"/>
    <xf numFmtId="0" fontId="145" fillId="0" borderId="1"/>
    <xf numFmtId="3" fontId="145" fillId="0" borderId="1"/>
    <xf numFmtId="3" fontId="145" fillId="0" borderId="1"/>
    <xf numFmtId="0" fontId="92" fillId="0" borderId="108" applyNumberFormat="0" applyFill="0" applyAlignment="0" applyProtection="0"/>
    <xf numFmtId="0" fontId="92" fillId="0" borderId="108" applyNumberFormat="0" applyFill="0" applyAlignment="0" applyProtection="0"/>
    <xf numFmtId="3" fontId="145" fillId="0" borderId="1"/>
    <xf numFmtId="43" fontId="99" fillId="0" borderId="1" applyFont="0" applyFill="0" applyBorder="0" applyAlignment="0" applyProtection="0"/>
    <xf numFmtId="0" fontId="99" fillId="0" borderId="1"/>
    <xf numFmtId="43" fontId="99" fillId="0" borderId="1" applyFont="0" applyFill="0" applyBorder="0" applyAlignment="0" applyProtection="0"/>
    <xf numFmtId="0" fontId="99" fillId="0" borderId="1"/>
    <xf numFmtId="43" fontId="99" fillId="0" borderId="1" applyFont="0" applyFill="0" applyBorder="0" applyAlignment="0" applyProtection="0"/>
    <xf numFmtId="0" fontId="99" fillId="0" borderId="1"/>
    <xf numFmtId="9" fontId="1" fillId="0" borderId="1" applyFont="0" applyFill="0" applyBorder="0" applyAlignment="0" applyProtection="0"/>
    <xf numFmtId="0" fontId="1" fillId="13" borderId="83" applyNumberFormat="0" applyFont="0" applyAlignment="0" applyProtection="0"/>
    <xf numFmtId="165" fontId="88"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43" fontId="1" fillId="0" borderId="1" applyFont="0" applyFill="0" applyBorder="0" applyAlignment="0" applyProtection="0"/>
    <xf numFmtId="165"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87" fontId="145" fillId="0" borderId="1"/>
    <xf numFmtId="43" fontId="1" fillId="0" borderId="1" applyFont="0" applyFill="0" applyBorder="0" applyAlignment="0" applyProtection="0"/>
    <xf numFmtId="165" fontId="1" fillId="0" borderId="1" applyFont="0" applyFill="0" applyBorder="0" applyAlignment="0" applyProtection="0"/>
    <xf numFmtId="187" fontId="145" fillId="0" borderId="1"/>
    <xf numFmtId="165" fontId="88" fillId="0" borderId="1" applyFont="0" applyFill="0" applyBorder="0" applyAlignment="0" applyProtection="0"/>
    <xf numFmtId="43" fontId="1" fillId="0" borderId="1" applyFont="0" applyFill="0" applyBorder="0" applyAlignment="0" applyProtection="0"/>
    <xf numFmtId="0" fontId="95" fillId="0" borderId="1" applyNumberFormat="0" applyFill="0" applyBorder="0" applyAlignment="0" applyProtection="0"/>
    <xf numFmtId="44" fontId="1" fillId="0" borderId="1" applyFont="0" applyFill="0" applyBorder="0" applyAlignment="0" applyProtection="0"/>
    <xf numFmtId="0" fontId="1" fillId="0" borderId="1"/>
    <xf numFmtId="0" fontId="66" fillId="89" borderId="1"/>
    <xf numFmtId="0" fontId="84" fillId="83" borderId="1" applyNumberFormat="0" applyBorder="0" applyAlignment="0" applyProtection="0"/>
    <xf numFmtId="0" fontId="84" fillId="84" borderId="1" applyNumberFormat="0" applyBorder="0" applyAlignment="0" applyProtection="0"/>
    <xf numFmtId="0" fontId="84" fillId="85" borderId="1" applyNumberFormat="0" applyBorder="0" applyAlignment="0" applyProtection="0"/>
    <xf numFmtId="0" fontId="66" fillId="94" borderId="104" applyNumberFormat="0" applyProtection="0">
      <alignment horizontal="left" vertical="top" indent="1"/>
    </xf>
    <xf numFmtId="0" fontId="84" fillId="78" borderId="1" applyNumberFormat="0" applyBorder="0" applyAlignment="0" applyProtection="0"/>
    <xf numFmtId="0" fontId="84" fillId="60" borderId="1" applyNumberFormat="0" applyBorder="0" applyAlignment="0" applyProtection="0"/>
    <xf numFmtId="0" fontId="84" fillId="86" borderId="1" applyNumberFormat="0" applyBorder="0" applyAlignment="0" applyProtection="0"/>
    <xf numFmtId="0" fontId="66" fillId="94" borderId="104" applyNumberFormat="0" applyProtection="0">
      <alignment horizontal="left" vertical="top" indent="1"/>
    </xf>
    <xf numFmtId="0" fontId="96" fillId="70" borderId="1" applyNumberFormat="0" applyBorder="0" applyAlignment="0" applyProtection="0"/>
    <xf numFmtId="0" fontId="85" fillId="77" borderId="85" applyNumberFormat="0" applyAlignment="0" applyProtection="0"/>
    <xf numFmtId="0" fontId="66" fillId="95" borderId="104" applyNumberFormat="0" applyProtection="0">
      <alignment horizontal="left" vertical="top" indent="1"/>
    </xf>
    <xf numFmtId="0" fontId="66" fillId="51" borderId="104" applyNumberFormat="0" applyProtection="0">
      <alignment horizontal="left" vertical="top" indent="1"/>
    </xf>
    <xf numFmtId="0" fontId="66" fillId="96" borderId="85" applyNumberFormat="0" applyProtection="0">
      <alignment horizontal="left" vertical="center" indent="1"/>
    </xf>
    <xf numFmtId="0" fontId="66" fillId="95" borderId="104" applyNumberFormat="0" applyProtection="0">
      <alignment horizontal="left" vertical="top" indent="1"/>
    </xf>
    <xf numFmtId="0" fontId="117" fillId="0" borderId="109" applyNumberFormat="0" applyFill="0" applyAlignment="0" applyProtection="0"/>
    <xf numFmtId="0" fontId="118" fillId="0" borderId="110" applyNumberFormat="0" applyFill="0" applyAlignment="0" applyProtection="0"/>
    <xf numFmtId="0" fontId="93" fillId="0" borderId="111" applyNumberFormat="0" applyFill="0" applyAlignment="0" applyProtection="0"/>
    <xf numFmtId="0" fontId="66" fillId="96" borderId="104" applyNumberFormat="0" applyProtection="0">
      <alignment horizontal="left" vertical="top" indent="1"/>
    </xf>
    <xf numFmtId="0" fontId="66" fillId="51" borderId="85" applyNumberFormat="0" applyProtection="0">
      <alignment horizontal="left" vertical="center" indent="1"/>
    </xf>
    <xf numFmtId="0" fontId="66" fillId="51" borderId="85" applyNumberFormat="0" applyProtection="0">
      <alignment horizontal="left" vertical="center" indent="1"/>
    </xf>
    <xf numFmtId="0" fontId="106" fillId="77" borderId="99" applyNumberFormat="0" applyAlignment="0" applyProtection="0"/>
    <xf numFmtId="4" fontId="66" fillId="88" borderId="85" applyNumberFormat="0" applyProtection="0">
      <alignment vertical="center"/>
    </xf>
    <xf numFmtId="4" fontId="107" fillId="90" borderId="85" applyNumberFormat="0" applyProtection="0">
      <alignment vertical="center"/>
    </xf>
    <xf numFmtId="4" fontId="66" fillId="90" borderId="85" applyNumberFormat="0" applyProtection="0">
      <alignment horizontal="left" vertical="center" indent="1"/>
    </xf>
    <xf numFmtId="0" fontId="108" fillId="88" borderId="104" applyNumberFormat="0" applyProtection="0">
      <alignment horizontal="left" vertical="top" indent="1"/>
    </xf>
    <xf numFmtId="0" fontId="66" fillId="51" borderId="104" applyNumberFormat="0" applyProtection="0">
      <alignment horizontal="left" vertical="top" indent="1"/>
    </xf>
    <xf numFmtId="4" fontId="66" fillId="46" borderId="85" applyNumberFormat="0" applyProtection="0">
      <alignment horizontal="right" vertical="center"/>
    </xf>
    <xf numFmtId="4" fontId="66" fillId="91" borderId="85" applyNumberFormat="0" applyProtection="0">
      <alignment horizontal="right" vertical="center"/>
    </xf>
    <xf numFmtId="4" fontId="66" fillId="74" borderId="105" applyNumberFormat="0" applyProtection="0">
      <alignment horizontal="right" vertical="center"/>
    </xf>
    <xf numFmtId="4" fontId="66" fillId="54" borderId="85" applyNumberFormat="0" applyProtection="0">
      <alignment horizontal="right" vertical="center"/>
    </xf>
    <xf numFmtId="4" fontId="66" fillId="57" borderId="85" applyNumberFormat="0" applyProtection="0">
      <alignment horizontal="right" vertical="center"/>
    </xf>
    <xf numFmtId="4" fontId="66" fillId="76" borderId="85" applyNumberFormat="0" applyProtection="0">
      <alignment horizontal="right" vertical="center"/>
    </xf>
    <xf numFmtId="4" fontId="66" fillId="75" borderId="85" applyNumberFormat="0" applyProtection="0">
      <alignment horizontal="right" vertical="center"/>
    </xf>
    <xf numFmtId="4" fontId="66" fillId="92" borderId="85" applyNumberFormat="0" applyProtection="0">
      <alignment horizontal="right" vertical="center"/>
    </xf>
    <xf numFmtId="4" fontId="66" fillId="53" borderId="85" applyNumberFormat="0" applyProtection="0">
      <alignment horizontal="right" vertical="center"/>
    </xf>
    <xf numFmtId="4" fontId="66" fillId="93" borderId="105" applyNumberFormat="0" applyProtection="0">
      <alignment horizontal="left" vertical="center" indent="1"/>
    </xf>
    <xf numFmtId="4" fontId="88" fillId="94" borderId="105" applyNumberFormat="0" applyProtection="0">
      <alignment horizontal="left" vertical="center" indent="1"/>
    </xf>
    <xf numFmtId="4" fontId="88" fillId="94" borderId="105" applyNumberFormat="0" applyProtection="0">
      <alignment horizontal="left" vertical="center" indent="1"/>
    </xf>
    <xf numFmtId="4" fontId="66" fillId="95" borderId="85" applyNumberFormat="0" applyProtection="0">
      <alignment horizontal="right" vertical="center"/>
    </xf>
    <xf numFmtId="4" fontId="66" fillId="96" borderId="105" applyNumberFormat="0" applyProtection="0">
      <alignment horizontal="left" vertical="center" indent="1"/>
    </xf>
    <xf numFmtId="4" fontId="66" fillId="95" borderId="105" applyNumberFormat="0" applyProtection="0">
      <alignment horizontal="left" vertical="center" indent="1"/>
    </xf>
    <xf numFmtId="0" fontId="66" fillId="94" borderId="104" applyNumberFormat="0" applyProtection="0">
      <alignment horizontal="left" vertical="top" indent="1"/>
    </xf>
    <xf numFmtId="0" fontId="66" fillId="96" borderId="85" applyNumberFormat="0" applyProtection="0">
      <alignment horizontal="left" vertical="center" indent="1"/>
    </xf>
    <xf numFmtId="0" fontId="66" fillId="95" borderId="104" applyNumberFormat="0" applyProtection="0">
      <alignment horizontal="left" vertical="top" indent="1"/>
    </xf>
    <xf numFmtId="0" fontId="66" fillId="51" borderId="85" applyNumberFormat="0" applyProtection="0">
      <alignment horizontal="left" vertical="center" indent="1"/>
    </xf>
    <xf numFmtId="0" fontId="66" fillId="51" borderId="104" applyNumberFormat="0" applyProtection="0">
      <alignment horizontal="left" vertical="top" indent="1"/>
    </xf>
    <xf numFmtId="0" fontId="66" fillId="96" borderId="85" applyNumberFormat="0" applyProtection="0">
      <alignment horizontal="left" vertical="center" indent="1"/>
    </xf>
    <xf numFmtId="0" fontId="66" fillId="96" borderId="104" applyNumberFormat="0" applyProtection="0">
      <alignment horizontal="left" vertical="top" indent="1"/>
    </xf>
    <xf numFmtId="0" fontId="66" fillId="96" borderId="104" applyNumberFormat="0" applyProtection="0">
      <alignment horizontal="left" vertical="top" indent="1"/>
    </xf>
    <xf numFmtId="0" fontId="66" fillId="89" borderId="1"/>
    <xf numFmtId="4" fontId="109" fillId="99" borderId="104" applyNumberFormat="0" applyProtection="0">
      <alignment vertical="center"/>
    </xf>
    <xf numFmtId="4" fontId="107" fillId="100" borderId="4" applyNumberFormat="0" applyProtection="0">
      <alignment vertical="center"/>
    </xf>
    <xf numFmtId="4" fontId="109" fillId="79" borderId="104" applyNumberFormat="0" applyProtection="0">
      <alignment horizontal="left" vertical="center" indent="1"/>
    </xf>
    <xf numFmtId="0" fontId="109" fillId="99" borderId="104" applyNumberFormat="0" applyProtection="0">
      <alignment horizontal="left" vertical="top" indent="1"/>
    </xf>
    <xf numFmtId="4" fontId="107" fillId="101" borderId="85" applyNumberFormat="0" applyProtection="0">
      <alignment horizontal="right" vertical="center"/>
    </xf>
    <xf numFmtId="0" fontId="109" fillId="95" borderId="104" applyNumberFormat="0" applyProtection="0">
      <alignment horizontal="left" vertical="top" indent="1"/>
    </xf>
    <xf numFmtId="4" fontId="110" fillId="102" borderId="105" applyNumberFormat="0" applyProtection="0">
      <alignment horizontal="left" vertical="center" indent="1"/>
    </xf>
    <xf numFmtId="4" fontId="111" fillId="98" borderId="85" applyNumberFormat="0" applyProtection="0">
      <alignment horizontal="right" vertical="center"/>
    </xf>
    <xf numFmtId="0" fontId="66" fillId="89" borderId="1"/>
    <xf numFmtId="0" fontId="66" fillId="94" borderId="104" applyNumberFormat="0" applyProtection="0">
      <alignment horizontal="left" vertical="top" indent="1"/>
    </xf>
    <xf numFmtId="0" fontId="66" fillId="94" borderId="104" applyNumberFormat="0" applyProtection="0">
      <alignment horizontal="left" vertical="top" indent="1"/>
    </xf>
    <xf numFmtId="0" fontId="66" fillId="95" borderId="104" applyNumberFormat="0" applyProtection="0">
      <alignment horizontal="left" vertical="top" indent="1"/>
    </xf>
    <xf numFmtId="0" fontId="66" fillId="95" borderId="104" applyNumberFormat="0" applyProtection="0">
      <alignment horizontal="left" vertical="top" indent="1"/>
    </xf>
    <xf numFmtId="0" fontId="66" fillId="51" borderId="85" applyNumberFormat="0" applyProtection="0">
      <alignment horizontal="left" vertical="center" indent="1"/>
    </xf>
    <xf numFmtId="0" fontId="66" fillId="51" borderId="104" applyNumberFormat="0" applyProtection="0">
      <alignment horizontal="left" vertical="top" indent="1"/>
    </xf>
    <xf numFmtId="0" fontId="66" fillId="96" borderId="85" applyNumberFormat="0" applyProtection="0">
      <alignment horizontal="left" vertical="center" indent="1"/>
    </xf>
    <xf numFmtId="0" fontId="66" fillId="96" borderId="104" applyNumberFormat="0" applyProtection="0">
      <alignment horizontal="left" vertical="top" indent="1"/>
    </xf>
    <xf numFmtId="0" fontId="66" fillId="51" borderId="85" applyNumberFormat="0" applyProtection="0">
      <alignment horizontal="left" vertical="center" indent="1"/>
    </xf>
    <xf numFmtId="0" fontId="66" fillId="51" borderId="104" applyNumberFormat="0" applyProtection="0">
      <alignment horizontal="left" vertical="top" indent="1"/>
    </xf>
    <xf numFmtId="0" fontId="66" fillId="96" borderId="85" applyNumberFormat="0" applyProtection="0">
      <alignment horizontal="left" vertical="center" indent="1"/>
    </xf>
    <xf numFmtId="0" fontId="66" fillId="96" borderId="104" applyNumberFormat="0" applyProtection="0">
      <alignment horizontal="left" vertical="top" indent="1"/>
    </xf>
    <xf numFmtId="0" fontId="66" fillId="89" borderId="1"/>
    <xf numFmtId="0" fontId="66" fillId="89" borderId="1"/>
    <xf numFmtId="0" fontId="66" fillId="89" borderId="1"/>
    <xf numFmtId="0" fontId="66" fillId="89" borderId="1"/>
    <xf numFmtId="0" fontId="66" fillId="89" borderId="1"/>
    <xf numFmtId="0" fontId="66" fillId="89" borderId="1"/>
    <xf numFmtId="0" fontId="66" fillId="89" borderId="1"/>
    <xf numFmtId="165" fontId="1" fillId="0" borderId="1" applyFont="0" applyFill="0" applyBorder="0" applyAlignment="0" applyProtection="0"/>
    <xf numFmtId="165" fontId="1" fillId="0" borderId="1" applyFont="0" applyFill="0" applyBorder="0" applyAlignment="0" applyProtection="0"/>
    <xf numFmtId="165" fontId="83" fillId="0" borderId="1" applyFont="0" applyFill="0" applyBorder="0" applyAlignment="0" applyProtection="0"/>
    <xf numFmtId="165" fontId="99" fillId="0" borderId="1" applyFont="0" applyFill="0" applyBorder="0" applyAlignment="0" applyProtection="0"/>
    <xf numFmtId="165" fontId="83"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04" fillId="0" borderId="1" applyNumberFormat="0" applyFill="0" applyBorder="0">
      <alignment vertical="center"/>
    </xf>
    <xf numFmtId="0" fontId="1" fillId="15" borderId="1" applyNumberFormat="0" applyBorder="0" applyAlignment="0" applyProtection="0"/>
    <xf numFmtId="0" fontId="1" fillId="19" borderId="1" applyNumberFormat="0" applyBorder="0" applyAlignment="0" applyProtection="0"/>
    <xf numFmtId="0" fontId="1" fillId="23" borderId="1" applyNumberFormat="0" applyBorder="0" applyAlignment="0" applyProtection="0"/>
    <xf numFmtId="0" fontId="1" fillId="27" borderId="1" applyNumberFormat="0" applyBorder="0" applyAlignment="0" applyProtection="0"/>
    <xf numFmtId="0" fontId="1" fillId="31" borderId="1" applyNumberFormat="0" applyBorder="0" applyAlignment="0" applyProtection="0"/>
    <xf numFmtId="0" fontId="1" fillId="35" borderId="1" applyNumberFormat="0" applyBorder="0" applyAlignment="0" applyProtection="0"/>
    <xf numFmtId="0" fontId="1" fillId="16" borderId="1" applyNumberFormat="0" applyBorder="0" applyAlignment="0" applyProtection="0"/>
    <xf numFmtId="0" fontId="1" fillId="20" borderId="1" applyNumberFormat="0" applyBorder="0" applyAlignment="0" applyProtection="0"/>
    <xf numFmtId="0" fontId="1" fillId="24" borderId="1" applyNumberFormat="0" applyBorder="0" applyAlignment="0" applyProtection="0"/>
    <xf numFmtId="0" fontId="1" fillId="28" borderId="1" applyNumberFormat="0" applyBorder="0" applyAlignment="0" applyProtection="0"/>
    <xf numFmtId="0" fontId="1" fillId="32" borderId="1" applyNumberFormat="0" applyBorder="0" applyAlignment="0" applyProtection="0"/>
    <xf numFmtId="0" fontId="1" fillId="36" borderId="1" applyNumberFormat="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13" borderId="83" applyNumberFormat="0" applyFont="0" applyAlignment="0" applyProtection="0"/>
    <xf numFmtId="0" fontId="66" fillId="89" borderId="1"/>
    <xf numFmtId="0" fontId="84" fillId="83" borderId="1" applyNumberFormat="0" applyBorder="0" applyAlignment="0" applyProtection="0"/>
    <xf numFmtId="0" fontId="84" fillId="84" borderId="1" applyNumberFormat="0" applyBorder="0" applyAlignment="0" applyProtection="0"/>
    <xf numFmtId="0" fontId="84" fillId="85" borderId="1" applyNumberFormat="0" applyBorder="0" applyAlignment="0" applyProtection="0"/>
    <xf numFmtId="0" fontId="84" fillId="78" borderId="1" applyNumberFormat="0" applyBorder="0" applyAlignment="0" applyProtection="0"/>
    <xf numFmtId="0" fontId="84" fillId="60" borderId="1" applyNumberFormat="0" applyBorder="0" applyAlignment="0" applyProtection="0"/>
    <xf numFmtId="0" fontId="84" fillId="86" borderId="1" applyNumberFormat="0" applyBorder="0" applyAlignment="0" applyProtection="0"/>
    <xf numFmtId="0" fontId="96" fillId="70" borderId="1" applyNumberFormat="0" applyBorder="0" applyAlignment="0" applyProtection="0"/>
    <xf numFmtId="0" fontId="85" fillId="77" borderId="85" applyNumberFormat="0" applyAlignment="0" applyProtection="0"/>
    <xf numFmtId="0" fontId="117" fillId="0" borderId="109" applyNumberFormat="0" applyFill="0" applyAlignment="0" applyProtection="0"/>
    <xf numFmtId="0" fontId="118" fillId="0" borderId="110" applyNumberFormat="0" applyFill="0" applyAlignment="0" applyProtection="0"/>
    <xf numFmtId="0" fontId="93" fillId="0" borderId="111" applyNumberFormat="0" applyFill="0" applyAlignment="0" applyProtection="0"/>
    <xf numFmtId="0" fontId="66" fillId="70" borderId="85" applyNumberFormat="0" applyFont="0" applyAlignment="0" applyProtection="0"/>
    <xf numFmtId="0" fontId="106" fillId="77" borderId="99" applyNumberFormat="0" applyAlignment="0" applyProtection="0"/>
    <xf numFmtId="0" fontId="66" fillId="89" borderId="1"/>
    <xf numFmtId="165" fontId="1" fillId="0" borderId="1" applyFont="0" applyFill="0" applyBorder="0" applyAlignment="0" applyProtection="0"/>
    <xf numFmtId="0" fontId="66" fillId="89" borderId="1"/>
    <xf numFmtId="165" fontId="1" fillId="0" borderId="1" applyFont="0" applyFill="0" applyBorder="0" applyAlignment="0" applyProtection="0"/>
    <xf numFmtId="165" fontId="1" fillId="0" borderId="1" applyFont="0" applyFill="0" applyBorder="0" applyAlignment="0" applyProtection="0"/>
    <xf numFmtId="165" fontId="83" fillId="0" borderId="1" applyFont="0" applyFill="0" applyBorder="0" applyAlignment="0" applyProtection="0"/>
    <xf numFmtId="165" fontId="99" fillId="0" borderId="1" applyFont="0" applyFill="0" applyBorder="0" applyAlignment="0" applyProtection="0"/>
    <xf numFmtId="165" fontId="83"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88" fillId="0" borderId="1" applyFont="0" applyFill="0" applyBorder="0" applyAlignment="0" applyProtection="0"/>
    <xf numFmtId="0" fontId="1" fillId="15" borderId="1" applyNumberFormat="0" applyBorder="0" applyAlignment="0" applyProtection="0"/>
    <xf numFmtId="0" fontId="1" fillId="16" borderId="1" applyNumberFormat="0" applyBorder="0" applyAlignment="0" applyProtection="0"/>
    <xf numFmtId="0" fontId="1" fillId="19" borderId="1" applyNumberFormat="0" applyBorder="0" applyAlignment="0" applyProtection="0"/>
    <xf numFmtId="0" fontId="1" fillId="20" borderId="1" applyNumberFormat="0" applyBorder="0" applyAlignment="0" applyProtection="0"/>
    <xf numFmtId="0" fontId="1" fillId="23" borderId="1" applyNumberFormat="0" applyBorder="0" applyAlignment="0" applyProtection="0"/>
    <xf numFmtId="0" fontId="1" fillId="24" borderId="1" applyNumberFormat="0" applyBorder="0" applyAlignment="0" applyProtection="0"/>
    <xf numFmtId="0" fontId="1" fillId="27" borderId="1" applyNumberFormat="0" applyBorder="0" applyAlignment="0" applyProtection="0"/>
    <xf numFmtId="0" fontId="1" fillId="28" borderId="1" applyNumberFormat="0" applyBorder="0" applyAlignment="0" applyProtection="0"/>
    <xf numFmtId="0" fontId="1" fillId="31" borderId="1" applyNumberFormat="0" applyBorder="0" applyAlignment="0" applyProtection="0"/>
    <xf numFmtId="0" fontId="1" fillId="32" borderId="1" applyNumberFormat="0" applyBorder="0" applyAlignment="0" applyProtection="0"/>
    <xf numFmtId="0" fontId="1" fillId="35" borderId="1" applyNumberFormat="0" applyBorder="0" applyAlignment="0" applyProtection="0"/>
    <xf numFmtId="0" fontId="1" fillId="36" borderId="1" applyNumberFormat="0" applyBorder="0" applyAlignment="0" applyProtection="0"/>
    <xf numFmtId="165" fontId="1" fillId="0" borderId="1" applyFont="0" applyFill="0" applyBorder="0" applyAlignment="0" applyProtection="0"/>
    <xf numFmtId="165" fontId="83" fillId="0" borderId="1" applyFont="0" applyFill="0" applyBorder="0" applyAlignment="0" applyProtection="0"/>
    <xf numFmtId="165" fontId="99" fillId="0" borderId="1" applyFont="0" applyFill="0" applyBorder="0" applyAlignment="0" applyProtection="0"/>
    <xf numFmtId="165" fontId="83"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13" borderId="83" applyNumberFormat="0" applyFont="0" applyAlignment="0" applyProtection="0"/>
    <xf numFmtId="9" fontId="1" fillId="0" borderId="1" applyFont="0" applyFill="0" applyBorder="0" applyAlignment="0" applyProtection="0"/>
    <xf numFmtId="9" fontId="1" fillId="0" borderId="1" applyFont="0" applyFill="0" applyBorder="0" applyAlignment="0" applyProtection="0"/>
    <xf numFmtId="0" fontId="1" fillId="15" borderId="1" applyNumberFormat="0" applyBorder="0" applyAlignment="0" applyProtection="0"/>
    <xf numFmtId="0" fontId="1" fillId="19" borderId="1" applyNumberFormat="0" applyBorder="0" applyAlignment="0" applyProtection="0"/>
    <xf numFmtId="0" fontId="1" fillId="23" borderId="1" applyNumberFormat="0" applyBorder="0" applyAlignment="0" applyProtection="0"/>
    <xf numFmtId="0" fontId="1" fillId="27" borderId="1" applyNumberFormat="0" applyBorder="0" applyAlignment="0" applyProtection="0"/>
    <xf numFmtId="0" fontId="1" fillId="31" borderId="1" applyNumberFormat="0" applyBorder="0" applyAlignment="0" applyProtection="0"/>
    <xf numFmtId="0" fontId="1" fillId="35" borderId="1" applyNumberFormat="0" applyBorder="0" applyAlignment="0" applyProtection="0"/>
    <xf numFmtId="0" fontId="1" fillId="16" borderId="1" applyNumberFormat="0" applyBorder="0" applyAlignment="0" applyProtection="0"/>
    <xf numFmtId="0" fontId="1" fillId="20" borderId="1" applyNumberFormat="0" applyBorder="0" applyAlignment="0" applyProtection="0"/>
    <xf numFmtId="0" fontId="1" fillId="24" borderId="1" applyNumberFormat="0" applyBorder="0" applyAlignment="0" applyProtection="0"/>
    <xf numFmtId="0" fontId="1" fillId="28" borderId="1" applyNumberFormat="0" applyBorder="0" applyAlignment="0" applyProtection="0"/>
    <xf numFmtId="0" fontId="1" fillId="32" borderId="1" applyNumberFormat="0" applyBorder="0" applyAlignment="0" applyProtection="0"/>
    <xf numFmtId="0" fontId="1" fillId="36" borderId="1" applyNumberFormat="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13" borderId="83" applyNumberFormat="0" applyFont="0" applyAlignment="0" applyProtection="0"/>
    <xf numFmtId="0" fontId="1" fillId="13" borderId="83" applyNumberFormat="0" applyFont="0" applyAlignment="0" applyProtection="0"/>
    <xf numFmtId="9" fontId="1" fillId="0" borderId="1" applyFont="0" applyFill="0" applyBorder="0" applyAlignment="0" applyProtection="0"/>
    <xf numFmtId="9" fontId="1" fillId="0" borderId="1" applyFont="0" applyFill="0" applyBorder="0" applyAlignment="0" applyProtection="0"/>
    <xf numFmtId="0" fontId="88" fillId="0" borderId="1"/>
    <xf numFmtId="0" fontId="88" fillId="0" borderId="1" applyFill="0"/>
    <xf numFmtId="0" fontId="95" fillId="0" borderId="1" applyNumberFormat="0" applyFill="0" applyBorder="0" applyAlignment="0" applyProtection="0"/>
    <xf numFmtId="43" fontId="83"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8"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0" fontId="1" fillId="15" borderId="1" applyNumberFormat="0" applyBorder="0" applyAlignment="0" applyProtection="0"/>
    <xf numFmtId="0" fontId="1" fillId="16" borderId="1" applyNumberFormat="0" applyBorder="0" applyAlignment="0" applyProtection="0"/>
    <xf numFmtId="0" fontId="1" fillId="19" borderId="1" applyNumberFormat="0" applyBorder="0" applyAlignment="0" applyProtection="0"/>
    <xf numFmtId="0" fontId="1" fillId="20" borderId="1" applyNumberFormat="0" applyBorder="0" applyAlignment="0" applyProtection="0"/>
    <xf numFmtId="0" fontId="1" fillId="23" borderId="1" applyNumberFormat="0" applyBorder="0" applyAlignment="0" applyProtection="0"/>
    <xf numFmtId="0" fontId="1" fillId="24" borderId="1" applyNumberFormat="0" applyBorder="0" applyAlignment="0" applyProtection="0"/>
    <xf numFmtId="0" fontId="1" fillId="27" borderId="1" applyNumberFormat="0" applyBorder="0" applyAlignment="0" applyProtection="0"/>
    <xf numFmtId="0" fontId="1" fillId="28" borderId="1" applyNumberFormat="0" applyBorder="0" applyAlignment="0" applyProtection="0"/>
    <xf numFmtId="0" fontId="1" fillId="31" borderId="1" applyNumberFormat="0" applyBorder="0" applyAlignment="0" applyProtection="0"/>
    <xf numFmtId="0" fontId="1" fillId="32" borderId="1" applyNumberFormat="0" applyBorder="0" applyAlignment="0" applyProtection="0"/>
    <xf numFmtId="0" fontId="1" fillId="35" borderId="1" applyNumberFormat="0" applyBorder="0" applyAlignment="0" applyProtection="0"/>
    <xf numFmtId="0" fontId="1" fillId="36" borderId="1" applyNumberFormat="0" applyBorder="0" applyAlignment="0" applyProtection="0"/>
    <xf numFmtId="43" fontId="1" fillId="0" borderId="1" applyFont="0" applyFill="0" applyBorder="0" applyAlignment="0" applyProtection="0"/>
    <xf numFmtId="0" fontId="88" fillId="0" borderId="1"/>
    <xf numFmtId="0" fontId="88" fillId="0" borderId="1"/>
    <xf numFmtId="43" fontId="1" fillId="0" borderId="1" applyFont="0" applyFill="0" applyBorder="0" applyAlignment="0" applyProtection="0"/>
    <xf numFmtId="9" fontId="1" fillId="0" borderId="1" applyFont="0" applyFill="0" applyBorder="0" applyAlignment="0" applyProtection="0"/>
    <xf numFmtId="0" fontId="1" fillId="13" borderId="83" applyNumberFormat="0" applyFont="0" applyAlignment="0" applyProtection="0"/>
    <xf numFmtId="0" fontId="88" fillId="0" borderId="1">
      <alignment wrapText="1"/>
    </xf>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15" borderId="1" applyNumberFormat="0" applyBorder="0" applyAlignment="0" applyProtection="0"/>
    <xf numFmtId="0" fontId="1" fillId="19" borderId="1" applyNumberFormat="0" applyBorder="0" applyAlignment="0" applyProtection="0"/>
    <xf numFmtId="0" fontId="1" fillId="23" borderId="1" applyNumberFormat="0" applyBorder="0" applyAlignment="0" applyProtection="0"/>
    <xf numFmtId="0" fontId="1" fillId="27" borderId="1" applyNumberFormat="0" applyBorder="0" applyAlignment="0" applyProtection="0"/>
    <xf numFmtId="0" fontId="1" fillId="31" borderId="1" applyNumberFormat="0" applyBorder="0" applyAlignment="0" applyProtection="0"/>
    <xf numFmtId="0" fontId="1" fillId="35" borderId="1" applyNumberFormat="0" applyBorder="0" applyAlignment="0" applyProtection="0"/>
    <xf numFmtId="0" fontId="1" fillId="16" borderId="1" applyNumberFormat="0" applyBorder="0" applyAlignment="0" applyProtection="0"/>
    <xf numFmtId="0" fontId="1" fillId="20" borderId="1" applyNumberFormat="0" applyBorder="0" applyAlignment="0" applyProtection="0"/>
    <xf numFmtId="0" fontId="1" fillId="24" borderId="1" applyNumberFormat="0" applyBorder="0" applyAlignment="0" applyProtection="0"/>
    <xf numFmtId="0" fontId="1" fillId="28" borderId="1" applyNumberFormat="0" applyBorder="0" applyAlignment="0" applyProtection="0"/>
    <xf numFmtId="0" fontId="1" fillId="32" borderId="1" applyNumberFormat="0" applyBorder="0" applyAlignment="0" applyProtection="0"/>
    <xf numFmtId="0" fontId="1" fillId="36" borderId="1" applyNumberFormat="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0" borderId="1"/>
    <xf numFmtId="0" fontId="1" fillId="0" borderId="1"/>
    <xf numFmtId="0" fontId="1" fillId="13" borderId="83" applyNumberFormat="0" applyFont="0" applyAlignment="0" applyProtection="0"/>
    <xf numFmtId="0" fontId="1" fillId="13" borderId="83" applyNumberFormat="0" applyFont="0" applyAlignment="0" applyProtection="0"/>
    <xf numFmtId="9" fontId="1" fillId="0" borderId="1" applyFont="0" applyFill="0" applyBorder="0" applyAlignment="0" applyProtection="0"/>
    <xf numFmtId="5" fontId="88" fillId="0" borderId="1" applyFont="0" applyFill="0" applyBorder="0" applyAlignment="0" applyProtection="0">
      <alignment wrapText="1"/>
    </xf>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83" fillId="0" borderId="1" applyFont="0" applyFill="0" applyBorder="0" applyAlignment="0" applyProtection="0"/>
    <xf numFmtId="165" fontId="99" fillId="0" borderId="1" applyFont="0" applyFill="0" applyBorder="0" applyAlignment="0" applyProtection="0"/>
    <xf numFmtId="165" fontId="83"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88" fillId="0" borderId="1" applyFont="0" applyFill="0" applyBorder="0" applyAlignment="0" applyProtection="0"/>
    <xf numFmtId="0" fontId="1" fillId="15" borderId="1" applyNumberFormat="0" applyBorder="0" applyAlignment="0" applyProtection="0"/>
    <xf numFmtId="0" fontId="1" fillId="16" borderId="1" applyNumberFormat="0" applyBorder="0" applyAlignment="0" applyProtection="0"/>
    <xf numFmtId="0" fontId="1" fillId="19" borderId="1" applyNumberFormat="0" applyBorder="0" applyAlignment="0" applyProtection="0"/>
    <xf numFmtId="0" fontId="1" fillId="20" borderId="1" applyNumberFormat="0" applyBorder="0" applyAlignment="0" applyProtection="0"/>
    <xf numFmtId="0" fontId="1" fillId="23" borderId="1" applyNumberFormat="0" applyBorder="0" applyAlignment="0" applyProtection="0"/>
    <xf numFmtId="0" fontId="1" fillId="24" borderId="1" applyNumberFormat="0" applyBorder="0" applyAlignment="0" applyProtection="0"/>
    <xf numFmtId="0" fontId="1" fillId="27" borderId="1" applyNumberFormat="0" applyBorder="0" applyAlignment="0" applyProtection="0"/>
    <xf numFmtId="0" fontId="1" fillId="28" borderId="1" applyNumberFormat="0" applyBorder="0" applyAlignment="0" applyProtection="0"/>
    <xf numFmtId="0" fontId="1" fillId="31" borderId="1" applyNumberFormat="0" applyBorder="0" applyAlignment="0" applyProtection="0"/>
    <xf numFmtId="0" fontId="1" fillId="32" borderId="1" applyNumberFormat="0" applyBorder="0" applyAlignment="0" applyProtection="0"/>
    <xf numFmtId="0" fontId="1" fillId="35" borderId="1" applyNumberFormat="0" applyBorder="0" applyAlignment="0" applyProtection="0"/>
    <xf numFmtId="0" fontId="1" fillId="36" borderId="1" applyNumberFormat="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0" borderId="1"/>
    <xf numFmtId="0" fontId="1" fillId="0" borderId="1"/>
    <xf numFmtId="0" fontId="1" fillId="0" borderId="1"/>
    <xf numFmtId="0" fontId="1" fillId="13" borderId="83" applyNumberFormat="0" applyFont="0" applyAlignment="0" applyProtection="0"/>
    <xf numFmtId="0" fontId="1" fillId="13" borderId="83" applyNumberFormat="0" applyFont="0" applyAlignment="0" applyProtection="0"/>
    <xf numFmtId="9" fontId="1" fillId="0" borderId="1" applyFont="0" applyFill="0" applyBorder="0" applyAlignment="0" applyProtection="0"/>
    <xf numFmtId="9" fontId="1" fillId="0" borderId="1" applyFont="0" applyFill="0" applyBorder="0" applyAlignment="0" applyProtection="0"/>
    <xf numFmtId="0" fontId="1" fillId="15" borderId="1" applyNumberFormat="0" applyBorder="0" applyAlignment="0" applyProtection="0"/>
    <xf numFmtId="0" fontId="1" fillId="19" borderId="1" applyNumberFormat="0" applyBorder="0" applyAlignment="0" applyProtection="0"/>
    <xf numFmtId="0" fontId="1" fillId="23" borderId="1" applyNumberFormat="0" applyBorder="0" applyAlignment="0" applyProtection="0"/>
    <xf numFmtId="0" fontId="1" fillId="27" borderId="1" applyNumberFormat="0" applyBorder="0" applyAlignment="0" applyProtection="0"/>
    <xf numFmtId="0" fontId="1" fillId="31" borderId="1" applyNumberFormat="0" applyBorder="0" applyAlignment="0" applyProtection="0"/>
    <xf numFmtId="0" fontId="1" fillId="35" borderId="1" applyNumberFormat="0" applyBorder="0" applyAlignment="0" applyProtection="0"/>
    <xf numFmtId="0" fontId="1" fillId="16" borderId="1" applyNumberFormat="0" applyBorder="0" applyAlignment="0" applyProtection="0"/>
    <xf numFmtId="0" fontId="1" fillId="20" borderId="1" applyNumberFormat="0" applyBorder="0" applyAlignment="0" applyProtection="0"/>
    <xf numFmtId="0" fontId="1" fillId="24" borderId="1" applyNumberFormat="0" applyBorder="0" applyAlignment="0" applyProtection="0"/>
    <xf numFmtId="0" fontId="1" fillId="28" borderId="1" applyNumberFormat="0" applyBorder="0" applyAlignment="0" applyProtection="0"/>
    <xf numFmtId="0" fontId="1" fillId="32" borderId="1" applyNumberFormat="0" applyBorder="0" applyAlignment="0" applyProtection="0"/>
    <xf numFmtId="0" fontId="1" fillId="36" borderId="1" applyNumberFormat="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0" borderId="1"/>
    <xf numFmtId="0" fontId="1" fillId="0" borderId="1"/>
    <xf numFmtId="0" fontId="1" fillId="0" borderId="1"/>
    <xf numFmtId="0" fontId="1" fillId="13" borderId="83" applyNumberFormat="0" applyFont="0" applyAlignment="0" applyProtection="0"/>
    <xf numFmtId="0" fontId="1" fillId="13" borderId="83" applyNumberFormat="0" applyFont="0" applyAlignment="0" applyProtection="0"/>
    <xf numFmtId="9" fontId="1" fillId="0" borderId="1" applyFont="0" applyFill="0" applyBorder="0" applyAlignment="0" applyProtection="0"/>
    <xf numFmtId="9" fontId="1" fillId="0" borderId="1" applyFont="0" applyFill="0" applyBorder="0" applyAlignment="0" applyProtection="0"/>
    <xf numFmtId="43" fontId="83" fillId="0" borderId="1" applyFont="0" applyFill="0" applyBorder="0" applyAlignment="0" applyProtection="0"/>
    <xf numFmtId="9" fontId="83" fillId="0" borderId="1" applyFont="0" applyFill="0" applyBorder="0" applyAlignment="0" applyProtection="0"/>
    <xf numFmtId="0" fontId="66" fillId="89" borderId="1"/>
    <xf numFmtId="0" fontId="18" fillId="0" borderId="1"/>
    <xf numFmtId="0" fontId="24" fillId="0" borderId="1"/>
    <xf numFmtId="0" fontId="18" fillId="0" borderId="1"/>
    <xf numFmtId="0" fontId="18" fillId="0" borderId="1"/>
    <xf numFmtId="0" fontId="18" fillId="0" borderId="1"/>
    <xf numFmtId="0" fontId="18" fillId="0" borderId="1"/>
    <xf numFmtId="165" fontId="1" fillId="0" borderId="1" applyFont="0" applyFill="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88"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88"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83" fillId="0" borderId="1" applyFont="0" applyFill="0" applyBorder="0" applyAlignment="0" applyProtection="0"/>
    <xf numFmtId="165" fontId="83"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4" fontId="88" fillId="0" borderId="1" applyFont="0" applyFill="0" applyBorder="0" applyAlignment="0" applyProtection="0">
      <alignment wrapText="1"/>
    </xf>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99" fillId="0" borderId="1" applyFont="0" applyFill="0" applyBorder="0" applyAlignment="0" applyProtection="0"/>
    <xf numFmtId="165" fontId="99" fillId="0" borderId="1" applyFont="0" applyFill="0" applyBorder="0" applyAlignment="0" applyProtection="0"/>
    <xf numFmtId="165" fontId="83"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83" fillId="0" borderId="1" applyFont="0" applyFill="0" applyBorder="0" applyAlignment="0" applyProtection="0"/>
    <xf numFmtId="165" fontId="83" fillId="0" borderId="1" applyFont="0" applyFill="0" applyBorder="0" applyAlignment="0" applyProtection="0"/>
    <xf numFmtId="165" fontId="83"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83" fillId="0" borderId="1" applyFont="0" applyFill="0" applyBorder="0" applyAlignment="0" applyProtection="0"/>
    <xf numFmtId="165" fontId="1" fillId="0" borderId="1" applyFont="0" applyFill="0" applyBorder="0" applyAlignment="0" applyProtection="0"/>
    <xf numFmtId="165" fontId="83"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88"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88" fillId="0" borderId="1"/>
    <xf numFmtId="0" fontId="88" fillId="0" borderId="1"/>
    <xf numFmtId="0" fontId="88"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88" fillId="0" borderId="1"/>
    <xf numFmtId="0" fontId="88" fillId="0" borderId="1"/>
    <xf numFmtId="0" fontId="1" fillId="0" borderId="1"/>
    <xf numFmtId="0" fontId="1" fillId="0" borderId="1"/>
    <xf numFmtId="0" fontId="88" fillId="0" borderId="1"/>
    <xf numFmtId="0" fontId="88" fillId="0" borderId="1"/>
    <xf numFmtId="0" fontId="1" fillId="0" borderId="1"/>
    <xf numFmtId="0" fontId="1" fillId="0" borderId="1"/>
    <xf numFmtId="0" fontId="88" fillId="0" borderId="1"/>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0" fontId="47" fillId="17" borderId="1" applyNumberFormat="0" applyBorder="0" applyAlignment="0" applyProtection="0"/>
    <xf numFmtId="0" fontId="47" fillId="21" borderId="1" applyNumberFormat="0" applyBorder="0" applyAlignment="0" applyProtection="0"/>
    <xf numFmtId="0" fontId="47" fillId="25" borderId="1" applyNumberFormat="0" applyBorder="0" applyAlignment="0" applyProtection="0"/>
    <xf numFmtId="0" fontId="47" fillId="29" borderId="1" applyNumberFormat="0" applyBorder="0" applyAlignment="0" applyProtection="0"/>
    <xf numFmtId="0" fontId="47" fillId="33" borderId="1" applyNumberFormat="0" applyBorder="0" applyAlignment="0" applyProtection="0"/>
    <xf numFmtId="0" fontId="47" fillId="37" borderId="1" applyNumberFormat="0" applyBorder="0" applyAlignment="0" applyProtection="0"/>
    <xf numFmtId="0" fontId="55" fillId="7" borderId="1" applyNumberFormat="0" applyBorder="0" applyAlignment="0" applyProtection="0"/>
    <xf numFmtId="0" fontId="54" fillId="0" borderId="1" applyNumberFormat="0" applyFill="0" applyBorder="0" applyAlignment="0" applyProtection="0"/>
    <xf numFmtId="0" fontId="47" fillId="14" borderId="1" applyNumberFormat="0" applyBorder="0" applyAlignment="0" applyProtection="0"/>
    <xf numFmtId="0" fontId="47" fillId="18" borderId="1" applyNumberFormat="0" applyBorder="0" applyAlignment="0" applyProtection="0"/>
    <xf numFmtId="0" fontId="47" fillId="22" borderId="1" applyNumberFormat="0" applyBorder="0" applyAlignment="0" applyProtection="0"/>
    <xf numFmtId="0" fontId="47" fillId="26" borderId="1" applyNumberFormat="0" applyBorder="0" applyAlignment="0" applyProtection="0"/>
    <xf numFmtId="0" fontId="47" fillId="30" borderId="1" applyNumberFormat="0" applyBorder="0" applyAlignment="0" applyProtection="0"/>
    <xf numFmtId="0" fontId="47" fillId="34" borderId="1" applyNumberFormat="0" applyBorder="0" applyAlignment="0" applyProtection="0"/>
    <xf numFmtId="0" fontId="56" fillId="8" borderId="1" applyNumberFormat="0" applyBorder="0" applyAlignment="0" applyProtection="0"/>
    <xf numFmtId="0" fontId="57" fillId="9" borderId="1" applyNumberFormat="0" applyBorder="0" applyAlignment="0" applyProtection="0"/>
    <xf numFmtId="0" fontId="63" fillId="0" borderId="1" applyNumberFormat="0" applyFill="0" applyBorder="0" applyAlignment="0" applyProtection="0"/>
    <xf numFmtId="0" fontId="64" fillId="0" borderId="1" applyNumberFormat="0" applyFill="0" applyBorder="0" applyAlignment="0" applyProtection="0"/>
    <xf numFmtId="0" fontId="51" fillId="0" borderId="1" applyNumberFormat="0" applyFill="0" applyBorder="0" applyAlignment="0" applyProtection="0"/>
    <xf numFmtId="0" fontId="18" fillId="0" borderId="1"/>
    <xf numFmtId="0" fontId="18" fillId="0" borderId="1"/>
    <xf numFmtId="0" fontId="1" fillId="15" borderId="1" applyNumberFormat="0" applyBorder="0" applyAlignment="0" applyProtection="0"/>
    <xf numFmtId="0" fontId="1" fillId="19" borderId="1" applyNumberFormat="0" applyBorder="0" applyAlignment="0" applyProtection="0"/>
    <xf numFmtId="0" fontId="1" fillId="23" borderId="1" applyNumberFormat="0" applyBorder="0" applyAlignment="0" applyProtection="0"/>
    <xf numFmtId="0" fontId="1" fillId="27" borderId="1" applyNumberFormat="0" applyBorder="0" applyAlignment="0" applyProtection="0"/>
    <xf numFmtId="0" fontId="1" fillId="31" borderId="1" applyNumberFormat="0" applyBorder="0" applyAlignment="0" applyProtection="0"/>
    <xf numFmtId="0" fontId="1" fillId="35" borderId="1" applyNumberFormat="0" applyBorder="0" applyAlignment="0" applyProtection="0"/>
    <xf numFmtId="0" fontId="1" fillId="16" borderId="1" applyNumberFormat="0" applyBorder="0" applyAlignment="0" applyProtection="0"/>
    <xf numFmtId="0" fontId="1" fillId="20" borderId="1" applyNumberFormat="0" applyBorder="0" applyAlignment="0" applyProtection="0"/>
    <xf numFmtId="0" fontId="1" fillId="24" borderId="1" applyNumberFormat="0" applyBorder="0" applyAlignment="0" applyProtection="0"/>
    <xf numFmtId="0" fontId="1" fillId="28" borderId="1" applyNumberFormat="0" applyBorder="0" applyAlignment="0" applyProtection="0"/>
    <xf numFmtId="0" fontId="1" fillId="32" borderId="1" applyNumberFormat="0" applyBorder="0" applyAlignment="0" applyProtection="0"/>
    <xf numFmtId="0" fontId="1" fillId="36" borderId="1" applyNumberFormat="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0" borderId="1"/>
    <xf numFmtId="0" fontId="1" fillId="0" borderId="1"/>
    <xf numFmtId="0" fontId="1" fillId="0" borderId="1"/>
    <xf numFmtId="0" fontId="1" fillId="13" borderId="83" applyNumberFormat="0" applyFont="0" applyAlignment="0" applyProtection="0"/>
    <xf numFmtId="9" fontId="1" fillId="0" borderId="1" applyFont="0" applyFill="0" applyBorder="0" applyAlignment="0" applyProtection="0"/>
    <xf numFmtId="0" fontId="1" fillId="15" borderId="1" applyNumberFormat="0" applyBorder="0" applyAlignment="0" applyProtection="0"/>
    <xf numFmtId="0" fontId="1" fillId="19" borderId="1" applyNumberFormat="0" applyBorder="0" applyAlignment="0" applyProtection="0"/>
    <xf numFmtId="0" fontId="1" fillId="23" borderId="1" applyNumberFormat="0" applyBorder="0" applyAlignment="0" applyProtection="0"/>
    <xf numFmtId="0" fontId="1" fillId="27" borderId="1" applyNumberFormat="0" applyBorder="0" applyAlignment="0" applyProtection="0"/>
    <xf numFmtId="0" fontId="1" fillId="31" borderId="1" applyNumberFormat="0" applyBorder="0" applyAlignment="0" applyProtection="0"/>
    <xf numFmtId="0" fontId="1" fillId="35" borderId="1" applyNumberFormat="0" applyBorder="0" applyAlignment="0" applyProtection="0"/>
    <xf numFmtId="0" fontId="1" fillId="16" borderId="1" applyNumberFormat="0" applyBorder="0" applyAlignment="0" applyProtection="0"/>
    <xf numFmtId="0" fontId="1" fillId="20" borderId="1" applyNumberFormat="0" applyBorder="0" applyAlignment="0" applyProtection="0"/>
    <xf numFmtId="0" fontId="1" fillId="24" borderId="1" applyNumberFormat="0" applyBorder="0" applyAlignment="0" applyProtection="0"/>
    <xf numFmtId="0" fontId="1" fillId="28" borderId="1" applyNumberFormat="0" applyBorder="0" applyAlignment="0" applyProtection="0"/>
    <xf numFmtId="0" fontId="1" fillId="32" borderId="1" applyNumberFormat="0" applyBorder="0" applyAlignment="0" applyProtection="0"/>
    <xf numFmtId="0" fontId="1" fillId="36" borderId="1" applyNumberFormat="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0" borderId="1"/>
    <xf numFmtId="0" fontId="1" fillId="0" borderId="1"/>
    <xf numFmtId="0" fontId="1" fillId="0" borderId="1"/>
    <xf numFmtId="0" fontId="1" fillId="13" borderId="83" applyNumberFormat="0" applyFont="0" applyAlignment="0" applyProtection="0"/>
    <xf numFmtId="0" fontId="1" fillId="13" borderId="83" applyNumberFormat="0" applyFont="0" applyAlignment="0" applyProtection="0"/>
    <xf numFmtId="9" fontId="1" fillId="0" borderId="1" applyFont="0" applyFill="0" applyBorder="0" applyAlignment="0" applyProtection="0"/>
    <xf numFmtId="9"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15" borderId="1" applyNumberFormat="0" applyBorder="0" applyAlignment="0" applyProtection="0"/>
    <xf numFmtId="0" fontId="1" fillId="16" borderId="1" applyNumberFormat="0" applyBorder="0" applyAlignment="0" applyProtection="0"/>
    <xf numFmtId="0" fontId="1" fillId="19" borderId="1" applyNumberFormat="0" applyBorder="0" applyAlignment="0" applyProtection="0"/>
    <xf numFmtId="0" fontId="1" fillId="20" borderId="1" applyNumberFormat="0" applyBorder="0" applyAlignment="0" applyProtection="0"/>
    <xf numFmtId="0" fontId="1" fillId="23" borderId="1" applyNumberFormat="0" applyBorder="0" applyAlignment="0" applyProtection="0"/>
    <xf numFmtId="0" fontId="1" fillId="24" borderId="1" applyNumberFormat="0" applyBorder="0" applyAlignment="0" applyProtection="0"/>
    <xf numFmtId="0" fontId="1" fillId="27" borderId="1" applyNumberFormat="0" applyBorder="0" applyAlignment="0" applyProtection="0"/>
    <xf numFmtId="0" fontId="1" fillId="28" borderId="1" applyNumberFormat="0" applyBorder="0" applyAlignment="0" applyProtection="0"/>
    <xf numFmtId="0" fontId="1" fillId="31" borderId="1" applyNumberFormat="0" applyBorder="0" applyAlignment="0" applyProtection="0"/>
    <xf numFmtId="0" fontId="1" fillId="32" borderId="1" applyNumberFormat="0" applyBorder="0" applyAlignment="0" applyProtection="0"/>
    <xf numFmtId="0" fontId="1" fillId="35" borderId="1" applyNumberFormat="0" applyBorder="0" applyAlignment="0" applyProtection="0"/>
    <xf numFmtId="0" fontId="1" fillId="36" borderId="1" applyNumberFormat="0" applyBorder="0" applyAlignment="0" applyProtection="0"/>
    <xf numFmtId="0" fontId="1" fillId="0" borderId="1"/>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0" borderId="1"/>
    <xf numFmtId="0" fontId="1" fillId="0" borderId="1"/>
    <xf numFmtId="0" fontId="1" fillId="0" borderId="1"/>
    <xf numFmtId="0" fontId="1" fillId="13" borderId="83" applyNumberFormat="0" applyFont="0" applyAlignment="0" applyProtection="0"/>
    <xf numFmtId="9" fontId="1" fillId="0" borderId="1" applyFont="0" applyFill="0" applyBorder="0" applyAlignment="0" applyProtection="0"/>
    <xf numFmtId="9" fontId="1" fillId="0" borderId="1" applyFont="0" applyFill="0" applyBorder="0" applyAlignment="0" applyProtection="0"/>
    <xf numFmtId="0" fontId="1" fillId="15" borderId="1" applyNumberFormat="0" applyBorder="0" applyAlignment="0" applyProtection="0"/>
    <xf numFmtId="0" fontId="1" fillId="19" borderId="1" applyNumberFormat="0" applyBorder="0" applyAlignment="0" applyProtection="0"/>
    <xf numFmtId="0" fontId="1" fillId="23" borderId="1" applyNumberFormat="0" applyBorder="0" applyAlignment="0" applyProtection="0"/>
    <xf numFmtId="0" fontId="1" fillId="27" borderId="1" applyNumberFormat="0" applyBorder="0" applyAlignment="0" applyProtection="0"/>
    <xf numFmtId="0" fontId="1" fillId="31" borderId="1" applyNumberFormat="0" applyBorder="0" applyAlignment="0" applyProtection="0"/>
    <xf numFmtId="0" fontId="1" fillId="35" borderId="1" applyNumberFormat="0" applyBorder="0" applyAlignment="0" applyProtection="0"/>
    <xf numFmtId="0" fontId="1" fillId="16" borderId="1" applyNumberFormat="0" applyBorder="0" applyAlignment="0" applyProtection="0"/>
    <xf numFmtId="0" fontId="1" fillId="20" borderId="1" applyNumberFormat="0" applyBorder="0" applyAlignment="0" applyProtection="0"/>
    <xf numFmtId="0" fontId="1" fillId="24" borderId="1" applyNumberFormat="0" applyBorder="0" applyAlignment="0" applyProtection="0"/>
    <xf numFmtId="0" fontId="1" fillId="28" borderId="1" applyNumberFormat="0" applyBorder="0" applyAlignment="0" applyProtection="0"/>
    <xf numFmtId="0" fontId="1" fillId="32" borderId="1" applyNumberFormat="0" applyBorder="0" applyAlignment="0" applyProtection="0"/>
    <xf numFmtId="0" fontId="1" fillId="36" borderId="1" applyNumberFormat="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0" borderId="1"/>
    <xf numFmtId="0" fontId="1" fillId="0" borderId="1"/>
    <xf numFmtId="0" fontId="1" fillId="0" borderId="1"/>
    <xf numFmtId="0" fontId="1" fillId="13" borderId="83" applyNumberFormat="0" applyFont="0" applyAlignment="0" applyProtection="0"/>
    <xf numFmtId="0" fontId="1" fillId="13" borderId="83" applyNumberFormat="0" applyFont="0" applyAlignment="0" applyProtection="0"/>
    <xf numFmtId="9" fontId="1" fillId="0" borderId="1" applyFont="0" applyFill="0" applyBorder="0" applyAlignment="0" applyProtection="0"/>
    <xf numFmtId="9"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15" borderId="1" applyNumberFormat="0" applyBorder="0" applyAlignment="0" applyProtection="0"/>
    <xf numFmtId="0" fontId="1" fillId="16" borderId="1" applyNumberFormat="0" applyBorder="0" applyAlignment="0" applyProtection="0"/>
    <xf numFmtId="0" fontId="1" fillId="19" borderId="1" applyNumberFormat="0" applyBorder="0" applyAlignment="0" applyProtection="0"/>
    <xf numFmtId="0" fontId="1" fillId="20" borderId="1" applyNumberFormat="0" applyBorder="0" applyAlignment="0" applyProtection="0"/>
    <xf numFmtId="0" fontId="1" fillId="23" borderId="1" applyNumberFormat="0" applyBorder="0" applyAlignment="0" applyProtection="0"/>
    <xf numFmtId="0" fontId="1" fillId="27" borderId="1" applyNumberFormat="0" applyBorder="0" applyAlignment="0" applyProtection="0"/>
    <xf numFmtId="0" fontId="1" fillId="31" borderId="1" applyNumberFormat="0" applyBorder="0" applyAlignment="0" applyProtection="0"/>
    <xf numFmtId="0" fontId="1" fillId="35" borderId="1" applyNumberFormat="0" applyBorder="0" applyAlignment="0" applyProtection="0"/>
    <xf numFmtId="165" fontId="1" fillId="0" borderId="1" applyFont="0" applyFill="0" applyBorder="0" applyAlignment="0" applyProtection="0"/>
    <xf numFmtId="0" fontId="1" fillId="0" borderId="1"/>
    <xf numFmtId="165" fontId="1" fillId="0" borderId="1" applyFont="0" applyFill="0" applyBorder="0" applyAlignment="0" applyProtection="0"/>
    <xf numFmtId="9" fontId="1" fillId="0" borderId="1" applyFont="0" applyFill="0" applyBorder="0" applyAlignment="0" applyProtection="0"/>
    <xf numFmtId="0" fontId="1" fillId="13" borderId="83" applyNumberFormat="0" applyFont="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0" borderId="1"/>
    <xf numFmtId="0" fontId="1" fillId="0" borderId="1"/>
    <xf numFmtId="0" fontId="1" fillId="0" borderId="1"/>
    <xf numFmtId="0" fontId="1" fillId="0" borderId="1"/>
    <xf numFmtId="0" fontId="1" fillId="15" borderId="1" applyNumberFormat="0" applyBorder="0" applyAlignment="0" applyProtection="0"/>
    <xf numFmtId="0" fontId="1" fillId="19" borderId="1" applyNumberFormat="0" applyBorder="0" applyAlignment="0" applyProtection="0"/>
    <xf numFmtId="0" fontId="1" fillId="23" borderId="1" applyNumberFormat="0" applyBorder="0" applyAlignment="0" applyProtection="0"/>
    <xf numFmtId="0" fontId="1" fillId="27" borderId="1" applyNumberFormat="0" applyBorder="0" applyAlignment="0" applyProtection="0"/>
    <xf numFmtId="0" fontId="1" fillId="31" borderId="1" applyNumberFormat="0" applyBorder="0" applyAlignment="0" applyProtection="0"/>
    <xf numFmtId="0" fontId="1" fillId="35" borderId="1" applyNumberFormat="0" applyBorder="0" applyAlignment="0" applyProtection="0"/>
    <xf numFmtId="0" fontId="1" fillId="16" borderId="1" applyNumberFormat="0" applyBorder="0" applyAlignment="0" applyProtection="0"/>
    <xf numFmtId="0" fontId="1" fillId="20" borderId="1" applyNumberFormat="0" applyBorder="0" applyAlignment="0" applyProtection="0"/>
    <xf numFmtId="0" fontId="1" fillId="24" borderId="1" applyNumberFormat="0" applyBorder="0" applyAlignment="0" applyProtection="0"/>
    <xf numFmtId="0" fontId="1" fillId="28" borderId="1" applyNumberFormat="0" applyBorder="0" applyAlignment="0" applyProtection="0"/>
    <xf numFmtId="0" fontId="1" fillId="32" borderId="1" applyNumberFormat="0" applyBorder="0" applyAlignment="0" applyProtection="0"/>
    <xf numFmtId="0" fontId="1" fillId="36" borderId="1" applyNumberFormat="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0" borderId="1"/>
    <xf numFmtId="0" fontId="1" fillId="0" borderId="1"/>
    <xf numFmtId="0" fontId="1" fillId="0" borderId="1"/>
    <xf numFmtId="0" fontId="1" fillId="13" borderId="83" applyNumberFormat="0" applyFont="0" applyAlignment="0" applyProtection="0"/>
    <xf numFmtId="0" fontId="1" fillId="13" borderId="83" applyNumberFormat="0" applyFont="0" applyAlignment="0" applyProtection="0"/>
    <xf numFmtId="9" fontId="1" fillId="0" borderId="1" applyFont="0" applyFill="0" applyBorder="0" applyAlignment="0" applyProtection="0"/>
    <xf numFmtId="9"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0" borderId="1"/>
    <xf numFmtId="0" fontId="1" fillId="15" borderId="1" applyNumberFormat="0" applyBorder="0" applyAlignment="0" applyProtection="0"/>
    <xf numFmtId="0" fontId="1" fillId="16" borderId="1" applyNumberFormat="0" applyBorder="0" applyAlignment="0" applyProtection="0"/>
    <xf numFmtId="0" fontId="1" fillId="19" borderId="1" applyNumberFormat="0" applyBorder="0" applyAlignment="0" applyProtection="0"/>
    <xf numFmtId="0" fontId="1" fillId="20" borderId="1" applyNumberFormat="0" applyBorder="0" applyAlignment="0" applyProtection="0"/>
    <xf numFmtId="0" fontId="1" fillId="23" borderId="1" applyNumberFormat="0" applyBorder="0" applyAlignment="0" applyProtection="0"/>
    <xf numFmtId="0" fontId="1" fillId="24" borderId="1" applyNumberFormat="0" applyBorder="0" applyAlignment="0" applyProtection="0"/>
    <xf numFmtId="0" fontId="1" fillId="27" borderId="1" applyNumberFormat="0" applyBorder="0" applyAlignment="0" applyProtection="0"/>
    <xf numFmtId="0" fontId="1" fillId="28" borderId="1" applyNumberFormat="0" applyBorder="0" applyAlignment="0" applyProtection="0"/>
    <xf numFmtId="0" fontId="1" fillId="31" borderId="1" applyNumberFormat="0" applyBorder="0" applyAlignment="0" applyProtection="0"/>
    <xf numFmtId="0" fontId="1" fillId="32" borderId="1" applyNumberFormat="0" applyBorder="0" applyAlignment="0" applyProtection="0"/>
    <xf numFmtId="0" fontId="1" fillId="35" borderId="1" applyNumberFormat="0" applyBorder="0" applyAlignment="0" applyProtection="0"/>
    <xf numFmtId="0" fontId="1" fillId="36" borderId="1" applyNumberFormat="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0" borderId="1"/>
    <xf numFmtId="0" fontId="1" fillId="0" borderId="1"/>
    <xf numFmtId="0" fontId="1" fillId="0" borderId="1"/>
    <xf numFmtId="0" fontId="1" fillId="13" borderId="83" applyNumberFormat="0" applyFont="0" applyAlignment="0" applyProtection="0"/>
    <xf numFmtId="0" fontId="1" fillId="13" borderId="83" applyNumberFormat="0" applyFont="0" applyAlignment="0" applyProtection="0"/>
    <xf numFmtId="9" fontId="1" fillId="0" borderId="1" applyFont="0" applyFill="0" applyBorder="0" applyAlignment="0" applyProtection="0"/>
    <xf numFmtId="9" fontId="1" fillId="0" borderId="1" applyFont="0" applyFill="0" applyBorder="0" applyAlignment="0" applyProtection="0"/>
    <xf numFmtId="0" fontId="1" fillId="15" borderId="1" applyNumberFormat="0" applyBorder="0" applyAlignment="0" applyProtection="0"/>
    <xf numFmtId="0" fontId="1" fillId="19" borderId="1" applyNumberFormat="0" applyBorder="0" applyAlignment="0" applyProtection="0"/>
    <xf numFmtId="0" fontId="1" fillId="23" borderId="1" applyNumberFormat="0" applyBorder="0" applyAlignment="0" applyProtection="0"/>
    <xf numFmtId="0" fontId="1" fillId="27" borderId="1" applyNumberFormat="0" applyBorder="0" applyAlignment="0" applyProtection="0"/>
    <xf numFmtId="0" fontId="1" fillId="31" borderId="1" applyNumberFormat="0" applyBorder="0" applyAlignment="0" applyProtection="0"/>
    <xf numFmtId="0" fontId="1" fillId="35" borderId="1" applyNumberFormat="0" applyBorder="0" applyAlignment="0" applyProtection="0"/>
    <xf numFmtId="0" fontId="1" fillId="16" borderId="1" applyNumberFormat="0" applyBorder="0" applyAlignment="0" applyProtection="0"/>
    <xf numFmtId="0" fontId="1" fillId="20" borderId="1" applyNumberFormat="0" applyBorder="0" applyAlignment="0" applyProtection="0"/>
    <xf numFmtId="0" fontId="1" fillId="24" borderId="1" applyNumberFormat="0" applyBorder="0" applyAlignment="0" applyProtection="0"/>
    <xf numFmtId="0" fontId="1" fillId="28" borderId="1" applyNumberFormat="0" applyBorder="0" applyAlignment="0" applyProtection="0"/>
    <xf numFmtId="0" fontId="1" fillId="32" borderId="1" applyNumberFormat="0" applyBorder="0" applyAlignment="0" applyProtection="0"/>
    <xf numFmtId="0" fontId="1" fillId="36" borderId="1" applyNumberFormat="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0" borderId="1"/>
    <xf numFmtId="0" fontId="1" fillId="0" borderId="1"/>
    <xf numFmtId="0" fontId="1" fillId="0" borderId="1"/>
    <xf numFmtId="0" fontId="1" fillId="13" borderId="83" applyNumberFormat="0" applyFont="0" applyAlignment="0" applyProtection="0"/>
    <xf numFmtId="0" fontId="1" fillId="13" borderId="83" applyNumberFormat="0" applyFont="0" applyAlignment="0" applyProtection="0"/>
    <xf numFmtId="9" fontId="1" fillId="0" borderId="1" applyFont="0" applyFill="0" applyBorder="0" applyAlignment="0" applyProtection="0"/>
    <xf numFmtId="9" fontId="1" fillId="0" borderId="1" applyFont="0" applyFill="0" applyBorder="0" applyAlignment="0" applyProtection="0"/>
    <xf numFmtId="165" fontId="1" fillId="0" borderId="1" applyFont="0" applyFill="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0" borderId="1"/>
    <xf numFmtId="0" fontId="1" fillId="0" borderId="1"/>
    <xf numFmtId="0" fontId="1" fillId="13" borderId="83" applyNumberFormat="0" applyFont="0" applyAlignment="0" applyProtection="0"/>
    <xf numFmtId="0" fontId="1" fillId="13" borderId="83" applyNumberFormat="0" applyFont="0" applyAlignment="0" applyProtection="0"/>
    <xf numFmtId="9"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0" borderId="1"/>
    <xf numFmtId="0" fontId="1" fillId="0" borderId="1"/>
    <xf numFmtId="0" fontId="1" fillId="0" borderId="1"/>
    <xf numFmtId="0" fontId="1" fillId="0" borderId="1"/>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0" borderId="1"/>
    <xf numFmtId="0" fontId="1" fillId="0" borderId="1"/>
    <xf numFmtId="0" fontId="1" fillId="0" borderId="1"/>
    <xf numFmtId="0" fontId="1" fillId="0" borderId="1"/>
    <xf numFmtId="0" fontId="1" fillId="13" borderId="83" applyNumberFormat="0" applyFont="0" applyAlignment="0" applyProtection="0"/>
    <xf numFmtId="9" fontId="1" fillId="0" borderId="1" applyFont="0" applyFill="0" applyBorder="0" applyAlignment="0" applyProtection="0"/>
    <xf numFmtId="9" fontId="1" fillId="0" borderId="1" applyFont="0" applyFill="0" applyBorder="0" applyAlignment="0" applyProtection="0"/>
    <xf numFmtId="0" fontId="1" fillId="0" borderId="1"/>
    <xf numFmtId="0" fontId="1" fillId="15" borderId="1" applyNumberFormat="0" applyBorder="0" applyAlignment="0" applyProtection="0"/>
    <xf numFmtId="0" fontId="1" fillId="16" borderId="1" applyNumberFormat="0" applyBorder="0" applyAlignment="0" applyProtection="0"/>
    <xf numFmtId="0" fontId="1" fillId="19" borderId="1" applyNumberFormat="0" applyBorder="0" applyAlignment="0" applyProtection="0"/>
    <xf numFmtId="0" fontId="1" fillId="20" borderId="1" applyNumberFormat="0" applyBorder="0" applyAlignment="0" applyProtection="0"/>
    <xf numFmtId="0" fontId="1" fillId="23" borderId="1" applyNumberFormat="0" applyBorder="0" applyAlignment="0" applyProtection="0"/>
    <xf numFmtId="0" fontId="1" fillId="24" borderId="1" applyNumberFormat="0" applyBorder="0" applyAlignment="0" applyProtection="0"/>
    <xf numFmtId="0" fontId="1" fillId="27" borderId="1" applyNumberFormat="0" applyBorder="0" applyAlignment="0" applyProtection="0"/>
    <xf numFmtId="0" fontId="1" fillId="28" borderId="1" applyNumberFormat="0" applyBorder="0" applyAlignment="0" applyProtection="0"/>
    <xf numFmtId="0" fontId="1" fillId="31" borderId="1" applyNumberFormat="0" applyBorder="0" applyAlignment="0" applyProtection="0"/>
    <xf numFmtId="0" fontId="1" fillId="32" borderId="1" applyNumberFormat="0" applyBorder="0" applyAlignment="0" applyProtection="0"/>
    <xf numFmtId="0" fontId="1" fillId="35" borderId="1" applyNumberFormat="0" applyBorder="0" applyAlignment="0" applyProtection="0"/>
    <xf numFmtId="0" fontId="1" fillId="36" borderId="1" applyNumberFormat="0" applyBorder="0" applyAlignment="0" applyProtection="0"/>
    <xf numFmtId="0" fontId="1" fillId="0" borderId="1"/>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0" borderId="1"/>
    <xf numFmtId="0" fontId="1" fillId="0" borderId="1"/>
    <xf numFmtId="0" fontId="1" fillId="0" borderId="1"/>
    <xf numFmtId="0" fontId="1" fillId="13" borderId="83" applyNumberFormat="0" applyFont="0" applyAlignment="0" applyProtection="0"/>
    <xf numFmtId="0" fontId="1" fillId="13" borderId="83" applyNumberFormat="0" applyFont="0" applyAlignment="0" applyProtection="0"/>
    <xf numFmtId="9" fontId="1" fillId="0" borderId="1" applyFont="0" applyFill="0" applyBorder="0" applyAlignment="0" applyProtection="0"/>
    <xf numFmtId="9" fontId="1" fillId="0" borderId="1" applyFont="0" applyFill="0" applyBorder="0" applyAlignment="0" applyProtection="0"/>
    <xf numFmtId="0" fontId="1" fillId="15" borderId="1" applyNumberFormat="0" applyBorder="0" applyAlignment="0" applyProtection="0"/>
    <xf numFmtId="0" fontId="1" fillId="19" borderId="1" applyNumberFormat="0" applyBorder="0" applyAlignment="0" applyProtection="0"/>
    <xf numFmtId="0" fontId="1" fillId="23" borderId="1" applyNumberFormat="0" applyBorder="0" applyAlignment="0" applyProtection="0"/>
    <xf numFmtId="0" fontId="1" fillId="27" borderId="1" applyNumberFormat="0" applyBorder="0" applyAlignment="0" applyProtection="0"/>
    <xf numFmtId="0" fontId="1" fillId="31" borderId="1" applyNumberFormat="0" applyBorder="0" applyAlignment="0" applyProtection="0"/>
    <xf numFmtId="0" fontId="1" fillId="35" borderId="1" applyNumberFormat="0" applyBorder="0" applyAlignment="0" applyProtection="0"/>
    <xf numFmtId="0" fontId="1" fillId="16" borderId="1" applyNumberFormat="0" applyBorder="0" applyAlignment="0" applyProtection="0"/>
    <xf numFmtId="0" fontId="1" fillId="20" borderId="1" applyNumberFormat="0" applyBorder="0" applyAlignment="0" applyProtection="0"/>
    <xf numFmtId="0" fontId="1" fillId="24" borderId="1" applyNumberFormat="0" applyBorder="0" applyAlignment="0" applyProtection="0"/>
    <xf numFmtId="0" fontId="1" fillId="28" borderId="1" applyNumberFormat="0" applyBorder="0" applyAlignment="0" applyProtection="0"/>
    <xf numFmtId="0" fontId="1" fillId="32" borderId="1" applyNumberFormat="0" applyBorder="0" applyAlignment="0" applyProtection="0"/>
    <xf numFmtId="0" fontId="1" fillId="36" borderId="1" applyNumberFormat="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0" borderId="1"/>
    <xf numFmtId="0" fontId="1" fillId="0" borderId="1"/>
    <xf numFmtId="0" fontId="1" fillId="0" borderId="1"/>
    <xf numFmtId="0" fontId="1" fillId="13" borderId="83" applyNumberFormat="0" applyFont="0" applyAlignment="0" applyProtection="0"/>
    <xf numFmtId="0" fontId="1" fillId="13" borderId="83" applyNumberFormat="0" applyFont="0" applyAlignment="0" applyProtection="0"/>
    <xf numFmtId="9" fontId="1" fillId="0" borderId="1" applyFont="0" applyFill="0" applyBorder="0" applyAlignment="0" applyProtection="0"/>
    <xf numFmtId="9"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0" borderId="1"/>
    <xf numFmtId="0" fontId="1" fillId="15" borderId="1" applyNumberFormat="0" applyBorder="0" applyAlignment="0" applyProtection="0"/>
    <xf numFmtId="0" fontId="1" fillId="16" borderId="1" applyNumberFormat="0" applyBorder="0" applyAlignment="0" applyProtection="0"/>
    <xf numFmtId="0" fontId="1" fillId="19" borderId="1" applyNumberFormat="0" applyBorder="0" applyAlignment="0" applyProtection="0"/>
    <xf numFmtId="0" fontId="1" fillId="20" borderId="1" applyNumberFormat="0" applyBorder="0" applyAlignment="0" applyProtection="0"/>
    <xf numFmtId="0" fontId="1" fillId="23" borderId="1" applyNumberFormat="0" applyBorder="0" applyAlignment="0" applyProtection="0"/>
    <xf numFmtId="0" fontId="1" fillId="24" borderId="1" applyNumberFormat="0" applyBorder="0" applyAlignment="0" applyProtection="0"/>
    <xf numFmtId="0" fontId="1" fillId="27" borderId="1" applyNumberFormat="0" applyBorder="0" applyAlignment="0" applyProtection="0"/>
    <xf numFmtId="0" fontId="1" fillId="28" borderId="1" applyNumberFormat="0" applyBorder="0" applyAlignment="0" applyProtection="0"/>
    <xf numFmtId="0" fontId="1" fillId="31" borderId="1" applyNumberFormat="0" applyBorder="0" applyAlignment="0" applyProtection="0"/>
    <xf numFmtId="0" fontId="1" fillId="32" borderId="1" applyNumberFormat="0" applyBorder="0" applyAlignment="0" applyProtection="0"/>
    <xf numFmtId="0" fontId="1" fillId="35" borderId="1" applyNumberFormat="0" applyBorder="0" applyAlignment="0" applyProtection="0"/>
    <xf numFmtId="0" fontId="1" fillId="36" borderId="1" applyNumberFormat="0" applyBorder="0" applyAlignment="0" applyProtection="0"/>
    <xf numFmtId="0" fontId="1" fillId="0" borderId="1"/>
    <xf numFmtId="165" fontId="1" fillId="0" borderId="1" applyFont="0" applyFill="0" applyBorder="0" applyAlignment="0" applyProtection="0"/>
    <xf numFmtId="0" fontId="1" fillId="0" borderId="1"/>
    <xf numFmtId="9" fontId="1" fillId="0" borderId="1" applyFont="0" applyFill="0" applyBorder="0" applyAlignment="0" applyProtection="0"/>
    <xf numFmtId="0" fontId="1" fillId="13" borderId="83" applyNumberFormat="0" applyFont="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0" borderId="1"/>
    <xf numFmtId="0" fontId="1" fillId="0" borderId="1"/>
    <xf numFmtId="0" fontId="1" fillId="0" borderId="1"/>
    <xf numFmtId="0" fontId="1" fillId="0" borderId="1"/>
    <xf numFmtId="0" fontId="1" fillId="15" borderId="1" applyNumberFormat="0" applyBorder="0" applyAlignment="0" applyProtection="0"/>
    <xf numFmtId="0" fontId="1" fillId="19" borderId="1" applyNumberFormat="0" applyBorder="0" applyAlignment="0" applyProtection="0"/>
    <xf numFmtId="0" fontId="1" fillId="23" borderId="1" applyNumberFormat="0" applyBorder="0" applyAlignment="0" applyProtection="0"/>
    <xf numFmtId="0" fontId="1" fillId="27" borderId="1" applyNumberFormat="0" applyBorder="0" applyAlignment="0" applyProtection="0"/>
    <xf numFmtId="0" fontId="1" fillId="31" borderId="1" applyNumberFormat="0" applyBorder="0" applyAlignment="0" applyProtection="0"/>
    <xf numFmtId="0" fontId="1" fillId="35" borderId="1" applyNumberFormat="0" applyBorder="0" applyAlignment="0" applyProtection="0"/>
    <xf numFmtId="0" fontId="1" fillId="16" borderId="1" applyNumberFormat="0" applyBorder="0" applyAlignment="0" applyProtection="0"/>
    <xf numFmtId="0" fontId="1" fillId="20" borderId="1" applyNumberFormat="0" applyBorder="0" applyAlignment="0" applyProtection="0"/>
    <xf numFmtId="0" fontId="1" fillId="24" borderId="1" applyNumberFormat="0" applyBorder="0" applyAlignment="0" applyProtection="0"/>
    <xf numFmtId="0" fontId="1" fillId="28" borderId="1" applyNumberFormat="0" applyBorder="0" applyAlignment="0" applyProtection="0"/>
    <xf numFmtId="0" fontId="1" fillId="32" borderId="1" applyNumberFormat="0" applyBorder="0" applyAlignment="0" applyProtection="0"/>
    <xf numFmtId="0" fontId="1" fillId="36" borderId="1" applyNumberFormat="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0" borderId="1"/>
    <xf numFmtId="0" fontId="1" fillId="0" borderId="1"/>
    <xf numFmtId="0" fontId="1" fillId="0" borderId="1"/>
    <xf numFmtId="0" fontId="1" fillId="13" borderId="83" applyNumberFormat="0" applyFont="0" applyAlignment="0" applyProtection="0"/>
    <xf numFmtId="0" fontId="1" fillId="13" borderId="83" applyNumberFormat="0" applyFont="0" applyAlignment="0" applyProtection="0"/>
    <xf numFmtId="9" fontId="1" fillId="0" borderId="1" applyFont="0" applyFill="0" applyBorder="0" applyAlignment="0" applyProtection="0"/>
    <xf numFmtId="9"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0" borderId="1"/>
    <xf numFmtId="0" fontId="1" fillId="15" borderId="1" applyNumberFormat="0" applyBorder="0" applyAlignment="0" applyProtection="0"/>
    <xf numFmtId="0" fontId="1" fillId="16" borderId="1" applyNumberFormat="0" applyBorder="0" applyAlignment="0" applyProtection="0"/>
    <xf numFmtId="0" fontId="1" fillId="19" borderId="1" applyNumberFormat="0" applyBorder="0" applyAlignment="0" applyProtection="0"/>
    <xf numFmtId="0" fontId="1" fillId="20" borderId="1" applyNumberFormat="0" applyBorder="0" applyAlignment="0" applyProtection="0"/>
    <xf numFmtId="0" fontId="1" fillId="23" borderId="1" applyNumberFormat="0" applyBorder="0" applyAlignment="0" applyProtection="0"/>
    <xf numFmtId="0" fontId="1" fillId="24" borderId="1" applyNumberFormat="0" applyBorder="0" applyAlignment="0" applyProtection="0"/>
    <xf numFmtId="0" fontId="1" fillId="27" borderId="1" applyNumberFormat="0" applyBorder="0" applyAlignment="0" applyProtection="0"/>
    <xf numFmtId="0" fontId="1" fillId="28" borderId="1" applyNumberFormat="0" applyBorder="0" applyAlignment="0" applyProtection="0"/>
    <xf numFmtId="0" fontId="1" fillId="31" borderId="1" applyNumberFormat="0" applyBorder="0" applyAlignment="0" applyProtection="0"/>
    <xf numFmtId="0" fontId="1" fillId="32" borderId="1" applyNumberFormat="0" applyBorder="0" applyAlignment="0" applyProtection="0"/>
    <xf numFmtId="0" fontId="1" fillId="35" borderId="1" applyNumberFormat="0" applyBorder="0" applyAlignment="0" applyProtection="0"/>
    <xf numFmtId="0" fontId="1" fillId="36" borderId="1" applyNumberFormat="0" applyBorder="0" applyAlignment="0" applyProtection="0"/>
    <xf numFmtId="0" fontId="1" fillId="0" borderId="1"/>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0" borderId="1"/>
    <xf numFmtId="0" fontId="1" fillId="0" borderId="1"/>
    <xf numFmtId="0" fontId="1" fillId="0" borderId="1"/>
    <xf numFmtId="0" fontId="1" fillId="13" borderId="83" applyNumberFormat="0" applyFont="0" applyAlignment="0" applyProtection="0"/>
    <xf numFmtId="0" fontId="1" fillId="13" borderId="83" applyNumberFormat="0" applyFont="0" applyAlignment="0" applyProtection="0"/>
    <xf numFmtId="9" fontId="1" fillId="0" borderId="1" applyFont="0" applyFill="0" applyBorder="0" applyAlignment="0" applyProtection="0"/>
    <xf numFmtId="9" fontId="1" fillId="0" borderId="1" applyFont="0" applyFill="0" applyBorder="0" applyAlignment="0" applyProtection="0"/>
    <xf numFmtId="0" fontId="1" fillId="15" borderId="1" applyNumberFormat="0" applyBorder="0" applyAlignment="0" applyProtection="0"/>
    <xf numFmtId="0" fontId="1" fillId="19" borderId="1" applyNumberFormat="0" applyBorder="0" applyAlignment="0" applyProtection="0"/>
    <xf numFmtId="0" fontId="1" fillId="23" borderId="1" applyNumberFormat="0" applyBorder="0" applyAlignment="0" applyProtection="0"/>
    <xf numFmtId="0" fontId="1" fillId="27" borderId="1" applyNumberFormat="0" applyBorder="0" applyAlignment="0" applyProtection="0"/>
    <xf numFmtId="0" fontId="1" fillId="31" borderId="1" applyNumberFormat="0" applyBorder="0" applyAlignment="0" applyProtection="0"/>
    <xf numFmtId="0" fontId="1" fillId="35" borderId="1" applyNumberFormat="0" applyBorder="0" applyAlignment="0" applyProtection="0"/>
    <xf numFmtId="0" fontId="1" fillId="16" borderId="1" applyNumberFormat="0" applyBorder="0" applyAlignment="0" applyProtection="0"/>
    <xf numFmtId="0" fontId="1" fillId="20" borderId="1" applyNumberFormat="0" applyBorder="0" applyAlignment="0" applyProtection="0"/>
    <xf numFmtId="0" fontId="1" fillId="24" borderId="1" applyNumberFormat="0" applyBorder="0" applyAlignment="0" applyProtection="0"/>
    <xf numFmtId="0" fontId="1" fillId="28" borderId="1" applyNumberFormat="0" applyBorder="0" applyAlignment="0" applyProtection="0"/>
    <xf numFmtId="0" fontId="1" fillId="32" borderId="1" applyNumberFormat="0" applyBorder="0" applyAlignment="0" applyProtection="0"/>
    <xf numFmtId="0" fontId="1" fillId="36" borderId="1" applyNumberFormat="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0" borderId="1"/>
    <xf numFmtId="0" fontId="1" fillId="0" borderId="1"/>
    <xf numFmtId="0" fontId="1" fillId="0" borderId="1"/>
    <xf numFmtId="0" fontId="1" fillId="13" borderId="83" applyNumberFormat="0" applyFont="0" applyAlignment="0" applyProtection="0"/>
    <xf numFmtId="0" fontId="1" fillId="13" borderId="83" applyNumberFormat="0" applyFont="0" applyAlignment="0" applyProtection="0"/>
    <xf numFmtId="9" fontId="1" fillId="0" borderId="1" applyFont="0" applyFill="0" applyBorder="0" applyAlignment="0" applyProtection="0"/>
    <xf numFmtId="9"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0" borderId="1"/>
    <xf numFmtId="0" fontId="1" fillId="0" borderId="1"/>
    <xf numFmtId="0" fontId="1" fillId="13" borderId="83" applyNumberFormat="0" applyFont="0" applyAlignment="0" applyProtection="0"/>
    <xf numFmtId="0" fontId="1" fillId="13" borderId="83" applyNumberFormat="0" applyFont="0" applyAlignment="0" applyProtection="0"/>
    <xf numFmtId="9"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0" borderId="1"/>
    <xf numFmtId="0" fontId="1" fillId="0" borderId="1"/>
    <xf numFmtId="0" fontId="1" fillId="0" borderId="1"/>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0" borderId="1"/>
    <xf numFmtId="0" fontId="1" fillId="0" borderId="1"/>
    <xf numFmtId="0" fontId="1" fillId="0" borderId="1"/>
    <xf numFmtId="0" fontId="1" fillId="0" borderId="1"/>
    <xf numFmtId="0" fontId="1" fillId="13" borderId="83" applyNumberFormat="0" applyFont="0" applyAlignment="0" applyProtection="0"/>
    <xf numFmtId="9" fontId="1" fillId="0" borderId="1" applyFont="0" applyFill="0" applyBorder="0" applyAlignment="0" applyProtection="0"/>
    <xf numFmtId="9"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0" borderId="1"/>
    <xf numFmtId="0" fontId="1" fillId="15" borderId="1" applyNumberFormat="0" applyBorder="0" applyAlignment="0" applyProtection="0"/>
    <xf numFmtId="0" fontId="1" fillId="16" borderId="1" applyNumberFormat="0" applyBorder="0" applyAlignment="0" applyProtection="0"/>
    <xf numFmtId="0" fontId="1" fillId="19" borderId="1" applyNumberFormat="0" applyBorder="0" applyAlignment="0" applyProtection="0"/>
    <xf numFmtId="0" fontId="1" fillId="20" borderId="1" applyNumberFormat="0" applyBorder="0" applyAlignment="0" applyProtection="0"/>
    <xf numFmtId="0" fontId="1" fillId="23" borderId="1" applyNumberFormat="0" applyBorder="0" applyAlignment="0" applyProtection="0"/>
    <xf numFmtId="0" fontId="1" fillId="24" borderId="1" applyNumberFormat="0" applyBorder="0" applyAlignment="0" applyProtection="0"/>
    <xf numFmtId="0" fontId="1" fillId="27" borderId="1" applyNumberFormat="0" applyBorder="0" applyAlignment="0" applyProtection="0"/>
    <xf numFmtId="0" fontId="1" fillId="28" borderId="1" applyNumberFormat="0" applyBorder="0" applyAlignment="0" applyProtection="0"/>
    <xf numFmtId="0" fontId="1" fillId="31" borderId="1" applyNumberFormat="0" applyBorder="0" applyAlignment="0" applyProtection="0"/>
    <xf numFmtId="0" fontId="1" fillId="32" borderId="1" applyNumberFormat="0" applyBorder="0" applyAlignment="0" applyProtection="0"/>
    <xf numFmtId="0" fontId="1" fillId="35" borderId="1" applyNumberFormat="0" applyBorder="0" applyAlignment="0" applyProtection="0"/>
    <xf numFmtId="0" fontId="1" fillId="36" borderId="1" applyNumberFormat="0" applyBorder="0" applyAlignment="0" applyProtection="0"/>
    <xf numFmtId="0" fontId="1" fillId="0" borderId="1"/>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0" borderId="1"/>
    <xf numFmtId="0" fontId="1" fillId="0" borderId="1"/>
    <xf numFmtId="0" fontId="1" fillId="0" borderId="1"/>
    <xf numFmtId="0" fontId="1" fillId="0" borderId="1"/>
    <xf numFmtId="0" fontId="1" fillId="13" borderId="83" applyNumberFormat="0" applyFont="0" applyAlignment="0" applyProtection="0"/>
    <xf numFmtId="0" fontId="1" fillId="13" borderId="83" applyNumberFormat="0" applyFont="0" applyAlignment="0" applyProtection="0"/>
    <xf numFmtId="9" fontId="1" fillId="0" borderId="1" applyFont="0" applyFill="0" applyBorder="0" applyAlignment="0" applyProtection="0"/>
    <xf numFmtId="9" fontId="1" fillId="0" borderId="1" applyFont="0" applyFill="0" applyBorder="0" applyAlignment="0" applyProtection="0"/>
    <xf numFmtId="0" fontId="1" fillId="15" borderId="1" applyNumberFormat="0" applyBorder="0" applyAlignment="0" applyProtection="0"/>
    <xf numFmtId="0" fontId="1" fillId="19" borderId="1" applyNumberFormat="0" applyBorder="0" applyAlignment="0" applyProtection="0"/>
    <xf numFmtId="0" fontId="1" fillId="23" borderId="1" applyNumberFormat="0" applyBorder="0" applyAlignment="0" applyProtection="0"/>
    <xf numFmtId="0" fontId="1" fillId="27" borderId="1" applyNumberFormat="0" applyBorder="0" applyAlignment="0" applyProtection="0"/>
    <xf numFmtId="0" fontId="1" fillId="31" borderId="1" applyNumberFormat="0" applyBorder="0" applyAlignment="0" applyProtection="0"/>
    <xf numFmtId="0" fontId="1" fillId="35" borderId="1" applyNumberFormat="0" applyBorder="0" applyAlignment="0" applyProtection="0"/>
    <xf numFmtId="0" fontId="1" fillId="16" borderId="1" applyNumberFormat="0" applyBorder="0" applyAlignment="0" applyProtection="0"/>
    <xf numFmtId="0" fontId="1" fillId="20" borderId="1" applyNumberFormat="0" applyBorder="0" applyAlignment="0" applyProtection="0"/>
    <xf numFmtId="0" fontId="1" fillId="24" borderId="1" applyNumberFormat="0" applyBorder="0" applyAlignment="0" applyProtection="0"/>
    <xf numFmtId="0" fontId="1" fillId="28" borderId="1" applyNumberFormat="0" applyBorder="0" applyAlignment="0" applyProtection="0"/>
    <xf numFmtId="0" fontId="1" fillId="32" borderId="1" applyNumberFormat="0" applyBorder="0" applyAlignment="0" applyProtection="0"/>
    <xf numFmtId="0" fontId="1" fillId="36" borderId="1" applyNumberFormat="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0" borderId="1"/>
    <xf numFmtId="0" fontId="1" fillId="0" borderId="1"/>
    <xf numFmtId="0" fontId="1" fillId="0" borderId="1"/>
    <xf numFmtId="0" fontId="1" fillId="0" borderId="1"/>
    <xf numFmtId="0" fontId="1" fillId="13" borderId="83" applyNumberFormat="0" applyFont="0" applyAlignment="0" applyProtection="0"/>
    <xf numFmtId="0" fontId="1" fillId="13" borderId="83" applyNumberFormat="0" applyFont="0" applyAlignment="0" applyProtection="0"/>
    <xf numFmtId="9" fontId="1" fillId="0" borderId="1" applyFont="0" applyFill="0" applyBorder="0" applyAlignment="0" applyProtection="0"/>
    <xf numFmtId="9"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0" borderId="1"/>
    <xf numFmtId="0" fontId="1" fillId="15" borderId="1" applyNumberFormat="0" applyBorder="0" applyAlignment="0" applyProtection="0"/>
    <xf numFmtId="0" fontId="1" fillId="16" borderId="1" applyNumberFormat="0" applyBorder="0" applyAlignment="0" applyProtection="0"/>
    <xf numFmtId="0" fontId="1" fillId="19" borderId="1" applyNumberFormat="0" applyBorder="0" applyAlignment="0" applyProtection="0"/>
    <xf numFmtId="0" fontId="1" fillId="20" borderId="1" applyNumberFormat="0" applyBorder="0" applyAlignment="0" applyProtection="0"/>
    <xf numFmtId="0" fontId="1" fillId="23" borderId="1" applyNumberFormat="0" applyBorder="0" applyAlignment="0" applyProtection="0"/>
    <xf numFmtId="0" fontId="1" fillId="24" borderId="1" applyNumberFormat="0" applyBorder="0" applyAlignment="0" applyProtection="0"/>
    <xf numFmtId="0" fontId="1" fillId="27" borderId="1" applyNumberFormat="0" applyBorder="0" applyAlignment="0" applyProtection="0"/>
    <xf numFmtId="0" fontId="1" fillId="28" borderId="1" applyNumberFormat="0" applyBorder="0" applyAlignment="0" applyProtection="0"/>
    <xf numFmtId="0" fontId="1" fillId="31" borderId="1" applyNumberFormat="0" applyBorder="0" applyAlignment="0" applyProtection="0"/>
    <xf numFmtId="0" fontId="1" fillId="32" borderId="1" applyNumberFormat="0" applyBorder="0" applyAlignment="0" applyProtection="0"/>
    <xf numFmtId="0" fontId="1" fillId="35" borderId="1" applyNumberFormat="0" applyBorder="0" applyAlignment="0" applyProtection="0"/>
    <xf numFmtId="0" fontId="1" fillId="36" borderId="1" applyNumberFormat="0" applyBorder="0" applyAlignment="0" applyProtection="0"/>
    <xf numFmtId="0" fontId="1" fillId="0" borderId="1"/>
    <xf numFmtId="165" fontId="1" fillId="0" borderId="1" applyFont="0" applyFill="0" applyBorder="0" applyAlignment="0" applyProtection="0"/>
    <xf numFmtId="0" fontId="1" fillId="0" borderId="1"/>
    <xf numFmtId="165" fontId="1" fillId="0" borderId="1" applyFont="0" applyFill="0" applyBorder="0" applyAlignment="0" applyProtection="0"/>
    <xf numFmtId="9" fontId="1" fillId="0" borderId="1" applyFont="0" applyFill="0" applyBorder="0" applyAlignment="0" applyProtection="0"/>
    <xf numFmtId="0" fontId="1" fillId="13" borderId="83" applyNumberFormat="0" applyFont="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0" borderId="1"/>
    <xf numFmtId="0" fontId="1" fillId="0" borderId="1"/>
    <xf numFmtId="0" fontId="1" fillId="0" borderId="1"/>
    <xf numFmtId="0" fontId="1" fillId="0" borderId="1"/>
    <xf numFmtId="0" fontId="1" fillId="15" borderId="1" applyNumberFormat="0" applyBorder="0" applyAlignment="0" applyProtection="0"/>
    <xf numFmtId="0" fontId="1" fillId="19" borderId="1" applyNumberFormat="0" applyBorder="0" applyAlignment="0" applyProtection="0"/>
    <xf numFmtId="0" fontId="1" fillId="23" borderId="1" applyNumberFormat="0" applyBorder="0" applyAlignment="0" applyProtection="0"/>
    <xf numFmtId="0" fontId="1" fillId="27" borderId="1" applyNumberFormat="0" applyBorder="0" applyAlignment="0" applyProtection="0"/>
    <xf numFmtId="0" fontId="1" fillId="31" borderId="1" applyNumberFormat="0" applyBorder="0" applyAlignment="0" applyProtection="0"/>
    <xf numFmtId="0" fontId="1" fillId="35" borderId="1" applyNumberFormat="0" applyBorder="0" applyAlignment="0" applyProtection="0"/>
    <xf numFmtId="0" fontId="1" fillId="16" borderId="1" applyNumberFormat="0" applyBorder="0" applyAlignment="0" applyProtection="0"/>
    <xf numFmtId="0" fontId="1" fillId="20" borderId="1" applyNumberFormat="0" applyBorder="0" applyAlignment="0" applyProtection="0"/>
    <xf numFmtId="0" fontId="1" fillId="24" borderId="1" applyNumberFormat="0" applyBorder="0" applyAlignment="0" applyProtection="0"/>
    <xf numFmtId="0" fontId="1" fillId="28" borderId="1" applyNumberFormat="0" applyBorder="0" applyAlignment="0" applyProtection="0"/>
    <xf numFmtId="0" fontId="1" fillId="32" borderId="1" applyNumberFormat="0" applyBorder="0" applyAlignment="0" applyProtection="0"/>
    <xf numFmtId="0" fontId="1" fillId="36" borderId="1" applyNumberFormat="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0" borderId="1"/>
    <xf numFmtId="0" fontId="1" fillId="0" borderId="1"/>
    <xf numFmtId="0" fontId="1" fillId="0" borderId="1"/>
    <xf numFmtId="0" fontId="1" fillId="13" borderId="83" applyNumberFormat="0" applyFont="0" applyAlignment="0" applyProtection="0"/>
    <xf numFmtId="0" fontId="1" fillId="13" borderId="83" applyNumberFormat="0" applyFont="0" applyAlignment="0" applyProtection="0"/>
    <xf numFmtId="9" fontId="1" fillId="0" borderId="1" applyFont="0" applyFill="0" applyBorder="0" applyAlignment="0" applyProtection="0"/>
    <xf numFmtId="9"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0" borderId="1"/>
    <xf numFmtId="0" fontId="1" fillId="15" borderId="1" applyNumberFormat="0" applyBorder="0" applyAlignment="0" applyProtection="0"/>
    <xf numFmtId="0" fontId="1" fillId="16" borderId="1" applyNumberFormat="0" applyBorder="0" applyAlignment="0" applyProtection="0"/>
    <xf numFmtId="0" fontId="1" fillId="19" borderId="1" applyNumberFormat="0" applyBorder="0" applyAlignment="0" applyProtection="0"/>
    <xf numFmtId="0" fontId="1" fillId="20" borderId="1" applyNumberFormat="0" applyBorder="0" applyAlignment="0" applyProtection="0"/>
    <xf numFmtId="0" fontId="1" fillId="23" borderId="1" applyNumberFormat="0" applyBorder="0" applyAlignment="0" applyProtection="0"/>
    <xf numFmtId="0" fontId="1" fillId="24" borderId="1" applyNumberFormat="0" applyBorder="0" applyAlignment="0" applyProtection="0"/>
    <xf numFmtId="0" fontId="1" fillId="27" borderId="1" applyNumberFormat="0" applyBorder="0" applyAlignment="0" applyProtection="0"/>
    <xf numFmtId="0" fontId="1" fillId="28" borderId="1" applyNumberFormat="0" applyBorder="0" applyAlignment="0" applyProtection="0"/>
    <xf numFmtId="0" fontId="1" fillId="31" borderId="1" applyNumberFormat="0" applyBorder="0" applyAlignment="0" applyProtection="0"/>
    <xf numFmtId="0" fontId="1" fillId="32" borderId="1" applyNumberFormat="0" applyBorder="0" applyAlignment="0" applyProtection="0"/>
    <xf numFmtId="0" fontId="1" fillId="35" borderId="1" applyNumberFormat="0" applyBorder="0" applyAlignment="0" applyProtection="0"/>
    <xf numFmtId="0" fontId="1" fillId="36" borderId="1" applyNumberFormat="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0" borderId="1"/>
    <xf numFmtId="0" fontId="1" fillId="0" borderId="1"/>
    <xf numFmtId="0" fontId="1" fillId="0" borderId="1"/>
    <xf numFmtId="0" fontId="1" fillId="13" borderId="83" applyNumberFormat="0" applyFont="0" applyAlignment="0" applyProtection="0"/>
    <xf numFmtId="0" fontId="1" fillId="13" borderId="83" applyNumberFormat="0" applyFont="0" applyAlignment="0" applyProtection="0"/>
    <xf numFmtId="9" fontId="1" fillId="0" borderId="1" applyFont="0" applyFill="0" applyBorder="0" applyAlignment="0" applyProtection="0"/>
    <xf numFmtId="9" fontId="1" fillId="0" borderId="1" applyFont="0" applyFill="0" applyBorder="0" applyAlignment="0" applyProtection="0"/>
    <xf numFmtId="0" fontId="1" fillId="15" borderId="1" applyNumberFormat="0" applyBorder="0" applyAlignment="0" applyProtection="0"/>
    <xf numFmtId="0" fontId="1" fillId="19" borderId="1" applyNumberFormat="0" applyBorder="0" applyAlignment="0" applyProtection="0"/>
    <xf numFmtId="0" fontId="1" fillId="23" borderId="1" applyNumberFormat="0" applyBorder="0" applyAlignment="0" applyProtection="0"/>
    <xf numFmtId="0" fontId="1" fillId="27" borderId="1" applyNumberFormat="0" applyBorder="0" applyAlignment="0" applyProtection="0"/>
    <xf numFmtId="0" fontId="1" fillId="31" borderId="1" applyNumberFormat="0" applyBorder="0" applyAlignment="0" applyProtection="0"/>
    <xf numFmtId="0" fontId="1" fillId="35" borderId="1" applyNumberFormat="0" applyBorder="0" applyAlignment="0" applyProtection="0"/>
    <xf numFmtId="0" fontId="1" fillId="16" borderId="1" applyNumberFormat="0" applyBorder="0" applyAlignment="0" applyProtection="0"/>
    <xf numFmtId="0" fontId="1" fillId="20" borderId="1" applyNumberFormat="0" applyBorder="0" applyAlignment="0" applyProtection="0"/>
    <xf numFmtId="0" fontId="1" fillId="24" borderId="1" applyNumberFormat="0" applyBorder="0" applyAlignment="0" applyProtection="0"/>
    <xf numFmtId="0" fontId="1" fillId="28" borderId="1" applyNumberFormat="0" applyBorder="0" applyAlignment="0" applyProtection="0"/>
    <xf numFmtId="0" fontId="1" fillId="32" borderId="1" applyNumberFormat="0" applyBorder="0" applyAlignment="0" applyProtection="0"/>
    <xf numFmtId="0" fontId="1" fillId="36" borderId="1" applyNumberFormat="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0" borderId="1"/>
    <xf numFmtId="0" fontId="1" fillId="0" borderId="1"/>
    <xf numFmtId="0" fontId="1" fillId="0" borderId="1"/>
    <xf numFmtId="0" fontId="1" fillId="13" borderId="83" applyNumberFormat="0" applyFont="0" applyAlignment="0" applyProtection="0"/>
    <xf numFmtId="0" fontId="1" fillId="13" borderId="83" applyNumberFormat="0" applyFont="0" applyAlignment="0" applyProtection="0"/>
    <xf numFmtId="9" fontId="1" fillId="0" borderId="1" applyFont="0" applyFill="0" applyBorder="0" applyAlignment="0" applyProtection="0"/>
    <xf numFmtId="9" fontId="1" fillId="0" borderId="1" applyFont="0" applyFill="0" applyBorder="0" applyAlignment="0" applyProtection="0"/>
    <xf numFmtId="165" fontId="1" fillId="0" borderId="1" applyFont="0" applyFill="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0" borderId="1"/>
    <xf numFmtId="0" fontId="1" fillId="0" borderId="1"/>
    <xf numFmtId="0" fontId="1" fillId="0" borderId="1"/>
    <xf numFmtId="0" fontId="1" fillId="13" borderId="83" applyNumberFormat="0" applyFont="0" applyAlignment="0" applyProtection="0"/>
    <xf numFmtId="0" fontId="1" fillId="13" borderId="83" applyNumberFormat="0" applyFont="0" applyAlignment="0" applyProtection="0"/>
    <xf numFmtId="9"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0" borderId="1"/>
    <xf numFmtId="0" fontId="1" fillId="0" borderId="1"/>
    <xf numFmtId="0" fontId="1" fillId="0" borderId="1"/>
    <xf numFmtId="0" fontId="1" fillId="0" borderId="1"/>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0" borderId="1"/>
    <xf numFmtId="0" fontId="1" fillId="0" borderId="1"/>
    <xf numFmtId="0" fontId="1" fillId="0" borderId="1"/>
    <xf numFmtId="0" fontId="1" fillId="0" borderId="1"/>
    <xf numFmtId="0" fontId="1" fillId="13" borderId="83" applyNumberFormat="0" applyFont="0" applyAlignment="0" applyProtection="0"/>
    <xf numFmtId="9" fontId="1" fillId="0" borderId="1" applyFont="0" applyFill="0" applyBorder="0" applyAlignment="0" applyProtection="0"/>
    <xf numFmtId="9" fontId="1" fillId="0" borderId="1" applyFont="0" applyFill="0" applyBorder="0" applyAlignment="0" applyProtection="0"/>
    <xf numFmtId="0" fontId="1" fillId="0" borderId="1"/>
    <xf numFmtId="0" fontId="1" fillId="15" borderId="1" applyNumberFormat="0" applyBorder="0" applyAlignment="0" applyProtection="0"/>
    <xf numFmtId="0" fontId="1" fillId="16" borderId="1" applyNumberFormat="0" applyBorder="0" applyAlignment="0" applyProtection="0"/>
    <xf numFmtId="0" fontId="1" fillId="19" borderId="1" applyNumberFormat="0" applyBorder="0" applyAlignment="0" applyProtection="0"/>
    <xf numFmtId="0" fontId="1" fillId="20" borderId="1" applyNumberFormat="0" applyBorder="0" applyAlignment="0" applyProtection="0"/>
    <xf numFmtId="0" fontId="1" fillId="23" borderId="1" applyNumberFormat="0" applyBorder="0" applyAlignment="0" applyProtection="0"/>
    <xf numFmtId="0" fontId="1" fillId="24" borderId="1" applyNumberFormat="0" applyBorder="0" applyAlignment="0" applyProtection="0"/>
    <xf numFmtId="0" fontId="1" fillId="27" borderId="1" applyNumberFormat="0" applyBorder="0" applyAlignment="0" applyProtection="0"/>
    <xf numFmtId="0" fontId="1" fillId="28" borderId="1" applyNumberFormat="0" applyBorder="0" applyAlignment="0" applyProtection="0"/>
    <xf numFmtId="0" fontId="1" fillId="31" borderId="1" applyNumberFormat="0" applyBorder="0" applyAlignment="0" applyProtection="0"/>
    <xf numFmtId="0" fontId="1" fillId="32" borderId="1" applyNumberFormat="0" applyBorder="0" applyAlignment="0" applyProtection="0"/>
    <xf numFmtId="0" fontId="1" fillId="35" borderId="1" applyNumberFormat="0" applyBorder="0" applyAlignment="0" applyProtection="0"/>
    <xf numFmtId="0" fontId="1" fillId="36" borderId="1" applyNumberFormat="0" applyBorder="0" applyAlignment="0" applyProtection="0"/>
    <xf numFmtId="0" fontId="1" fillId="0" borderId="1"/>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0" borderId="1"/>
    <xf numFmtId="0" fontId="1" fillId="0" borderId="1"/>
    <xf numFmtId="0" fontId="1" fillId="0" borderId="1"/>
    <xf numFmtId="0" fontId="1" fillId="13" borderId="83" applyNumberFormat="0" applyFont="0" applyAlignment="0" applyProtection="0"/>
    <xf numFmtId="0" fontId="1" fillId="13" borderId="83" applyNumberFormat="0" applyFont="0" applyAlignment="0" applyProtection="0"/>
    <xf numFmtId="9" fontId="1" fillId="0" borderId="1" applyFont="0" applyFill="0" applyBorder="0" applyAlignment="0" applyProtection="0"/>
    <xf numFmtId="9" fontId="1" fillId="0" borderId="1" applyFont="0" applyFill="0" applyBorder="0" applyAlignment="0" applyProtection="0"/>
    <xf numFmtId="0" fontId="1" fillId="15" borderId="1" applyNumberFormat="0" applyBorder="0" applyAlignment="0" applyProtection="0"/>
    <xf numFmtId="0" fontId="1" fillId="19" borderId="1" applyNumberFormat="0" applyBorder="0" applyAlignment="0" applyProtection="0"/>
    <xf numFmtId="0" fontId="1" fillId="23" borderId="1" applyNumberFormat="0" applyBorder="0" applyAlignment="0" applyProtection="0"/>
    <xf numFmtId="0" fontId="1" fillId="27" borderId="1" applyNumberFormat="0" applyBorder="0" applyAlignment="0" applyProtection="0"/>
    <xf numFmtId="0" fontId="1" fillId="31" borderId="1" applyNumberFormat="0" applyBorder="0" applyAlignment="0" applyProtection="0"/>
    <xf numFmtId="0" fontId="1" fillId="35" borderId="1" applyNumberFormat="0" applyBorder="0" applyAlignment="0" applyProtection="0"/>
    <xf numFmtId="0" fontId="1" fillId="16" borderId="1" applyNumberFormat="0" applyBorder="0" applyAlignment="0" applyProtection="0"/>
    <xf numFmtId="0" fontId="1" fillId="20" borderId="1" applyNumberFormat="0" applyBorder="0" applyAlignment="0" applyProtection="0"/>
    <xf numFmtId="0" fontId="1" fillId="24" borderId="1" applyNumberFormat="0" applyBorder="0" applyAlignment="0" applyProtection="0"/>
    <xf numFmtId="0" fontId="1" fillId="28" borderId="1" applyNumberFormat="0" applyBorder="0" applyAlignment="0" applyProtection="0"/>
    <xf numFmtId="0" fontId="1" fillId="32" borderId="1" applyNumberFormat="0" applyBorder="0" applyAlignment="0" applyProtection="0"/>
    <xf numFmtId="0" fontId="1" fillId="36" borderId="1" applyNumberFormat="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0" borderId="1"/>
    <xf numFmtId="0" fontId="1" fillId="0" borderId="1"/>
    <xf numFmtId="0" fontId="1" fillId="0" borderId="1"/>
    <xf numFmtId="0" fontId="1" fillId="13" borderId="83" applyNumberFormat="0" applyFont="0" applyAlignment="0" applyProtection="0"/>
    <xf numFmtId="0" fontId="1" fillId="13" borderId="83" applyNumberFormat="0" applyFont="0" applyAlignment="0" applyProtection="0"/>
    <xf numFmtId="9" fontId="1" fillId="0" borderId="1" applyFont="0" applyFill="0" applyBorder="0" applyAlignment="0" applyProtection="0"/>
    <xf numFmtId="9"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0" borderId="1"/>
    <xf numFmtId="0" fontId="1" fillId="15" borderId="1" applyNumberFormat="0" applyBorder="0" applyAlignment="0" applyProtection="0"/>
    <xf numFmtId="0" fontId="1" fillId="16" borderId="1" applyNumberFormat="0" applyBorder="0" applyAlignment="0" applyProtection="0"/>
    <xf numFmtId="0" fontId="1" fillId="19" borderId="1" applyNumberFormat="0" applyBorder="0" applyAlignment="0" applyProtection="0"/>
    <xf numFmtId="0" fontId="1" fillId="20" borderId="1" applyNumberFormat="0" applyBorder="0" applyAlignment="0" applyProtection="0"/>
    <xf numFmtId="0" fontId="1" fillId="23" borderId="1" applyNumberFormat="0" applyBorder="0" applyAlignment="0" applyProtection="0"/>
    <xf numFmtId="0" fontId="1" fillId="24" borderId="1" applyNumberFormat="0" applyBorder="0" applyAlignment="0" applyProtection="0"/>
    <xf numFmtId="0" fontId="1" fillId="27" borderId="1" applyNumberFormat="0" applyBorder="0" applyAlignment="0" applyProtection="0"/>
    <xf numFmtId="0" fontId="1" fillId="28" borderId="1" applyNumberFormat="0" applyBorder="0" applyAlignment="0" applyProtection="0"/>
    <xf numFmtId="0" fontId="1" fillId="31" borderId="1" applyNumberFormat="0" applyBorder="0" applyAlignment="0" applyProtection="0"/>
    <xf numFmtId="0" fontId="1" fillId="32" borderId="1" applyNumberFormat="0" applyBorder="0" applyAlignment="0" applyProtection="0"/>
    <xf numFmtId="0" fontId="1" fillId="35" borderId="1" applyNumberFormat="0" applyBorder="0" applyAlignment="0" applyProtection="0"/>
    <xf numFmtId="0" fontId="1" fillId="36" borderId="1" applyNumberFormat="0" applyBorder="0" applyAlignment="0" applyProtection="0"/>
    <xf numFmtId="0" fontId="1" fillId="0" borderId="1"/>
    <xf numFmtId="165" fontId="1" fillId="0" borderId="1" applyFont="0" applyFill="0" applyBorder="0" applyAlignment="0" applyProtection="0"/>
    <xf numFmtId="0" fontId="1" fillId="0" borderId="1"/>
    <xf numFmtId="9" fontId="1" fillId="0" borderId="1" applyFont="0" applyFill="0" applyBorder="0" applyAlignment="0" applyProtection="0"/>
    <xf numFmtId="0" fontId="1" fillId="13" borderId="83" applyNumberFormat="0" applyFont="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0" borderId="1"/>
    <xf numFmtId="0" fontId="1" fillId="0" borderId="1"/>
    <xf numFmtId="0" fontId="1" fillId="0" borderId="1"/>
    <xf numFmtId="0" fontId="1" fillId="0" borderId="1"/>
    <xf numFmtId="0" fontId="1" fillId="15" borderId="1" applyNumberFormat="0" applyBorder="0" applyAlignment="0" applyProtection="0"/>
    <xf numFmtId="0" fontId="1" fillId="19" borderId="1" applyNumberFormat="0" applyBorder="0" applyAlignment="0" applyProtection="0"/>
    <xf numFmtId="0" fontId="1" fillId="23" borderId="1" applyNumberFormat="0" applyBorder="0" applyAlignment="0" applyProtection="0"/>
    <xf numFmtId="0" fontId="1" fillId="27" borderId="1" applyNumberFormat="0" applyBorder="0" applyAlignment="0" applyProtection="0"/>
    <xf numFmtId="0" fontId="1" fillId="31" borderId="1" applyNumberFormat="0" applyBorder="0" applyAlignment="0" applyProtection="0"/>
    <xf numFmtId="0" fontId="1" fillId="35" borderId="1" applyNumberFormat="0" applyBorder="0" applyAlignment="0" applyProtection="0"/>
    <xf numFmtId="0" fontId="1" fillId="16" borderId="1" applyNumberFormat="0" applyBorder="0" applyAlignment="0" applyProtection="0"/>
    <xf numFmtId="0" fontId="1" fillId="20" borderId="1" applyNumberFormat="0" applyBorder="0" applyAlignment="0" applyProtection="0"/>
    <xf numFmtId="0" fontId="1" fillId="24" borderId="1" applyNumberFormat="0" applyBorder="0" applyAlignment="0" applyProtection="0"/>
    <xf numFmtId="0" fontId="1" fillId="28" borderId="1" applyNumberFormat="0" applyBorder="0" applyAlignment="0" applyProtection="0"/>
    <xf numFmtId="0" fontId="1" fillId="32" borderId="1" applyNumberFormat="0" applyBorder="0" applyAlignment="0" applyProtection="0"/>
    <xf numFmtId="0" fontId="1" fillId="36" borderId="1" applyNumberFormat="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0" borderId="1"/>
    <xf numFmtId="0" fontId="1" fillId="0" borderId="1"/>
    <xf numFmtId="0" fontId="1" fillId="0" borderId="1"/>
    <xf numFmtId="0" fontId="1" fillId="13" borderId="83" applyNumberFormat="0" applyFont="0" applyAlignment="0" applyProtection="0"/>
    <xf numFmtId="0" fontId="1" fillId="13" borderId="83" applyNumberFormat="0" applyFont="0" applyAlignment="0" applyProtection="0"/>
    <xf numFmtId="9" fontId="1" fillId="0" borderId="1" applyFont="0" applyFill="0" applyBorder="0" applyAlignment="0" applyProtection="0"/>
    <xf numFmtId="9"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0" borderId="1"/>
    <xf numFmtId="0" fontId="1" fillId="15" borderId="1" applyNumberFormat="0" applyBorder="0" applyAlignment="0" applyProtection="0"/>
    <xf numFmtId="0" fontId="1" fillId="16" borderId="1" applyNumberFormat="0" applyBorder="0" applyAlignment="0" applyProtection="0"/>
    <xf numFmtId="0" fontId="1" fillId="19" borderId="1" applyNumberFormat="0" applyBorder="0" applyAlignment="0" applyProtection="0"/>
    <xf numFmtId="0" fontId="1" fillId="20" borderId="1" applyNumberFormat="0" applyBorder="0" applyAlignment="0" applyProtection="0"/>
    <xf numFmtId="0" fontId="1" fillId="23" borderId="1" applyNumberFormat="0" applyBorder="0" applyAlignment="0" applyProtection="0"/>
    <xf numFmtId="0" fontId="1" fillId="24" borderId="1" applyNumberFormat="0" applyBorder="0" applyAlignment="0" applyProtection="0"/>
    <xf numFmtId="0" fontId="1" fillId="27" borderId="1" applyNumberFormat="0" applyBorder="0" applyAlignment="0" applyProtection="0"/>
    <xf numFmtId="0" fontId="1" fillId="28" borderId="1" applyNumberFormat="0" applyBorder="0" applyAlignment="0" applyProtection="0"/>
    <xf numFmtId="0" fontId="1" fillId="31" borderId="1" applyNumberFormat="0" applyBorder="0" applyAlignment="0" applyProtection="0"/>
    <xf numFmtId="0" fontId="1" fillId="32" borderId="1" applyNumberFormat="0" applyBorder="0" applyAlignment="0" applyProtection="0"/>
    <xf numFmtId="0" fontId="1" fillId="35" borderId="1" applyNumberFormat="0" applyBorder="0" applyAlignment="0" applyProtection="0"/>
    <xf numFmtId="0" fontId="1" fillId="36" borderId="1" applyNumberFormat="0" applyBorder="0" applyAlignment="0" applyProtection="0"/>
    <xf numFmtId="0" fontId="1" fillId="0" borderId="1"/>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0" borderId="1"/>
    <xf numFmtId="0" fontId="1" fillId="0" borderId="1"/>
    <xf numFmtId="0" fontId="1" fillId="0" borderId="1"/>
    <xf numFmtId="0" fontId="1" fillId="13" borderId="83" applyNumberFormat="0" applyFont="0" applyAlignment="0" applyProtection="0"/>
    <xf numFmtId="0" fontId="1" fillId="13" borderId="83" applyNumberFormat="0" applyFont="0" applyAlignment="0" applyProtection="0"/>
    <xf numFmtId="9" fontId="1" fillId="0" borderId="1" applyFont="0" applyFill="0" applyBorder="0" applyAlignment="0" applyProtection="0"/>
    <xf numFmtId="9" fontId="1" fillId="0" borderId="1" applyFont="0" applyFill="0" applyBorder="0" applyAlignment="0" applyProtection="0"/>
    <xf numFmtId="0" fontId="1" fillId="15" borderId="1" applyNumberFormat="0" applyBorder="0" applyAlignment="0" applyProtection="0"/>
    <xf numFmtId="0" fontId="1" fillId="19" borderId="1" applyNumberFormat="0" applyBorder="0" applyAlignment="0" applyProtection="0"/>
    <xf numFmtId="0" fontId="1" fillId="23" borderId="1" applyNumberFormat="0" applyBorder="0" applyAlignment="0" applyProtection="0"/>
    <xf numFmtId="0" fontId="1" fillId="27" borderId="1" applyNumberFormat="0" applyBorder="0" applyAlignment="0" applyProtection="0"/>
    <xf numFmtId="0" fontId="1" fillId="31" borderId="1" applyNumberFormat="0" applyBorder="0" applyAlignment="0" applyProtection="0"/>
    <xf numFmtId="0" fontId="1" fillId="35" borderId="1" applyNumberFormat="0" applyBorder="0" applyAlignment="0" applyProtection="0"/>
    <xf numFmtId="0" fontId="1" fillId="16" borderId="1" applyNumberFormat="0" applyBorder="0" applyAlignment="0" applyProtection="0"/>
    <xf numFmtId="0" fontId="1" fillId="20" borderId="1" applyNumberFormat="0" applyBorder="0" applyAlignment="0" applyProtection="0"/>
    <xf numFmtId="0" fontId="1" fillId="24" borderId="1" applyNumberFormat="0" applyBorder="0" applyAlignment="0" applyProtection="0"/>
    <xf numFmtId="0" fontId="1" fillId="28" borderId="1" applyNumberFormat="0" applyBorder="0" applyAlignment="0" applyProtection="0"/>
    <xf numFmtId="0" fontId="1" fillId="32" borderId="1" applyNumberFormat="0" applyBorder="0" applyAlignment="0" applyProtection="0"/>
    <xf numFmtId="0" fontId="1" fillId="36" borderId="1" applyNumberFormat="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0" borderId="1"/>
    <xf numFmtId="0" fontId="1" fillId="0" borderId="1"/>
    <xf numFmtId="0" fontId="1" fillId="0" borderId="1"/>
    <xf numFmtId="0" fontId="1" fillId="13" borderId="83" applyNumberFormat="0" applyFont="0" applyAlignment="0" applyProtection="0"/>
    <xf numFmtId="0" fontId="1" fillId="13" borderId="83" applyNumberFormat="0" applyFont="0" applyAlignment="0" applyProtection="0"/>
    <xf numFmtId="9" fontId="1" fillId="0" borderId="1" applyFont="0" applyFill="0" applyBorder="0" applyAlignment="0" applyProtection="0"/>
    <xf numFmtId="9"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8" fillId="0" borderId="1"/>
    <xf numFmtId="165" fontId="1" fillId="0" borderId="1" applyFont="0" applyFill="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43" fontId="88"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43" fontId="1" fillId="0" borderId="1" applyFont="0" applyFill="0" applyBorder="0" applyAlignment="0" applyProtection="0"/>
    <xf numFmtId="165" fontId="1" fillId="0" borderId="1" applyFont="0" applyFill="0" applyBorder="0" applyAlignment="0" applyProtection="0"/>
    <xf numFmtId="43" fontId="83" fillId="0" borderId="1" applyFont="0" applyFill="0" applyBorder="0" applyAlignment="0" applyProtection="0"/>
    <xf numFmtId="43" fontId="83"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5" fontId="88" fillId="0" borderId="1" applyFont="0" applyFill="0" applyBorder="0" applyAlignment="0" applyProtection="0">
      <alignment wrapText="1"/>
    </xf>
    <xf numFmtId="43" fontId="1" fillId="0" borderId="1" applyFont="0" applyFill="0" applyBorder="0" applyAlignment="0" applyProtection="0"/>
    <xf numFmtId="43"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43" fontId="83" fillId="0" borderId="1" applyFont="0" applyFill="0" applyBorder="0" applyAlignment="0" applyProtection="0"/>
    <xf numFmtId="43" fontId="83"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83" fillId="0" borderId="1" applyFont="0" applyFill="0" applyBorder="0" applyAlignment="0" applyProtection="0"/>
    <xf numFmtId="43"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165" fontId="1" fillId="0" borderId="1" applyFont="0" applyFill="0" applyBorder="0" applyAlignment="0" applyProtection="0"/>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8"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8" fillId="0" borderId="1"/>
    <xf numFmtId="0" fontId="1" fillId="0" borderId="1"/>
    <xf numFmtId="0" fontId="1" fillId="0" borderId="1"/>
    <xf numFmtId="0" fontId="1" fillId="0" borderId="1"/>
    <xf numFmtId="0" fontId="1" fillId="0" borderId="1"/>
    <xf numFmtId="0" fontId="1" fillId="0" borderId="1"/>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0" fontId="18" fillId="0" borderId="1"/>
    <xf numFmtId="0" fontId="18" fillId="0" borderId="1"/>
    <xf numFmtId="0" fontId="18" fillId="0" borderId="1"/>
    <xf numFmtId="43" fontId="18" fillId="0" borderId="1" applyFont="0" applyFill="0" applyBorder="0" applyAlignment="0" applyProtection="0"/>
    <xf numFmtId="0" fontId="18" fillId="0" borderId="1"/>
    <xf numFmtId="0" fontId="18" fillId="0" borderId="1"/>
    <xf numFmtId="0" fontId="18" fillId="0" borderId="1"/>
    <xf numFmtId="0" fontId="18" fillId="0" borderId="1"/>
    <xf numFmtId="0" fontId="18" fillId="0" borderId="1"/>
    <xf numFmtId="43" fontId="1" fillId="0" borderId="1" applyFont="0" applyFill="0" applyBorder="0" applyAlignment="0" applyProtection="0"/>
    <xf numFmtId="0" fontId="18" fillId="0" borderId="1"/>
    <xf numFmtId="165" fontId="1" fillId="0" borderId="1" applyFont="0" applyFill="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0" fontId="18" fillId="0" borderId="1"/>
    <xf numFmtId="0" fontId="1" fillId="15" borderId="1" applyNumberFormat="0" applyBorder="0" applyAlignment="0" applyProtection="0"/>
    <xf numFmtId="0" fontId="1" fillId="19" borderId="1" applyNumberFormat="0" applyBorder="0" applyAlignment="0" applyProtection="0"/>
    <xf numFmtId="0" fontId="1" fillId="23" borderId="1" applyNumberFormat="0" applyBorder="0" applyAlignment="0" applyProtection="0"/>
    <xf numFmtId="0" fontId="1" fillId="27" borderId="1" applyNumberFormat="0" applyBorder="0" applyAlignment="0" applyProtection="0"/>
    <xf numFmtId="0" fontId="1" fillId="31" borderId="1" applyNumberFormat="0" applyBorder="0" applyAlignment="0" applyProtection="0"/>
    <xf numFmtId="0" fontId="1" fillId="35" borderId="1" applyNumberFormat="0" applyBorder="0" applyAlignment="0" applyProtection="0"/>
    <xf numFmtId="0" fontId="1" fillId="16" borderId="1" applyNumberFormat="0" applyBorder="0" applyAlignment="0" applyProtection="0"/>
    <xf numFmtId="0" fontId="1" fillId="20" borderId="1" applyNumberFormat="0" applyBorder="0" applyAlignment="0" applyProtection="0"/>
    <xf numFmtId="0" fontId="1" fillId="24" borderId="1" applyNumberFormat="0" applyBorder="0" applyAlignment="0" applyProtection="0"/>
    <xf numFmtId="0" fontId="1" fillId="28" borderId="1" applyNumberFormat="0" applyBorder="0" applyAlignment="0" applyProtection="0"/>
    <xf numFmtId="0" fontId="1" fillId="32" borderId="1" applyNumberFormat="0" applyBorder="0" applyAlignment="0" applyProtection="0"/>
    <xf numFmtId="0" fontId="1" fillId="36" borderId="1" applyNumberFormat="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0" borderId="1"/>
    <xf numFmtId="0" fontId="1" fillId="0" borderId="1"/>
    <xf numFmtId="0" fontId="1" fillId="0" borderId="1"/>
    <xf numFmtId="0" fontId="1" fillId="0" borderId="1"/>
    <xf numFmtId="0" fontId="1" fillId="13" borderId="83" applyNumberFormat="0" applyFont="0" applyAlignment="0" applyProtection="0"/>
    <xf numFmtId="9" fontId="1" fillId="0" borderId="1" applyFont="0" applyFill="0" applyBorder="0" applyAlignment="0" applyProtection="0"/>
    <xf numFmtId="0" fontId="1" fillId="0" borderId="1"/>
    <xf numFmtId="0" fontId="1" fillId="15" borderId="1" applyNumberFormat="0" applyBorder="0" applyAlignment="0" applyProtection="0"/>
    <xf numFmtId="0" fontId="1" fillId="19" borderId="1" applyNumberFormat="0" applyBorder="0" applyAlignment="0" applyProtection="0"/>
    <xf numFmtId="0" fontId="1" fillId="23" borderId="1" applyNumberFormat="0" applyBorder="0" applyAlignment="0" applyProtection="0"/>
    <xf numFmtId="0" fontId="1" fillId="27" borderId="1" applyNumberFormat="0" applyBorder="0" applyAlignment="0" applyProtection="0"/>
    <xf numFmtId="0" fontId="1" fillId="31" borderId="1" applyNumberFormat="0" applyBorder="0" applyAlignment="0" applyProtection="0"/>
    <xf numFmtId="0" fontId="1" fillId="35" borderId="1" applyNumberFormat="0" applyBorder="0" applyAlignment="0" applyProtection="0"/>
    <xf numFmtId="0" fontId="1" fillId="16" borderId="1" applyNumberFormat="0" applyBorder="0" applyAlignment="0" applyProtection="0"/>
    <xf numFmtId="0" fontId="1" fillId="20" borderId="1" applyNumberFormat="0" applyBorder="0" applyAlignment="0" applyProtection="0"/>
    <xf numFmtId="0" fontId="1" fillId="24" borderId="1" applyNumberFormat="0" applyBorder="0" applyAlignment="0" applyProtection="0"/>
    <xf numFmtId="0" fontId="1" fillId="28" borderId="1" applyNumberFormat="0" applyBorder="0" applyAlignment="0" applyProtection="0"/>
    <xf numFmtId="0" fontId="1" fillId="32" borderId="1" applyNumberFormat="0" applyBorder="0" applyAlignment="0" applyProtection="0"/>
    <xf numFmtId="0" fontId="1" fillId="36" borderId="1" applyNumberFormat="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0" borderId="1"/>
    <xf numFmtId="0" fontId="1" fillId="0" borderId="1"/>
    <xf numFmtId="0" fontId="1" fillId="0" borderId="1"/>
    <xf numFmtId="0" fontId="1" fillId="13" borderId="83" applyNumberFormat="0" applyFont="0" applyAlignment="0" applyProtection="0"/>
    <xf numFmtId="0" fontId="1" fillId="13" borderId="83" applyNumberFormat="0" applyFont="0" applyAlignment="0" applyProtection="0"/>
    <xf numFmtId="9" fontId="1" fillId="0" borderId="1" applyFont="0" applyFill="0" applyBorder="0" applyAlignment="0" applyProtection="0"/>
    <xf numFmtId="9"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0" borderId="1"/>
    <xf numFmtId="0" fontId="1" fillId="15" borderId="1" applyNumberFormat="0" applyBorder="0" applyAlignment="0" applyProtection="0"/>
    <xf numFmtId="0" fontId="1" fillId="16" borderId="1" applyNumberFormat="0" applyBorder="0" applyAlignment="0" applyProtection="0"/>
    <xf numFmtId="0" fontId="1" fillId="19" borderId="1" applyNumberFormat="0" applyBorder="0" applyAlignment="0" applyProtection="0"/>
    <xf numFmtId="0" fontId="1" fillId="20" borderId="1" applyNumberFormat="0" applyBorder="0" applyAlignment="0" applyProtection="0"/>
    <xf numFmtId="0" fontId="1" fillId="23" borderId="1" applyNumberFormat="0" applyBorder="0" applyAlignment="0" applyProtection="0"/>
    <xf numFmtId="0" fontId="1" fillId="24" borderId="1" applyNumberFormat="0" applyBorder="0" applyAlignment="0" applyProtection="0"/>
    <xf numFmtId="0" fontId="1" fillId="27" borderId="1" applyNumberFormat="0" applyBorder="0" applyAlignment="0" applyProtection="0"/>
    <xf numFmtId="0" fontId="1" fillId="28" borderId="1" applyNumberFormat="0" applyBorder="0" applyAlignment="0" applyProtection="0"/>
    <xf numFmtId="0" fontId="1" fillId="31" borderId="1" applyNumberFormat="0" applyBorder="0" applyAlignment="0" applyProtection="0"/>
    <xf numFmtId="0" fontId="1" fillId="32" borderId="1" applyNumberFormat="0" applyBorder="0" applyAlignment="0" applyProtection="0"/>
    <xf numFmtId="0" fontId="1" fillId="35" borderId="1" applyNumberFormat="0" applyBorder="0" applyAlignment="0" applyProtection="0"/>
    <xf numFmtId="0" fontId="1" fillId="36" borderId="1" applyNumberFormat="0" applyBorder="0" applyAlignment="0" applyProtection="0"/>
    <xf numFmtId="0" fontId="1" fillId="0" borderId="1"/>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0" borderId="1"/>
    <xf numFmtId="0" fontId="1" fillId="0" borderId="1"/>
    <xf numFmtId="0" fontId="1" fillId="0" borderId="1"/>
    <xf numFmtId="0" fontId="1" fillId="0" borderId="1"/>
    <xf numFmtId="0" fontId="1" fillId="13" borderId="83" applyNumberFormat="0" applyFont="0" applyAlignment="0" applyProtection="0"/>
    <xf numFmtId="0" fontId="1" fillId="13" borderId="83" applyNumberFormat="0" applyFont="0" applyAlignment="0" applyProtection="0"/>
    <xf numFmtId="9" fontId="1" fillId="0" borderId="1" applyFont="0" applyFill="0" applyBorder="0" applyAlignment="0" applyProtection="0"/>
    <xf numFmtId="9" fontId="1" fillId="0" borderId="1" applyFont="0" applyFill="0" applyBorder="0" applyAlignment="0" applyProtection="0"/>
    <xf numFmtId="0" fontId="1" fillId="0" borderId="1"/>
    <xf numFmtId="0" fontId="1" fillId="15" borderId="1" applyNumberFormat="0" applyBorder="0" applyAlignment="0" applyProtection="0"/>
    <xf numFmtId="0" fontId="1" fillId="19" borderId="1" applyNumberFormat="0" applyBorder="0" applyAlignment="0" applyProtection="0"/>
    <xf numFmtId="0" fontId="1" fillId="23" borderId="1" applyNumberFormat="0" applyBorder="0" applyAlignment="0" applyProtection="0"/>
    <xf numFmtId="0" fontId="1" fillId="27" borderId="1" applyNumberFormat="0" applyBorder="0" applyAlignment="0" applyProtection="0"/>
    <xf numFmtId="0" fontId="1" fillId="31" borderId="1" applyNumberFormat="0" applyBorder="0" applyAlignment="0" applyProtection="0"/>
    <xf numFmtId="0" fontId="1" fillId="35" borderId="1" applyNumberFormat="0" applyBorder="0" applyAlignment="0" applyProtection="0"/>
    <xf numFmtId="0" fontId="1" fillId="16" borderId="1" applyNumberFormat="0" applyBorder="0" applyAlignment="0" applyProtection="0"/>
    <xf numFmtId="0" fontId="1" fillId="20" borderId="1" applyNumberFormat="0" applyBorder="0" applyAlignment="0" applyProtection="0"/>
    <xf numFmtId="0" fontId="1" fillId="24" borderId="1" applyNumberFormat="0" applyBorder="0" applyAlignment="0" applyProtection="0"/>
    <xf numFmtId="0" fontId="1" fillId="28" borderId="1" applyNumberFormat="0" applyBorder="0" applyAlignment="0" applyProtection="0"/>
    <xf numFmtId="0" fontId="1" fillId="32" borderId="1" applyNumberFormat="0" applyBorder="0" applyAlignment="0" applyProtection="0"/>
    <xf numFmtId="0" fontId="1" fillId="36" borderId="1" applyNumberFormat="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0" borderId="1"/>
    <xf numFmtId="0" fontId="1" fillId="0" borderId="1"/>
    <xf numFmtId="0" fontId="1" fillId="0" borderId="1"/>
    <xf numFmtId="0" fontId="1" fillId="0" borderId="1"/>
    <xf numFmtId="0" fontId="1" fillId="13" borderId="83" applyNumberFormat="0" applyFont="0" applyAlignment="0" applyProtection="0"/>
    <xf numFmtId="0" fontId="1" fillId="13" borderId="83" applyNumberFormat="0" applyFont="0" applyAlignment="0" applyProtection="0"/>
    <xf numFmtId="9" fontId="1" fillId="0" borderId="1" applyFont="0" applyFill="0" applyBorder="0" applyAlignment="0" applyProtection="0"/>
    <xf numFmtId="9"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0" borderId="1"/>
    <xf numFmtId="0" fontId="1" fillId="15" borderId="1" applyNumberFormat="0" applyBorder="0" applyAlignment="0" applyProtection="0"/>
    <xf numFmtId="0" fontId="1" fillId="16" borderId="1" applyNumberFormat="0" applyBorder="0" applyAlignment="0" applyProtection="0"/>
    <xf numFmtId="0" fontId="1" fillId="19" borderId="1" applyNumberFormat="0" applyBorder="0" applyAlignment="0" applyProtection="0"/>
    <xf numFmtId="0" fontId="1" fillId="20" borderId="1" applyNumberFormat="0" applyBorder="0" applyAlignment="0" applyProtection="0"/>
    <xf numFmtId="0" fontId="1" fillId="23" borderId="1" applyNumberFormat="0" applyBorder="0" applyAlignment="0" applyProtection="0"/>
    <xf numFmtId="0" fontId="1" fillId="24" borderId="1" applyNumberFormat="0" applyBorder="0" applyAlignment="0" applyProtection="0"/>
    <xf numFmtId="0" fontId="1" fillId="27" borderId="1" applyNumberFormat="0" applyBorder="0" applyAlignment="0" applyProtection="0"/>
    <xf numFmtId="0" fontId="1" fillId="28" borderId="1" applyNumberFormat="0" applyBorder="0" applyAlignment="0" applyProtection="0"/>
    <xf numFmtId="0" fontId="1" fillId="31" borderId="1" applyNumberFormat="0" applyBorder="0" applyAlignment="0" applyProtection="0"/>
    <xf numFmtId="0" fontId="1" fillId="32" borderId="1" applyNumberFormat="0" applyBorder="0" applyAlignment="0" applyProtection="0"/>
    <xf numFmtId="0" fontId="1" fillId="35" borderId="1" applyNumberFormat="0" applyBorder="0" applyAlignment="0" applyProtection="0"/>
    <xf numFmtId="0" fontId="1" fillId="36" borderId="1" applyNumberFormat="0" applyBorder="0" applyAlignment="0" applyProtection="0"/>
    <xf numFmtId="0" fontId="1" fillId="0" borderId="1"/>
    <xf numFmtId="165" fontId="1" fillId="0" borderId="1" applyFont="0" applyFill="0" applyBorder="0" applyAlignment="0" applyProtection="0"/>
    <xf numFmtId="0" fontId="1" fillId="0" borderId="1"/>
    <xf numFmtId="165" fontId="1" fillId="0" borderId="1" applyFont="0" applyFill="0" applyBorder="0" applyAlignment="0" applyProtection="0"/>
    <xf numFmtId="9" fontId="1" fillId="0" borderId="1" applyFont="0" applyFill="0" applyBorder="0" applyAlignment="0" applyProtection="0"/>
    <xf numFmtId="0" fontId="1" fillId="13" borderId="83" applyNumberFormat="0" applyFont="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0" borderId="1"/>
    <xf numFmtId="0" fontId="1" fillId="0" borderId="1"/>
    <xf numFmtId="0" fontId="1" fillId="0" borderId="1"/>
    <xf numFmtId="0" fontId="1" fillId="0" borderId="1"/>
    <xf numFmtId="0" fontId="1" fillId="15" borderId="1" applyNumberFormat="0" applyBorder="0" applyAlignment="0" applyProtection="0"/>
    <xf numFmtId="0" fontId="1" fillId="19" borderId="1" applyNumberFormat="0" applyBorder="0" applyAlignment="0" applyProtection="0"/>
    <xf numFmtId="0" fontId="1" fillId="23" borderId="1" applyNumberFormat="0" applyBorder="0" applyAlignment="0" applyProtection="0"/>
    <xf numFmtId="0" fontId="1" fillId="27" borderId="1" applyNumberFormat="0" applyBorder="0" applyAlignment="0" applyProtection="0"/>
    <xf numFmtId="0" fontId="1" fillId="31" borderId="1" applyNumberFormat="0" applyBorder="0" applyAlignment="0" applyProtection="0"/>
    <xf numFmtId="0" fontId="1" fillId="35" borderId="1" applyNumberFormat="0" applyBorder="0" applyAlignment="0" applyProtection="0"/>
    <xf numFmtId="0" fontId="1" fillId="16" borderId="1" applyNumberFormat="0" applyBorder="0" applyAlignment="0" applyProtection="0"/>
    <xf numFmtId="0" fontId="1" fillId="20" borderId="1" applyNumberFormat="0" applyBorder="0" applyAlignment="0" applyProtection="0"/>
    <xf numFmtId="0" fontId="1" fillId="24" borderId="1" applyNumberFormat="0" applyBorder="0" applyAlignment="0" applyProtection="0"/>
    <xf numFmtId="0" fontId="1" fillId="28" borderId="1" applyNumberFormat="0" applyBorder="0" applyAlignment="0" applyProtection="0"/>
    <xf numFmtId="0" fontId="1" fillId="32" borderId="1" applyNumberFormat="0" applyBorder="0" applyAlignment="0" applyProtection="0"/>
    <xf numFmtId="0" fontId="1" fillId="36" borderId="1" applyNumberFormat="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0" borderId="1"/>
    <xf numFmtId="0" fontId="1" fillId="0" borderId="1"/>
    <xf numFmtId="0" fontId="1" fillId="0" borderId="1"/>
    <xf numFmtId="0" fontId="1" fillId="13" borderId="83" applyNumberFormat="0" applyFont="0" applyAlignment="0" applyProtection="0"/>
    <xf numFmtId="0" fontId="1" fillId="13" borderId="83" applyNumberFormat="0" applyFont="0" applyAlignment="0" applyProtection="0"/>
    <xf numFmtId="9" fontId="1" fillId="0" borderId="1" applyFont="0" applyFill="0" applyBorder="0" applyAlignment="0" applyProtection="0"/>
    <xf numFmtId="9"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0" borderId="1"/>
    <xf numFmtId="0" fontId="1" fillId="15" borderId="1" applyNumberFormat="0" applyBorder="0" applyAlignment="0" applyProtection="0"/>
    <xf numFmtId="0" fontId="1" fillId="16" borderId="1" applyNumberFormat="0" applyBorder="0" applyAlignment="0" applyProtection="0"/>
    <xf numFmtId="0" fontId="1" fillId="19" borderId="1" applyNumberFormat="0" applyBorder="0" applyAlignment="0" applyProtection="0"/>
    <xf numFmtId="0" fontId="1" fillId="20" borderId="1" applyNumberFormat="0" applyBorder="0" applyAlignment="0" applyProtection="0"/>
    <xf numFmtId="0" fontId="1" fillId="23" borderId="1" applyNumberFormat="0" applyBorder="0" applyAlignment="0" applyProtection="0"/>
    <xf numFmtId="0" fontId="1" fillId="24" borderId="1" applyNumberFormat="0" applyBorder="0" applyAlignment="0" applyProtection="0"/>
    <xf numFmtId="0" fontId="1" fillId="27" borderId="1" applyNumberFormat="0" applyBorder="0" applyAlignment="0" applyProtection="0"/>
    <xf numFmtId="0" fontId="1" fillId="28" borderId="1" applyNumberFormat="0" applyBorder="0" applyAlignment="0" applyProtection="0"/>
    <xf numFmtId="0" fontId="1" fillId="31" borderId="1" applyNumberFormat="0" applyBorder="0" applyAlignment="0" applyProtection="0"/>
    <xf numFmtId="0" fontId="1" fillId="32" borderId="1" applyNumberFormat="0" applyBorder="0" applyAlignment="0" applyProtection="0"/>
    <xf numFmtId="0" fontId="1" fillId="35" borderId="1" applyNumberFormat="0" applyBorder="0" applyAlignment="0" applyProtection="0"/>
    <xf numFmtId="0" fontId="1" fillId="36" borderId="1" applyNumberFormat="0" applyBorder="0" applyAlignment="0" applyProtection="0"/>
    <xf numFmtId="0" fontId="1" fillId="0" borderId="1"/>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0" borderId="1"/>
    <xf numFmtId="0" fontId="1" fillId="0" borderId="1"/>
    <xf numFmtId="0" fontId="1" fillId="0" borderId="1"/>
    <xf numFmtId="0" fontId="1" fillId="0" borderId="1"/>
    <xf numFmtId="0" fontId="1" fillId="13" borderId="83" applyNumberFormat="0" applyFont="0" applyAlignment="0" applyProtection="0"/>
    <xf numFmtId="0" fontId="1" fillId="13" borderId="83" applyNumberFormat="0" applyFont="0" applyAlignment="0" applyProtection="0"/>
    <xf numFmtId="9" fontId="1" fillId="0" borderId="1" applyFont="0" applyFill="0" applyBorder="0" applyAlignment="0" applyProtection="0"/>
    <xf numFmtId="9" fontId="1" fillId="0" borderId="1" applyFont="0" applyFill="0" applyBorder="0" applyAlignment="0" applyProtection="0"/>
    <xf numFmtId="0" fontId="1" fillId="15" borderId="1" applyNumberFormat="0" applyBorder="0" applyAlignment="0" applyProtection="0"/>
    <xf numFmtId="0" fontId="1" fillId="19" borderId="1" applyNumberFormat="0" applyBorder="0" applyAlignment="0" applyProtection="0"/>
    <xf numFmtId="0" fontId="1" fillId="23" borderId="1" applyNumberFormat="0" applyBorder="0" applyAlignment="0" applyProtection="0"/>
    <xf numFmtId="0" fontId="1" fillId="27" borderId="1" applyNumberFormat="0" applyBorder="0" applyAlignment="0" applyProtection="0"/>
    <xf numFmtId="0" fontId="1" fillId="31" borderId="1" applyNumberFormat="0" applyBorder="0" applyAlignment="0" applyProtection="0"/>
    <xf numFmtId="0" fontId="1" fillId="35" borderId="1" applyNumberFormat="0" applyBorder="0" applyAlignment="0" applyProtection="0"/>
    <xf numFmtId="0" fontId="1" fillId="16" borderId="1" applyNumberFormat="0" applyBorder="0" applyAlignment="0" applyProtection="0"/>
    <xf numFmtId="0" fontId="1" fillId="20" borderId="1" applyNumberFormat="0" applyBorder="0" applyAlignment="0" applyProtection="0"/>
    <xf numFmtId="0" fontId="1" fillId="24" borderId="1" applyNumberFormat="0" applyBorder="0" applyAlignment="0" applyProtection="0"/>
    <xf numFmtId="0" fontId="1" fillId="28" borderId="1" applyNumberFormat="0" applyBorder="0" applyAlignment="0" applyProtection="0"/>
    <xf numFmtId="0" fontId="1" fillId="32" borderId="1" applyNumberFormat="0" applyBorder="0" applyAlignment="0" applyProtection="0"/>
    <xf numFmtId="0" fontId="1" fillId="36" borderId="1" applyNumberFormat="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0" borderId="1"/>
    <xf numFmtId="0" fontId="1" fillId="0" borderId="1"/>
    <xf numFmtId="0" fontId="1" fillId="0" borderId="1"/>
    <xf numFmtId="0" fontId="1" fillId="0" borderId="1"/>
    <xf numFmtId="0" fontId="1" fillId="13" borderId="83" applyNumberFormat="0" applyFont="0" applyAlignment="0" applyProtection="0"/>
    <xf numFmtId="0" fontId="1" fillId="13" borderId="83" applyNumberFormat="0" applyFont="0" applyAlignment="0" applyProtection="0"/>
    <xf numFmtId="9" fontId="1" fillId="0" borderId="1" applyFont="0" applyFill="0" applyBorder="0" applyAlignment="0" applyProtection="0"/>
    <xf numFmtId="9" fontId="1" fillId="0" borderId="1" applyFont="0" applyFill="0" applyBorder="0" applyAlignment="0" applyProtection="0"/>
    <xf numFmtId="165" fontId="1" fillId="0" borderId="1" applyFont="0" applyFill="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0" borderId="1"/>
    <xf numFmtId="0" fontId="1" fillId="0" borderId="1"/>
    <xf numFmtId="0" fontId="1" fillId="0" borderId="1"/>
    <xf numFmtId="0" fontId="1" fillId="13" borderId="83" applyNumberFormat="0" applyFont="0" applyAlignment="0" applyProtection="0"/>
    <xf numFmtId="0" fontId="1" fillId="13" borderId="83" applyNumberFormat="0" applyFont="0" applyAlignment="0" applyProtection="0"/>
    <xf numFmtId="9"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0" borderId="1"/>
    <xf numFmtId="0" fontId="1" fillId="0" borderId="1"/>
    <xf numFmtId="0" fontId="1" fillId="0" borderId="1"/>
    <xf numFmtId="0" fontId="1" fillId="0" borderId="1"/>
    <xf numFmtId="0" fontId="1" fillId="0" borderId="1"/>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0" borderId="1"/>
    <xf numFmtId="0" fontId="1" fillId="0" borderId="1"/>
    <xf numFmtId="0" fontId="1" fillId="0" borderId="1"/>
    <xf numFmtId="0" fontId="1" fillId="0" borderId="1"/>
    <xf numFmtId="0" fontId="1" fillId="13" borderId="83" applyNumberFormat="0" applyFont="0" applyAlignment="0" applyProtection="0"/>
    <xf numFmtId="9" fontId="1" fillId="0" borderId="1" applyFont="0" applyFill="0" applyBorder="0" applyAlignment="0" applyProtection="0"/>
    <xf numFmtId="9" fontId="1" fillId="0" borderId="1" applyFont="0" applyFill="0" applyBorder="0" applyAlignment="0" applyProtection="0"/>
    <xf numFmtId="0" fontId="1" fillId="0" borderId="1"/>
    <xf numFmtId="0" fontId="1" fillId="15" borderId="1" applyNumberFormat="0" applyBorder="0" applyAlignment="0" applyProtection="0"/>
    <xf numFmtId="0" fontId="1" fillId="16" borderId="1" applyNumberFormat="0" applyBorder="0" applyAlignment="0" applyProtection="0"/>
    <xf numFmtId="0" fontId="1" fillId="19" borderId="1" applyNumberFormat="0" applyBorder="0" applyAlignment="0" applyProtection="0"/>
    <xf numFmtId="0" fontId="1" fillId="20" borderId="1" applyNumberFormat="0" applyBorder="0" applyAlignment="0" applyProtection="0"/>
    <xf numFmtId="0" fontId="1" fillId="23" borderId="1" applyNumberFormat="0" applyBorder="0" applyAlignment="0" applyProtection="0"/>
    <xf numFmtId="0" fontId="1" fillId="24" borderId="1" applyNumberFormat="0" applyBorder="0" applyAlignment="0" applyProtection="0"/>
    <xf numFmtId="0" fontId="1" fillId="27" borderId="1" applyNumberFormat="0" applyBorder="0" applyAlignment="0" applyProtection="0"/>
    <xf numFmtId="0" fontId="1" fillId="28" borderId="1" applyNumberFormat="0" applyBorder="0" applyAlignment="0" applyProtection="0"/>
    <xf numFmtId="0" fontId="1" fillId="31" borderId="1" applyNumberFormat="0" applyBorder="0" applyAlignment="0" applyProtection="0"/>
    <xf numFmtId="0" fontId="1" fillId="32" borderId="1" applyNumberFormat="0" applyBorder="0" applyAlignment="0" applyProtection="0"/>
    <xf numFmtId="0" fontId="1" fillId="35" borderId="1" applyNumberFormat="0" applyBorder="0" applyAlignment="0" applyProtection="0"/>
    <xf numFmtId="0" fontId="1" fillId="36" borderId="1" applyNumberFormat="0" applyBorder="0" applyAlignment="0" applyProtection="0"/>
    <xf numFmtId="0" fontId="1" fillId="0" borderId="1"/>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0" borderId="1"/>
    <xf numFmtId="0" fontId="1" fillId="0" borderId="1"/>
    <xf numFmtId="0" fontId="1" fillId="0" borderId="1"/>
    <xf numFmtId="0" fontId="1" fillId="0" borderId="1"/>
    <xf numFmtId="0" fontId="1" fillId="13" borderId="83" applyNumberFormat="0" applyFont="0" applyAlignment="0" applyProtection="0"/>
    <xf numFmtId="0" fontId="1" fillId="13" borderId="83" applyNumberFormat="0" applyFont="0" applyAlignment="0" applyProtection="0"/>
    <xf numFmtId="9" fontId="1" fillId="0" borderId="1" applyFont="0" applyFill="0" applyBorder="0" applyAlignment="0" applyProtection="0"/>
    <xf numFmtId="9" fontId="1" fillId="0" borderId="1" applyFont="0" applyFill="0" applyBorder="0" applyAlignment="0" applyProtection="0"/>
    <xf numFmtId="0" fontId="1" fillId="0" borderId="1"/>
    <xf numFmtId="0" fontId="1" fillId="15" borderId="1" applyNumberFormat="0" applyBorder="0" applyAlignment="0" applyProtection="0"/>
    <xf numFmtId="0" fontId="1" fillId="19" borderId="1" applyNumberFormat="0" applyBorder="0" applyAlignment="0" applyProtection="0"/>
    <xf numFmtId="0" fontId="1" fillId="23" borderId="1" applyNumberFormat="0" applyBorder="0" applyAlignment="0" applyProtection="0"/>
    <xf numFmtId="0" fontId="1" fillId="27" borderId="1" applyNumberFormat="0" applyBorder="0" applyAlignment="0" applyProtection="0"/>
    <xf numFmtId="0" fontId="1" fillId="31" borderId="1" applyNumberFormat="0" applyBorder="0" applyAlignment="0" applyProtection="0"/>
    <xf numFmtId="0" fontId="1" fillId="35" borderId="1" applyNumberFormat="0" applyBorder="0" applyAlignment="0" applyProtection="0"/>
    <xf numFmtId="0" fontId="1" fillId="16" borderId="1" applyNumberFormat="0" applyBorder="0" applyAlignment="0" applyProtection="0"/>
    <xf numFmtId="0" fontId="1" fillId="20" borderId="1" applyNumberFormat="0" applyBorder="0" applyAlignment="0" applyProtection="0"/>
    <xf numFmtId="0" fontId="1" fillId="24" borderId="1" applyNumberFormat="0" applyBorder="0" applyAlignment="0" applyProtection="0"/>
    <xf numFmtId="0" fontId="1" fillId="28" borderId="1" applyNumberFormat="0" applyBorder="0" applyAlignment="0" applyProtection="0"/>
    <xf numFmtId="0" fontId="1" fillId="32" borderId="1" applyNumberFormat="0" applyBorder="0" applyAlignment="0" applyProtection="0"/>
    <xf numFmtId="0" fontId="1" fillId="36" borderId="1" applyNumberFormat="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0" borderId="1"/>
    <xf numFmtId="0" fontId="1" fillId="0" borderId="1"/>
    <xf numFmtId="0" fontId="1" fillId="0" borderId="1"/>
    <xf numFmtId="0" fontId="1" fillId="0" borderId="1"/>
    <xf numFmtId="0" fontId="1" fillId="13" borderId="83" applyNumberFormat="0" applyFont="0" applyAlignment="0" applyProtection="0"/>
    <xf numFmtId="0" fontId="1" fillId="13" borderId="83" applyNumberFormat="0" applyFont="0" applyAlignment="0" applyProtection="0"/>
    <xf numFmtId="9" fontId="1" fillId="0" borderId="1" applyFont="0" applyFill="0" applyBorder="0" applyAlignment="0" applyProtection="0"/>
    <xf numFmtId="9"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0" borderId="1"/>
    <xf numFmtId="0" fontId="1" fillId="15" borderId="1" applyNumberFormat="0" applyBorder="0" applyAlignment="0" applyProtection="0"/>
    <xf numFmtId="0" fontId="1" fillId="16" borderId="1" applyNumberFormat="0" applyBorder="0" applyAlignment="0" applyProtection="0"/>
    <xf numFmtId="0" fontId="1" fillId="19" borderId="1" applyNumberFormat="0" applyBorder="0" applyAlignment="0" applyProtection="0"/>
    <xf numFmtId="0" fontId="1" fillId="20" borderId="1" applyNumberFormat="0" applyBorder="0" applyAlignment="0" applyProtection="0"/>
    <xf numFmtId="0" fontId="1" fillId="23" borderId="1" applyNumberFormat="0" applyBorder="0" applyAlignment="0" applyProtection="0"/>
    <xf numFmtId="0" fontId="1" fillId="24" borderId="1" applyNumberFormat="0" applyBorder="0" applyAlignment="0" applyProtection="0"/>
    <xf numFmtId="0" fontId="1" fillId="27" borderId="1" applyNumberFormat="0" applyBorder="0" applyAlignment="0" applyProtection="0"/>
    <xf numFmtId="0" fontId="1" fillId="28" borderId="1" applyNumberFormat="0" applyBorder="0" applyAlignment="0" applyProtection="0"/>
    <xf numFmtId="0" fontId="1" fillId="31" borderId="1" applyNumberFormat="0" applyBorder="0" applyAlignment="0" applyProtection="0"/>
    <xf numFmtId="0" fontId="1" fillId="32" borderId="1" applyNumberFormat="0" applyBorder="0" applyAlignment="0" applyProtection="0"/>
    <xf numFmtId="0" fontId="1" fillId="35" borderId="1" applyNumberFormat="0" applyBorder="0" applyAlignment="0" applyProtection="0"/>
    <xf numFmtId="0" fontId="1" fillId="36" borderId="1" applyNumberFormat="0" applyBorder="0" applyAlignment="0" applyProtection="0"/>
    <xf numFmtId="0" fontId="1" fillId="0" borderId="1"/>
    <xf numFmtId="165" fontId="1" fillId="0" borderId="1" applyFont="0" applyFill="0" applyBorder="0" applyAlignment="0" applyProtection="0"/>
    <xf numFmtId="0" fontId="1" fillId="0" borderId="1"/>
    <xf numFmtId="9" fontId="1" fillId="0" borderId="1" applyFont="0" applyFill="0" applyBorder="0" applyAlignment="0" applyProtection="0"/>
    <xf numFmtId="0" fontId="1" fillId="13" borderId="83" applyNumberFormat="0" applyFont="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0" borderId="1"/>
    <xf numFmtId="0" fontId="1" fillId="0" borderId="1"/>
    <xf numFmtId="0" fontId="1" fillId="0" borderId="1"/>
    <xf numFmtId="0" fontId="1" fillId="0" borderId="1"/>
    <xf numFmtId="0" fontId="1" fillId="15" borderId="1" applyNumberFormat="0" applyBorder="0" applyAlignment="0" applyProtection="0"/>
    <xf numFmtId="0" fontId="1" fillId="19" borderId="1" applyNumberFormat="0" applyBorder="0" applyAlignment="0" applyProtection="0"/>
    <xf numFmtId="0" fontId="1" fillId="23" borderId="1" applyNumberFormat="0" applyBorder="0" applyAlignment="0" applyProtection="0"/>
    <xf numFmtId="0" fontId="1" fillId="27" borderId="1" applyNumberFormat="0" applyBorder="0" applyAlignment="0" applyProtection="0"/>
    <xf numFmtId="0" fontId="1" fillId="31" borderId="1" applyNumberFormat="0" applyBorder="0" applyAlignment="0" applyProtection="0"/>
    <xf numFmtId="0" fontId="1" fillId="35" borderId="1" applyNumberFormat="0" applyBorder="0" applyAlignment="0" applyProtection="0"/>
    <xf numFmtId="0" fontId="1" fillId="16" borderId="1" applyNumberFormat="0" applyBorder="0" applyAlignment="0" applyProtection="0"/>
    <xf numFmtId="0" fontId="1" fillId="20" borderId="1" applyNumberFormat="0" applyBorder="0" applyAlignment="0" applyProtection="0"/>
    <xf numFmtId="0" fontId="1" fillId="24" borderId="1" applyNumberFormat="0" applyBorder="0" applyAlignment="0" applyProtection="0"/>
    <xf numFmtId="0" fontId="1" fillId="28" borderId="1" applyNumberFormat="0" applyBorder="0" applyAlignment="0" applyProtection="0"/>
    <xf numFmtId="0" fontId="1" fillId="32" borderId="1" applyNumberFormat="0" applyBorder="0" applyAlignment="0" applyProtection="0"/>
    <xf numFmtId="0" fontId="1" fillId="36" borderId="1" applyNumberFormat="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0" borderId="1"/>
    <xf numFmtId="0" fontId="1" fillId="0" borderId="1"/>
    <xf numFmtId="0" fontId="1" fillId="0" borderId="1"/>
    <xf numFmtId="0" fontId="1" fillId="13" borderId="83" applyNumberFormat="0" applyFont="0" applyAlignment="0" applyProtection="0"/>
    <xf numFmtId="0" fontId="1" fillId="13" borderId="83" applyNumberFormat="0" applyFont="0" applyAlignment="0" applyProtection="0"/>
    <xf numFmtId="9" fontId="1" fillId="0" borderId="1" applyFont="0" applyFill="0" applyBorder="0" applyAlignment="0" applyProtection="0"/>
    <xf numFmtId="9"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0" borderId="1"/>
    <xf numFmtId="0" fontId="1" fillId="15" borderId="1" applyNumberFormat="0" applyBorder="0" applyAlignment="0" applyProtection="0"/>
    <xf numFmtId="0" fontId="1" fillId="16" borderId="1" applyNumberFormat="0" applyBorder="0" applyAlignment="0" applyProtection="0"/>
    <xf numFmtId="0" fontId="1" fillId="19" borderId="1" applyNumberFormat="0" applyBorder="0" applyAlignment="0" applyProtection="0"/>
    <xf numFmtId="0" fontId="1" fillId="20" borderId="1" applyNumberFormat="0" applyBorder="0" applyAlignment="0" applyProtection="0"/>
    <xf numFmtId="0" fontId="1" fillId="23" borderId="1" applyNumberFormat="0" applyBorder="0" applyAlignment="0" applyProtection="0"/>
    <xf numFmtId="0" fontId="1" fillId="24" borderId="1" applyNumberFormat="0" applyBorder="0" applyAlignment="0" applyProtection="0"/>
    <xf numFmtId="0" fontId="1" fillId="27" borderId="1" applyNumberFormat="0" applyBorder="0" applyAlignment="0" applyProtection="0"/>
    <xf numFmtId="0" fontId="1" fillId="28" borderId="1" applyNumberFormat="0" applyBorder="0" applyAlignment="0" applyProtection="0"/>
    <xf numFmtId="0" fontId="1" fillId="31" borderId="1" applyNumberFormat="0" applyBorder="0" applyAlignment="0" applyProtection="0"/>
    <xf numFmtId="0" fontId="1" fillId="32" borderId="1" applyNumberFormat="0" applyBorder="0" applyAlignment="0" applyProtection="0"/>
    <xf numFmtId="0" fontId="1" fillId="35" borderId="1" applyNumberFormat="0" applyBorder="0" applyAlignment="0" applyProtection="0"/>
    <xf numFmtId="0" fontId="1" fillId="36" borderId="1" applyNumberFormat="0" applyBorder="0" applyAlignment="0" applyProtection="0"/>
    <xf numFmtId="0" fontId="1" fillId="0" borderId="1"/>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0" borderId="1"/>
    <xf numFmtId="0" fontId="1" fillId="0" borderId="1"/>
    <xf numFmtId="0" fontId="1" fillId="0" borderId="1"/>
    <xf numFmtId="0" fontId="1" fillId="0" borderId="1"/>
    <xf numFmtId="0" fontId="1" fillId="13" borderId="83" applyNumberFormat="0" applyFont="0" applyAlignment="0" applyProtection="0"/>
    <xf numFmtId="0" fontId="1" fillId="13" borderId="83" applyNumberFormat="0" applyFont="0" applyAlignment="0" applyProtection="0"/>
    <xf numFmtId="9" fontId="1" fillId="0" borderId="1" applyFont="0" applyFill="0" applyBorder="0" applyAlignment="0" applyProtection="0"/>
    <xf numFmtId="9" fontId="1" fillId="0" borderId="1" applyFont="0" applyFill="0" applyBorder="0" applyAlignment="0" applyProtection="0"/>
    <xf numFmtId="0" fontId="1" fillId="0" borderId="1"/>
    <xf numFmtId="0" fontId="1" fillId="15" borderId="1" applyNumberFormat="0" applyBorder="0" applyAlignment="0" applyProtection="0"/>
    <xf numFmtId="0" fontId="1" fillId="19" borderId="1" applyNumberFormat="0" applyBorder="0" applyAlignment="0" applyProtection="0"/>
    <xf numFmtId="0" fontId="1" fillId="23" borderId="1" applyNumberFormat="0" applyBorder="0" applyAlignment="0" applyProtection="0"/>
    <xf numFmtId="0" fontId="1" fillId="27" borderId="1" applyNumberFormat="0" applyBorder="0" applyAlignment="0" applyProtection="0"/>
    <xf numFmtId="0" fontId="1" fillId="31" borderId="1" applyNumberFormat="0" applyBorder="0" applyAlignment="0" applyProtection="0"/>
    <xf numFmtId="0" fontId="1" fillId="35" borderId="1" applyNumberFormat="0" applyBorder="0" applyAlignment="0" applyProtection="0"/>
    <xf numFmtId="0" fontId="1" fillId="16" borderId="1" applyNumberFormat="0" applyBorder="0" applyAlignment="0" applyProtection="0"/>
    <xf numFmtId="0" fontId="1" fillId="20" borderId="1" applyNumberFormat="0" applyBorder="0" applyAlignment="0" applyProtection="0"/>
    <xf numFmtId="0" fontId="1" fillId="24" borderId="1" applyNumberFormat="0" applyBorder="0" applyAlignment="0" applyProtection="0"/>
    <xf numFmtId="0" fontId="1" fillId="28" borderId="1" applyNumberFormat="0" applyBorder="0" applyAlignment="0" applyProtection="0"/>
    <xf numFmtId="0" fontId="1" fillId="32" borderId="1" applyNumberFormat="0" applyBorder="0" applyAlignment="0" applyProtection="0"/>
    <xf numFmtId="0" fontId="1" fillId="36" borderId="1" applyNumberFormat="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0" borderId="1"/>
    <xf numFmtId="0" fontId="1" fillId="0" borderId="1"/>
    <xf numFmtId="0" fontId="1" fillId="0" borderId="1"/>
    <xf numFmtId="0" fontId="1" fillId="0" borderId="1"/>
    <xf numFmtId="0" fontId="1" fillId="13" borderId="83" applyNumberFormat="0" applyFont="0" applyAlignment="0" applyProtection="0"/>
    <xf numFmtId="0" fontId="1" fillId="13" borderId="83" applyNumberFormat="0" applyFont="0" applyAlignment="0" applyProtection="0"/>
    <xf numFmtId="9" fontId="1" fillId="0" borderId="1" applyFont="0" applyFill="0" applyBorder="0" applyAlignment="0" applyProtection="0"/>
    <xf numFmtId="9"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0" borderId="1"/>
    <xf numFmtId="0" fontId="1" fillId="0" borderId="1"/>
    <xf numFmtId="0" fontId="1" fillId="0" borderId="1"/>
    <xf numFmtId="0" fontId="1" fillId="13" borderId="83" applyNumberFormat="0" applyFont="0" applyAlignment="0" applyProtection="0"/>
    <xf numFmtId="0" fontId="1" fillId="13" borderId="83" applyNumberFormat="0" applyFont="0" applyAlignment="0" applyProtection="0"/>
    <xf numFmtId="9"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0" borderId="1"/>
    <xf numFmtId="0" fontId="1" fillId="0" borderId="1"/>
    <xf numFmtId="0" fontId="1" fillId="0" borderId="1"/>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0" borderId="1"/>
    <xf numFmtId="0" fontId="1" fillId="0" borderId="1"/>
    <xf numFmtId="0" fontId="1" fillId="0" borderId="1"/>
    <xf numFmtId="0" fontId="1" fillId="0" borderId="1"/>
    <xf numFmtId="0" fontId="1" fillId="13" borderId="83" applyNumberFormat="0" applyFont="0" applyAlignment="0" applyProtection="0"/>
    <xf numFmtId="9" fontId="1" fillId="0" borderId="1" applyFont="0" applyFill="0" applyBorder="0" applyAlignment="0" applyProtection="0"/>
    <xf numFmtId="9"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0" borderId="1"/>
    <xf numFmtId="0" fontId="1" fillId="15" borderId="1" applyNumberFormat="0" applyBorder="0" applyAlignment="0" applyProtection="0"/>
    <xf numFmtId="0" fontId="1" fillId="16" borderId="1" applyNumberFormat="0" applyBorder="0" applyAlignment="0" applyProtection="0"/>
    <xf numFmtId="0" fontId="1" fillId="19" borderId="1" applyNumberFormat="0" applyBorder="0" applyAlignment="0" applyProtection="0"/>
    <xf numFmtId="0" fontId="1" fillId="20" borderId="1" applyNumberFormat="0" applyBorder="0" applyAlignment="0" applyProtection="0"/>
    <xf numFmtId="0" fontId="1" fillId="23" borderId="1" applyNumberFormat="0" applyBorder="0" applyAlignment="0" applyProtection="0"/>
    <xf numFmtId="0" fontId="1" fillId="24" borderId="1" applyNumberFormat="0" applyBorder="0" applyAlignment="0" applyProtection="0"/>
    <xf numFmtId="0" fontId="1" fillId="27" borderId="1" applyNumberFormat="0" applyBorder="0" applyAlignment="0" applyProtection="0"/>
    <xf numFmtId="0" fontId="1" fillId="28" borderId="1" applyNumberFormat="0" applyBorder="0" applyAlignment="0" applyProtection="0"/>
    <xf numFmtId="0" fontId="1" fillId="31" borderId="1" applyNumberFormat="0" applyBorder="0" applyAlignment="0" applyProtection="0"/>
    <xf numFmtId="0" fontId="1" fillId="32" borderId="1" applyNumberFormat="0" applyBorder="0" applyAlignment="0" applyProtection="0"/>
    <xf numFmtId="0" fontId="1" fillId="35" borderId="1" applyNumberFormat="0" applyBorder="0" applyAlignment="0" applyProtection="0"/>
    <xf numFmtId="0" fontId="1" fillId="36" borderId="1" applyNumberFormat="0" applyBorder="0" applyAlignment="0" applyProtection="0"/>
    <xf numFmtId="0" fontId="1" fillId="0" borderId="1"/>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0" borderId="1"/>
    <xf numFmtId="0" fontId="1" fillId="0" borderId="1"/>
    <xf numFmtId="0" fontId="1" fillId="0" borderId="1"/>
    <xf numFmtId="0" fontId="1" fillId="0" borderId="1"/>
    <xf numFmtId="0" fontId="1" fillId="13" borderId="83" applyNumberFormat="0" applyFont="0" applyAlignment="0" applyProtection="0"/>
    <xf numFmtId="0" fontId="1" fillId="13" borderId="83" applyNumberFormat="0" applyFont="0" applyAlignment="0" applyProtection="0"/>
    <xf numFmtId="9" fontId="1" fillId="0" borderId="1" applyFont="0" applyFill="0" applyBorder="0" applyAlignment="0" applyProtection="0"/>
    <xf numFmtId="9" fontId="1" fillId="0" borderId="1" applyFont="0" applyFill="0" applyBorder="0" applyAlignment="0" applyProtection="0"/>
    <xf numFmtId="0" fontId="1" fillId="15" borderId="1" applyNumberFormat="0" applyBorder="0" applyAlignment="0" applyProtection="0"/>
    <xf numFmtId="0" fontId="1" fillId="19" borderId="1" applyNumberFormat="0" applyBorder="0" applyAlignment="0" applyProtection="0"/>
    <xf numFmtId="0" fontId="1" fillId="23" borderId="1" applyNumberFormat="0" applyBorder="0" applyAlignment="0" applyProtection="0"/>
    <xf numFmtId="0" fontId="1" fillId="27" borderId="1" applyNumberFormat="0" applyBorder="0" applyAlignment="0" applyProtection="0"/>
    <xf numFmtId="0" fontId="1" fillId="31" borderId="1" applyNumberFormat="0" applyBorder="0" applyAlignment="0" applyProtection="0"/>
    <xf numFmtId="0" fontId="1" fillId="35" borderId="1" applyNumberFormat="0" applyBorder="0" applyAlignment="0" applyProtection="0"/>
    <xf numFmtId="0" fontId="1" fillId="16" borderId="1" applyNumberFormat="0" applyBorder="0" applyAlignment="0" applyProtection="0"/>
    <xf numFmtId="0" fontId="1" fillId="20" borderId="1" applyNumberFormat="0" applyBorder="0" applyAlignment="0" applyProtection="0"/>
    <xf numFmtId="0" fontId="1" fillId="24" borderId="1" applyNumberFormat="0" applyBorder="0" applyAlignment="0" applyProtection="0"/>
    <xf numFmtId="0" fontId="1" fillId="28" borderId="1" applyNumberFormat="0" applyBorder="0" applyAlignment="0" applyProtection="0"/>
    <xf numFmtId="0" fontId="1" fillId="32" borderId="1" applyNumberFormat="0" applyBorder="0" applyAlignment="0" applyProtection="0"/>
    <xf numFmtId="0" fontId="1" fillId="36" borderId="1" applyNumberFormat="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0" borderId="1"/>
    <xf numFmtId="0" fontId="1" fillId="0" borderId="1"/>
    <xf numFmtId="0" fontId="1" fillId="0" borderId="1"/>
    <xf numFmtId="0" fontId="1" fillId="0" borderId="1"/>
    <xf numFmtId="0" fontId="1" fillId="13" borderId="83" applyNumberFormat="0" applyFont="0" applyAlignment="0" applyProtection="0"/>
    <xf numFmtId="0" fontId="1" fillId="13" borderId="83" applyNumberFormat="0" applyFont="0" applyAlignment="0" applyProtection="0"/>
    <xf numFmtId="9" fontId="1" fillId="0" borderId="1" applyFont="0" applyFill="0" applyBorder="0" applyAlignment="0" applyProtection="0"/>
    <xf numFmtId="9"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0" borderId="1"/>
    <xf numFmtId="0" fontId="1" fillId="15" borderId="1" applyNumberFormat="0" applyBorder="0" applyAlignment="0" applyProtection="0"/>
    <xf numFmtId="0" fontId="1" fillId="16" borderId="1" applyNumberFormat="0" applyBorder="0" applyAlignment="0" applyProtection="0"/>
    <xf numFmtId="0" fontId="1" fillId="19" borderId="1" applyNumberFormat="0" applyBorder="0" applyAlignment="0" applyProtection="0"/>
    <xf numFmtId="0" fontId="1" fillId="20" borderId="1" applyNumberFormat="0" applyBorder="0" applyAlignment="0" applyProtection="0"/>
    <xf numFmtId="0" fontId="1" fillId="23" borderId="1" applyNumberFormat="0" applyBorder="0" applyAlignment="0" applyProtection="0"/>
    <xf numFmtId="0" fontId="1" fillId="24" borderId="1" applyNumberFormat="0" applyBorder="0" applyAlignment="0" applyProtection="0"/>
    <xf numFmtId="0" fontId="1" fillId="27" borderId="1" applyNumberFormat="0" applyBorder="0" applyAlignment="0" applyProtection="0"/>
    <xf numFmtId="0" fontId="1" fillId="28" borderId="1" applyNumberFormat="0" applyBorder="0" applyAlignment="0" applyProtection="0"/>
    <xf numFmtId="0" fontId="1" fillId="31" borderId="1" applyNumberFormat="0" applyBorder="0" applyAlignment="0" applyProtection="0"/>
    <xf numFmtId="0" fontId="1" fillId="32" borderId="1" applyNumberFormat="0" applyBorder="0" applyAlignment="0" applyProtection="0"/>
    <xf numFmtId="0" fontId="1" fillId="35" borderId="1" applyNumberFormat="0" applyBorder="0" applyAlignment="0" applyProtection="0"/>
    <xf numFmtId="0" fontId="1" fillId="36" borderId="1" applyNumberFormat="0" applyBorder="0" applyAlignment="0" applyProtection="0"/>
    <xf numFmtId="0" fontId="1" fillId="0" borderId="1"/>
    <xf numFmtId="165" fontId="1" fillId="0" borderId="1" applyFont="0" applyFill="0" applyBorder="0" applyAlignment="0" applyProtection="0"/>
    <xf numFmtId="0" fontId="1" fillId="0" borderId="1"/>
    <xf numFmtId="165" fontId="1" fillId="0" borderId="1" applyFont="0" applyFill="0" applyBorder="0" applyAlignment="0" applyProtection="0"/>
    <xf numFmtId="9" fontId="1" fillId="0" borderId="1" applyFont="0" applyFill="0" applyBorder="0" applyAlignment="0" applyProtection="0"/>
    <xf numFmtId="0" fontId="1" fillId="13" borderId="83" applyNumberFormat="0" applyFont="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0" borderId="1"/>
    <xf numFmtId="0" fontId="1" fillId="0" borderId="1"/>
    <xf numFmtId="0" fontId="1" fillId="0" borderId="1"/>
    <xf numFmtId="0" fontId="1" fillId="0" borderId="1"/>
    <xf numFmtId="0" fontId="1" fillId="15" borderId="1" applyNumberFormat="0" applyBorder="0" applyAlignment="0" applyProtection="0"/>
    <xf numFmtId="0" fontId="1" fillId="19" borderId="1" applyNumberFormat="0" applyBorder="0" applyAlignment="0" applyProtection="0"/>
    <xf numFmtId="0" fontId="1" fillId="23" borderId="1" applyNumberFormat="0" applyBorder="0" applyAlignment="0" applyProtection="0"/>
    <xf numFmtId="0" fontId="1" fillId="27" borderId="1" applyNumberFormat="0" applyBorder="0" applyAlignment="0" applyProtection="0"/>
    <xf numFmtId="0" fontId="1" fillId="31" borderId="1" applyNumberFormat="0" applyBorder="0" applyAlignment="0" applyProtection="0"/>
    <xf numFmtId="0" fontId="1" fillId="35" borderId="1" applyNumberFormat="0" applyBorder="0" applyAlignment="0" applyProtection="0"/>
    <xf numFmtId="0" fontId="1" fillId="16" borderId="1" applyNumberFormat="0" applyBorder="0" applyAlignment="0" applyProtection="0"/>
    <xf numFmtId="0" fontId="1" fillId="20" borderId="1" applyNumberFormat="0" applyBorder="0" applyAlignment="0" applyProtection="0"/>
    <xf numFmtId="0" fontId="1" fillId="24" borderId="1" applyNumberFormat="0" applyBorder="0" applyAlignment="0" applyProtection="0"/>
    <xf numFmtId="0" fontId="1" fillId="28" borderId="1" applyNumberFormat="0" applyBorder="0" applyAlignment="0" applyProtection="0"/>
    <xf numFmtId="0" fontId="1" fillId="32" borderId="1" applyNumberFormat="0" applyBorder="0" applyAlignment="0" applyProtection="0"/>
    <xf numFmtId="0" fontId="1" fillId="36" borderId="1" applyNumberFormat="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0" borderId="1"/>
    <xf numFmtId="0" fontId="1" fillId="0" borderId="1"/>
    <xf numFmtId="0" fontId="1" fillId="0" borderId="1"/>
    <xf numFmtId="0" fontId="1" fillId="13" borderId="83" applyNumberFormat="0" applyFont="0" applyAlignment="0" applyProtection="0"/>
    <xf numFmtId="0" fontId="1" fillId="13" borderId="83" applyNumberFormat="0" applyFont="0" applyAlignment="0" applyProtection="0"/>
    <xf numFmtId="9" fontId="1" fillId="0" borderId="1" applyFont="0" applyFill="0" applyBorder="0" applyAlignment="0" applyProtection="0"/>
    <xf numFmtId="9"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0" borderId="1"/>
    <xf numFmtId="0" fontId="1" fillId="15" borderId="1" applyNumberFormat="0" applyBorder="0" applyAlignment="0" applyProtection="0"/>
    <xf numFmtId="0" fontId="1" fillId="16" borderId="1" applyNumberFormat="0" applyBorder="0" applyAlignment="0" applyProtection="0"/>
    <xf numFmtId="0" fontId="1" fillId="19" borderId="1" applyNumberFormat="0" applyBorder="0" applyAlignment="0" applyProtection="0"/>
    <xf numFmtId="0" fontId="1" fillId="20" borderId="1" applyNumberFormat="0" applyBorder="0" applyAlignment="0" applyProtection="0"/>
    <xf numFmtId="0" fontId="1" fillId="23" borderId="1" applyNumberFormat="0" applyBorder="0" applyAlignment="0" applyProtection="0"/>
    <xf numFmtId="0" fontId="1" fillId="24" borderId="1" applyNumberFormat="0" applyBorder="0" applyAlignment="0" applyProtection="0"/>
    <xf numFmtId="0" fontId="1" fillId="27" borderId="1" applyNumberFormat="0" applyBorder="0" applyAlignment="0" applyProtection="0"/>
    <xf numFmtId="0" fontId="1" fillId="28" borderId="1" applyNumberFormat="0" applyBorder="0" applyAlignment="0" applyProtection="0"/>
    <xf numFmtId="0" fontId="1" fillId="31" borderId="1" applyNumberFormat="0" applyBorder="0" applyAlignment="0" applyProtection="0"/>
    <xf numFmtId="0" fontId="1" fillId="32" borderId="1" applyNumberFormat="0" applyBorder="0" applyAlignment="0" applyProtection="0"/>
    <xf numFmtId="0" fontId="1" fillId="35" borderId="1" applyNumberFormat="0" applyBorder="0" applyAlignment="0" applyProtection="0"/>
    <xf numFmtId="0" fontId="1" fillId="36" borderId="1" applyNumberFormat="0" applyBorder="0" applyAlignment="0" applyProtection="0"/>
    <xf numFmtId="0" fontId="1" fillId="0" borderId="1"/>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0" borderId="1"/>
    <xf numFmtId="0" fontId="1" fillId="0" borderId="1"/>
    <xf numFmtId="0" fontId="1" fillId="0" borderId="1"/>
    <xf numFmtId="0" fontId="1" fillId="13" borderId="83" applyNumberFormat="0" applyFont="0" applyAlignment="0" applyProtection="0"/>
    <xf numFmtId="0" fontId="1" fillId="13" borderId="83" applyNumberFormat="0" applyFont="0" applyAlignment="0" applyProtection="0"/>
    <xf numFmtId="9" fontId="1" fillId="0" borderId="1" applyFont="0" applyFill="0" applyBorder="0" applyAlignment="0" applyProtection="0"/>
    <xf numFmtId="9" fontId="1" fillId="0" borderId="1" applyFont="0" applyFill="0" applyBorder="0" applyAlignment="0" applyProtection="0"/>
    <xf numFmtId="0" fontId="1" fillId="15" borderId="1" applyNumberFormat="0" applyBorder="0" applyAlignment="0" applyProtection="0"/>
    <xf numFmtId="0" fontId="1" fillId="19" borderId="1" applyNumberFormat="0" applyBorder="0" applyAlignment="0" applyProtection="0"/>
    <xf numFmtId="0" fontId="1" fillId="23" borderId="1" applyNumberFormat="0" applyBorder="0" applyAlignment="0" applyProtection="0"/>
    <xf numFmtId="0" fontId="1" fillId="27" borderId="1" applyNumberFormat="0" applyBorder="0" applyAlignment="0" applyProtection="0"/>
    <xf numFmtId="0" fontId="1" fillId="31" borderId="1" applyNumberFormat="0" applyBorder="0" applyAlignment="0" applyProtection="0"/>
    <xf numFmtId="0" fontId="1" fillId="35" borderId="1" applyNumberFormat="0" applyBorder="0" applyAlignment="0" applyProtection="0"/>
    <xf numFmtId="0" fontId="1" fillId="16" borderId="1" applyNumberFormat="0" applyBorder="0" applyAlignment="0" applyProtection="0"/>
    <xf numFmtId="0" fontId="1" fillId="20" borderId="1" applyNumberFormat="0" applyBorder="0" applyAlignment="0" applyProtection="0"/>
    <xf numFmtId="0" fontId="1" fillId="24" borderId="1" applyNumberFormat="0" applyBorder="0" applyAlignment="0" applyProtection="0"/>
    <xf numFmtId="0" fontId="1" fillId="28" borderId="1" applyNumberFormat="0" applyBorder="0" applyAlignment="0" applyProtection="0"/>
    <xf numFmtId="0" fontId="1" fillId="32" borderId="1" applyNumberFormat="0" applyBorder="0" applyAlignment="0" applyProtection="0"/>
    <xf numFmtId="0" fontId="1" fillId="36" borderId="1" applyNumberFormat="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0" borderId="1"/>
    <xf numFmtId="0" fontId="1" fillId="0" borderId="1"/>
    <xf numFmtId="0" fontId="1" fillId="0" borderId="1"/>
    <xf numFmtId="0" fontId="1" fillId="13" borderId="83" applyNumberFormat="0" applyFont="0" applyAlignment="0" applyProtection="0"/>
    <xf numFmtId="0" fontId="1" fillId="13" borderId="83" applyNumberFormat="0" applyFont="0" applyAlignment="0" applyProtection="0"/>
    <xf numFmtId="9" fontId="1" fillId="0" borderId="1" applyFont="0" applyFill="0" applyBorder="0" applyAlignment="0" applyProtection="0"/>
    <xf numFmtId="9" fontId="1" fillId="0" borderId="1" applyFont="0" applyFill="0" applyBorder="0" applyAlignment="0" applyProtection="0"/>
    <xf numFmtId="165" fontId="1" fillId="0" borderId="1" applyFont="0" applyFill="0" applyBorder="0" applyAlignment="0" applyProtection="0"/>
    <xf numFmtId="0" fontId="1" fillId="0" borderId="1"/>
    <xf numFmtId="0" fontId="1" fillId="15" borderId="1" applyNumberFormat="0" applyBorder="0" applyAlignment="0" applyProtection="0"/>
    <xf numFmtId="0" fontId="1" fillId="15"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0" borderId="1"/>
    <xf numFmtId="0" fontId="1" fillId="0" borderId="1"/>
    <xf numFmtId="0" fontId="1" fillId="0" borderId="1"/>
    <xf numFmtId="0" fontId="1" fillId="13" borderId="83" applyNumberFormat="0" applyFont="0" applyAlignment="0" applyProtection="0"/>
    <xf numFmtId="0" fontId="1" fillId="13" borderId="83" applyNumberFormat="0" applyFont="0" applyAlignment="0" applyProtection="0"/>
    <xf numFmtId="9"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0" borderId="1"/>
    <xf numFmtId="0" fontId="1" fillId="0" borderId="1"/>
    <xf numFmtId="0" fontId="1" fillId="0" borderId="1"/>
    <xf numFmtId="0" fontId="1" fillId="0" borderId="1"/>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0" borderId="1"/>
    <xf numFmtId="0" fontId="1" fillId="0" borderId="1"/>
    <xf numFmtId="0" fontId="1" fillId="0" borderId="1"/>
    <xf numFmtId="0" fontId="1" fillId="0" borderId="1"/>
    <xf numFmtId="0" fontId="1" fillId="13" borderId="83" applyNumberFormat="0" applyFont="0" applyAlignment="0" applyProtection="0"/>
    <xf numFmtId="9" fontId="1" fillId="0" borderId="1" applyFont="0" applyFill="0" applyBorder="0" applyAlignment="0" applyProtection="0"/>
    <xf numFmtId="9" fontId="1" fillId="0" borderId="1" applyFont="0" applyFill="0" applyBorder="0" applyAlignment="0" applyProtection="0"/>
    <xf numFmtId="0" fontId="1" fillId="0" borderId="1"/>
    <xf numFmtId="0" fontId="1" fillId="15" borderId="1" applyNumberFormat="0" applyBorder="0" applyAlignment="0" applyProtection="0"/>
    <xf numFmtId="0" fontId="1" fillId="16" borderId="1" applyNumberFormat="0" applyBorder="0" applyAlignment="0" applyProtection="0"/>
    <xf numFmtId="0" fontId="1" fillId="19" borderId="1" applyNumberFormat="0" applyBorder="0" applyAlignment="0" applyProtection="0"/>
    <xf numFmtId="0" fontId="1" fillId="20" borderId="1" applyNumberFormat="0" applyBorder="0" applyAlignment="0" applyProtection="0"/>
    <xf numFmtId="0" fontId="1" fillId="23" borderId="1" applyNumberFormat="0" applyBorder="0" applyAlignment="0" applyProtection="0"/>
    <xf numFmtId="0" fontId="1" fillId="24" borderId="1" applyNumberFormat="0" applyBorder="0" applyAlignment="0" applyProtection="0"/>
    <xf numFmtId="0" fontId="1" fillId="27" borderId="1" applyNumberFormat="0" applyBorder="0" applyAlignment="0" applyProtection="0"/>
    <xf numFmtId="0" fontId="1" fillId="28" borderId="1" applyNumberFormat="0" applyBorder="0" applyAlignment="0" applyProtection="0"/>
    <xf numFmtId="0" fontId="1" fillId="31" borderId="1" applyNumberFormat="0" applyBorder="0" applyAlignment="0" applyProtection="0"/>
    <xf numFmtId="0" fontId="1" fillId="32" borderId="1" applyNumberFormat="0" applyBorder="0" applyAlignment="0" applyProtection="0"/>
    <xf numFmtId="0" fontId="1" fillId="35" borderId="1" applyNumberFormat="0" applyBorder="0" applyAlignment="0" applyProtection="0"/>
    <xf numFmtId="0" fontId="1" fillId="36" borderId="1" applyNumberFormat="0" applyBorder="0" applyAlignment="0" applyProtection="0"/>
    <xf numFmtId="0" fontId="1" fillId="0" borderId="1"/>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0" borderId="1"/>
    <xf numFmtId="0" fontId="1" fillId="0" borderId="1"/>
    <xf numFmtId="0" fontId="1" fillId="0" borderId="1"/>
    <xf numFmtId="0" fontId="1" fillId="13" borderId="83" applyNumberFormat="0" applyFont="0" applyAlignment="0" applyProtection="0"/>
    <xf numFmtId="0" fontId="1" fillId="13" borderId="83" applyNumberFormat="0" applyFont="0" applyAlignment="0" applyProtection="0"/>
    <xf numFmtId="9" fontId="1" fillId="0" borderId="1" applyFont="0" applyFill="0" applyBorder="0" applyAlignment="0" applyProtection="0"/>
    <xf numFmtId="9" fontId="1" fillId="0" borderId="1" applyFont="0" applyFill="0" applyBorder="0" applyAlignment="0" applyProtection="0"/>
    <xf numFmtId="0" fontId="1" fillId="15" borderId="1" applyNumberFormat="0" applyBorder="0" applyAlignment="0" applyProtection="0"/>
    <xf numFmtId="0" fontId="1" fillId="19" borderId="1" applyNumberFormat="0" applyBorder="0" applyAlignment="0" applyProtection="0"/>
    <xf numFmtId="0" fontId="1" fillId="23" borderId="1" applyNumberFormat="0" applyBorder="0" applyAlignment="0" applyProtection="0"/>
    <xf numFmtId="0" fontId="1" fillId="27" borderId="1" applyNumberFormat="0" applyBorder="0" applyAlignment="0" applyProtection="0"/>
    <xf numFmtId="0" fontId="1" fillId="31" borderId="1" applyNumberFormat="0" applyBorder="0" applyAlignment="0" applyProtection="0"/>
    <xf numFmtId="0" fontId="1" fillId="35" borderId="1" applyNumberFormat="0" applyBorder="0" applyAlignment="0" applyProtection="0"/>
    <xf numFmtId="0" fontId="1" fillId="16" borderId="1" applyNumberFormat="0" applyBorder="0" applyAlignment="0" applyProtection="0"/>
    <xf numFmtId="0" fontId="1" fillId="20" borderId="1" applyNumberFormat="0" applyBorder="0" applyAlignment="0" applyProtection="0"/>
    <xf numFmtId="0" fontId="1" fillId="24" borderId="1" applyNumberFormat="0" applyBorder="0" applyAlignment="0" applyProtection="0"/>
    <xf numFmtId="0" fontId="1" fillId="28" borderId="1" applyNumberFormat="0" applyBorder="0" applyAlignment="0" applyProtection="0"/>
    <xf numFmtId="0" fontId="1" fillId="32" borderId="1" applyNumberFormat="0" applyBorder="0" applyAlignment="0" applyProtection="0"/>
    <xf numFmtId="0" fontId="1" fillId="36" borderId="1" applyNumberFormat="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0" borderId="1"/>
    <xf numFmtId="0" fontId="1" fillId="0" borderId="1"/>
    <xf numFmtId="0" fontId="1" fillId="0" borderId="1"/>
    <xf numFmtId="0" fontId="1" fillId="13" borderId="83" applyNumberFormat="0" applyFont="0" applyAlignment="0" applyProtection="0"/>
    <xf numFmtId="0" fontId="1" fillId="13" borderId="83" applyNumberFormat="0" applyFont="0" applyAlignment="0" applyProtection="0"/>
    <xf numFmtId="9" fontId="1" fillId="0" borderId="1" applyFont="0" applyFill="0" applyBorder="0" applyAlignment="0" applyProtection="0"/>
    <xf numFmtId="9"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0" borderId="1"/>
    <xf numFmtId="0" fontId="1" fillId="15" borderId="1" applyNumberFormat="0" applyBorder="0" applyAlignment="0" applyProtection="0"/>
    <xf numFmtId="0" fontId="1" fillId="16" borderId="1" applyNumberFormat="0" applyBorder="0" applyAlignment="0" applyProtection="0"/>
    <xf numFmtId="0" fontId="1" fillId="19" borderId="1" applyNumberFormat="0" applyBorder="0" applyAlignment="0" applyProtection="0"/>
    <xf numFmtId="0" fontId="1" fillId="20" borderId="1" applyNumberFormat="0" applyBorder="0" applyAlignment="0" applyProtection="0"/>
    <xf numFmtId="0" fontId="1" fillId="23" borderId="1" applyNumberFormat="0" applyBorder="0" applyAlignment="0" applyProtection="0"/>
    <xf numFmtId="0" fontId="1" fillId="24" borderId="1" applyNumberFormat="0" applyBorder="0" applyAlignment="0" applyProtection="0"/>
    <xf numFmtId="0" fontId="1" fillId="27" borderId="1" applyNumberFormat="0" applyBorder="0" applyAlignment="0" applyProtection="0"/>
    <xf numFmtId="0" fontId="1" fillId="28" borderId="1" applyNumberFormat="0" applyBorder="0" applyAlignment="0" applyProtection="0"/>
    <xf numFmtId="0" fontId="1" fillId="31" borderId="1" applyNumberFormat="0" applyBorder="0" applyAlignment="0" applyProtection="0"/>
    <xf numFmtId="0" fontId="1" fillId="32" borderId="1" applyNumberFormat="0" applyBorder="0" applyAlignment="0" applyProtection="0"/>
    <xf numFmtId="0" fontId="1" fillId="35" borderId="1" applyNumberFormat="0" applyBorder="0" applyAlignment="0" applyProtection="0"/>
    <xf numFmtId="0" fontId="1" fillId="36" borderId="1" applyNumberFormat="0" applyBorder="0" applyAlignment="0" applyProtection="0"/>
    <xf numFmtId="0" fontId="1" fillId="0" borderId="1"/>
    <xf numFmtId="165" fontId="1" fillId="0" borderId="1" applyFont="0" applyFill="0" applyBorder="0" applyAlignment="0" applyProtection="0"/>
    <xf numFmtId="0" fontId="1" fillId="0" borderId="1"/>
    <xf numFmtId="9" fontId="1" fillId="0" borderId="1" applyFont="0" applyFill="0" applyBorder="0" applyAlignment="0" applyProtection="0"/>
    <xf numFmtId="0" fontId="1" fillId="13" borderId="83" applyNumberFormat="0" applyFont="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0" borderId="1"/>
    <xf numFmtId="0" fontId="1" fillId="0" borderId="1"/>
    <xf numFmtId="0" fontId="1" fillId="0" borderId="1"/>
    <xf numFmtId="0" fontId="1" fillId="0" borderId="1"/>
    <xf numFmtId="0" fontId="1" fillId="15" borderId="1" applyNumberFormat="0" applyBorder="0" applyAlignment="0" applyProtection="0"/>
    <xf numFmtId="0" fontId="1" fillId="19" borderId="1" applyNumberFormat="0" applyBorder="0" applyAlignment="0" applyProtection="0"/>
    <xf numFmtId="0" fontId="1" fillId="23" borderId="1" applyNumberFormat="0" applyBorder="0" applyAlignment="0" applyProtection="0"/>
    <xf numFmtId="0" fontId="1" fillId="27" borderId="1" applyNumberFormat="0" applyBorder="0" applyAlignment="0" applyProtection="0"/>
    <xf numFmtId="0" fontId="1" fillId="31" borderId="1" applyNumberFormat="0" applyBorder="0" applyAlignment="0" applyProtection="0"/>
    <xf numFmtId="0" fontId="1" fillId="35" borderId="1" applyNumberFormat="0" applyBorder="0" applyAlignment="0" applyProtection="0"/>
    <xf numFmtId="0" fontId="1" fillId="16" borderId="1" applyNumberFormat="0" applyBorder="0" applyAlignment="0" applyProtection="0"/>
    <xf numFmtId="0" fontId="1" fillId="20" borderId="1" applyNumberFormat="0" applyBorder="0" applyAlignment="0" applyProtection="0"/>
    <xf numFmtId="0" fontId="1" fillId="24" borderId="1" applyNumberFormat="0" applyBorder="0" applyAlignment="0" applyProtection="0"/>
    <xf numFmtId="0" fontId="1" fillId="28" borderId="1" applyNumberFormat="0" applyBorder="0" applyAlignment="0" applyProtection="0"/>
    <xf numFmtId="0" fontId="1" fillId="32" borderId="1" applyNumberFormat="0" applyBorder="0" applyAlignment="0" applyProtection="0"/>
    <xf numFmtId="0" fontId="1" fillId="36" borderId="1" applyNumberFormat="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0" borderId="1"/>
    <xf numFmtId="0" fontId="1" fillId="0" borderId="1"/>
    <xf numFmtId="0" fontId="1" fillId="0" borderId="1"/>
    <xf numFmtId="0" fontId="1" fillId="13" borderId="83" applyNumberFormat="0" applyFont="0" applyAlignment="0" applyProtection="0"/>
    <xf numFmtId="0" fontId="1" fillId="13" borderId="83" applyNumberFormat="0" applyFont="0" applyAlignment="0" applyProtection="0"/>
    <xf numFmtId="9" fontId="1" fillId="0" borderId="1" applyFont="0" applyFill="0" applyBorder="0" applyAlignment="0" applyProtection="0"/>
    <xf numFmtId="9"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0" borderId="1"/>
    <xf numFmtId="0" fontId="1" fillId="15" borderId="1" applyNumberFormat="0" applyBorder="0" applyAlignment="0" applyProtection="0"/>
    <xf numFmtId="0" fontId="1" fillId="16" borderId="1" applyNumberFormat="0" applyBorder="0" applyAlignment="0" applyProtection="0"/>
    <xf numFmtId="0" fontId="1" fillId="19" borderId="1" applyNumberFormat="0" applyBorder="0" applyAlignment="0" applyProtection="0"/>
    <xf numFmtId="0" fontId="1" fillId="20" borderId="1" applyNumberFormat="0" applyBorder="0" applyAlignment="0" applyProtection="0"/>
    <xf numFmtId="0" fontId="1" fillId="23" borderId="1" applyNumberFormat="0" applyBorder="0" applyAlignment="0" applyProtection="0"/>
    <xf numFmtId="0" fontId="1" fillId="24" borderId="1" applyNumberFormat="0" applyBorder="0" applyAlignment="0" applyProtection="0"/>
    <xf numFmtId="0" fontId="1" fillId="27" borderId="1" applyNumberFormat="0" applyBorder="0" applyAlignment="0" applyProtection="0"/>
    <xf numFmtId="0" fontId="1" fillId="28" borderId="1" applyNumberFormat="0" applyBorder="0" applyAlignment="0" applyProtection="0"/>
    <xf numFmtId="0" fontId="1" fillId="31" borderId="1" applyNumberFormat="0" applyBorder="0" applyAlignment="0" applyProtection="0"/>
    <xf numFmtId="0" fontId="1" fillId="32" borderId="1" applyNumberFormat="0" applyBorder="0" applyAlignment="0" applyProtection="0"/>
    <xf numFmtId="0" fontId="1" fillId="35" borderId="1" applyNumberFormat="0" applyBorder="0" applyAlignment="0" applyProtection="0"/>
    <xf numFmtId="0" fontId="1" fillId="36" borderId="1" applyNumberFormat="0" applyBorder="0" applyAlignment="0" applyProtection="0"/>
    <xf numFmtId="0" fontId="1" fillId="0" borderId="1"/>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0" borderId="1"/>
    <xf numFmtId="0" fontId="1" fillId="0" borderId="1"/>
    <xf numFmtId="0" fontId="1" fillId="0" borderId="1"/>
    <xf numFmtId="0" fontId="1" fillId="13" borderId="83" applyNumberFormat="0" applyFont="0" applyAlignment="0" applyProtection="0"/>
    <xf numFmtId="0" fontId="1" fillId="13" borderId="83" applyNumberFormat="0" applyFont="0" applyAlignment="0" applyProtection="0"/>
    <xf numFmtId="9" fontId="1" fillId="0" borderId="1" applyFont="0" applyFill="0" applyBorder="0" applyAlignment="0" applyProtection="0"/>
    <xf numFmtId="9" fontId="1" fillId="0" borderId="1" applyFont="0" applyFill="0" applyBorder="0" applyAlignment="0" applyProtection="0"/>
    <xf numFmtId="0" fontId="1" fillId="15" borderId="1" applyNumberFormat="0" applyBorder="0" applyAlignment="0" applyProtection="0"/>
    <xf numFmtId="0" fontId="1" fillId="19" borderId="1" applyNumberFormat="0" applyBorder="0" applyAlignment="0" applyProtection="0"/>
    <xf numFmtId="0" fontId="1" fillId="23" borderId="1" applyNumberFormat="0" applyBorder="0" applyAlignment="0" applyProtection="0"/>
    <xf numFmtId="0" fontId="1" fillId="27" borderId="1" applyNumberFormat="0" applyBorder="0" applyAlignment="0" applyProtection="0"/>
    <xf numFmtId="0" fontId="1" fillId="31" borderId="1" applyNumberFormat="0" applyBorder="0" applyAlignment="0" applyProtection="0"/>
    <xf numFmtId="0" fontId="1" fillId="35" borderId="1" applyNumberFormat="0" applyBorder="0" applyAlignment="0" applyProtection="0"/>
    <xf numFmtId="0" fontId="1" fillId="16" borderId="1" applyNumberFormat="0" applyBorder="0" applyAlignment="0" applyProtection="0"/>
    <xf numFmtId="0" fontId="1" fillId="20" borderId="1" applyNumberFormat="0" applyBorder="0" applyAlignment="0" applyProtection="0"/>
    <xf numFmtId="0" fontId="1" fillId="24" borderId="1" applyNumberFormat="0" applyBorder="0" applyAlignment="0" applyProtection="0"/>
    <xf numFmtId="0" fontId="1" fillId="28" borderId="1" applyNumberFormat="0" applyBorder="0" applyAlignment="0" applyProtection="0"/>
    <xf numFmtId="0" fontId="1" fillId="32" borderId="1" applyNumberFormat="0" applyBorder="0" applyAlignment="0" applyProtection="0"/>
    <xf numFmtId="0" fontId="1" fillId="36" borderId="1" applyNumberFormat="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0" borderId="1"/>
    <xf numFmtId="0" fontId="1" fillId="0" borderId="1"/>
    <xf numFmtId="0" fontId="1" fillId="0" borderId="1"/>
    <xf numFmtId="0" fontId="1" fillId="13" borderId="83" applyNumberFormat="0" applyFont="0" applyAlignment="0" applyProtection="0"/>
    <xf numFmtId="0" fontId="1" fillId="13" borderId="83" applyNumberFormat="0" applyFont="0" applyAlignment="0" applyProtection="0"/>
    <xf numFmtId="9" fontId="1" fillId="0" borderId="1" applyFont="0" applyFill="0" applyBorder="0" applyAlignment="0" applyProtection="0"/>
    <xf numFmtId="9"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5"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19"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3"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27"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1"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35"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16"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0"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4"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28"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2"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0" fontId="1" fillId="36" borderId="1" applyNumberFormat="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43"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43" fontId="1" fillId="0" borderId="1" applyFont="0" applyFill="0" applyBorder="0" applyAlignment="0" applyProtection="0"/>
    <xf numFmtId="43" fontId="1" fillId="0" borderId="1" applyFont="0" applyFill="0" applyBorder="0" applyAlignment="0" applyProtection="0"/>
    <xf numFmtId="165" fontId="1" fillId="0" borderId="1" applyFont="0" applyFill="0" applyBorder="0" applyAlignment="0" applyProtection="0"/>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0" fontId="1" fillId="13" borderId="83" applyNumberFormat="0" applyFont="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9" fontId="1" fillId="0" borderId="1" applyFont="0" applyFill="0" applyBorder="0" applyAlignment="0" applyProtection="0"/>
    <xf numFmtId="0" fontId="18" fillId="0" borderId="1"/>
    <xf numFmtId="0" fontId="18" fillId="0" borderId="1"/>
    <xf numFmtId="43" fontId="18" fillId="0" borderId="1" applyFont="0" applyFill="0" applyBorder="0" applyAlignment="0" applyProtection="0"/>
    <xf numFmtId="0" fontId="18" fillId="0" borderId="1"/>
    <xf numFmtId="0" fontId="18" fillId="0" borderId="1"/>
    <xf numFmtId="0" fontId="18" fillId="0" borderId="1"/>
    <xf numFmtId="0" fontId="18" fillId="0" borderId="1"/>
    <xf numFmtId="165" fontId="83" fillId="0" borderId="1" applyFont="0" applyFill="0" applyBorder="0" applyAlignment="0" applyProtection="0"/>
    <xf numFmtId="0" fontId="88" fillId="0" borderId="1"/>
    <xf numFmtId="0" fontId="88" fillId="0" borderId="1"/>
    <xf numFmtId="0" fontId="88" fillId="0" borderId="1"/>
    <xf numFmtId="0" fontId="88" fillId="0" borderId="1"/>
    <xf numFmtId="0" fontId="18" fillId="0" borderId="1"/>
    <xf numFmtId="0" fontId="18" fillId="0" borderId="1"/>
    <xf numFmtId="0" fontId="18" fillId="0" borderId="1"/>
    <xf numFmtId="0" fontId="18" fillId="0" borderId="1"/>
    <xf numFmtId="0" fontId="18" fillId="0" borderId="1"/>
    <xf numFmtId="0" fontId="18" fillId="0" borderId="1"/>
    <xf numFmtId="0" fontId="18" fillId="0" borderId="1"/>
    <xf numFmtId="0" fontId="18" fillId="0" borderId="1"/>
    <xf numFmtId="0" fontId="18" fillId="0" borderId="1"/>
    <xf numFmtId="43" fontId="18" fillId="0" borderId="1" applyFont="0" applyFill="0" applyBorder="0" applyAlignment="0" applyProtection="0"/>
    <xf numFmtId="0" fontId="18" fillId="0" borderId="1"/>
    <xf numFmtId="0" fontId="18" fillId="0" borderId="1"/>
    <xf numFmtId="0" fontId="18" fillId="0" borderId="1"/>
    <xf numFmtId="0" fontId="18" fillId="0" borderId="1"/>
    <xf numFmtId="0" fontId="18" fillId="0" borderId="1"/>
    <xf numFmtId="165" fontId="83" fillId="0" borderId="1" applyFont="0" applyFill="0" applyBorder="0" applyAlignment="0" applyProtection="0"/>
    <xf numFmtId="0" fontId="88" fillId="0" borderId="1"/>
    <xf numFmtId="0" fontId="18" fillId="0" borderId="1"/>
    <xf numFmtId="0" fontId="88" fillId="0" borderId="1"/>
    <xf numFmtId="0" fontId="88" fillId="0" borderId="1"/>
    <xf numFmtId="0" fontId="88" fillId="0" borderId="1"/>
    <xf numFmtId="0" fontId="88" fillId="0" borderId="1"/>
    <xf numFmtId="0" fontId="18" fillId="0" borderId="1"/>
    <xf numFmtId="0" fontId="18" fillId="0" borderId="1"/>
    <xf numFmtId="0" fontId="18" fillId="0" borderId="1"/>
    <xf numFmtId="0" fontId="18" fillId="0" borderId="1"/>
    <xf numFmtId="0" fontId="18" fillId="0" borderId="1"/>
    <xf numFmtId="0" fontId="18" fillId="0" borderId="1"/>
    <xf numFmtId="0" fontId="18" fillId="0" borderId="1"/>
    <xf numFmtId="0" fontId="18" fillId="0" borderId="1"/>
    <xf numFmtId="0" fontId="18" fillId="0" borderId="1"/>
    <xf numFmtId="0" fontId="18" fillId="0" borderId="1"/>
    <xf numFmtId="0" fontId="88" fillId="0" borderId="1"/>
    <xf numFmtId="0" fontId="18" fillId="0" borderId="1"/>
    <xf numFmtId="165" fontId="83" fillId="0" borderId="1" applyFont="0" applyFill="0" applyBorder="0" applyAlignment="0" applyProtection="0"/>
    <xf numFmtId="0" fontId="18" fillId="0" borderId="1"/>
    <xf numFmtId="0" fontId="18" fillId="0" borderId="1"/>
    <xf numFmtId="0" fontId="18" fillId="0" borderId="1"/>
    <xf numFmtId="0" fontId="18" fillId="0" borderId="1"/>
    <xf numFmtId="0" fontId="18" fillId="0" borderId="1"/>
    <xf numFmtId="0" fontId="18" fillId="0" borderId="1"/>
    <xf numFmtId="0" fontId="18" fillId="0" borderId="1"/>
    <xf numFmtId="0" fontId="18" fillId="0" borderId="1"/>
    <xf numFmtId="0" fontId="18" fillId="0" borderId="1"/>
    <xf numFmtId="0" fontId="88" fillId="0" borderId="1"/>
    <xf numFmtId="43" fontId="18" fillId="0" borderId="1" applyFont="0" applyFill="0" applyBorder="0" applyAlignment="0" applyProtection="0"/>
    <xf numFmtId="43" fontId="18" fillId="0" borderId="1" applyFont="0" applyFill="0" applyBorder="0" applyAlignment="0" applyProtection="0"/>
    <xf numFmtId="0" fontId="18" fillId="0" borderId="1"/>
    <xf numFmtId="0" fontId="18" fillId="0" borderId="1"/>
    <xf numFmtId="0" fontId="18" fillId="0" borderId="1"/>
    <xf numFmtId="0" fontId="18" fillId="0" borderId="1"/>
    <xf numFmtId="165" fontId="83" fillId="0" borderId="1" applyFont="0" applyFill="0" applyBorder="0" applyAlignment="0" applyProtection="0"/>
    <xf numFmtId="0" fontId="88" fillId="0" borderId="1"/>
    <xf numFmtId="0" fontId="18" fillId="0" borderId="1"/>
    <xf numFmtId="0" fontId="18" fillId="0" borderId="1"/>
    <xf numFmtId="0" fontId="18" fillId="0" borderId="1"/>
    <xf numFmtId="0" fontId="18" fillId="0" borderId="1"/>
    <xf numFmtId="0" fontId="18" fillId="0" borderId="1"/>
    <xf numFmtId="0" fontId="18" fillId="0" borderId="1"/>
    <xf numFmtId="0" fontId="18" fillId="0" borderId="1"/>
    <xf numFmtId="0" fontId="18" fillId="0" borderId="1"/>
    <xf numFmtId="0" fontId="18" fillId="0" borderId="1"/>
    <xf numFmtId="43" fontId="18" fillId="0" borderId="1" applyFont="0" applyFill="0" applyBorder="0" applyAlignment="0" applyProtection="0"/>
    <xf numFmtId="0" fontId="18" fillId="0" borderId="1"/>
  </cellStyleXfs>
  <cellXfs count="1800">
    <xf numFmtId="0" fontId="0" fillId="0" borderId="0" xfId="0"/>
    <xf numFmtId="0" fontId="0" fillId="0" borderId="0" xfId="0" applyAlignment="1"/>
    <xf numFmtId="0" fontId="11" fillId="0" borderId="1" xfId="0" applyFont="1" applyFill="1" applyBorder="1" applyAlignment="1" applyProtection="1">
      <alignment vertical="top"/>
      <protection locked="0"/>
    </xf>
    <xf numFmtId="0" fontId="12" fillId="0" borderId="1" xfId="0" applyFont="1" applyFill="1" applyBorder="1" applyAlignment="1" applyProtection="1">
      <alignment horizontal="center" vertical="top" wrapText="1"/>
      <protection locked="0"/>
    </xf>
    <xf numFmtId="0" fontId="12" fillId="0" borderId="1" xfId="0" applyFont="1" applyFill="1" applyBorder="1" applyAlignment="1" applyProtection="1">
      <alignment vertical="top" wrapText="1"/>
      <protection locked="0"/>
    </xf>
    <xf numFmtId="0" fontId="11" fillId="0" borderId="1" xfId="0" applyFont="1" applyFill="1" applyBorder="1" applyAlignment="1" applyProtection="1">
      <alignment horizontal="left" vertical="top" wrapText="1"/>
      <protection locked="0"/>
    </xf>
    <xf numFmtId="0" fontId="12" fillId="0" borderId="1" xfId="0" applyFont="1" applyFill="1" applyBorder="1" applyAlignment="1" applyProtection="1">
      <alignment horizontal="left" vertical="top" wrapText="1"/>
      <protection locked="0"/>
    </xf>
    <xf numFmtId="0" fontId="14" fillId="0" borderId="1" xfId="0" applyFont="1" applyFill="1" applyBorder="1" applyAlignment="1" applyProtection="1">
      <alignment horizontal="left" vertical="top" wrapText="1"/>
      <protection locked="0"/>
    </xf>
    <xf numFmtId="0" fontId="15" fillId="0" borderId="0" xfId="0" applyFont="1"/>
    <xf numFmtId="0" fontId="0" fillId="0" borderId="0" xfId="0" applyAlignment="1">
      <alignment vertical="center"/>
    </xf>
    <xf numFmtId="0" fontId="12" fillId="0" borderId="1" xfId="0" applyFont="1" applyFill="1" applyBorder="1" applyAlignment="1" applyProtection="1">
      <alignment horizontal="left" vertical="top" wrapText="1"/>
      <protection locked="0"/>
    </xf>
    <xf numFmtId="0" fontId="11" fillId="0" borderId="1" xfId="0" applyFont="1" applyFill="1" applyBorder="1" applyAlignment="1" applyProtection="1">
      <alignment horizontal="left" vertical="top"/>
      <protection locked="0"/>
    </xf>
    <xf numFmtId="0" fontId="12" fillId="0" borderId="1" xfId="0" applyFont="1" applyFill="1" applyBorder="1" applyAlignment="1" applyProtection="1">
      <alignment vertical="center" wrapText="1"/>
      <protection locked="0"/>
    </xf>
    <xf numFmtId="0" fontId="12" fillId="0" borderId="1" xfId="0" applyFont="1" applyFill="1" applyBorder="1" applyAlignment="1" applyProtection="1">
      <alignment horizontal="left" vertical="center" wrapText="1"/>
      <protection locked="0"/>
    </xf>
    <xf numFmtId="0" fontId="0" fillId="0" borderId="4" xfId="0" applyBorder="1" applyAlignment="1">
      <alignment horizontal="center" vertical="center"/>
    </xf>
    <xf numFmtId="0" fontId="0" fillId="0" borderId="4" xfId="0" applyBorder="1"/>
    <xf numFmtId="0" fontId="14" fillId="0" borderId="1" xfId="0" applyFont="1" applyFill="1" applyBorder="1" applyAlignment="1" applyProtection="1">
      <alignment horizontal="center" vertical="center" wrapText="1"/>
      <protection locked="0"/>
    </xf>
    <xf numFmtId="0" fontId="15" fillId="0" borderId="0" xfId="0" applyFont="1" applyAlignment="1">
      <alignment horizontal="center" vertical="center"/>
    </xf>
    <xf numFmtId="3" fontId="11" fillId="0" borderId="4" xfId="0" applyNumberFormat="1" applyFont="1" applyFill="1" applyBorder="1" applyAlignment="1" applyProtection="1">
      <alignment horizontal="left" vertical="top"/>
      <protection locked="0"/>
    </xf>
    <xf numFmtId="3" fontId="11" fillId="0" borderId="4" xfId="0" applyNumberFormat="1" applyFont="1" applyFill="1" applyBorder="1" applyAlignment="1" applyProtection="1">
      <alignment horizontal="left" vertical="center"/>
      <protection locked="0"/>
    </xf>
    <xf numFmtId="3" fontId="11" fillId="0" borderId="4" xfId="0" applyNumberFormat="1" applyFont="1" applyFill="1" applyBorder="1" applyAlignment="1" applyProtection="1">
      <alignment horizontal="right" vertical="center" wrapText="1"/>
      <protection locked="0"/>
    </xf>
    <xf numFmtId="3" fontId="11" fillId="0" borderId="4" xfId="0" applyNumberFormat="1" applyFont="1" applyFill="1" applyBorder="1" applyAlignment="1" applyProtection="1">
      <alignment horizontal="right" vertical="center"/>
      <protection locked="0"/>
    </xf>
    <xf numFmtId="0" fontId="0" fillId="0" borderId="4" xfId="0" applyNumberFormat="1" applyBorder="1" applyAlignment="1">
      <alignment horizontal="center" vertical="center"/>
    </xf>
    <xf numFmtId="3" fontId="16" fillId="0" borderId="4" xfId="0" applyNumberFormat="1" applyFont="1" applyFill="1" applyBorder="1" applyAlignment="1" applyProtection="1">
      <alignment horizontal="right" vertical="center" wrapText="1"/>
    </xf>
    <xf numFmtId="0" fontId="14" fillId="0" borderId="1" xfId="0" applyFont="1" applyFill="1" applyBorder="1" applyAlignment="1" applyProtection="1">
      <alignment vertical="center" wrapText="1"/>
      <protection locked="0"/>
    </xf>
    <xf numFmtId="0" fontId="14" fillId="0" borderId="1" xfId="0" applyFont="1" applyFill="1" applyBorder="1" applyAlignment="1" applyProtection="1">
      <alignment vertical="center" wrapText="1"/>
    </xf>
    <xf numFmtId="0" fontId="11" fillId="0" borderId="3" xfId="0" applyFont="1" applyFill="1" applyBorder="1" applyAlignment="1" applyProtection="1">
      <alignment horizontal="right" vertical="center" wrapText="1"/>
      <protection locked="0"/>
    </xf>
    <xf numFmtId="3" fontId="16" fillId="0" borderId="4" xfId="0" applyNumberFormat="1" applyFont="1" applyFill="1" applyBorder="1" applyAlignment="1" applyProtection="1">
      <alignment horizontal="right" vertical="center"/>
    </xf>
    <xf numFmtId="0" fontId="14" fillId="0" borderId="1" xfId="0" applyFont="1" applyFill="1" applyBorder="1" applyAlignment="1" applyProtection="1">
      <alignment horizontal="left" vertical="center" wrapText="1"/>
    </xf>
    <xf numFmtId="0" fontId="14" fillId="0" borderId="1" xfId="0" applyFont="1" applyFill="1" applyBorder="1" applyAlignment="1" applyProtection="1">
      <alignment horizontal="center" vertical="center" wrapText="1"/>
    </xf>
    <xf numFmtId="0" fontId="15" fillId="0" borderId="0" xfId="0" applyFont="1" applyProtection="1"/>
    <xf numFmtId="0" fontId="11" fillId="0" borderId="2" xfId="0" applyFont="1" applyFill="1" applyBorder="1" applyAlignment="1" applyProtection="1">
      <alignment horizontal="right" vertical="center" wrapText="1"/>
    </xf>
    <xf numFmtId="0" fontId="11" fillId="0" borderId="3" xfId="0" applyFont="1" applyFill="1" applyBorder="1" applyAlignment="1" applyProtection="1">
      <alignment horizontal="right" vertical="center" wrapText="1"/>
    </xf>
    <xf numFmtId="0" fontId="11" fillId="0" borderId="3" xfId="0" applyFont="1" applyFill="1" applyBorder="1" applyAlignment="1" applyProtection="1">
      <alignment horizontal="justify" vertical="center" wrapText="1"/>
      <protection locked="0"/>
    </xf>
    <xf numFmtId="0" fontId="11" fillId="0" borderId="3" xfId="0" applyFont="1" applyFill="1" applyBorder="1" applyAlignment="1" applyProtection="1">
      <alignment horizontal="right" vertical="center"/>
      <protection locked="0"/>
    </xf>
    <xf numFmtId="0" fontId="11" fillId="0" borderId="5" xfId="0" applyFont="1" applyFill="1" applyBorder="1" applyAlignment="1" applyProtection="1">
      <alignment vertical="top"/>
      <protection locked="0"/>
    </xf>
    <xf numFmtId="0" fontId="14" fillId="0" borderId="5" xfId="0" applyFont="1" applyFill="1" applyBorder="1" applyAlignment="1" applyProtection="1">
      <alignment horizontal="center" vertical="center" wrapText="1"/>
      <protection locked="0"/>
    </xf>
    <xf numFmtId="0" fontId="11" fillId="0" borderId="7" xfId="0" applyFont="1" applyFill="1" applyBorder="1" applyAlignment="1" applyProtection="1">
      <alignment horizontal="center" vertical="center" wrapText="1"/>
      <protection locked="0"/>
    </xf>
    <xf numFmtId="0" fontId="11" fillId="0" borderId="10" xfId="0" applyFont="1" applyFill="1" applyBorder="1" applyAlignment="1" applyProtection="1">
      <alignment horizontal="center" vertical="center" wrapText="1"/>
      <protection locked="0"/>
    </xf>
    <xf numFmtId="0" fontId="11" fillId="0" borderId="7" xfId="0" applyFont="1" applyFill="1" applyBorder="1" applyAlignment="1" applyProtection="1">
      <alignment horizontal="center" vertical="top" wrapText="1"/>
      <protection locked="0"/>
    </xf>
    <xf numFmtId="0" fontId="11" fillId="0" borderId="10" xfId="0" applyFont="1" applyFill="1" applyBorder="1" applyAlignment="1" applyProtection="1">
      <alignment horizontal="center" vertical="top" wrapText="1"/>
      <protection locked="0"/>
    </xf>
    <xf numFmtId="0" fontId="12" fillId="0" borderId="9" xfId="0" applyFont="1" applyFill="1" applyBorder="1" applyAlignment="1" applyProtection="1">
      <alignment horizontal="left" vertical="top" wrapText="1"/>
      <protection locked="0"/>
    </xf>
    <xf numFmtId="0" fontId="12" fillId="0" borderId="13" xfId="0" applyFont="1" applyFill="1" applyBorder="1" applyAlignment="1" applyProtection="1">
      <alignment horizontal="left" vertical="top" wrapText="1"/>
      <protection locked="0"/>
    </xf>
    <xf numFmtId="3" fontId="11" fillId="0" borderId="10" xfId="0" applyNumberFormat="1" applyFont="1" applyFill="1" applyBorder="1" applyAlignment="1" applyProtection="1">
      <alignment horizontal="right" vertical="center" wrapText="1"/>
      <protection locked="0"/>
    </xf>
    <xf numFmtId="3" fontId="11" fillId="0" borderId="11" xfId="0" applyNumberFormat="1" applyFont="1" applyFill="1" applyBorder="1" applyAlignment="1" applyProtection="1">
      <alignment horizontal="right" vertical="center" wrapText="1"/>
      <protection locked="0"/>
    </xf>
    <xf numFmtId="3" fontId="11" fillId="0" borderId="14" xfId="0" applyNumberFormat="1" applyFont="1" applyFill="1" applyBorder="1" applyAlignment="1" applyProtection="1">
      <alignment horizontal="right" vertical="center" wrapText="1"/>
      <protection locked="0"/>
    </xf>
    <xf numFmtId="3" fontId="11" fillId="0" borderId="15" xfId="0" applyNumberFormat="1" applyFont="1" applyFill="1" applyBorder="1" applyAlignment="1" applyProtection="1">
      <alignment horizontal="right" vertical="center" wrapText="1"/>
      <protection locked="0"/>
    </xf>
    <xf numFmtId="3" fontId="16" fillId="0" borderId="17" xfId="0" applyNumberFormat="1" applyFont="1" applyFill="1" applyBorder="1" applyAlignment="1" applyProtection="1">
      <alignment horizontal="right" vertical="center" wrapText="1"/>
      <protection locked="0"/>
    </xf>
    <xf numFmtId="3" fontId="11" fillId="0" borderId="7" xfId="0" applyNumberFormat="1" applyFont="1" applyFill="1" applyBorder="1" applyAlignment="1" applyProtection="1">
      <alignment horizontal="right" vertical="center"/>
      <protection locked="0"/>
    </xf>
    <xf numFmtId="3" fontId="11" fillId="0" borderId="8" xfId="0" applyNumberFormat="1" applyFont="1" applyFill="1" applyBorder="1" applyAlignment="1" applyProtection="1">
      <alignment horizontal="right" vertical="center"/>
      <protection locked="0"/>
    </xf>
    <xf numFmtId="0" fontId="15" fillId="0" borderId="0" xfId="0" applyFont="1" applyAlignment="1"/>
    <xf numFmtId="0" fontId="0" fillId="0" borderId="0" xfId="0" applyFont="1" applyAlignment="1"/>
    <xf numFmtId="0" fontId="12" fillId="0" borderId="5" xfId="0" applyFont="1" applyFill="1" applyBorder="1" applyAlignment="1" applyProtection="1">
      <alignment vertical="center" wrapText="1"/>
      <protection locked="0"/>
    </xf>
    <xf numFmtId="3" fontId="11" fillId="0" borderId="6" xfId="0" applyNumberFormat="1" applyFont="1" applyFill="1" applyBorder="1" applyAlignment="1" applyProtection="1">
      <alignment horizontal="right" vertical="center"/>
      <protection locked="0"/>
    </xf>
    <xf numFmtId="3" fontId="11" fillId="0" borderId="9" xfId="0" applyNumberFormat="1" applyFont="1" applyFill="1" applyBorder="1" applyAlignment="1" applyProtection="1">
      <alignment horizontal="right" vertical="center" wrapText="1"/>
      <protection locked="0"/>
    </xf>
    <xf numFmtId="3" fontId="11" fillId="0" borderId="13" xfId="0" applyNumberFormat="1" applyFont="1" applyFill="1" applyBorder="1" applyAlignment="1" applyProtection="1">
      <alignment horizontal="right" vertical="center" wrapText="1"/>
      <protection locked="0"/>
    </xf>
    <xf numFmtId="3" fontId="16" fillId="0" borderId="19" xfId="0" applyNumberFormat="1" applyFont="1" applyFill="1" applyBorder="1" applyAlignment="1" applyProtection="1">
      <alignment horizontal="right" vertical="center" wrapText="1"/>
    </xf>
    <xf numFmtId="3" fontId="11" fillId="0" borderId="7" xfId="0" applyNumberFormat="1" applyFont="1" applyFill="1" applyBorder="1" applyAlignment="1" applyProtection="1">
      <alignment horizontal="right" vertical="center"/>
    </xf>
    <xf numFmtId="3" fontId="11" fillId="0" borderId="10" xfId="0" applyNumberFormat="1" applyFont="1" applyFill="1" applyBorder="1" applyAlignment="1" applyProtection="1">
      <alignment horizontal="right" vertical="center" wrapText="1"/>
    </xf>
    <xf numFmtId="3" fontId="11" fillId="0" borderId="14" xfId="0" applyNumberFormat="1" applyFont="1" applyFill="1" applyBorder="1" applyAlignment="1" applyProtection="1">
      <alignment horizontal="right" vertical="center" wrapText="1"/>
    </xf>
    <xf numFmtId="3" fontId="16" fillId="0" borderId="10" xfId="0" applyNumberFormat="1" applyFont="1" applyFill="1" applyBorder="1" applyAlignment="1" applyProtection="1">
      <alignment horizontal="right" vertical="center" wrapText="1"/>
    </xf>
    <xf numFmtId="3" fontId="16" fillId="0" borderId="9" xfId="0" applyNumberFormat="1" applyFont="1" applyFill="1" applyBorder="1" applyAlignment="1" applyProtection="1">
      <alignment horizontal="right" vertical="center" wrapText="1"/>
    </xf>
    <xf numFmtId="3" fontId="16" fillId="0" borderId="11" xfId="0" applyNumberFormat="1" applyFont="1" applyFill="1" applyBorder="1" applyAlignment="1" applyProtection="1">
      <alignment horizontal="right" vertical="center" wrapText="1"/>
    </xf>
    <xf numFmtId="0" fontId="12" fillId="0" borderId="5" xfId="0" applyFont="1" applyFill="1" applyBorder="1" applyAlignment="1" applyProtection="1">
      <alignment vertical="top" wrapText="1"/>
      <protection locked="0"/>
    </xf>
    <xf numFmtId="3" fontId="11" fillId="0" borderId="6" xfId="0" applyNumberFormat="1" applyFont="1" applyFill="1" applyBorder="1" applyAlignment="1" applyProtection="1">
      <alignment horizontal="right" vertical="center" wrapText="1"/>
      <protection locked="0"/>
    </xf>
    <xf numFmtId="3" fontId="11" fillId="0" borderId="7" xfId="0" applyNumberFormat="1" applyFont="1" applyFill="1" applyBorder="1" applyAlignment="1" applyProtection="1">
      <alignment horizontal="right" vertical="center" wrapText="1"/>
      <protection locked="0"/>
    </xf>
    <xf numFmtId="3" fontId="11" fillId="0" borderId="8" xfId="0" applyNumberFormat="1" applyFont="1" applyFill="1" applyBorder="1" applyAlignment="1" applyProtection="1">
      <alignment horizontal="right" vertical="center" wrapText="1"/>
      <protection locked="0"/>
    </xf>
    <xf numFmtId="0" fontId="11" fillId="0" borderId="7" xfId="0" applyNumberFormat="1" applyFont="1" applyFill="1" applyBorder="1" applyAlignment="1" applyProtection="1">
      <alignment horizontal="right" vertical="center" wrapText="1"/>
      <protection locked="0"/>
    </xf>
    <xf numFmtId="0" fontId="11" fillId="0" borderId="10" xfId="0" applyNumberFormat="1" applyFont="1" applyFill="1" applyBorder="1" applyAlignment="1" applyProtection="1">
      <alignment horizontal="right" vertical="center" wrapText="1"/>
      <protection locked="0"/>
    </xf>
    <xf numFmtId="0" fontId="11" fillId="0" borderId="14" xfId="0" applyNumberFormat="1" applyFont="1" applyFill="1" applyBorder="1" applyAlignment="1" applyProtection="1">
      <alignment horizontal="right" vertical="center" wrapText="1"/>
      <protection locked="0"/>
    </xf>
    <xf numFmtId="3" fontId="11" fillId="0" borderId="7" xfId="0" applyNumberFormat="1" applyFont="1" applyFill="1" applyBorder="1" applyAlignment="1" applyProtection="1">
      <alignment horizontal="right" vertical="center" wrapText="1"/>
    </xf>
    <xf numFmtId="0" fontId="16" fillId="0" borderId="1" xfId="0" applyFont="1" applyFill="1" applyBorder="1" applyAlignment="1" applyProtection="1">
      <alignment horizontal="center" vertical="center"/>
      <protection locked="0"/>
    </xf>
    <xf numFmtId="0" fontId="0" fillId="0" borderId="5" xfId="0" applyBorder="1"/>
    <xf numFmtId="0" fontId="16" fillId="0" borderId="5" xfId="0" applyNumberFormat="1" applyFont="1" applyFill="1" applyBorder="1" applyAlignment="1" applyProtection="1">
      <alignment horizontal="center" vertical="center" wrapText="1"/>
      <protection locked="0"/>
    </xf>
    <xf numFmtId="0" fontId="16" fillId="0" borderId="5" xfId="0" applyFont="1" applyFill="1" applyBorder="1" applyAlignment="1" applyProtection="1">
      <alignment horizontal="left" vertical="center" wrapText="1"/>
      <protection locked="0"/>
    </xf>
    <xf numFmtId="0" fontId="16" fillId="0" borderId="5" xfId="0" applyNumberFormat="1" applyFont="1" applyFill="1" applyBorder="1" applyAlignment="1" applyProtection="1">
      <alignment horizontal="right" vertical="center" wrapText="1"/>
      <protection locked="0"/>
    </xf>
    <xf numFmtId="3" fontId="16" fillId="0" borderId="5" xfId="0" applyNumberFormat="1" applyFont="1" applyFill="1" applyBorder="1" applyAlignment="1" applyProtection="1">
      <alignment horizontal="right" vertical="center" wrapText="1"/>
      <protection locked="0"/>
    </xf>
    <xf numFmtId="0" fontId="16" fillId="0" borderId="5" xfId="0" applyFont="1" applyFill="1" applyBorder="1" applyAlignment="1" applyProtection="1">
      <alignment horizontal="center" vertical="center" wrapText="1"/>
      <protection locked="0"/>
    </xf>
    <xf numFmtId="166" fontId="16" fillId="0" borderId="5" xfId="0" applyNumberFormat="1" applyFont="1" applyFill="1" applyBorder="1" applyAlignment="1" applyProtection="1">
      <alignment horizontal="right" vertical="center" wrapText="1"/>
      <protection locked="0"/>
    </xf>
    <xf numFmtId="14" fontId="16" fillId="0" borderId="5" xfId="0" applyNumberFormat="1" applyFont="1" applyFill="1" applyBorder="1" applyAlignment="1" applyProtection="1">
      <alignment horizontal="right" vertical="center" wrapText="1"/>
      <protection locked="0"/>
    </xf>
    <xf numFmtId="167" fontId="16" fillId="0" borderId="5" xfId="0" applyNumberFormat="1" applyFont="1" applyFill="1" applyBorder="1" applyAlignment="1" applyProtection="1">
      <alignment horizontal="right" vertical="center" wrapText="1"/>
      <protection locked="0"/>
    </xf>
    <xf numFmtId="0" fontId="16" fillId="0" borderId="5" xfId="0" applyFont="1" applyFill="1" applyBorder="1" applyAlignment="1" applyProtection="1">
      <alignment horizontal="right" vertical="center" wrapText="1"/>
      <protection locked="0"/>
    </xf>
    <xf numFmtId="0" fontId="12" fillId="0" borderId="1" xfId="0" applyFont="1" applyFill="1" applyBorder="1" applyAlignment="1" applyProtection="1">
      <alignment horizontal="left" vertical="center" wrapText="1"/>
      <protection locked="0"/>
    </xf>
    <xf numFmtId="0" fontId="14" fillId="0" borderId="1" xfId="0" applyFont="1" applyFill="1" applyBorder="1" applyAlignment="1" applyProtection="1">
      <alignment horizontal="left" vertical="top" wrapText="1"/>
    </xf>
    <xf numFmtId="0" fontId="12" fillId="0" borderId="1" xfId="0" applyFont="1" applyFill="1" applyBorder="1" applyAlignment="1" applyProtection="1">
      <alignment horizontal="left" vertical="top" wrapText="1"/>
      <protection locked="0"/>
    </xf>
    <xf numFmtId="0" fontId="11" fillId="0" borderId="1" xfId="0" applyFont="1" applyFill="1" applyBorder="1" applyAlignment="1" applyProtection="1">
      <alignment horizontal="left" vertical="top"/>
      <protection locked="0"/>
    </xf>
    <xf numFmtId="0" fontId="14" fillId="0" borderId="1" xfId="0" applyFont="1" applyFill="1" applyBorder="1" applyAlignment="1" applyProtection="1">
      <alignment horizontal="left" vertical="top" wrapText="1"/>
      <protection locked="0"/>
    </xf>
    <xf numFmtId="0" fontId="12" fillId="0" borderId="9" xfId="0" applyFont="1" applyFill="1" applyBorder="1" applyAlignment="1" applyProtection="1">
      <alignment horizontal="left" vertical="top" wrapText="1"/>
      <protection locked="0"/>
    </xf>
    <xf numFmtId="0" fontId="12" fillId="0" borderId="6" xfId="0" applyFont="1" applyFill="1" applyBorder="1" applyAlignment="1" applyProtection="1">
      <alignment horizontal="left" vertical="top" wrapText="1"/>
      <protection locked="0"/>
    </xf>
    <xf numFmtId="0" fontId="11" fillId="0" borderId="7" xfId="0" applyNumberFormat="1" applyFont="1" applyFill="1" applyBorder="1" applyAlignment="1" applyProtection="1">
      <alignment horizontal="center" vertical="center" wrapText="1"/>
      <protection locked="0"/>
    </xf>
    <xf numFmtId="0" fontId="11" fillId="0" borderId="7" xfId="0" applyFont="1" applyFill="1" applyBorder="1" applyAlignment="1" applyProtection="1">
      <alignment horizontal="left" vertical="center" wrapText="1"/>
      <protection locked="0"/>
    </xf>
    <xf numFmtId="166" fontId="11" fillId="0" borderId="7" xfId="0" applyNumberFormat="1" applyFont="1" applyFill="1" applyBorder="1" applyAlignment="1" applyProtection="1">
      <alignment horizontal="right" vertical="center" wrapText="1"/>
      <protection locked="0"/>
    </xf>
    <xf numFmtId="14" fontId="11" fillId="0" borderId="7" xfId="0" applyNumberFormat="1" applyFont="1" applyFill="1" applyBorder="1" applyAlignment="1" applyProtection="1">
      <alignment horizontal="right" vertical="center" wrapText="1"/>
      <protection locked="0"/>
    </xf>
    <xf numFmtId="167" fontId="11" fillId="0" borderId="7" xfId="0" applyNumberFormat="1" applyFont="1" applyFill="1" applyBorder="1" applyAlignment="1" applyProtection="1">
      <alignment horizontal="right" vertical="center" wrapText="1"/>
      <protection locked="0"/>
    </xf>
    <xf numFmtId="0" fontId="11" fillId="0" borderId="8" xfId="0" applyFont="1" applyFill="1" applyBorder="1" applyAlignment="1" applyProtection="1">
      <alignment horizontal="right" vertical="center" wrapText="1"/>
      <protection locked="0"/>
    </xf>
    <xf numFmtId="0" fontId="11" fillId="0" borderId="10" xfId="0" applyNumberFormat="1" applyFont="1" applyFill="1" applyBorder="1" applyAlignment="1" applyProtection="1">
      <alignment horizontal="center" vertical="center" wrapText="1"/>
      <protection locked="0"/>
    </xf>
    <xf numFmtId="0" fontId="11" fillId="0" borderId="10" xfId="0" applyFont="1" applyFill="1" applyBorder="1" applyAlignment="1" applyProtection="1">
      <alignment horizontal="left" vertical="center" wrapText="1"/>
      <protection locked="0"/>
    </xf>
    <xf numFmtId="166" fontId="11" fillId="0" borderId="10" xfId="0" applyNumberFormat="1" applyFont="1" applyFill="1" applyBorder="1" applyAlignment="1" applyProtection="1">
      <alignment horizontal="right" vertical="center" wrapText="1"/>
      <protection locked="0"/>
    </xf>
    <xf numFmtId="14" fontId="11" fillId="0" borderId="10" xfId="0" applyNumberFormat="1" applyFont="1" applyFill="1" applyBorder="1" applyAlignment="1" applyProtection="1">
      <alignment horizontal="right" vertical="center" wrapText="1"/>
      <protection locked="0"/>
    </xf>
    <xf numFmtId="167" fontId="11" fillId="0" borderId="10" xfId="0" applyNumberFormat="1" applyFont="1" applyFill="1" applyBorder="1" applyAlignment="1" applyProtection="1">
      <alignment horizontal="right" vertical="center" wrapText="1"/>
      <protection locked="0"/>
    </xf>
    <xf numFmtId="0" fontId="11" fillId="0" borderId="11" xfId="0" applyFont="1" applyFill="1" applyBorder="1" applyAlignment="1" applyProtection="1">
      <alignment horizontal="right" vertical="center" wrapText="1"/>
      <protection locked="0"/>
    </xf>
    <xf numFmtId="0" fontId="11" fillId="0" borderId="14" xfId="0" applyNumberFormat="1" applyFont="1" applyFill="1" applyBorder="1" applyAlignment="1" applyProtection="1">
      <alignment horizontal="center" vertical="center" wrapText="1"/>
      <protection locked="0"/>
    </xf>
    <xf numFmtId="0" fontId="11" fillId="0" borderId="14" xfId="0" applyFont="1" applyFill="1" applyBorder="1" applyAlignment="1" applyProtection="1">
      <alignment horizontal="left" vertical="center" wrapText="1"/>
      <protection locked="0"/>
    </xf>
    <xf numFmtId="0" fontId="11" fillId="0" borderId="14" xfId="0" applyFont="1" applyFill="1" applyBorder="1" applyAlignment="1" applyProtection="1">
      <alignment horizontal="center" vertical="center" wrapText="1"/>
      <protection locked="0"/>
    </xf>
    <xf numFmtId="166" fontId="11" fillId="0" borderId="14" xfId="0" applyNumberFormat="1" applyFont="1" applyFill="1" applyBorder="1" applyAlignment="1" applyProtection="1">
      <alignment horizontal="right" vertical="center" wrapText="1"/>
      <protection locked="0"/>
    </xf>
    <xf numFmtId="14" fontId="11" fillId="0" borderId="14" xfId="0" applyNumberFormat="1" applyFont="1" applyFill="1" applyBorder="1" applyAlignment="1" applyProtection="1">
      <alignment horizontal="right" vertical="center" wrapText="1"/>
      <protection locked="0"/>
    </xf>
    <xf numFmtId="167" fontId="11" fillId="0" borderId="14" xfId="0" applyNumberFormat="1" applyFont="1" applyFill="1" applyBorder="1" applyAlignment="1" applyProtection="1">
      <alignment horizontal="right" vertical="center" wrapText="1"/>
      <protection locked="0"/>
    </xf>
    <xf numFmtId="0" fontId="11" fillId="0" borderId="15" xfId="0" applyFont="1" applyFill="1" applyBorder="1" applyAlignment="1" applyProtection="1">
      <alignment horizontal="right" vertical="center" wrapText="1"/>
      <protection locked="0"/>
    </xf>
    <xf numFmtId="0" fontId="16" fillId="0" borderId="1" xfId="0" applyFont="1" applyFill="1" applyBorder="1" applyAlignment="1" applyProtection="1">
      <alignment vertical="top"/>
      <protection locked="0"/>
    </xf>
    <xf numFmtId="0" fontId="16" fillId="0" borderId="5" xfId="0" applyFont="1" applyFill="1" applyBorder="1" applyAlignment="1" applyProtection="1">
      <alignment vertical="top"/>
      <protection locked="0"/>
    </xf>
    <xf numFmtId="0" fontId="14" fillId="0" borderId="25" xfId="0" applyFont="1" applyFill="1" applyBorder="1" applyAlignment="1" applyProtection="1">
      <alignment horizontal="left" vertical="top" wrapText="1"/>
      <protection locked="0"/>
    </xf>
    <xf numFmtId="3" fontId="16" fillId="0" borderId="24" xfId="0" applyNumberFormat="1" applyFont="1" applyFill="1" applyBorder="1" applyAlignment="1" applyProtection="1">
      <alignment horizontal="right" vertical="center" wrapText="1"/>
    </xf>
    <xf numFmtId="0" fontId="16" fillId="0" borderId="25" xfId="0" applyFont="1" applyFill="1" applyBorder="1" applyAlignment="1" applyProtection="1">
      <alignment horizontal="center" vertical="center" wrapText="1"/>
      <protection locked="0"/>
    </xf>
    <xf numFmtId="0" fontId="16" fillId="0" borderId="25" xfId="0" applyFont="1" applyFill="1" applyBorder="1" applyAlignment="1" applyProtection="1">
      <alignment horizontal="left" vertical="center" wrapText="1"/>
      <protection locked="0"/>
    </xf>
    <xf numFmtId="0" fontId="16" fillId="0" borderId="25" xfId="0" applyFont="1" applyFill="1" applyBorder="1" applyAlignment="1" applyProtection="1">
      <alignment horizontal="right" vertical="center" wrapText="1"/>
      <protection locked="0"/>
    </xf>
    <xf numFmtId="3" fontId="16" fillId="0" borderId="25" xfId="0" applyNumberFormat="1" applyFont="1" applyFill="1" applyBorder="1" applyAlignment="1" applyProtection="1">
      <alignment horizontal="right" vertical="center" wrapText="1"/>
      <protection locked="0"/>
    </xf>
    <xf numFmtId="3" fontId="16" fillId="0" borderId="25" xfId="0" applyNumberFormat="1" applyFont="1" applyFill="1" applyBorder="1" applyAlignment="1" applyProtection="1">
      <alignment horizontal="left" vertical="top" wrapText="1"/>
      <protection locked="0"/>
    </xf>
    <xf numFmtId="168" fontId="16" fillId="0" borderId="25" xfId="0" applyNumberFormat="1" applyFont="1" applyFill="1" applyBorder="1" applyAlignment="1" applyProtection="1">
      <alignment horizontal="left" vertical="center" wrapText="1"/>
      <protection locked="0"/>
    </xf>
    <xf numFmtId="14" fontId="16" fillId="0" borderId="25" xfId="0" applyNumberFormat="1" applyFont="1" applyFill="1" applyBorder="1" applyAlignment="1" applyProtection="1">
      <alignment horizontal="right" vertical="center" wrapText="1"/>
      <protection locked="0"/>
    </xf>
    <xf numFmtId="3" fontId="16" fillId="0" borderId="25" xfId="0" applyNumberFormat="1" applyFont="1" applyFill="1" applyBorder="1" applyAlignment="1" applyProtection="1">
      <alignment horizontal="left" vertical="center" wrapText="1"/>
      <protection locked="0"/>
    </xf>
    <xf numFmtId="3" fontId="16" fillId="0" borderId="29" xfId="0" applyNumberFormat="1" applyFont="1" applyFill="1" applyBorder="1" applyAlignment="1" applyProtection="1">
      <alignment horizontal="right" vertical="center" wrapText="1"/>
    </xf>
    <xf numFmtId="0" fontId="11" fillId="0" borderId="7" xfId="0" applyFont="1" applyFill="1" applyBorder="1" applyAlignment="1" applyProtection="1">
      <alignment horizontal="right" vertical="center" wrapText="1"/>
      <protection locked="0"/>
    </xf>
    <xf numFmtId="3" fontId="11" fillId="0" borderId="7" xfId="0" applyNumberFormat="1" applyFont="1" applyFill="1" applyBorder="1" applyAlignment="1" applyProtection="1">
      <alignment horizontal="right" vertical="top" wrapText="1"/>
      <protection locked="0"/>
    </xf>
    <xf numFmtId="168" fontId="11" fillId="0" borderId="7" xfId="0" applyNumberFormat="1" applyFont="1" applyFill="1" applyBorder="1" applyAlignment="1" applyProtection="1">
      <alignment horizontal="right" vertical="center" wrapText="1"/>
      <protection locked="0"/>
    </xf>
    <xf numFmtId="0" fontId="11" fillId="0" borderId="10" xfId="0" applyFont="1" applyFill="1" applyBorder="1" applyAlignment="1" applyProtection="1">
      <alignment horizontal="right" vertical="center" wrapText="1"/>
      <protection locked="0"/>
    </xf>
    <xf numFmtId="3" fontId="11" fillId="0" borderId="10" xfId="0" applyNumberFormat="1" applyFont="1" applyFill="1" applyBorder="1" applyAlignment="1" applyProtection="1">
      <alignment horizontal="right" vertical="top" wrapText="1"/>
      <protection locked="0"/>
    </xf>
    <xf numFmtId="168" fontId="11" fillId="0" borderId="10" xfId="0" applyNumberFormat="1" applyFont="1" applyFill="1" applyBorder="1" applyAlignment="1" applyProtection="1">
      <alignment horizontal="right" vertical="center" wrapText="1"/>
      <protection locked="0"/>
    </xf>
    <xf numFmtId="0" fontId="11" fillId="0" borderId="14" xfId="0" applyFont="1" applyFill="1" applyBorder="1" applyAlignment="1" applyProtection="1">
      <alignment horizontal="right" vertical="center" wrapText="1"/>
      <protection locked="0"/>
    </xf>
    <xf numFmtId="3" fontId="11" fillId="0" borderId="14" xfId="0" applyNumberFormat="1" applyFont="1" applyFill="1" applyBorder="1" applyAlignment="1" applyProtection="1">
      <alignment horizontal="right" vertical="top" wrapText="1"/>
      <protection locked="0"/>
    </xf>
    <xf numFmtId="168" fontId="11" fillId="0" borderId="14" xfId="0" applyNumberFormat="1" applyFont="1" applyFill="1" applyBorder="1" applyAlignment="1" applyProtection="1">
      <alignment horizontal="right" vertical="center" wrapText="1"/>
      <protection locked="0"/>
    </xf>
    <xf numFmtId="0" fontId="11" fillId="0" borderId="1" xfId="0" applyFont="1" applyFill="1" applyBorder="1" applyAlignment="1" applyProtection="1">
      <alignment vertical="center"/>
      <protection locked="0"/>
    </xf>
    <xf numFmtId="3" fontId="16" fillId="0" borderId="1" xfId="0" applyNumberFormat="1" applyFont="1" applyFill="1" applyBorder="1" applyAlignment="1" applyProtection="1">
      <alignment horizontal="right" vertical="center" wrapText="1"/>
    </xf>
    <xf numFmtId="0" fontId="11" fillId="0" borderId="5" xfId="0" applyFont="1" applyFill="1" applyBorder="1" applyAlignment="1" applyProtection="1">
      <alignment vertical="center"/>
      <protection locked="0"/>
    </xf>
    <xf numFmtId="3" fontId="16" fillId="0" borderId="14" xfId="0" applyNumberFormat="1" applyFont="1" applyFill="1" applyBorder="1" applyAlignment="1" applyProtection="1">
      <alignment horizontal="right" vertical="center" wrapText="1"/>
    </xf>
    <xf numFmtId="3" fontId="16" fillId="0" borderId="16" xfId="0" applyNumberFormat="1" applyFont="1" applyFill="1" applyBorder="1" applyAlignment="1" applyProtection="1">
      <alignment horizontal="right" vertical="center" wrapText="1"/>
    </xf>
    <xf numFmtId="3" fontId="16" fillId="0" borderId="17" xfId="0" applyNumberFormat="1" applyFont="1" applyFill="1" applyBorder="1" applyAlignment="1" applyProtection="1">
      <alignment horizontal="right" vertical="center" wrapText="1"/>
    </xf>
    <xf numFmtId="3" fontId="16" fillId="0" borderId="18" xfId="0" applyNumberFormat="1" applyFont="1" applyFill="1" applyBorder="1" applyAlignment="1" applyProtection="1">
      <alignment horizontal="right" vertical="center" wrapText="1"/>
    </xf>
    <xf numFmtId="0" fontId="14" fillId="0" borderId="13" xfId="0" applyFont="1" applyFill="1" applyBorder="1" applyAlignment="1" applyProtection="1">
      <alignment horizontal="center" vertical="center" wrapText="1"/>
      <protection locked="0"/>
    </xf>
    <xf numFmtId="0" fontId="14" fillId="0" borderId="14" xfId="0" applyFont="1" applyFill="1" applyBorder="1" applyAlignment="1" applyProtection="1">
      <alignment horizontal="center" vertical="center" wrapText="1"/>
      <protection locked="0"/>
    </xf>
    <xf numFmtId="0" fontId="14" fillId="0" borderId="14" xfId="0" applyFont="1" applyFill="1" applyBorder="1" applyAlignment="1" applyProtection="1">
      <alignment horizontal="center" vertical="center" wrapText="1"/>
      <protection locked="0"/>
    </xf>
    <xf numFmtId="168" fontId="11" fillId="0" borderId="8" xfId="0" applyNumberFormat="1" applyFont="1" applyFill="1" applyBorder="1" applyAlignment="1" applyProtection="1">
      <alignment horizontal="right" vertical="center"/>
      <protection locked="0"/>
    </xf>
    <xf numFmtId="168" fontId="11" fillId="0" borderId="11" xfId="0" applyNumberFormat="1" applyFont="1" applyFill="1" applyBorder="1" applyAlignment="1" applyProtection="1">
      <alignment horizontal="right" vertical="center" wrapText="1"/>
      <protection locked="0"/>
    </xf>
    <xf numFmtId="0" fontId="0" fillId="0" borderId="25" xfId="0" applyBorder="1"/>
    <xf numFmtId="3" fontId="17" fillId="0" borderId="3" xfId="0" applyNumberFormat="1" applyFont="1" applyBorder="1" applyAlignment="1">
      <alignment horizontal="right" vertical="center"/>
    </xf>
    <xf numFmtId="3" fontId="17" fillId="0" borderId="30" xfId="0" applyNumberFormat="1" applyFont="1" applyBorder="1" applyAlignment="1">
      <alignment horizontal="right" vertical="center"/>
    </xf>
    <xf numFmtId="0" fontId="14" fillId="0" borderId="25" xfId="0" applyFont="1" applyFill="1" applyBorder="1" applyAlignment="1" applyProtection="1">
      <alignment horizontal="left" vertical="center" wrapText="1"/>
      <protection locked="0"/>
    </xf>
    <xf numFmtId="0" fontId="0" fillId="0" borderId="1" xfId="0" applyBorder="1"/>
    <xf numFmtId="0" fontId="14" fillId="0" borderId="1" xfId="0" applyFont="1" applyFill="1" applyBorder="1" applyAlignment="1" applyProtection="1">
      <alignment vertical="top" wrapText="1"/>
      <protection locked="0"/>
    </xf>
    <xf numFmtId="168" fontId="11" fillId="0" borderId="7" xfId="0" applyNumberFormat="1" applyFont="1" applyFill="1" applyBorder="1" applyAlignment="1" applyProtection="1">
      <alignment horizontal="right" vertical="top" wrapText="1"/>
      <protection locked="0"/>
    </xf>
    <xf numFmtId="14" fontId="11" fillId="0" borderId="7" xfId="0" applyNumberFormat="1" applyFont="1" applyFill="1" applyBorder="1" applyAlignment="1" applyProtection="1">
      <alignment horizontal="center" vertical="center" wrapText="1"/>
      <protection locked="0"/>
    </xf>
    <xf numFmtId="168" fontId="11" fillId="0" borderId="10" xfId="0" applyNumberFormat="1" applyFont="1" applyFill="1" applyBorder="1" applyAlignment="1" applyProtection="1">
      <alignment horizontal="right" vertical="top" wrapText="1"/>
      <protection locked="0"/>
    </xf>
    <xf numFmtId="14" fontId="11" fillId="0" borderId="10" xfId="0" applyNumberFormat="1" applyFont="1" applyFill="1" applyBorder="1" applyAlignment="1" applyProtection="1">
      <alignment horizontal="center" vertical="center" wrapText="1"/>
      <protection locked="0"/>
    </xf>
    <xf numFmtId="0" fontId="11" fillId="0" borderId="35" xfId="0" applyFont="1" applyFill="1" applyBorder="1" applyAlignment="1" applyProtection="1">
      <alignment horizontal="center" vertical="center" wrapText="1"/>
      <protection locked="0"/>
    </xf>
    <xf numFmtId="0" fontId="11" fillId="0" borderId="35" xfId="0" applyFont="1" applyFill="1" applyBorder="1" applyAlignment="1" applyProtection="1">
      <alignment horizontal="right" vertical="center" wrapText="1"/>
      <protection locked="0"/>
    </xf>
    <xf numFmtId="3" fontId="11" fillId="0" borderId="35" xfId="0" applyNumberFormat="1" applyFont="1" applyFill="1" applyBorder="1" applyAlignment="1" applyProtection="1">
      <alignment horizontal="right" vertical="center" wrapText="1"/>
      <protection locked="0"/>
    </xf>
    <xf numFmtId="168" fontId="11" fillId="0" borderId="35" xfId="0" applyNumberFormat="1" applyFont="1" applyFill="1" applyBorder="1" applyAlignment="1" applyProtection="1">
      <alignment horizontal="right" vertical="top" wrapText="1"/>
      <protection locked="0"/>
    </xf>
    <xf numFmtId="14" fontId="11" fillId="0" borderId="35" xfId="0" applyNumberFormat="1" applyFont="1" applyFill="1" applyBorder="1" applyAlignment="1" applyProtection="1">
      <alignment horizontal="center" vertical="center" wrapText="1"/>
      <protection locked="0"/>
    </xf>
    <xf numFmtId="3" fontId="11" fillId="0" borderId="36" xfId="0" applyNumberFormat="1" applyFont="1" applyFill="1" applyBorder="1" applyAlignment="1" applyProtection="1">
      <alignment horizontal="right" vertical="center" wrapText="1"/>
      <protection locked="0"/>
    </xf>
    <xf numFmtId="0" fontId="12" fillId="0" borderId="34" xfId="0" applyFont="1" applyFill="1" applyBorder="1" applyAlignment="1" applyProtection="1">
      <alignment horizontal="left" vertical="top" wrapText="1"/>
      <protection locked="0"/>
    </xf>
    <xf numFmtId="0" fontId="14" fillId="0" borderId="19" xfId="0" applyFont="1" applyFill="1" applyBorder="1" applyAlignment="1" applyProtection="1">
      <alignment vertical="top" wrapText="1"/>
      <protection locked="0"/>
    </xf>
    <xf numFmtId="0" fontId="11" fillId="0" borderId="37" xfId="0" applyFont="1" applyFill="1" applyBorder="1" applyAlignment="1" applyProtection="1">
      <alignment horizontal="center" vertical="center" wrapText="1"/>
      <protection locked="0"/>
    </xf>
    <xf numFmtId="0" fontId="11" fillId="0" borderId="37" xfId="0" applyFont="1" applyFill="1" applyBorder="1" applyAlignment="1" applyProtection="1">
      <alignment horizontal="right" vertical="center" wrapText="1"/>
      <protection locked="0"/>
    </xf>
    <xf numFmtId="3" fontId="11" fillId="0" borderId="37" xfId="0" applyNumberFormat="1" applyFont="1" applyFill="1" applyBorder="1" applyAlignment="1" applyProtection="1">
      <alignment horizontal="right" vertical="center" wrapText="1"/>
      <protection locked="0"/>
    </xf>
    <xf numFmtId="168" fontId="11" fillId="0" borderId="37" xfId="0" applyNumberFormat="1" applyFont="1" applyFill="1" applyBorder="1" applyAlignment="1" applyProtection="1">
      <alignment horizontal="right" vertical="top" wrapText="1"/>
      <protection locked="0"/>
    </xf>
    <xf numFmtId="14" fontId="11" fillId="0" borderId="37" xfId="0" applyNumberFormat="1" applyFont="1" applyFill="1" applyBorder="1" applyAlignment="1" applyProtection="1">
      <alignment horizontal="center" vertical="center" wrapText="1"/>
      <protection locked="0"/>
    </xf>
    <xf numFmtId="3" fontId="11" fillId="0" borderId="38" xfId="0" applyNumberFormat="1" applyFont="1" applyFill="1" applyBorder="1" applyAlignment="1" applyProtection="1">
      <alignment horizontal="right" vertical="center" wrapText="1"/>
      <protection locked="0"/>
    </xf>
    <xf numFmtId="0" fontId="12" fillId="0" borderId="39" xfId="0" applyFont="1" applyFill="1" applyBorder="1" applyAlignment="1" applyProtection="1">
      <alignment horizontal="left" vertical="top" wrapText="1"/>
      <protection locked="0"/>
    </xf>
    <xf numFmtId="0" fontId="11" fillId="0" borderId="40" xfId="0" applyFont="1" applyFill="1" applyBorder="1" applyAlignment="1" applyProtection="1">
      <alignment horizontal="center" vertical="center" wrapText="1"/>
      <protection locked="0"/>
    </xf>
    <xf numFmtId="0" fontId="11" fillId="0" borderId="40" xfId="0" applyFont="1" applyFill="1" applyBorder="1" applyAlignment="1" applyProtection="1">
      <alignment horizontal="right" vertical="center" wrapText="1"/>
      <protection locked="0"/>
    </xf>
    <xf numFmtId="3" fontId="11" fillId="0" borderId="40" xfId="0" applyNumberFormat="1" applyFont="1" applyFill="1" applyBorder="1" applyAlignment="1" applyProtection="1">
      <alignment horizontal="right" vertical="center" wrapText="1"/>
      <protection locked="0"/>
    </xf>
    <xf numFmtId="168" fontId="11" fillId="0" borderId="40" xfId="0" applyNumberFormat="1" applyFont="1" applyFill="1" applyBorder="1" applyAlignment="1" applyProtection="1">
      <alignment horizontal="right" vertical="top" wrapText="1"/>
      <protection locked="0"/>
    </xf>
    <xf numFmtId="14" fontId="11" fillId="0" borderId="40" xfId="0" applyNumberFormat="1" applyFont="1" applyFill="1" applyBorder="1" applyAlignment="1" applyProtection="1">
      <alignment horizontal="center" vertical="center" wrapText="1"/>
      <protection locked="0"/>
    </xf>
    <xf numFmtId="3" fontId="11" fillId="0" borderId="41" xfId="0" applyNumberFormat="1" applyFont="1" applyFill="1" applyBorder="1" applyAlignment="1" applyProtection="1">
      <alignment horizontal="right" vertical="center" wrapText="1"/>
      <protection locked="0"/>
    </xf>
    <xf numFmtId="0" fontId="16" fillId="0" borderId="37" xfId="0" applyFont="1" applyFill="1" applyBorder="1" applyAlignment="1" applyProtection="1">
      <alignment horizontal="center" vertical="center" wrapText="1"/>
      <protection locked="0"/>
    </xf>
    <xf numFmtId="0" fontId="16" fillId="0" borderId="37" xfId="0" applyFont="1" applyFill="1" applyBorder="1" applyAlignment="1" applyProtection="1">
      <alignment horizontal="right" vertical="center" wrapText="1"/>
      <protection locked="0"/>
    </xf>
    <xf numFmtId="3" fontId="16" fillId="0" borderId="37" xfId="0" applyNumberFormat="1" applyFont="1" applyFill="1" applyBorder="1" applyAlignment="1" applyProtection="1">
      <alignment horizontal="right" vertical="center" wrapText="1"/>
      <protection locked="0"/>
    </xf>
    <xf numFmtId="168" fontId="16" fillId="0" borderId="37" xfId="0" applyNumberFormat="1" applyFont="1" applyFill="1" applyBorder="1" applyAlignment="1" applyProtection="1">
      <alignment horizontal="right" vertical="top" wrapText="1"/>
      <protection locked="0"/>
    </xf>
    <xf numFmtId="14" fontId="16" fillId="0" borderId="37" xfId="0" applyNumberFormat="1" applyFont="1" applyFill="1" applyBorder="1" applyAlignment="1" applyProtection="1">
      <alignment horizontal="center" vertical="center" wrapText="1"/>
      <protection locked="0"/>
    </xf>
    <xf numFmtId="3" fontId="16" fillId="0" borderId="38" xfId="0" applyNumberFormat="1" applyFont="1" applyFill="1" applyBorder="1" applyAlignment="1" applyProtection="1">
      <alignment horizontal="right" vertical="center" wrapText="1"/>
      <protection locked="0"/>
    </xf>
    <xf numFmtId="0" fontId="14" fillId="0" borderId="45" xfId="0" applyFont="1" applyFill="1" applyBorder="1" applyAlignment="1" applyProtection="1">
      <alignment horizontal="center" vertical="center" wrapText="1"/>
      <protection locked="0"/>
    </xf>
    <xf numFmtId="0" fontId="14" fillId="0" borderId="44" xfId="0" applyFont="1" applyFill="1" applyBorder="1" applyAlignment="1" applyProtection="1">
      <alignment horizontal="center" vertical="center" wrapText="1"/>
      <protection locked="0"/>
    </xf>
    <xf numFmtId="3" fontId="11" fillId="0" borderId="24" xfId="0" applyNumberFormat="1" applyFont="1" applyFill="1" applyBorder="1" applyAlignment="1" applyProtection="1">
      <alignment horizontal="right" vertical="center" wrapText="1"/>
    </xf>
    <xf numFmtId="0" fontId="0" fillId="0" borderId="0" xfId="0" applyAlignment="1">
      <alignment horizontal="center" vertical="center"/>
    </xf>
    <xf numFmtId="0" fontId="0" fillId="0" borderId="1" xfId="0" applyBorder="1" applyAlignment="1">
      <alignment horizontal="center" vertical="center"/>
    </xf>
    <xf numFmtId="0" fontId="11" fillId="0" borderId="1" xfId="0" applyFont="1" applyFill="1" applyBorder="1" applyAlignment="1" applyProtection="1">
      <alignment horizontal="center" vertical="center"/>
      <protection locked="0"/>
    </xf>
    <xf numFmtId="0" fontId="11" fillId="0" borderId="1" xfId="0" applyFont="1" applyFill="1" applyBorder="1" applyAlignment="1" applyProtection="1">
      <alignment horizontal="right" vertical="top" wrapText="1"/>
      <protection locked="0"/>
    </xf>
    <xf numFmtId="0" fontId="11" fillId="0" borderId="5" xfId="0" applyFont="1" applyFill="1" applyBorder="1" applyAlignment="1" applyProtection="1">
      <alignment horizontal="center" vertical="center"/>
      <protection locked="0"/>
    </xf>
    <xf numFmtId="0" fontId="11" fillId="0" borderId="27" xfId="0" applyFont="1" applyFill="1" applyBorder="1" applyAlignment="1" applyProtection="1">
      <alignment horizontal="center" vertical="center"/>
      <protection locked="0"/>
    </xf>
    <xf numFmtId="3" fontId="11" fillId="0" borderId="1" xfId="0" applyNumberFormat="1" applyFont="1" applyFill="1" applyBorder="1" applyAlignment="1" applyProtection="1">
      <alignment horizontal="right" vertical="top" wrapText="1"/>
      <protection locked="0"/>
    </xf>
    <xf numFmtId="3" fontId="11" fillId="0" borderId="34" xfId="0" applyNumberFormat="1" applyFont="1" applyFill="1" applyBorder="1" applyAlignment="1" applyProtection="1">
      <alignment horizontal="right" vertical="center" wrapText="1"/>
      <protection locked="0"/>
    </xf>
    <xf numFmtId="0" fontId="21" fillId="0" borderId="0" xfId="0" applyFont="1"/>
    <xf numFmtId="0" fontId="22" fillId="0" borderId="25" xfId="0" applyFont="1" applyBorder="1"/>
    <xf numFmtId="3" fontId="0" fillId="0" borderId="0" xfId="0" applyNumberFormat="1"/>
    <xf numFmtId="3" fontId="17" fillId="0" borderId="46" xfId="0" applyNumberFormat="1" applyFont="1" applyBorder="1" applyAlignment="1">
      <alignment horizontal="right" vertical="center"/>
    </xf>
    <xf numFmtId="3" fontId="23" fillId="0" borderId="25" xfId="0" applyNumberFormat="1" applyFont="1" applyBorder="1" applyAlignment="1">
      <alignment horizontal="right" vertical="center"/>
    </xf>
    <xf numFmtId="0" fontId="11" fillId="0" borderId="27" xfId="0" applyFont="1" applyFill="1" applyBorder="1" applyAlignment="1" applyProtection="1">
      <alignment vertical="top"/>
      <protection locked="0"/>
    </xf>
    <xf numFmtId="2" fontId="16" fillId="0" borderId="1" xfId="0" applyNumberFormat="1" applyFont="1" applyFill="1" applyBorder="1" applyAlignment="1" applyProtection="1">
      <alignment horizontal="right" vertical="top" wrapText="1"/>
    </xf>
    <xf numFmtId="2" fontId="15" fillId="0" borderId="0" xfId="0" applyNumberFormat="1" applyFont="1" applyProtection="1"/>
    <xf numFmtId="2" fontId="14" fillId="0" borderId="1" xfId="0" applyNumberFormat="1" applyFont="1" applyFill="1" applyBorder="1" applyAlignment="1" applyProtection="1">
      <alignment vertical="top" wrapText="1"/>
    </xf>
    <xf numFmtId="3" fontId="16" fillId="0" borderId="25" xfId="0" applyNumberFormat="1" applyFont="1" applyFill="1" applyBorder="1" applyAlignment="1" applyProtection="1">
      <alignment horizontal="right" vertical="center" wrapText="1"/>
    </xf>
    <xf numFmtId="2" fontId="14" fillId="0" borderId="1" xfId="0" applyNumberFormat="1" applyFont="1" applyFill="1" applyBorder="1" applyAlignment="1" applyProtection="1">
      <alignment vertical="center" wrapText="1"/>
    </xf>
    <xf numFmtId="3" fontId="16" fillId="0" borderId="37" xfId="0" applyNumberFormat="1" applyFont="1" applyFill="1" applyBorder="1" applyAlignment="1" applyProtection="1">
      <alignment horizontal="right" vertical="center" wrapText="1"/>
    </xf>
    <xf numFmtId="3" fontId="16" fillId="0" borderId="38" xfId="0" applyNumberFormat="1" applyFont="1" applyFill="1" applyBorder="1" applyAlignment="1" applyProtection="1">
      <alignment horizontal="right" vertical="center" wrapText="1"/>
    </xf>
    <xf numFmtId="0" fontId="14" fillId="0" borderId="5" xfId="0" applyFont="1" applyFill="1" applyBorder="1" applyAlignment="1" applyProtection="1">
      <alignment vertical="top" wrapText="1"/>
      <protection locked="0"/>
    </xf>
    <xf numFmtId="3" fontId="11" fillId="0" borderId="11" xfId="0" applyNumberFormat="1" applyFont="1" applyFill="1" applyBorder="1" applyAlignment="1" applyProtection="1">
      <alignment horizontal="right" vertical="center" wrapText="1"/>
    </xf>
    <xf numFmtId="3" fontId="11" fillId="0" borderId="36" xfId="0" applyNumberFormat="1" applyFont="1" applyFill="1" applyBorder="1" applyAlignment="1" applyProtection="1">
      <alignment horizontal="right" vertical="center" wrapText="1"/>
    </xf>
    <xf numFmtId="0" fontId="25" fillId="0" borderId="1" xfId="1" applyFont="1" applyFill="1"/>
    <xf numFmtId="0" fontId="0" fillId="0" borderId="0" xfId="0" applyFont="1"/>
    <xf numFmtId="0" fontId="12" fillId="0" borderId="25" xfId="0" applyFont="1" applyFill="1" applyBorder="1" applyAlignment="1" applyProtection="1">
      <alignment vertical="top" wrapText="1"/>
      <protection locked="0"/>
    </xf>
    <xf numFmtId="0" fontId="19" fillId="0" borderId="1" xfId="1" applyFont="1" applyFill="1"/>
    <xf numFmtId="0" fontId="27" fillId="0" borderId="1" xfId="0" applyFont="1" applyFill="1" applyBorder="1" applyAlignment="1" applyProtection="1">
      <alignment vertical="top"/>
      <protection locked="0"/>
    </xf>
    <xf numFmtId="0" fontId="11" fillId="0" borderId="25" xfId="0" applyFont="1" applyFill="1" applyBorder="1" applyAlignment="1" applyProtection="1">
      <alignment vertical="center"/>
      <protection locked="0"/>
    </xf>
    <xf numFmtId="0" fontId="14" fillId="0" borderId="25" xfId="0" applyFont="1" applyFill="1" applyBorder="1" applyAlignment="1" applyProtection="1">
      <alignment vertical="top" wrapText="1"/>
      <protection locked="0"/>
    </xf>
    <xf numFmtId="4" fontId="11" fillId="0" borderId="7" xfId="0" applyNumberFormat="1" applyFont="1" applyFill="1" applyBorder="1" applyAlignment="1" applyProtection="1">
      <alignment horizontal="center" vertical="center" wrapText="1"/>
      <protection locked="0"/>
    </xf>
    <xf numFmtId="168" fontId="11" fillId="0" borderId="7" xfId="0" applyNumberFormat="1" applyFont="1" applyFill="1" applyBorder="1" applyAlignment="1" applyProtection="1">
      <alignment horizontal="center" vertical="center" wrapText="1"/>
      <protection locked="0"/>
    </xf>
    <xf numFmtId="4" fontId="11" fillId="0" borderId="10" xfId="0" applyNumberFormat="1" applyFont="1" applyFill="1" applyBorder="1" applyAlignment="1" applyProtection="1">
      <alignment horizontal="center" vertical="center" wrapText="1"/>
      <protection locked="0"/>
    </xf>
    <xf numFmtId="168" fontId="11" fillId="0" borderId="10" xfId="0" applyNumberFormat="1" applyFont="1" applyFill="1" applyBorder="1" applyAlignment="1" applyProtection="1">
      <alignment horizontal="center" vertical="center" wrapText="1"/>
      <protection locked="0"/>
    </xf>
    <xf numFmtId="0" fontId="12" fillId="0" borderId="37" xfId="0" applyFont="1" applyFill="1" applyBorder="1" applyAlignment="1" applyProtection="1">
      <alignment horizontal="center" vertical="center" wrapText="1"/>
      <protection locked="0"/>
    </xf>
    <xf numFmtId="0" fontId="12" fillId="0" borderId="38" xfId="0" applyFont="1" applyFill="1" applyBorder="1" applyAlignment="1" applyProtection="1">
      <alignment horizontal="center" vertical="center" wrapText="1"/>
      <protection locked="0"/>
    </xf>
    <xf numFmtId="0" fontId="11" fillId="0" borderId="35" xfId="0" applyNumberFormat="1" applyFont="1" applyFill="1" applyBorder="1" applyAlignment="1" applyProtection="1">
      <alignment horizontal="right" vertical="center" wrapText="1"/>
      <protection locked="0"/>
    </xf>
    <xf numFmtId="4" fontId="11" fillId="0" borderId="35" xfId="0" applyNumberFormat="1" applyFont="1" applyFill="1" applyBorder="1" applyAlignment="1" applyProtection="1">
      <alignment horizontal="center" vertical="center" wrapText="1"/>
      <protection locked="0"/>
    </xf>
    <xf numFmtId="168" fontId="11" fillId="0" borderId="35" xfId="0" applyNumberFormat="1" applyFont="1" applyFill="1" applyBorder="1" applyAlignment="1" applyProtection="1">
      <alignment horizontal="center" vertical="center" wrapText="1"/>
      <protection locked="0"/>
    </xf>
    <xf numFmtId="0" fontId="16" fillId="0" borderId="37" xfId="0" applyNumberFormat="1" applyFont="1" applyFill="1" applyBorder="1" applyAlignment="1" applyProtection="1">
      <alignment horizontal="right" vertical="center" wrapText="1"/>
      <protection locked="0"/>
    </xf>
    <xf numFmtId="4" fontId="16" fillId="0" borderId="37" xfId="0" applyNumberFormat="1" applyFont="1" applyFill="1" applyBorder="1" applyAlignment="1" applyProtection="1">
      <alignment horizontal="center" vertical="center" wrapText="1"/>
      <protection locked="0"/>
    </xf>
    <xf numFmtId="0" fontId="19" fillId="0" borderId="1" xfId="1" applyFont="1"/>
    <xf numFmtId="168" fontId="16" fillId="0" borderId="37" xfId="0" applyNumberFormat="1" applyFont="1" applyFill="1" applyBorder="1" applyAlignment="1" applyProtection="1">
      <alignment horizontal="center" vertical="center" wrapText="1"/>
    </xf>
    <xf numFmtId="4" fontId="16" fillId="0" borderId="37" xfId="0" applyNumberFormat="1" applyFont="1" applyFill="1" applyBorder="1" applyAlignment="1" applyProtection="1">
      <alignment horizontal="center" vertical="center" wrapText="1"/>
    </xf>
    <xf numFmtId="0" fontId="20" fillId="0" borderId="5" xfId="0" applyFont="1" applyFill="1" applyBorder="1" applyAlignment="1" applyProtection="1">
      <alignment vertical="top" wrapText="1"/>
      <protection locked="0"/>
    </xf>
    <xf numFmtId="0" fontId="20" fillId="0" borderId="1" xfId="0" applyFont="1" applyFill="1" applyBorder="1" applyAlignment="1" applyProtection="1">
      <alignment vertical="center" wrapText="1"/>
      <protection locked="0"/>
    </xf>
    <xf numFmtId="0" fontId="20" fillId="0" borderId="1" xfId="0" applyFont="1" applyFill="1" applyBorder="1" applyAlignment="1" applyProtection="1">
      <alignment horizontal="left" vertical="center" wrapText="1"/>
      <protection locked="0"/>
    </xf>
    <xf numFmtId="0" fontId="14" fillId="0" borderId="25" xfId="0" applyFont="1" applyFill="1" applyBorder="1" applyAlignment="1" applyProtection="1">
      <alignment horizontal="left" vertical="center" wrapText="1"/>
    </xf>
    <xf numFmtId="3" fontId="11" fillId="0" borderId="8" xfId="0" applyNumberFormat="1" applyFont="1" applyFill="1" applyBorder="1" applyAlignment="1" applyProtection="1">
      <alignment horizontal="right" vertical="center"/>
    </xf>
    <xf numFmtId="3" fontId="11" fillId="0" borderId="9" xfId="0" applyNumberFormat="1" applyFont="1" applyFill="1" applyBorder="1" applyAlignment="1" applyProtection="1">
      <alignment horizontal="right" vertical="center"/>
      <protection locked="0"/>
    </xf>
    <xf numFmtId="3" fontId="11" fillId="0" borderId="10" xfId="0" applyNumberFormat="1" applyFont="1" applyFill="1" applyBorder="1" applyAlignment="1" applyProtection="1">
      <alignment horizontal="right" vertical="center"/>
      <protection locked="0"/>
    </xf>
    <xf numFmtId="3" fontId="11" fillId="0" borderId="11" xfId="0" applyNumberFormat="1" applyFont="1" applyFill="1" applyBorder="1" applyAlignment="1" applyProtection="1">
      <alignment horizontal="right" vertical="center"/>
      <protection locked="0"/>
    </xf>
    <xf numFmtId="49" fontId="26" fillId="2" borderId="0" xfId="0" applyNumberFormat="1" applyFont="1" applyFill="1" applyAlignment="1"/>
    <xf numFmtId="4" fontId="28" fillId="2" borderId="52" xfId="0" applyNumberFormat="1" applyFont="1" applyFill="1" applyBorder="1" applyAlignment="1">
      <alignment horizontal="center"/>
    </xf>
    <xf numFmtId="169" fontId="28" fillId="2" borderId="52" xfId="0" applyNumberFormat="1" applyFont="1" applyFill="1" applyBorder="1" applyAlignment="1">
      <alignment horizontal="center"/>
    </xf>
    <xf numFmtId="0" fontId="14" fillId="0" borderId="1" xfId="0" applyFont="1" applyFill="1" applyBorder="1" applyAlignment="1" applyProtection="1">
      <alignment vertical="top" wrapText="1"/>
    </xf>
    <xf numFmtId="0" fontId="11" fillId="0" borderId="27" xfId="0" applyFont="1" applyFill="1" applyBorder="1" applyAlignment="1" applyProtection="1">
      <alignment vertical="center"/>
      <protection locked="0"/>
    </xf>
    <xf numFmtId="0" fontId="14" fillId="0" borderId="25" xfId="0" applyFont="1" applyFill="1" applyBorder="1" applyAlignment="1" applyProtection="1">
      <alignment vertical="top" wrapText="1"/>
    </xf>
    <xf numFmtId="168" fontId="11" fillId="0" borderId="35" xfId="0" applyNumberFormat="1" applyFont="1" applyFill="1" applyBorder="1" applyAlignment="1" applyProtection="1">
      <alignment horizontal="right" vertical="center" wrapText="1"/>
      <protection locked="0"/>
    </xf>
    <xf numFmtId="0" fontId="11" fillId="0" borderId="35" xfId="0" applyNumberFormat="1" applyFont="1" applyFill="1" applyBorder="1" applyAlignment="1" applyProtection="1">
      <alignment horizontal="center" vertical="center" wrapText="1"/>
      <protection locked="0"/>
    </xf>
    <xf numFmtId="168" fontId="16" fillId="0" borderId="37" xfId="0" applyNumberFormat="1" applyFont="1" applyFill="1" applyBorder="1" applyAlignment="1" applyProtection="1">
      <alignment horizontal="right" vertical="center" wrapText="1"/>
    </xf>
    <xf numFmtId="0" fontId="16" fillId="0" borderId="37" xfId="0" applyNumberFormat="1" applyFont="1" applyFill="1" applyBorder="1" applyAlignment="1" applyProtection="1">
      <alignment horizontal="center" vertical="center" wrapText="1"/>
    </xf>
    <xf numFmtId="0" fontId="30" fillId="0" borderId="0" xfId="0" applyFont="1"/>
    <xf numFmtId="0" fontId="0" fillId="0" borderId="0" xfId="0" applyFill="1"/>
    <xf numFmtId="0" fontId="10" fillId="0" borderId="1" xfId="0" applyFont="1" applyFill="1" applyBorder="1" applyAlignment="1" applyProtection="1">
      <alignment horizontal="left" vertical="top"/>
      <protection locked="0"/>
    </xf>
    <xf numFmtId="0" fontId="14" fillId="0" borderId="37" xfId="0" applyFont="1" applyFill="1" applyBorder="1" applyAlignment="1" applyProtection="1">
      <alignment horizontal="center" vertical="center" wrapText="1"/>
      <protection locked="0"/>
    </xf>
    <xf numFmtId="0" fontId="14" fillId="0" borderId="38" xfId="0" applyFont="1" applyFill="1" applyBorder="1" applyAlignment="1" applyProtection="1">
      <alignment horizontal="center" vertical="center" wrapText="1"/>
      <protection locked="0"/>
    </xf>
    <xf numFmtId="0" fontId="12" fillId="0" borderId="19" xfId="0" applyFont="1" applyFill="1" applyBorder="1" applyAlignment="1" applyProtection="1">
      <alignment vertical="top" wrapText="1"/>
      <protection locked="0"/>
    </xf>
    <xf numFmtId="0" fontId="11" fillId="0" borderId="37" xfId="0" applyNumberFormat="1" applyFont="1" applyFill="1" applyBorder="1" applyAlignment="1" applyProtection="1">
      <alignment horizontal="center" vertical="center" wrapText="1"/>
      <protection locked="0"/>
    </xf>
    <xf numFmtId="0" fontId="30" fillId="2" borderId="0" xfId="0" applyFont="1" applyFill="1"/>
    <xf numFmtId="0" fontId="30" fillId="0" borderId="0" xfId="0" applyFont="1" applyFill="1"/>
    <xf numFmtId="0" fontId="31" fillId="0" borderId="0" xfId="0" applyFont="1" applyFill="1" applyAlignment="1"/>
    <xf numFmtId="3" fontId="11" fillId="0" borderId="39" xfId="0" applyNumberFormat="1" applyFont="1" applyFill="1" applyBorder="1" applyAlignment="1" applyProtection="1">
      <alignment horizontal="right" vertical="center" wrapText="1"/>
      <protection locked="0"/>
    </xf>
    <xf numFmtId="3" fontId="11" fillId="0" borderId="41" xfId="0" applyNumberFormat="1" applyFont="1" applyFill="1" applyBorder="1" applyAlignment="1" applyProtection="1">
      <alignment horizontal="right" vertical="center" wrapText="1"/>
    </xf>
    <xf numFmtId="16" fontId="12" fillId="0" borderId="1" xfId="0" applyNumberFormat="1" applyFont="1" applyFill="1" applyBorder="1" applyAlignment="1" applyProtection="1">
      <alignment horizontal="left" vertical="center" wrapText="1"/>
      <protection locked="0"/>
    </xf>
    <xf numFmtId="0" fontId="32" fillId="0" borderId="0" xfId="0" applyFont="1" applyFill="1"/>
    <xf numFmtId="0" fontId="31" fillId="0" borderId="0" xfId="0" applyFont="1" applyFill="1" applyAlignment="1">
      <alignment horizontal="left"/>
    </xf>
    <xf numFmtId="3" fontId="12" fillId="0" borderId="1" xfId="0" applyNumberFormat="1" applyFont="1" applyFill="1" applyBorder="1" applyAlignment="1" applyProtection="1">
      <alignment vertical="top" wrapText="1"/>
      <protection locked="0"/>
    </xf>
    <xf numFmtId="3" fontId="12" fillId="0" borderId="25" xfId="0" applyNumberFormat="1" applyFont="1" applyFill="1" applyBorder="1" applyAlignment="1" applyProtection="1">
      <alignment horizontal="left" vertical="center" wrapText="1"/>
      <protection locked="0"/>
    </xf>
    <xf numFmtId="49" fontId="32" fillId="0" borderId="0" xfId="0" applyNumberFormat="1" applyFont="1" applyAlignment="1">
      <alignment horizontal="left" vertical="center"/>
    </xf>
    <xf numFmtId="0" fontId="18" fillId="0" borderId="1" xfId="2"/>
    <xf numFmtId="0" fontId="11" fillId="0" borderId="1" xfId="2" applyFont="1" applyFill="1" applyBorder="1" applyAlignment="1" applyProtection="1">
      <alignment vertical="top"/>
      <protection locked="0"/>
    </xf>
    <xf numFmtId="0" fontId="18" fillId="0" borderId="1" xfId="2" applyAlignment="1">
      <alignment vertical="center"/>
    </xf>
    <xf numFmtId="0" fontId="11" fillId="0" borderId="25" xfId="2" applyFont="1" applyFill="1" applyBorder="1" applyAlignment="1" applyProtection="1">
      <alignment vertical="center"/>
      <protection locked="0"/>
    </xf>
    <xf numFmtId="0" fontId="14" fillId="0" borderId="25" xfId="2" applyFont="1" applyFill="1" applyBorder="1" applyAlignment="1" applyProtection="1">
      <alignment horizontal="center" vertical="center" wrapText="1"/>
      <protection locked="0"/>
    </xf>
    <xf numFmtId="0" fontId="14" fillId="0" borderId="25" xfId="2" applyFont="1" applyFill="1" applyBorder="1" applyAlignment="1" applyProtection="1">
      <alignment horizontal="left" vertical="center" wrapText="1"/>
      <protection locked="0"/>
    </xf>
    <xf numFmtId="3" fontId="14" fillId="0" borderId="6" xfId="2" applyNumberFormat="1" applyFont="1" applyFill="1" applyBorder="1" applyAlignment="1" applyProtection="1">
      <alignment horizontal="center" vertical="center" wrapText="1"/>
      <protection locked="0"/>
    </xf>
    <xf numFmtId="3" fontId="14" fillId="0" borderId="7" xfId="2" applyNumberFormat="1" applyFont="1" applyFill="1" applyBorder="1" applyAlignment="1" applyProtection="1">
      <alignment horizontal="center" vertical="center" wrapText="1"/>
      <protection locked="0"/>
    </xf>
    <xf numFmtId="3" fontId="14" fillId="0" borderId="8" xfId="2" applyNumberFormat="1" applyFont="1" applyFill="1" applyBorder="1" applyAlignment="1" applyProtection="1">
      <alignment horizontal="center" vertical="center" wrapText="1"/>
      <protection locked="0"/>
    </xf>
    <xf numFmtId="3" fontId="14" fillId="0" borderId="9" xfId="2" applyNumberFormat="1" applyFont="1" applyFill="1" applyBorder="1" applyAlignment="1" applyProtection="1">
      <alignment horizontal="center" vertical="center" wrapText="1"/>
      <protection locked="0"/>
    </xf>
    <xf numFmtId="3" fontId="14" fillId="0" borderId="10" xfId="2" applyNumberFormat="1" applyFont="1" applyFill="1" applyBorder="1" applyAlignment="1" applyProtection="1">
      <alignment horizontal="center" vertical="center" wrapText="1"/>
      <protection locked="0"/>
    </xf>
    <xf numFmtId="3" fontId="14" fillId="0" borderId="11" xfId="2" applyNumberFormat="1" applyFont="1" applyFill="1" applyBorder="1" applyAlignment="1" applyProtection="1">
      <alignment horizontal="center" vertical="center" wrapText="1"/>
      <protection locked="0"/>
    </xf>
    <xf numFmtId="0" fontId="11" fillId="0" borderId="47" xfId="2" applyFont="1" applyFill="1" applyBorder="1" applyAlignment="1" applyProtection="1">
      <alignment vertical="center"/>
      <protection locked="0"/>
    </xf>
    <xf numFmtId="0" fontId="11" fillId="0" borderId="3" xfId="2" applyFont="1" applyFill="1" applyBorder="1" applyAlignment="1" applyProtection="1">
      <alignment vertical="center"/>
      <protection locked="0"/>
    </xf>
    <xf numFmtId="0" fontId="11" fillId="0" borderId="30" xfId="2" applyFont="1" applyFill="1" applyBorder="1" applyAlignment="1" applyProtection="1">
      <alignment vertical="center"/>
      <protection locked="0"/>
    </xf>
    <xf numFmtId="3" fontId="14" fillId="0" borderId="34" xfId="2" applyNumberFormat="1" applyFont="1" applyFill="1" applyBorder="1" applyAlignment="1" applyProtection="1">
      <alignment horizontal="center" vertical="center" wrapText="1"/>
      <protection locked="0"/>
    </xf>
    <xf numFmtId="3" fontId="14" fillId="0" borderId="35" xfId="2" applyNumberFormat="1" applyFont="1" applyFill="1" applyBorder="1" applyAlignment="1" applyProtection="1">
      <alignment horizontal="center" vertical="center" wrapText="1"/>
      <protection locked="0"/>
    </xf>
    <xf numFmtId="3" fontId="14" fillId="0" borderId="36" xfId="2" applyNumberFormat="1" applyFont="1" applyFill="1" applyBorder="1" applyAlignment="1" applyProtection="1">
      <alignment horizontal="center" vertical="center" wrapText="1"/>
      <protection locked="0"/>
    </xf>
    <xf numFmtId="3" fontId="16" fillId="0" borderId="19" xfId="2" applyNumberFormat="1" applyFont="1" applyFill="1" applyBorder="1" applyAlignment="1" applyProtection="1">
      <alignment horizontal="right" vertical="center" wrapText="1"/>
    </xf>
    <xf numFmtId="0" fontId="33" fillId="0" borderId="0" xfId="0" applyFont="1" applyFill="1" applyAlignment="1"/>
    <xf numFmtId="0" fontId="16" fillId="0" borderId="27" xfId="0" applyFont="1" applyFill="1" applyBorder="1" applyAlignment="1" applyProtection="1">
      <alignment vertical="top"/>
      <protection locked="0"/>
    </xf>
    <xf numFmtId="3" fontId="16" fillId="0" borderId="1" xfId="0" applyNumberFormat="1" applyFont="1" applyFill="1" applyBorder="1" applyAlignment="1" applyProtection="1">
      <alignment horizontal="right" vertical="top" wrapText="1"/>
    </xf>
    <xf numFmtId="3" fontId="11" fillId="0" borderId="6" xfId="0" applyNumberFormat="1" applyFont="1" applyFill="1" applyBorder="1" applyAlignment="1" applyProtection="1">
      <alignment horizontal="right" vertical="top" wrapText="1"/>
      <protection locked="0"/>
    </xf>
    <xf numFmtId="3" fontId="16" fillId="0" borderId="8" xfId="0" applyNumberFormat="1" applyFont="1" applyFill="1" applyBorder="1" applyAlignment="1" applyProtection="1">
      <alignment horizontal="right" vertical="top" wrapText="1"/>
    </xf>
    <xf numFmtId="3" fontId="11" fillId="0" borderId="9" xfId="0" applyNumberFormat="1" applyFont="1" applyFill="1" applyBorder="1" applyAlignment="1" applyProtection="1">
      <alignment horizontal="right" vertical="top" wrapText="1"/>
      <protection locked="0"/>
    </xf>
    <xf numFmtId="3" fontId="16" fillId="0" borderId="11" xfId="0" applyNumberFormat="1" applyFont="1" applyFill="1" applyBorder="1" applyAlignment="1" applyProtection="1">
      <alignment horizontal="right" vertical="top" wrapText="1"/>
    </xf>
    <xf numFmtId="3" fontId="11" fillId="0" borderId="34" xfId="0" applyNumberFormat="1" applyFont="1" applyFill="1" applyBorder="1" applyAlignment="1" applyProtection="1">
      <alignment horizontal="right" vertical="top" wrapText="1"/>
      <protection locked="0"/>
    </xf>
    <xf numFmtId="3" fontId="11" fillId="0" borderId="35" xfId="0" applyNumberFormat="1" applyFont="1" applyFill="1" applyBorder="1" applyAlignment="1" applyProtection="1">
      <alignment horizontal="right" vertical="top" wrapText="1"/>
      <protection locked="0"/>
    </xf>
    <xf numFmtId="3" fontId="16" fillId="0" borderId="36" xfId="0" applyNumberFormat="1" applyFont="1" applyFill="1" applyBorder="1" applyAlignment="1" applyProtection="1">
      <alignment horizontal="right" vertical="top" wrapText="1"/>
    </xf>
    <xf numFmtId="3" fontId="11" fillId="0" borderId="39" xfId="0" applyNumberFormat="1" applyFont="1" applyFill="1" applyBorder="1" applyAlignment="1" applyProtection="1">
      <alignment horizontal="right" vertical="top" wrapText="1"/>
      <protection locked="0"/>
    </xf>
    <xf numFmtId="3" fontId="11" fillId="0" borderId="40" xfId="0" applyNumberFormat="1" applyFont="1" applyFill="1" applyBorder="1" applyAlignment="1" applyProtection="1">
      <alignment horizontal="right" vertical="top" wrapText="1"/>
      <protection locked="0"/>
    </xf>
    <xf numFmtId="3" fontId="16" fillId="0" borderId="41" xfId="0" applyNumberFormat="1" applyFont="1" applyFill="1" applyBorder="1" applyAlignment="1" applyProtection="1">
      <alignment horizontal="right" vertical="top" wrapText="1"/>
    </xf>
    <xf numFmtId="3" fontId="16" fillId="0" borderId="19" xfId="0" applyNumberFormat="1" applyFont="1" applyFill="1" applyBorder="1" applyAlignment="1" applyProtection="1">
      <alignment horizontal="right" vertical="top" wrapText="1"/>
    </xf>
    <xf numFmtId="3" fontId="16" fillId="0" borderId="37" xfId="0" applyNumberFormat="1" applyFont="1" applyFill="1" applyBorder="1" applyAlignment="1" applyProtection="1">
      <alignment horizontal="right" vertical="top" wrapText="1"/>
    </xf>
    <xf numFmtId="3" fontId="16" fillId="0" borderId="38" xfId="0" applyNumberFormat="1" applyFont="1" applyFill="1" applyBorder="1" applyAlignment="1" applyProtection="1">
      <alignment horizontal="right" vertical="top" wrapText="1"/>
    </xf>
    <xf numFmtId="0" fontId="33" fillId="0" borderId="0" xfId="0" applyFont="1" applyFill="1"/>
    <xf numFmtId="2" fontId="14" fillId="0" borderId="25" xfId="0" applyNumberFormat="1" applyFont="1" applyFill="1" applyBorder="1" applyAlignment="1" applyProtection="1">
      <alignment vertical="top" wrapText="1"/>
    </xf>
    <xf numFmtId="3" fontId="16" fillId="0" borderId="6" xfId="0" applyNumberFormat="1" applyFont="1" applyFill="1" applyBorder="1" applyAlignment="1" applyProtection="1">
      <alignment horizontal="right" vertical="center"/>
    </xf>
    <xf numFmtId="3" fontId="16" fillId="0" borderId="7" xfId="0" applyNumberFormat="1" applyFont="1" applyFill="1" applyBorder="1" applyAlignment="1" applyProtection="1">
      <alignment horizontal="right" vertical="center"/>
    </xf>
    <xf numFmtId="3" fontId="16" fillId="0" borderId="8" xfId="0" applyNumberFormat="1" applyFont="1" applyFill="1" applyBorder="1" applyAlignment="1" applyProtection="1">
      <alignment horizontal="right" vertical="center"/>
    </xf>
    <xf numFmtId="3" fontId="16" fillId="0" borderId="9" xfId="0" applyNumberFormat="1" applyFont="1" applyFill="1" applyBorder="1" applyAlignment="1" applyProtection="1">
      <alignment horizontal="right" vertical="center"/>
    </xf>
    <xf numFmtId="3" fontId="16" fillId="0" borderId="10" xfId="0" applyNumberFormat="1" applyFont="1" applyFill="1" applyBorder="1" applyAlignment="1" applyProtection="1">
      <alignment horizontal="right" vertical="center"/>
    </xf>
    <xf numFmtId="3" fontId="16" fillId="0" borderId="11" xfId="0" applyNumberFormat="1" applyFont="1" applyFill="1" applyBorder="1" applyAlignment="1" applyProtection="1">
      <alignment horizontal="right" vertical="center"/>
    </xf>
    <xf numFmtId="3" fontId="11" fillId="0" borderId="3" xfId="0" applyNumberFormat="1" applyFont="1" applyFill="1" applyBorder="1" applyAlignment="1" applyProtection="1">
      <alignment horizontal="right" vertical="center" wrapText="1"/>
      <protection locked="0"/>
    </xf>
    <xf numFmtId="3" fontId="11" fillId="0" borderId="46" xfId="0" applyNumberFormat="1" applyFont="1" applyFill="1" applyBorder="1" applyAlignment="1" applyProtection="1">
      <alignment horizontal="right" vertical="center" wrapText="1"/>
      <protection locked="0"/>
    </xf>
    <xf numFmtId="3" fontId="11" fillId="0" borderId="19" xfId="0" applyNumberFormat="1" applyFont="1" applyFill="1" applyBorder="1" applyAlignment="1" applyProtection="1">
      <alignment horizontal="right" vertical="center"/>
      <protection locked="0"/>
    </xf>
    <xf numFmtId="3" fontId="11" fillId="0" borderId="37" xfId="0" applyNumberFormat="1" applyFont="1" applyFill="1" applyBorder="1" applyAlignment="1" applyProtection="1">
      <alignment horizontal="right" vertical="center"/>
      <protection locked="0"/>
    </xf>
    <xf numFmtId="3" fontId="11" fillId="0" borderId="39" xfId="0" applyNumberFormat="1" applyFont="1" applyFill="1" applyBorder="1" applyAlignment="1" applyProtection="1">
      <alignment horizontal="right" vertical="center"/>
      <protection locked="0"/>
    </xf>
    <xf numFmtId="3" fontId="11" fillId="0" borderId="40" xfId="0" applyNumberFormat="1" applyFont="1" applyFill="1" applyBorder="1" applyAlignment="1" applyProtection="1">
      <alignment horizontal="right" vertical="center"/>
      <protection locked="0"/>
    </xf>
    <xf numFmtId="3" fontId="11" fillId="0" borderId="41" xfId="0" applyNumberFormat="1" applyFont="1" applyFill="1" applyBorder="1" applyAlignment="1" applyProtection="1">
      <alignment horizontal="right" vertical="center"/>
    </xf>
    <xf numFmtId="0" fontId="25" fillId="0" borderId="0" xfId="0" applyFont="1" applyFill="1"/>
    <xf numFmtId="0" fontId="11" fillId="0" borderId="25" xfId="0" applyFont="1" applyFill="1" applyBorder="1" applyAlignment="1" applyProtection="1">
      <alignment vertical="top"/>
      <protection locked="0"/>
    </xf>
    <xf numFmtId="0" fontId="0" fillId="0" borderId="1" xfId="0" applyFill="1" applyBorder="1"/>
    <xf numFmtId="0" fontId="0" fillId="0" borderId="1" xfId="0" applyFill="1" applyBorder="1" applyAlignment="1"/>
    <xf numFmtId="0" fontId="11" fillId="0" borderId="6" xfId="0" applyNumberFormat="1" applyFont="1" applyFill="1" applyBorder="1" applyAlignment="1" applyProtection="1">
      <alignment horizontal="center" vertical="top"/>
      <protection locked="0"/>
    </xf>
    <xf numFmtId="0" fontId="11" fillId="0" borderId="7" xfId="0" applyNumberFormat="1" applyFont="1" applyFill="1" applyBorder="1" applyAlignment="1" applyProtection="1">
      <alignment horizontal="center" vertical="top"/>
      <protection locked="0"/>
    </xf>
    <xf numFmtId="0" fontId="11" fillId="0" borderId="8" xfId="0" applyNumberFormat="1" applyFont="1" applyFill="1" applyBorder="1" applyAlignment="1" applyProtection="1">
      <alignment horizontal="center" vertical="top"/>
      <protection locked="0"/>
    </xf>
    <xf numFmtId="0" fontId="11" fillId="0" borderId="9" xfId="0" applyNumberFormat="1" applyFont="1" applyFill="1" applyBorder="1" applyAlignment="1" applyProtection="1">
      <alignment horizontal="center" vertical="top" wrapText="1"/>
      <protection locked="0"/>
    </xf>
    <xf numFmtId="0" fontId="11" fillId="0" borderId="10" xfId="0" applyNumberFormat="1" applyFont="1" applyFill="1" applyBorder="1" applyAlignment="1" applyProtection="1">
      <alignment horizontal="center" vertical="top" wrapText="1"/>
      <protection locked="0"/>
    </xf>
    <xf numFmtId="0" fontId="11" fillId="0" borderId="11" xfId="0" applyNumberFormat="1" applyFont="1" applyFill="1" applyBorder="1" applyAlignment="1" applyProtection="1">
      <alignment horizontal="center" vertical="top" wrapText="1"/>
      <protection locked="0"/>
    </xf>
    <xf numFmtId="0" fontId="11" fillId="0" borderId="9" xfId="0" applyNumberFormat="1" applyFont="1" applyFill="1" applyBorder="1" applyAlignment="1" applyProtection="1">
      <alignment horizontal="center" vertical="top"/>
      <protection locked="0"/>
    </xf>
    <xf numFmtId="0" fontId="11" fillId="0" borderId="10" xfId="0" applyNumberFormat="1" applyFont="1" applyFill="1" applyBorder="1" applyAlignment="1" applyProtection="1">
      <alignment horizontal="center" vertical="top"/>
      <protection locked="0"/>
    </xf>
    <xf numFmtId="0" fontId="11" fillId="0" borderId="11" xfId="0" applyNumberFormat="1" applyFont="1" applyFill="1" applyBorder="1" applyAlignment="1" applyProtection="1">
      <alignment horizontal="center" vertical="top"/>
      <protection locked="0"/>
    </xf>
    <xf numFmtId="14" fontId="11" fillId="0" borderId="9" xfId="0" applyNumberFormat="1" applyFont="1" applyFill="1" applyBorder="1" applyAlignment="1" applyProtection="1">
      <alignment horizontal="center" vertical="top" wrapText="1"/>
      <protection locked="0"/>
    </xf>
    <xf numFmtId="14" fontId="11" fillId="0" borderId="10" xfId="0" applyNumberFormat="1" applyFont="1" applyFill="1" applyBorder="1" applyAlignment="1" applyProtection="1">
      <alignment horizontal="center" vertical="top" wrapText="1"/>
      <protection locked="0"/>
    </xf>
    <xf numFmtId="14" fontId="11" fillId="0" borderId="11" xfId="0" applyNumberFormat="1" applyFont="1" applyFill="1" applyBorder="1" applyAlignment="1" applyProtection="1">
      <alignment horizontal="center" vertical="top" wrapText="1"/>
      <protection locked="0"/>
    </xf>
    <xf numFmtId="0" fontId="14" fillId="0" borderId="25" xfId="0" applyFont="1" applyFill="1" applyBorder="1" applyAlignment="1" applyProtection="1">
      <alignment horizontal="left" vertical="top" wrapText="1"/>
    </xf>
    <xf numFmtId="3" fontId="11" fillId="0" borderId="3" xfId="0" applyNumberFormat="1" applyFont="1" applyFill="1" applyBorder="1" applyAlignment="1" applyProtection="1">
      <alignment horizontal="right" vertical="center" wrapText="1"/>
    </xf>
    <xf numFmtId="3" fontId="11" fillId="0" borderId="46" xfId="0" applyNumberFormat="1" applyFont="1" applyFill="1" applyBorder="1" applyAlignment="1" applyProtection="1">
      <alignment horizontal="right" vertical="center" wrapText="1"/>
    </xf>
    <xf numFmtId="0" fontId="33" fillId="2" borderId="0" xfId="0" applyFont="1" applyFill="1" applyAlignment="1"/>
    <xf numFmtId="14" fontId="11" fillId="0" borderId="34" xfId="0" applyNumberFormat="1" applyFont="1" applyFill="1" applyBorder="1" applyAlignment="1" applyProtection="1">
      <alignment horizontal="center" vertical="top" wrapText="1"/>
      <protection locked="0"/>
    </xf>
    <xf numFmtId="14" fontId="11" fillId="0" borderId="35" xfId="0" applyNumberFormat="1" applyFont="1" applyFill="1" applyBorder="1" applyAlignment="1" applyProtection="1">
      <alignment horizontal="center" vertical="top" wrapText="1"/>
      <protection locked="0"/>
    </xf>
    <xf numFmtId="14" fontId="11" fillId="0" borderId="36" xfId="0" applyNumberFormat="1" applyFont="1" applyFill="1" applyBorder="1" applyAlignment="1" applyProtection="1">
      <alignment horizontal="center" vertical="top" wrapText="1"/>
      <protection locked="0"/>
    </xf>
    <xf numFmtId="0" fontId="12" fillId="0" borderId="1" xfId="0" applyFont="1" applyFill="1" applyBorder="1" applyAlignment="1" applyProtection="1">
      <alignment horizontal="left" vertical="center" wrapText="1"/>
      <protection locked="0"/>
    </xf>
    <xf numFmtId="0" fontId="14" fillId="0" borderId="1" xfId="0" applyFont="1" applyFill="1" applyBorder="1" applyAlignment="1" applyProtection="1">
      <alignment horizontal="left" vertical="center" wrapText="1"/>
      <protection locked="0"/>
    </xf>
    <xf numFmtId="0" fontId="12" fillId="0" borderId="1" xfId="0" applyFont="1" applyFill="1" applyBorder="1" applyAlignment="1" applyProtection="1">
      <alignment horizontal="left" vertical="top" wrapText="1"/>
      <protection locked="0"/>
    </xf>
    <xf numFmtId="0" fontId="14" fillId="0" borderId="1" xfId="0" applyFont="1" applyFill="1" applyBorder="1" applyAlignment="1" applyProtection="1">
      <alignment horizontal="left" vertical="top" wrapText="1"/>
      <protection locked="0"/>
    </xf>
    <xf numFmtId="0" fontId="14" fillId="0" borderId="1" xfId="0" applyFont="1" applyFill="1" applyBorder="1" applyAlignment="1" applyProtection="1">
      <alignment horizontal="center" vertical="center" wrapText="1"/>
      <protection locked="0"/>
    </xf>
    <xf numFmtId="0" fontId="12" fillId="0" borderId="9" xfId="0" applyFont="1" applyFill="1" applyBorder="1" applyAlignment="1" applyProtection="1">
      <alignment horizontal="left" vertical="top" wrapText="1"/>
      <protection locked="0"/>
    </xf>
    <xf numFmtId="0" fontId="14" fillId="0" borderId="25" xfId="0" applyFont="1" applyFill="1" applyBorder="1" applyAlignment="1" applyProtection="1">
      <alignment horizontal="left" vertical="center" wrapText="1"/>
      <protection locked="0"/>
    </xf>
    <xf numFmtId="0" fontId="14" fillId="0" borderId="29" xfId="0" applyFont="1" applyFill="1" applyBorder="1" applyAlignment="1" applyProtection="1">
      <alignment horizontal="center" vertical="center" wrapText="1"/>
      <protection locked="0"/>
    </xf>
    <xf numFmtId="3" fontId="17" fillId="0" borderId="3" xfId="0" applyNumberFormat="1" applyFont="1" applyBorder="1"/>
    <xf numFmtId="3" fontId="17" fillId="0" borderId="46" xfId="0" applyNumberFormat="1" applyFont="1" applyBorder="1"/>
    <xf numFmtId="3" fontId="23" fillId="0" borderId="25" xfId="0" applyNumberFormat="1" applyFont="1" applyBorder="1"/>
    <xf numFmtId="3" fontId="11" fillId="0" borderId="19" xfId="0" applyNumberFormat="1" applyFont="1" applyFill="1" applyBorder="1" applyAlignment="1" applyProtection="1">
      <alignment horizontal="right" vertical="center" wrapText="1"/>
    </xf>
    <xf numFmtId="3" fontId="11" fillId="0" borderId="37" xfId="0" applyNumberFormat="1" applyFont="1" applyFill="1" applyBorder="1" applyAlignment="1" applyProtection="1">
      <alignment horizontal="right" vertical="center" wrapText="1"/>
    </xf>
    <xf numFmtId="3" fontId="17" fillId="0" borderId="3" xfId="0" applyNumberFormat="1" applyFont="1" applyBorder="1" applyAlignment="1">
      <alignment vertical="center"/>
    </xf>
    <xf numFmtId="3" fontId="17" fillId="0" borderId="46" xfId="0" applyNumberFormat="1" applyFont="1" applyBorder="1" applyAlignment="1">
      <alignment vertical="center"/>
    </xf>
    <xf numFmtId="3" fontId="23" fillId="0" borderId="25" xfId="0" applyNumberFormat="1" applyFont="1" applyBorder="1" applyAlignment="1">
      <alignment vertical="center"/>
    </xf>
    <xf numFmtId="0" fontId="20" fillId="0" borderId="1" xfId="0" applyFont="1" applyFill="1" applyBorder="1" applyAlignment="1" applyProtection="1">
      <alignment horizontal="left" vertical="top" wrapText="1"/>
      <protection locked="0"/>
    </xf>
    <xf numFmtId="3" fontId="11" fillId="0" borderId="9" xfId="0" applyNumberFormat="1" applyFont="1" applyFill="1" applyBorder="1" applyAlignment="1" applyProtection="1">
      <alignment horizontal="right" vertical="center" wrapText="1"/>
    </xf>
    <xf numFmtId="3" fontId="11" fillId="3" borderId="1" xfId="0" applyNumberFormat="1" applyFont="1" applyFill="1" applyBorder="1" applyAlignment="1" applyProtection="1">
      <alignment horizontal="right" vertical="center" wrapText="1"/>
    </xf>
    <xf numFmtId="3" fontId="11" fillId="0" borderId="40" xfId="0" applyNumberFormat="1" applyFont="1" applyFill="1" applyBorder="1" applyAlignment="1" applyProtection="1">
      <alignment horizontal="right" vertical="center"/>
    </xf>
    <xf numFmtId="0" fontId="14" fillId="0" borderId="1" xfId="0" applyFont="1" applyFill="1" applyBorder="1" applyAlignment="1" applyProtection="1">
      <alignment horizontal="left" vertical="center" wrapText="1"/>
      <protection locked="0"/>
    </xf>
    <xf numFmtId="0" fontId="12" fillId="0" borderId="1" xfId="0" applyFont="1" applyFill="1" applyBorder="1" applyAlignment="1" applyProtection="1">
      <alignment horizontal="left" vertical="center" wrapText="1"/>
      <protection locked="0"/>
    </xf>
    <xf numFmtId="0" fontId="14" fillId="0" borderId="1" xfId="0" applyFont="1" applyFill="1" applyBorder="1" applyAlignment="1" applyProtection="1">
      <alignment horizontal="left" vertical="center" wrapText="1"/>
    </xf>
    <xf numFmtId="0" fontId="12" fillId="0" borderId="1" xfId="0" applyFont="1" applyFill="1" applyBorder="1" applyAlignment="1" applyProtection="1">
      <alignment horizontal="left" vertical="top" wrapText="1"/>
      <protection locked="0"/>
    </xf>
    <xf numFmtId="0" fontId="14" fillId="0" borderId="1" xfId="0" applyFont="1" applyFill="1" applyBorder="1" applyAlignment="1" applyProtection="1">
      <alignment horizontal="left" vertical="top" wrapText="1"/>
    </xf>
    <xf numFmtId="0" fontId="14" fillId="0" borderId="1" xfId="0" applyFont="1" applyFill="1" applyBorder="1" applyAlignment="1" applyProtection="1">
      <alignment horizontal="left" vertical="top" wrapText="1"/>
      <protection locked="0"/>
    </xf>
    <xf numFmtId="0" fontId="12" fillId="0" borderId="9" xfId="0" applyFont="1" applyFill="1" applyBorder="1" applyAlignment="1" applyProtection="1">
      <alignment horizontal="left" vertical="top" wrapText="1"/>
      <protection locked="0"/>
    </xf>
    <xf numFmtId="0" fontId="12" fillId="0" borderId="13" xfId="0" applyFont="1" applyFill="1" applyBorder="1" applyAlignment="1" applyProtection="1">
      <alignment horizontal="left" vertical="top" wrapText="1"/>
      <protection locked="0"/>
    </xf>
    <xf numFmtId="0" fontId="14" fillId="0" borderId="25" xfId="0" applyFont="1" applyFill="1" applyBorder="1" applyAlignment="1" applyProtection="1">
      <alignment horizontal="left" vertical="center" wrapText="1"/>
      <protection locked="0"/>
    </xf>
    <xf numFmtId="0" fontId="12" fillId="0" borderId="6" xfId="0" applyFont="1" applyFill="1" applyBorder="1" applyAlignment="1" applyProtection="1">
      <alignment horizontal="left" vertical="top" wrapText="1"/>
      <protection locked="0"/>
    </xf>
    <xf numFmtId="0" fontId="14" fillId="0" borderId="25" xfId="0" applyFont="1" applyFill="1" applyBorder="1" applyAlignment="1" applyProtection="1">
      <alignment horizontal="left" vertical="top" wrapText="1"/>
    </xf>
    <xf numFmtId="0" fontId="32" fillId="0" borderId="0" xfId="0" applyFont="1"/>
    <xf numFmtId="0" fontId="9" fillId="0" borderId="0" xfId="0" applyFont="1"/>
    <xf numFmtId="3" fontId="11" fillId="0" borderId="2" xfId="0" applyNumberFormat="1" applyFont="1" applyFill="1" applyBorder="1" applyAlignment="1" applyProtection="1">
      <alignment horizontal="right" vertical="center"/>
      <protection locked="0"/>
    </xf>
    <xf numFmtId="3" fontId="16" fillId="0" borderId="3" xfId="0" applyNumberFormat="1" applyFont="1" applyFill="1" applyBorder="1" applyAlignment="1" applyProtection="1">
      <alignment horizontal="right" vertical="center" wrapText="1"/>
    </xf>
    <xf numFmtId="3" fontId="11" fillId="0" borderId="1" xfId="0" applyNumberFormat="1" applyFont="1" applyFill="1" applyBorder="1" applyAlignment="1" applyProtection="1">
      <alignment horizontal="right" vertical="center"/>
      <protection locked="0"/>
    </xf>
    <xf numFmtId="3" fontId="11" fillId="0" borderId="1" xfId="0" applyNumberFormat="1" applyFont="1" applyFill="1" applyBorder="1" applyAlignment="1" applyProtection="1">
      <alignment horizontal="right" vertical="center"/>
    </xf>
    <xf numFmtId="3" fontId="11" fillId="0" borderId="1" xfId="0" applyNumberFormat="1" applyFont="1" applyFill="1" applyBorder="1" applyAlignment="1" applyProtection="1">
      <alignment horizontal="right" vertical="center" wrapText="1"/>
      <protection locked="0"/>
    </xf>
    <xf numFmtId="3" fontId="11" fillId="0" borderId="1" xfId="0" applyNumberFormat="1" applyFont="1" applyFill="1" applyBorder="1" applyAlignment="1" applyProtection="1">
      <alignment horizontal="right" vertical="center" wrapText="1"/>
    </xf>
    <xf numFmtId="3" fontId="11" fillId="0" borderId="34" xfId="0" applyNumberFormat="1" applyFont="1" applyFill="1" applyBorder="1" applyAlignment="1" applyProtection="1">
      <alignment horizontal="right" vertical="center" wrapText="1"/>
    </xf>
    <xf numFmtId="3" fontId="11" fillId="0" borderId="35" xfId="0" applyNumberFormat="1" applyFont="1" applyFill="1" applyBorder="1" applyAlignment="1" applyProtection="1">
      <alignment horizontal="right" vertical="center" wrapText="1"/>
    </xf>
    <xf numFmtId="3" fontId="11" fillId="0" borderId="39" xfId="0" applyNumberFormat="1" applyFont="1" applyFill="1" applyBorder="1" applyAlignment="1" applyProtection="1">
      <alignment horizontal="right" vertical="center" wrapText="1"/>
    </xf>
    <xf numFmtId="3" fontId="11" fillId="0" borderId="40" xfId="0" applyNumberFormat="1" applyFont="1" applyFill="1" applyBorder="1" applyAlignment="1" applyProtection="1">
      <alignment horizontal="right" vertical="center" wrapText="1"/>
    </xf>
    <xf numFmtId="0" fontId="31" fillId="0" borderId="0" xfId="0" applyFont="1" applyFill="1"/>
    <xf numFmtId="0" fontId="33" fillId="0" borderId="1" xfId="0" applyFont="1" applyFill="1" applyBorder="1" applyAlignment="1"/>
    <xf numFmtId="3" fontId="11" fillId="0" borderId="12" xfId="0" applyNumberFormat="1" applyFont="1" applyFill="1" applyBorder="1" applyAlignment="1" applyProtection="1">
      <alignment horizontal="right" vertical="center" wrapText="1"/>
      <protection locked="0"/>
    </xf>
    <xf numFmtId="3" fontId="11" fillId="0" borderId="48" xfId="0" applyNumberFormat="1" applyFont="1" applyFill="1" applyBorder="1" applyAlignment="1" applyProtection="1">
      <alignment horizontal="right" vertical="center" wrapText="1"/>
      <protection locked="0"/>
    </xf>
    <xf numFmtId="3" fontId="11" fillId="0" borderId="49" xfId="0" applyNumberFormat="1" applyFont="1" applyFill="1" applyBorder="1" applyAlignment="1" applyProtection="1">
      <alignment horizontal="right" vertical="center" wrapText="1"/>
    </xf>
    <xf numFmtId="0" fontId="20" fillId="0" borderId="6" xfId="0" applyFont="1" applyFill="1" applyBorder="1" applyAlignment="1" applyProtection="1">
      <alignment horizontal="left" vertical="center" wrapText="1"/>
      <protection locked="0"/>
    </xf>
    <xf numFmtId="0" fontId="12" fillId="0" borderId="9" xfId="0" applyFont="1" applyFill="1" applyBorder="1" applyAlignment="1" applyProtection="1">
      <alignment horizontal="left" vertical="center" wrapText="1"/>
      <protection locked="0"/>
    </xf>
    <xf numFmtId="0" fontId="20" fillId="0" borderId="9" xfId="0" applyFont="1" applyFill="1" applyBorder="1" applyAlignment="1" applyProtection="1">
      <alignment horizontal="left" vertical="center" wrapText="1"/>
      <protection locked="0"/>
    </xf>
    <xf numFmtId="0" fontId="20" fillId="0" borderId="13" xfId="0" applyFont="1" applyFill="1" applyBorder="1" applyAlignment="1" applyProtection="1">
      <alignment horizontal="left" vertical="center" wrapText="1"/>
      <protection locked="0"/>
    </xf>
    <xf numFmtId="3" fontId="11" fillId="0" borderId="15" xfId="0" applyNumberFormat="1" applyFont="1" applyFill="1" applyBorder="1" applyAlignment="1" applyProtection="1">
      <alignment horizontal="right" vertical="center" wrapText="1"/>
    </xf>
    <xf numFmtId="14" fontId="11" fillId="0" borderId="7" xfId="0" applyNumberFormat="1" applyFont="1" applyFill="1" applyBorder="1" applyAlignment="1" applyProtection="1">
      <alignment horizontal="center" vertical="center"/>
      <protection locked="0"/>
    </xf>
    <xf numFmtId="14" fontId="11" fillId="0" borderId="10" xfId="0" applyNumberFormat="1" applyFont="1" applyFill="1" applyBorder="1" applyAlignment="1" applyProtection="1">
      <alignment horizontal="center" vertical="center" wrapText="1"/>
    </xf>
    <xf numFmtId="14" fontId="11" fillId="0" borderId="14" xfId="0" applyNumberFormat="1" applyFont="1" applyFill="1" applyBorder="1" applyAlignment="1" applyProtection="1">
      <alignment horizontal="center" vertical="center" wrapText="1"/>
    </xf>
    <xf numFmtId="0" fontId="11" fillId="0" borderId="7" xfId="0" applyNumberFormat="1" applyFont="1" applyFill="1" applyBorder="1" applyAlignment="1" applyProtection="1">
      <alignment horizontal="center" vertical="center"/>
    </xf>
    <xf numFmtId="0" fontId="11" fillId="0" borderId="10" xfId="0" applyNumberFormat="1" applyFont="1" applyFill="1" applyBorder="1" applyAlignment="1" applyProtection="1">
      <alignment horizontal="center" vertical="center" wrapText="1"/>
    </xf>
    <xf numFmtId="0" fontId="11" fillId="0" borderId="14" xfId="0" applyNumberFormat="1" applyFont="1" applyFill="1" applyBorder="1" applyAlignment="1" applyProtection="1">
      <alignment horizontal="center" vertical="center" wrapText="1"/>
    </xf>
    <xf numFmtId="168" fontId="11" fillId="0" borderId="7" xfId="0" applyNumberFormat="1" applyFont="1" applyFill="1" applyBorder="1" applyAlignment="1" applyProtection="1">
      <alignment horizontal="center" vertical="center"/>
    </xf>
    <xf numFmtId="168" fontId="11" fillId="0" borderId="10" xfId="0" applyNumberFormat="1" applyFont="1" applyFill="1" applyBorder="1" applyAlignment="1" applyProtection="1">
      <alignment horizontal="center" vertical="center" wrapText="1"/>
    </xf>
    <xf numFmtId="168" fontId="11" fillId="0" borderId="14" xfId="0" applyNumberFormat="1" applyFont="1" applyFill="1" applyBorder="1" applyAlignment="1" applyProtection="1">
      <alignment horizontal="center" vertical="center" wrapText="1"/>
    </xf>
    <xf numFmtId="168" fontId="16" fillId="0" borderId="25" xfId="0" applyNumberFormat="1" applyFont="1" applyFill="1" applyBorder="1" applyAlignment="1" applyProtection="1">
      <alignment horizontal="center" vertical="center" wrapText="1"/>
    </xf>
    <xf numFmtId="168" fontId="16" fillId="0" borderId="19" xfId="0" applyNumberFormat="1" applyFont="1" applyFill="1" applyBorder="1" applyAlignment="1" applyProtection="1">
      <alignment horizontal="center" vertical="center" wrapText="1"/>
    </xf>
    <xf numFmtId="14" fontId="11" fillId="0" borderId="7" xfId="0" applyNumberFormat="1" applyFont="1" applyFill="1" applyBorder="1" applyAlignment="1" applyProtection="1">
      <alignment horizontal="center" vertical="center"/>
    </xf>
    <xf numFmtId="14" fontId="16" fillId="0" borderId="19" xfId="0" applyNumberFormat="1" applyFont="1" applyFill="1" applyBorder="1" applyAlignment="1" applyProtection="1">
      <alignment horizontal="center" vertical="center" wrapText="1"/>
    </xf>
    <xf numFmtId="0" fontId="0" fillId="0" borderId="0" xfId="0" applyFill="1" applyAlignment="1"/>
    <xf numFmtId="3" fontId="11" fillId="0" borderId="2" xfId="0" applyNumberFormat="1" applyFont="1" applyFill="1" applyBorder="1" applyAlignment="1" applyProtection="1">
      <alignment horizontal="right" vertical="center" wrapText="1"/>
      <protection locked="0"/>
    </xf>
    <xf numFmtId="0" fontId="14" fillId="0" borderId="5" xfId="0" applyFont="1" applyFill="1" applyBorder="1" applyAlignment="1" applyProtection="1">
      <alignment vertical="center" wrapText="1"/>
      <protection locked="0"/>
    </xf>
    <xf numFmtId="3" fontId="11" fillId="0" borderId="25" xfId="0" applyNumberFormat="1" applyFont="1" applyFill="1" applyBorder="1" applyAlignment="1" applyProtection="1">
      <alignment horizontal="right" vertical="center" wrapText="1"/>
      <protection locked="0"/>
    </xf>
    <xf numFmtId="0" fontId="20" fillId="0" borderId="25" xfId="0" applyFont="1" applyFill="1" applyBorder="1" applyAlignment="1" applyProtection="1">
      <alignment horizontal="left" vertical="center" wrapText="1"/>
      <protection locked="0"/>
    </xf>
    <xf numFmtId="3" fontId="11" fillId="0" borderId="25" xfId="0" applyNumberFormat="1" applyFont="1" applyFill="1" applyBorder="1" applyAlignment="1" applyProtection="1">
      <alignment horizontal="right" vertical="center" wrapText="1"/>
    </xf>
    <xf numFmtId="3" fontId="16" fillId="0" borderId="2" xfId="0" applyNumberFormat="1" applyFont="1" applyFill="1" applyBorder="1" applyAlignment="1" applyProtection="1">
      <alignment horizontal="right" vertical="center" wrapText="1"/>
    </xf>
    <xf numFmtId="0" fontId="14" fillId="0" borderId="64" xfId="0" applyFont="1" applyFill="1" applyBorder="1" applyAlignment="1" applyProtection="1">
      <alignment horizontal="center" vertical="center" wrapText="1"/>
      <protection locked="0"/>
    </xf>
    <xf numFmtId="0" fontId="14" fillId="0" borderId="63" xfId="0" applyFont="1" applyFill="1" applyBorder="1" applyAlignment="1" applyProtection="1">
      <alignment horizontal="center" vertical="center" wrapText="1"/>
      <protection locked="0"/>
    </xf>
    <xf numFmtId="0" fontId="17" fillId="0" borderId="0" xfId="0" applyFont="1" applyAlignment="1">
      <alignment horizontal="center" vertical="center"/>
    </xf>
    <xf numFmtId="0" fontId="11" fillId="0" borderId="39" xfId="0" applyFont="1" applyFill="1" applyBorder="1" applyAlignment="1" applyProtection="1">
      <alignment horizontal="center" vertical="top"/>
      <protection locked="0"/>
    </xf>
    <xf numFmtId="0" fontId="14" fillId="0" borderId="40" xfId="0" applyFont="1" applyFill="1" applyBorder="1" applyAlignment="1" applyProtection="1">
      <alignment horizontal="center" vertical="center" wrapText="1"/>
      <protection locked="0"/>
    </xf>
    <xf numFmtId="0" fontId="11" fillId="0" borderId="9" xfId="0" applyFont="1" applyFill="1" applyBorder="1" applyAlignment="1" applyProtection="1">
      <alignment horizontal="center" vertical="top"/>
      <protection locked="0"/>
    </xf>
    <xf numFmtId="0" fontId="20" fillId="0" borderId="9" xfId="0" applyFont="1" applyFill="1" applyBorder="1" applyAlignment="1" applyProtection="1">
      <alignment horizontal="left" vertical="top" wrapText="1"/>
      <protection locked="0"/>
    </xf>
    <xf numFmtId="0" fontId="14" fillId="0" borderId="24" xfId="0" applyFont="1" applyFill="1" applyBorder="1" applyAlignment="1" applyProtection="1">
      <alignment horizontal="center" vertical="center" wrapText="1"/>
      <protection locked="0"/>
    </xf>
    <xf numFmtId="3" fontId="11" fillId="0" borderId="10" xfId="0" applyNumberFormat="1" applyFont="1" applyFill="1" applyBorder="1" applyAlignment="1" applyProtection="1">
      <alignment horizontal="left" vertical="center" wrapText="1"/>
      <protection locked="0"/>
    </xf>
    <xf numFmtId="3" fontId="11" fillId="0" borderId="10" xfId="0" applyNumberFormat="1" applyFont="1" applyFill="1" applyBorder="1" applyAlignment="1" applyProtection="1">
      <alignment horizontal="left" vertical="center" wrapText="1"/>
    </xf>
    <xf numFmtId="3" fontId="16" fillId="0" borderId="10" xfId="0" applyNumberFormat="1" applyFont="1" applyFill="1" applyBorder="1" applyAlignment="1" applyProtection="1">
      <alignment horizontal="right" vertical="center" wrapText="1"/>
      <protection locked="0"/>
    </xf>
    <xf numFmtId="0" fontId="20" fillId="0" borderId="5" xfId="0" applyFont="1" applyFill="1" applyBorder="1" applyAlignment="1" applyProtection="1">
      <alignment horizontal="left" vertical="center" wrapText="1"/>
      <protection locked="0"/>
    </xf>
    <xf numFmtId="3" fontId="11" fillId="0" borderId="8" xfId="0" applyNumberFormat="1" applyFont="1" applyFill="1" applyBorder="1" applyAlignment="1" applyProtection="1">
      <alignment horizontal="right" vertical="center" wrapText="1"/>
    </xf>
    <xf numFmtId="3" fontId="16" fillId="0" borderId="13" xfId="0" applyNumberFormat="1" applyFont="1" applyFill="1" applyBorder="1" applyAlignment="1" applyProtection="1">
      <alignment horizontal="right" vertical="center" wrapText="1"/>
    </xf>
    <xf numFmtId="3" fontId="16" fillId="0" borderId="15" xfId="0" applyNumberFormat="1" applyFont="1" applyFill="1" applyBorder="1" applyAlignment="1" applyProtection="1">
      <alignment horizontal="right" vertical="center" wrapText="1"/>
    </xf>
    <xf numFmtId="0" fontId="33" fillId="0" borderId="1" xfId="2" applyFont="1" applyFill="1" applyAlignment="1">
      <alignment vertical="center"/>
    </xf>
    <xf numFmtId="0" fontId="11" fillId="0" borderId="6" xfId="0" applyNumberFormat="1" applyFont="1" applyFill="1" applyBorder="1" applyAlignment="1" applyProtection="1">
      <alignment horizontal="center" vertical="center" wrapText="1"/>
      <protection locked="0"/>
    </xf>
    <xf numFmtId="0" fontId="11" fillId="0" borderId="8" xfId="0" applyNumberFormat="1" applyFont="1" applyFill="1" applyBorder="1" applyAlignment="1" applyProtection="1">
      <alignment horizontal="center" vertical="center" wrapText="1"/>
    </xf>
    <xf numFmtId="0" fontId="11" fillId="0" borderId="9" xfId="0" applyNumberFormat="1" applyFont="1" applyFill="1" applyBorder="1" applyAlignment="1" applyProtection="1">
      <alignment horizontal="center" vertical="center" wrapText="1"/>
    </xf>
    <xf numFmtId="0" fontId="11" fillId="0" borderId="11" xfId="0" applyNumberFormat="1" applyFont="1" applyFill="1" applyBorder="1" applyAlignment="1" applyProtection="1">
      <alignment horizontal="center" vertical="center" wrapText="1"/>
    </xf>
    <xf numFmtId="0" fontId="16" fillId="0" borderId="11" xfId="0" applyNumberFormat="1" applyFont="1" applyFill="1" applyBorder="1" applyAlignment="1" applyProtection="1">
      <alignment horizontal="center" vertical="center" wrapText="1"/>
    </xf>
    <xf numFmtId="0" fontId="16" fillId="0" borderId="19" xfId="0" applyNumberFormat="1" applyFont="1" applyFill="1" applyBorder="1" applyAlignment="1" applyProtection="1">
      <alignment horizontal="center" vertical="center" wrapText="1"/>
    </xf>
    <xf numFmtId="0" fontId="16" fillId="0" borderId="38" xfId="0" applyNumberFormat="1" applyFont="1" applyFill="1" applyBorder="1" applyAlignment="1" applyProtection="1">
      <alignment horizontal="center" vertical="center" wrapText="1"/>
    </xf>
    <xf numFmtId="168" fontId="11" fillId="0" borderId="8" xfId="0" applyNumberFormat="1" applyFont="1" applyFill="1" applyBorder="1" applyAlignment="1" applyProtection="1">
      <alignment horizontal="center" vertical="center" wrapText="1"/>
    </xf>
    <xf numFmtId="168" fontId="11" fillId="0" borderId="11" xfId="0" applyNumberFormat="1" applyFont="1" applyFill="1" applyBorder="1" applyAlignment="1" applyProtection="1">
      <alignment horizontal="center" vertical="center" wrapText="1"/>
    </xf>
    <xf numFmtId="168" fontId="16" fillId="0" borderId="11" xfId="0" applyNumberFormat="1" applyFont="1" applyFill="1" applyBorder="1" applyAlignment="1" applyProtection="1">
      <alignment horizontal="center" vertical="center" wrapText="1"/>
    </xf>
    <xf numFmtId="168" fontId="16" fillId="0" borderId="38" xfId="0" applyNumberFormat="1" applyFont="1" applyFill="1" applyBorder="1" applyAlignment="1" applyProtection="1">
      <alignment horizontal="center" vertical="center" wrapText="1"/>
    </xf>
    <xf numFmtId="168" fontId="11" fillId="0" borderId="2" xfId="0" applyNumberFormat="1" applyFont="1" applyFill="1" applyBorder="1" applyAlignment="1" applyProtection="1">
      <alignment horizontal="right" vertical="center" wrapText="1"/>
      <protection locked="0"/>
    </xf>
    <xf numFmtId="168" fontId="11" fillId="0" borderId="2" xfId="0" applyNumberFormat="1" applyFont="1" applyFill="1" applyBorder="1" applyAlignment="1" applyProtection="1">
      <alignment horizontal="right" vertical="center" wrapText="1"/>
    </xf>
    <xf numFmtId="168" fontId="11" fillId="0" borderId="47" xfId="0" applyNumberFormat="1" applyFont="1" applyFill="1" applyBorder="1" applyAlignment="1" applyProtection="1">
      <alignment horizontal="right" vertical="center" wrapText="1"/>
      <protection locked="0"/>
    </xf>
    <xf numFmtId="168" fontId="11" fillId="0" borderId="3" xfId="0" applyNumberFormat="1" applyFont="1" applyFill="1" applyBorder="1" applyAlignment="1" applyProtection="1">
      <alignment horizontal="right" vertical="center" wrapText="1"/>
    </xf>
    <xf numFmtId="0" fontId="11" fillId="0" borderId="3" xfId="0" applyNumberFormat="1" applyFont="1" applyFill="1" applyBorder="1" applyAlignment="1" applyProtection="1">
      <alignment horizontal="right" vertical="center" wrapText="1"/>
      <protection locked="0"/>
    </xf>
    <xf numFmtId="0" fontId="0" fillId="0" borderId="3" xfId="0" applyBorder="1" applyAlignment="1">
      <alignment horizontal="right" vertical="center"/>
    </xf>
    <xf numFmtId="168" fontId="0" fillId="0" borderId="3" xfId="0" applyNumberFormat="1" applyBorder="1" applyAlignment="1">
      <alignment horizontal="right" vertical="center"/>
    </xf>
    <xf numFmtId="0" fontId="0" fillId="0" borderId="10" xfId="0" applyNumberFormat="1" applyFill="1" applyBorder="1" applyAlignment="1">
      <alignment horizontal="center"/>
    </xf>
    <xf numFmtId="0" fontId="0" fillId="0" borderId="14" xfId="0" applyNumberFormat="1" applyFill="1" applyBorder="1" applyAlignment="1">
      <alignment horizontal="center"/>
    </xf>
    <xf numFmtId="0" fontId="0" fillId="0" borderId="9" xfId="0" applyNumberFormat="1" applyBorder="1" applyAlignment="1">
      <alignment horizontal="center"/>
    </xf>
    <xf numFmtId="0" fontId="0" fillId="0" borderId="13" xfId="0" applyNumberFormat="1" applyBorder="1" applyAlignment="1">
      <alignment horizontal="center"/>
    </xf>
    <xf numFmtId="168" fontId="11" fillId="0" borderId="7" xfId="0" applyNumberFormat="1" applyFont="1" applyFill="1" applyBorder="1" applyAlignment="1" applyProtection="1">
      <alignment horizontal="center" vertical="center" wrapText="1"/>
    </xf>
    <xf numFmtId="168" fontId="0" fillId="0" borderId="14" xfId="0" applyNumberFormat="1" applyFill="1" applyBorder="1" applyAlignment="1">
      <alignment horizontal="center"/>
    </xf>
    <xf numFmtId="0" fontId="11" fillId="0" borderId="7" xfId="0" applyNumberFormat="1" applyFont="1" applyFill="1" applyBorder="1" applyAlignment="1" applyProtection="1">
      <alignment horizontal="center" vertical="center" wrapText="1"/>
    </xf>
    <xf numFmtId="0" fontId="15" fillId="0" borderId="19" xfId="0" applyNumberFormat="1" applyFont="1" applyBorder="1" applyAlignment="1">
      <alignment horizontal="center"/>
    </xf>
    <xf numFmtId="0" fontId="11" fillId="0" borderId="1" xfId="0" applyNumberFormat="1" applyFont="1" applyFill="1" applyBorder="1" applyAlignment="1" applyProtection="1">
      <alignment horizontal="center" vertical="center" wrapText="1"/>
      <protection locked="0"/>
    </xf>
    <xf numFmtId="168" fontId="11" fillId="0" borderId="1" xfId="0" applyNumberFormat="1" applyFont="1" applyFill="1" applyBorder="1" applyAlignment="1" applyProtection="1">
      <alignment horizontal="right" vertical="center" wrapText="1"/>
    </xf>
    <xf numFmtId="0" fontId="11" fillId="0" borderId="1" xfId="0" applyNumberFormat="1" applyFont="1" applyFill="1" applyBorder="1" applyAlignment="1" applyProtection="1">
      <alignment horizontal="center" vertical="center" wrapText="1"/>
    </xf>
    <xf numFmtId="0" fontId="15" fillId="0" borderId="1" xfId="0" applyNumberFormat="1" applyFont="1" applyFill="1" applyBorder="1" applyAlignment="1">
      <alignment horizontal="center"/>
    </xf>
    <xf numFmtId="168" fontId="15" fillId="0" borderId="1" xfId="0" applyNumberFormat="1" applyFont="1" applyFill="1" applyBorder="1"/>
    <xf numFmtId="3" fontId="15" fillId="0" borderId="1" xfId="0" applyNumberFormat="1" applyFont="1" applyFill="1" applyBorder="1"/>
    <xf numFmtId="168" fontId="15" fillId="0" borderId="1" xfId="0" applyNumberFormat="1" applyFont="1" applyFill="1" applyBorder="1" applyAlignment="1">
      <alignment horizontal="center"/>
    </xf>
    <xf numFmtId="3" fontId="15" fillId="0" borderId="1" xfId="0" applyNumberFormat="1" applyFont="1" applyFill="1" applyBorder="1" applyAlignment="1">
      <alignment horizontal="center"/>
    </xf>
    <xf numFmtId="0" fontId="11" fillId="0" borderId="19" xfId="0" applyNumberFormat="1" applyFont="1" applyFill="1" applyBorder="1" applyAlignment="1" applyProtection="1">
      <alignment horizontal="center" vertical="center" wrapText="1"/>
      <protection locked="0"/>
    </xf>
    <xf numFmtId="168" fontId="11" fillId="0" borderId="37" xfId="0" applyNumberFormat="1" applyFont="1" applyFill="1" applyBorder="1" applyAlignment="1" applyProtection="1">
      <alignment horizontal="center" vertical="center" wrapText="1"/>
    </xf>
    <xf numFmtId="0" fontId="11" fillId="0" borderId="37" xfId="0" applyNumberFormat="1" applyFont="1" applyFill="1" applyBorder="1" applyAlignment="1" applyProtection="1">
      <alignment horizontal="center" vertical="center" wrapText="1"/>
    </xf>
    <xf numFmtId="3" fontId="11" fillId="0" borderId="38" xfId="0" applyNumberFormat="1" applyFont="1" applyFill="1" applyBorder="1" applyAlignment="1" applyProtection="1">
      <alignment horizontal="center" vertical="center" wrapText="1"/>
      <protection locked="0"/>
    </xf>
    <xf numFmtId="168" fontId="0" fillId="0" borderId="14" xfId="0" applyNumberFormat="1" applyBorder="1" applyAlignment="1">
      <alignment horizontal="center" vertical="center"/>
    </xf>
    <xf numFmtId="0" fontId="11" fillId="0" borderId="38" xfId="0" applyNumberFormat="1" applyFont="1" applyFill="1" applyBorder="1" applyAlignment="1" applyProtection="1">
      <alignment horizontal="center" vertical="center" wrapText="1"/>
    </xf>
    <xf numFmtId="3" fontId="11" fillId="0" borderId="1" xfId="0" applyNumberFormat="1" applyFont="1" applyFill="1" applyBorder="1" applyAlignment="1" applyProtection="1">
      <alignment horizontal="center" vertical="center" wrapText="1"/>
      <protection locked="0"/>
    </xf>
    <xf numFmtId="168" fontId="11" fillId="0" borderId="1" xfId="0" applyNumberFormat="1" applyFont="1" applyFill="1" applyBorder="1" applyAlignment="1" applyProtection="1">
      <alignment horizontal="right" vertical="center" wrapText="1"/>
      <protection locked="0"/>
    </xf>
    <xf numFmtId="168" fontId="11" fillId="0" borderId="1" xfId="0" applyNumberFormat="1" applyFont="1" applyFill="1" applyBorder="1" applyAlignment="1" applyProtection="1">
      <alignment horizontal="center" vertical="center" wrapText="1"/>
    </xf>
    <xf numFmtId="0" fontId="11" fillId="0" borderId="13" xfId="0" applyNumberFormat="1" applyFont="1" applyFill="1" applyBorder="1" applyAlignment="1" applyProtection="1">
      <alignment horizontal="center" vertical="center" wrapText="1"/>
    </xf>
    <xf numFmtId="3" fontId="0" fillId="0" borderId="11" xfId="0" applyNumberFormat="1" applyBorder="1" applyAlignment="1">
      <alignment horizontal="right" vertical="center"/>
    </xf>
    <xf numFmtId="3" fontId="0" fillId="0" borderId="15" xfId="0" applyNumberFormat="1" applyBorder="1" applyAlignment="1">
      <alignment horizontal="right" vertical="center"/>
    </xf>
    <xf numFmtId="0" fontId="0" fillId="0" borderId="10" xfId="0" applyNumberFormat="1" applyBorder="1" applyAlignment="1">
      <alignment horizontal="center" vertical="center"/>
    </xf>
    <xf numFmtId="0" fontId="0" fillId="0" borderId="14" xfId="0" applyNumberFormat="1" applyBorder="1" applyAlignment="1">
      <alignment horizontal="center" vertical="center"/>
    </xf>
    <xf numFmtId="0" fontId="0" fillId="0" borderId="1" xfId="0" applyNumberFormat="1" applyFill="1" applyBorder="1" applyAlignment="1">
      <alignment horizontal="center" vertical="center"/>
    </xf>
    <xf numFmtId="3" fontId="0" fillId="0" borderId="1" xfId="0" applyNumberFormat="1" applyFill="1" applyBorder="1" applyAlignment="1">
      <alignment horizontal="right" vertical="center"/>
    </xf>
    <xf numFmtId="0" fontId="15" fillId="0" borderId="1" xfId="0" applyNumberFormat="1" applyFont="1" applyFill="1" applyBorder="1" applyAlignment="1">
      <alignment horizontal="center" vertical="center"/>
    </xf>
    <xf numFmtId="3" fontId="15" fillId="0" borderId="1" xfId="0" applyNumberFormat="1" applyFont="1" applyFill="1" applyBorder="1" applyAlignment="1">
      <alignment horizontal="right" vertical="center"/>
    </xf>
    <xf numFmtId="0" fontId="0" fillId="0" borderId="9" xfId="0" applyNumberFormat="1" applyBorder="1" applyAlignment="1">
      <alignment horizontal="center" vertical="center"/>
    </xf>
    <xf numFmtId="0" fontId="15" fillId="0" borderId="19" xfId="0" applyNumberFormat="1" applyFont="1" applyBorder="1" applyAlignment="1">
      <alignment horizontal="center" vertical="center"/>
    </xf>
    <xf numFmtId="0" fontId="23" fillId="0" borderId="37" xfId="0" applyNumberFormat="1" applyFont="1" applyFill="1" applyBorder="1" applyAlignment="1">
      <alignment horizontal="center" vertical="center"/>
    </xf>
    <xf numFmtId="0" fontId="23" fillId="0" borderId="37" xfId="0" applyNumberFormat="1" applyFont="1" applyFill="1" applyBorder="1" applyAlignment="1">
      <alignment horizontal="right" vertical="center"/>
    </xf>
    <xf numFmtId="0" fontId="23" fillId="0" borderId="19" xfId="0" applyNumberFormat="1" applyFont="1" applyBorder="1" applyAlignment="1">
      <alignment horizontal="left" vertical="top"/>
    </xf>
    <xf numFmtId="0" fontId="12" fillId="0" borderId="1" xfId="0" applyFont="1" applyFill="1" applyBorder="1" applyAlignment="1" applyProtection="1">
      <alignment horizontal="left" vertical="center" wrapText="1"/>
      <protection locked="0"/>
    </xf>
    <xf numFmtId="0" fontId="14" fillId="0" borderId="1" xfId="0" applyFont="1" applyFill="1" applyBorder="1" applyAlignment="1" applyProtection="1">
      <alignment horizontal="left" vertical="center" wrapText="1"/>
    </xf>
    <xf numFmtId="0" fontId="12" fillId="0" borderId="9" xfId="0" applyFont="1" applyFill="1" applyBorder="1" applyAlignment="1" applyProtection="1">
      <alignment horizontal="left" vertical="top" wrapText="1"/>
      <protection locked="0"/>
    </xf>
    <xf numFmtId="0" fontId="14" fillId="0" borderId="27" xfId="0" applyFont="1" applyFill="1" applyBorder="1" applyAlignment="1" applyProtection="1">
      <alignment horizontal="center" vertical="center" wrapText="1"/>
      <protection locked="0"/>
    </xf>
    <xf numFmtId="0" fontId="14" fillId="0" borderId="25" xfId="0" applyFont="1" applyFill="1" applyBorder="1" applyAlignment="1" applyProtection="1">
      <alignment horizontal="left" vertical="center" wrapText="1"/>
      <protection locked="0"/>
    </xf>
    <xf numFmtId="0" fontId="12" fillId="0" borderId="6" xfId="0" applyFont="1" applyFill="1" applyBorder="1" applyAlignment="1" applyProtection="1">
      <alignment horizontal="left" vertical="top" wrapText="1"/>
      <protection locked="0"/>
    </xf>
    <xf numFmtId="3" fontId="11" fillId="0" borderId="2" xfId="0" applyNumberFormat="1" applyFont="1" applyFill="1" applyBorder="1" applyAlignment="1" applyProtection="1">
      <alignment horizontal="right" vertical="center" wrapText="1"/>
    </xf>
    <xf numFmtId="0" fontId="17" fillId="0" borderId="1" xfId="0" applyFont="1" applyBorder="1" applyAlignment="1">
      <alignment horizontal="center" vertical="center"/>
    </xf>
    <xf numFmtId="0" fontId="12" fillId="0" borderId="6" xfId="0" applyFont="1" applyFill="1" applyBorder="1" applyAlignment="1" applyProtection="1">
      <alignment horizontal="left" vertical="center" wrapText="1"/>
      <protection locked="0"/>
    </xf>
    <xf numFmtId="0" fontId="0" fillId="0" borderId="9" xfId="0" applyBorder="1" applyAlignment="1">
      <alignment vertical="center"/>
    </xf>
    <xf numFmtId="0" fontId="0" fillId="0" borderId="13" xfId="0" applyBorder="1" applyAlignment="1">
      <alignment vertical="center"/>
    </xf>
    <xf numFmtId="0" fontId="14" fillId="0" borderId="24" xfId="0" applyFont="1" applyFill="1" applyBorder="1" applyAlignment="1" applyProtection="1">
      <alignment horizontal="center" vertical="center" wrapText="1"/>
      <protection locked="0"/>
    </xf>
    <xf numFmtId="0" fontId="21" fillId="0" borderId="1" xfId="0" applyFont="1" applyFill="1" applyBorder="1"/>
    <xf numFmtId="3" fontId="0" fillId="0" borderId="10" xfId="0" applyNumberFormat="1" applyBorder="1"/>
    <xf numFmtId="3" fontId="0" fillId="0" borderId="14" xfId="0" applyNumberFormat="1" applyBorder="1"/>
    <xf numFmtId="0" fontId="34" fillId="0" borderId="0" xfId="0" applyFont="1" applyFill="1"/>
    <xf numFmtId="0" fontId="35" fillId="0" borderId="0" xfId="0" applyFont="1" applyAlignment="1">
      <alignment horizontal="right"/>
    </xf>
    <xf numFmtId="3" fontId="36" fillId="0" borderId="0" xfId="0" applyNumberFormat="1" applyFont="1"/>
    <xf numFmtId="0" fontId="17" fillId="0" borderId="0" xfId="0" applyFont="1" applyAlignment="1">
      <alignment horizontal="right" vertical="center"/>
    </xf>
    <xf numFmtId="0" fontId="19" fillId="0" borderId="0" xfId="0" applyFont="1" applyFill="1" applyAlignment="1">
      <alignment horizontal="left"/>
    </xf>
    <xf numFmtId="0" fontId="11" fillId="0" borderId="10" xfId="0" applyNumberFormat="1" applyFont="1" applyFill="1" applyBorder="1" applyAlignment="1" applyProtection="1">
      <alignment horizontal="left" vertical="top" wrapText="1"/>
      <protection locked="0"/>
    </xf>
    <xf numFmtId="0" fontId="11" fillId="0" borderId="37" xfId="0" applyNumberFormat="1" applyFont="1" applyFill="1" applyBorder="1" applyAlignment="1" applyProtection="1">
      <alignment horizontal="left" vertical="top" wrapText="1"/>
      <protection locked="0"/>
    </xf>
    <xf numFmtId="49" fontId="11" fillId="0" borderId="7" xfId="0" applyNumberFormat="1" applyFont="1" applyFill="1" applyBorder="1" applyAlignment="1" applyProtection="1">
      <alignment horizontal="center" vertical="center" wrapText="1"/>
      <protection locked="0"/>
    </xf>
    <xf numFmtId="49" fontId="11" fillId="0" borderId="10" xfId="0" applyNumberFormat="1" applyFont="1" applyFill="1" applyBorder="1" applyAlignment="1" applyProtection="1">
      <alignment horizontal="center" vertical="center" wrapText="1"/>
      <protection locked="0"/>
    </xf>
    <xf numFmtId="49" fontId="11" fillId="0" borderId="37" xfId="0" applyNumberFormat="1" applyFont="1" applyFill="1" applyBorder="1" applyAlignment="1" applyProtection="1">
      <alignment horizontal="center" vertical="center" wrapText="1"/>
      <protection locked="0"/>
    </xf>
    <xf numFmtId="49" fontId="11" fillId="0" borderId="7" xfId="0" applyNumberFormat="1" applyFont="1" applyFill="1" applyBorder="1" applyAlignment="1" applyProtection="1">
      <alignment horizontal="right" vertical="center" wrapText="1"/>
      <protection locked="0"/>
    </xf>
    <xf numFmtId="49" fontId="11" fillId="0" borderId="10" xfId="0" applyNumberFormat="1" applyFont="1" applyFill="1" applyBorder="1" applyAlignment="1" applyProtection="1">
      <alignment horizontal="right" vertical="center" wrapText="1"/>
      <protection locked="0"/>
    </xf>
    <xf numFmtId="49" fontId="11" fillId="0" borderId="37" xfId="0" applyNumberFormat="1" applyFont="1" applyFill="1" applyBorder="1" applyAlignment="1" applyProtection="1">
      <alignment horizontal="right" vertical="center" wrapText="1"/>
      <protection locked="0"/>
    </xf>
    <xf numFmtId="14" fontId="11" fillId="0" borderId="37" xfId="0" applyNumberFormat="1" applyFont="1" applyFill="1" applyBorder="1" applyAlignment="1" applyProtection="1">
      <alignment horizontal="right" vertical="center" wrapText="1"/>
      <protection locked="0"/>
    </xf>
    <xf numFmtId="49" fontId="11" fillId="0" borderId="38" xfId="0" applyNumberFormat="1" applyFont="1" applyFill="1" applyBorder="1" applyAlignment="1" applyProtection="1">
      <alignment horizontal="center" vertical="center" wrapText="1"/>
      <protection locked="0"/>
    </xf>
    <xf numFmtId="49" fontId="11" fillId="0" borderId="19" xfId="0" applyNumberFormat="1" applyFont="1" applyFill="1" applyBorder="1" applyAlignment="1" applyProtection="1">
      <alignment horizontal="right" vertical="center" wrapText="1"/>
      <protection locked="0"/>
    </xf>
    <xf numFmtId="3" fontId="21" fillId="0" borderId="0" xfId="0" applyNumberFormat="1" applyFont="1"/>
    <xf numFmtId="0" fontId="35" fillId="0" borderId="1" xfId="0" applyFont="1" applyFill="1" applyBorder="1" applyAlignment="1">
      <alignment horizontal="right"/>
    </xf>
    <xf numFmtId="3" fontId="36" fillId="0" borderId="1" xfId="0" applyNumberFormat="1" applyFont="1" applyFill="1" applyBorder="1"/>
    <xf numFmtId="0" fontId="17" fillId="0" borderId="1" xfId="0" applyFont="1" applyFill="1" applyBorder="1" applyAlignment="1">
      <alignment horizontal="right" vertical="center"/>
    </xf>
    <xf numFmtId="3" fontId="16" fillId="0" borderId="25" xfId="0" applyNumberFormat="1" applyFont="1" applyFill="1" applyBorder="1" applyAlignment="1" applyProtection="1">
      <alignment horizontal="center" vertical="center" wrapText="1"/>
      <protection locked="0"/>
    </xf>
    <xf numFmtId="0" fontId="17" fillId="0" borderId="1" xfId="0" applyFont="1" applyBorder="1" applyAlignment="1">
      <alignment horizontal="right" vertical="center"/>
    </xf>
    <xf numFmtId="3" fontId="16" fillId="0" borderId="39" xfId="0" applyNumberFormat="1" applyFont="1" applyFill="1" applyBorder="1" applyAlignment="1" applyProtection="1">
      <alignment horizontal="right" vertical="center"/>
    </xf>
    <xf numFmtId="3" fontId="16" fillId="0" borderId="41" xfId="0" applyNumberFormat="1" applyFont="1" applyFill="1" applyBorder="1" applyAlignment="1" applyProtection="1">
      <alignment horizontal="right" vertical="center"/>
    </xf>
    <xf numFmtId="0" fontId="20" fillId="0" borderId="1" xfId="0" applyFont="1" applyFill="1" applyBorder="1" applyAlignment="1" applyProtection="1">
      <alignment horizontal="left" vertical="center" wrapText="1"/>
    </xf>
    <xf numFmtId="0" fontId="12" fillId="0" borderId="6" xfId="0" applyFont="1" applyFill="1" applyBorder="1" applyAlignment="1" applyProtection="1">
      <alignment horizontal="left" vertical="top" wrapText="1"/>
    </xf>
    <xf numFmtId="0" fontId="14" fillId="0" borderId="1" xfId="0" applyFont="1" applyFill="1" applyBorder="1" applyAlignment="1" applyProtection="1">
      <alignment horizontal="left" vertical="center" wrapText="1"/>
      <protection locked="0"/>
    </xf>
    <xf numFmtId="0" fontId="12" fillId="0" borderId="1" xfId="0" applyFont="1" applyFill="1" applyBorder="1" applyAlignment="1" applyProtection="1">
      <alignment horizontal="left" vertical="center" wrapText="1"/>
      <protection locked="0"/>
    </xf>
    <xf numFmtId="0" fontId="14" fillId="0" borderId="1" xfId="0" applyFont="1" applyFill="1" applyBorder="1" applyAlignment="1" applyProtection="1">
      <alignment horizontal="left" vertical="center" wrapText="1"/>
    </xf>
    <xf numFmtId="0" fontId="14" fillId="0" borderId="1" xfId="0" applyFont="1" applyFill="1" applyBorder="1" applyAlignment="1" applyProtection="1">
      <alignment horizontal="center" vertical="center" wrapText="1"/>
      <protection locked="0"/>
    </xf>
    <xf numFmtId="0" fontId="14" fillId="0" borderId="25" xfId="0" applyFont="1" applyFill="1" applyBorder="1" applyAlignment="1" applyProtection="1">
      <alignment horizontal="left" vertical="center" wrapText="1"/>
      <protection locked="0"/>
    </xf>
    <xf numFmtId="0" fontId="14" fillId="0" borderId="51" xfId="0" applyFont="1" applyFill="1" applyBorder="1" applyAlignment="1" applyProtection="1">
      <alignment horizontal="center" vertical="center" wrapText="1"/>
      <protection locked="0"/>
    </xf>
    <xf numFmtId="0" fontId="14" fillId="0" borderId="22" xfId="0" applyFont="1" applyFill="1" applyBorder="1" applyAlignment="1" applyProtection="1">
      <alignment horizontal="center" vertical="center" wrapText="1"/>
      <protection locked="0"/>
    </xf>
    <xf numFmtId="3" fontId="11" fillId="0" borderId="39" xfId="0" applyNumberFormat="1" applyFont="1" applyFill="1" applyBorder="1" applyAlignment="1" applyProtection="1">
      <alignment horizontal="right" vertical="center"/>
    </xf>
    <xf numFmtId="170" fontId="27" fillId="0" borderId="1" xfId="0" applyNumberFormat="1" applyFont="1" applyFill="1" applyBorder="1" applyAlignment="1"/>
    <xf numFmtId="168" fontId="11" fillId="0" borderId="9" xfId="0" applyNumberFormat="1" applyFont="1" applyFill="1" applyBorder="1" applyAlignment="1" applyProtection="1">
      <alignment horizontal="right" vertical="center" wrapText="1"/>
    </xf>
    <xf numFmtId="168" fontId="11" fillId="0" borderId="9" xfId="0" applyNumberFormat="1" applyFont="1" applyFill="1" applyBorder="1" applyAlignment="1" applyProtection="1">
      <alignment horizontal="right" vertical="center" wrapText="1"/>
      <protection locked="0"/>
    </xf>
    <xf numFmtId="168" fontId="16" fillId="0" borderId="19" xfId="0" applyNumberFormat="1" applyFont="1" applyFill="1" applyBorder="1" applyAlignment="1" applyProtection="1">
      <alignment horizontal="right" vertical="center" wrapText="1"/>
    </xf>
    <xf numFmtId="49" fontId="11" fillId="0" borderId="7" xfId="0" applyNumberFormat="1" applyFont="1" applyFill="1" applyBorder="1" applyAlignment="1" applyProtection="1">
      <alignment horizontal="left" vertical="top" wrapText="1"/>
      <protection locked="0"/>
    </xf>
    <xf numFmtId="49" fontId="11" fillId="0" borderId="10" xfId="0" applyNumberFormat="1" applyFont="1" applyFill="1" applyBorder="1" applyAlignment="1" applyProtection="1">
      <alignment horizontal="left" vertical="top" wrapText="1"/>
      <protection locked="0"/>
    </xf>
    <xf numFmtId="0" fontId="14" fillId="0" borderId="27" xfId="0" applyFont="1" applyFill="1" applyBorder="1" applyAlignment="1" applyProtection="1">
      <alignment horizontal="left" vertical="center" wrapText="1"/>
      <protection locked="0"/>
    </xf>
    <xf numFmtId="49" fontId="11" fillId="0" borderId="38" xfId="0" applyNumberFormat="1" applyFont="1" applyFill="1" applyBorder="1" applyAlignment="1" applyProtection="1">
      <alignment horizontal="left" vertical="top" wrapText="1"/>
      <protection locked="0"/>
    </xf>
    <xf numFmtId="49" fontId="11" fillId="0" borderId="25" xfId="0" applyNumberFormat="1" applyFont="1" applyFill="1" applyBorder="1" applyAlignment="1" applyProtection="1">
      <alignment horizontal="left" vertical="top" wrapText="1"/>
      <protection locked="0"/>
    </xf>
    <xf numFmtId="14" fontId="11" fillId="0" borderId="25" xfId="0" applyNumberFormat="1" applyFont="1" applyFill="1" applyBorder="1" applyAlignment="1" applyProtection="1">
      <alignment horizontal="center" vertical="center" wrapText="1"/>
      <protection locked="0"/>
    </xf>
    <xf numFmtId="0" fontId="11" fillId="0" borderId="19" xfId="0" applyFont="1" applyFill="1" applyBorder="1" applyAlignment="1" applyProtection="1">
      <alignment horizontal="left" vertical="top" wrapText="1"/>
      <protection locked="0"/>
    </xf>
    <xf numFmtId="0" fontId="14" fillId="0" borderId="19" xfId="0" applyFont="1" applyFill="1" applyBorder="1" applyAlignment="1" applyProtection="1">
      <alignment horizontal="left" vertical="center" wrapText="1"/>
      <protection locked="0"/>
    </xf>
    <xf numFmtId="49" fontId="16" fillId="0" borderId="24" xfId="0" applyNumberFormat="1" applyFont="1" applyFill="1" applyBorder="1" applyAlignment="1" applyProtection="1">
      <alignment horizontal="left" vertical="top" wrapText="1"/>
    </xf>
    <xf numFmtId="49" fontId="11" fillId="0" borderId="35" xfId="0" applyNumberFormat="1" applyFont="1" applyFill="1" applyBorder="1" applyAlignment="1" applyProtection="1">
      <alignment horizontal="left" vertical="top" wrapText="1"/>
      <protection locked="0"/>
    </xf>
    <xf numFmtId="14" fontId="16" fillId="0" borderId="25" xfId="0" applyNumberFormat="1" applyFont="1" applyFill="1" applyBorder="1" applyAlignment="1" applyProtection="1">
      <alignment horizontal="center" vertical="center" wrapText="1"/>
    </xf>
    <xf numFmtId="0" fontId="12" fillId="0" borderId="1" xfId="0" applyFont="1" applyFill="1" applyBorder="1" applyAlignment="1" applyProtection="1">
      <alignment horizontal="left" vertical="center" wrapText="1"/>
      <protection locked="0"/>
    </xf>
    <xf numFmtId="0" fontId="14" fillId="0" borderId="1" xfId="0" applyFont="1" applyFill="1" applyBorder="1" applyAlignment="1" applyProtection="1">
      <alignment horizontal="left" vertical="center" wrapText="1"/>
    </xf>
    <xf numFmtId="0" fontId="14" fillId="0" borderId="24"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left" vertical="top" wrapText="1"/>
      <protection locked="0"/>
    </xf>
    <xf numFmtId="4" fontId="11" fillId="0" borderId="13" xfId="0" applyNumberFormat="1" applyFont="1" applyFill="1" applyBorder="1" applyAlignment="1" applyProtection="1">
      <alignment horizontal="right" vertical="center" wrapText="1"/>
      <protection locked="0"/>
    </xf>
    <xf numFmtId="3" fontId="16" fillId="0" borderId="9" xfId="0" applyNumberFormat="1" applyFont="1" applyFill="1" applyBorder="1" applyAlignment="1" applyProtection="1">
      <alignment horizontal="right" vertical="center" wrapText="1"/>
      <protection locked="0"/>
    </xf>
    <xf numFmtId="3" fontId="16" fillId="0" borderId="34" xfId="0" applyNumberFormat="1" applyFont="1" applyFill="1" applyBorder="1" applyAlignment="1" applyProtection="1">
      <alignment horizontal="right" vertical="center" wrapText="1"/>
    </xf>
    <xf numFmtId="4" fontId="11" fillId="5" borderId="15" xfId="0" applyNumberFormat="1" applyFont="1" applyFill="1" applyBorder="1" applyAlignment="1" applyProtection="1">
      <alignment horizontal="right" vertical="center" wrapText="1"/>
    </xf>
    <xf numFmtId="3" fontId="16" fillId="0" borderId="1" xfId="0" applyNumberFormat="1" applyFont="1" applyFill="1" applyBorder="1" applyAlignment="1" applyProtection="1">
      <alignment horizontal="right" vertical="center"/>
    </xf>
    <xf numFmtId="3" fontId="16" fillId="0" borderId="2" xfId="0" applyNumberFormat="1" applyFont="1" applyFill="1" applyBorder="1" applyAlignment="1" applyProtection="1">
      <alignment horizontal="right" vertical="center"/>
    </xf>
    <xf numFmtId="3" fontId="16" fillId="0" borderId="46" xfId="0" applyNumberFormat="1" applyFont="1" applyFill="1" applyBorder="1" applyAlignment="1" applyProtection="1">
      <alignment horizontal="right" vertical="center" wrapText="1"/>
    </xf>
    <xf numFmtId="0" fontId="14" fillId="0" borderId="1" xfId="0" applyFont="1" applyFill="1" applyBorder="1" applyAlignment="1" applyProtection="1">
      <alignment horizontal="left" vertical="center" wrapText="1"/>
      <protection locked="0"/>
    </xf>
    <xf numFmtId="0" fontId="12" fillId="0" borderId="1" xfId="0" applyFont="1" applyFill="1" applyBorder="1" applyAlignment="1" applyProtection="1">
      <alignment horizontal="left" vertical="center" wrapText="1"/>
      <protection locked="0"/>
    </xf>
    <xf numFmtId="0" fontId="14" fillId="0" borderId="1" xfId="0" applyFont="1" applyFill="1" applyBorder="1" applyAlignment="1" applyProtection="1">
      <alignment horizontal="left" vertical="center" wrapText="1"/>
    </xf>
    <xf numFmtId="0" fontId="14" fillId="0" borderId="1" xfId="0" applyFont="1" applyFill="1" applyBorder="1" applyAlignment="1" applyProtection="1">
      <alignment horizontal="left" vertical="top" wrapText="1"/>
      <protection locked="0"/>
    </xf>
    <xf numFmtId="0" fontId="14" fillId="0" borderId="1" xfId="0" applyFont="1" applyFill="1" applyBorder="1" applyAlignment="1" applyProtection="1">
      <alignment horizontal="center" vertical="center" wrapText="1"/>
      <protection locked="0"/>
    </xf>
    <xf numFmtId="0" fontId="14" fillId="0" borderId="25" xfId="0" applyFont="1" applyFill="1" applyBorder="1" applyAlignment="1" applyProtection="1">
      <alignment horizontal="left" vertical="center" wrapText="1"/>
      <protection locked="0"/>
    </xf>
    <xf numFmtId="0" fontId="14" fillId="0" borderId="53" xfId="0" applyFont="1" applyFill="1" applyBorder="1" applyAlignment="1" applyProtection="1">
      <alignment horizontal="center" vertical="center" wrapText="1"/>
      <protection locked="0"/>
    </xf>
    <xf numFmtId="0" fontId="14" fillId="0" borderId="24"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left" vertical="top" wrapText="1"/>
      <protection locked="0"/>
    </xf>
    <xf numFmtId="0" fontId="11" fillId="0" borderId="1" xfId="0" applyFont="1" applyFill="1" applyBorder="1" applyAlignment="1" applyProtection="1">
      <alignment horizontal="left" vertical="center"/>
      <protection locked="0"/>
    </xf>
    <xf numFmtId="3" fontId="11" fillId="0" borderId="10" xfId="0" applyNumberFormat="1" applyFont="1" applyFill="1" applyBorder="1" applyAlignment="1" applyProtection="1">
      <alignment horizontal="right" vertical="center"/>
    </xf>
    <xf numFmtId="0" fontId="14" fillId="0" borderId="53" xfId="0" applyFont="1" applyFill="1" applyBorder="1" applyAlignment="1" applyProtection="1">
      <alignment horizontal="left" vertical="center" wrapText="1"/>
    </xf>
    <xf numFmtId="3" fontId="16" fillId="0" borderId="63" xfId="0" applyNumberFormat="1" applyFont="1" applyFill="1" applyBorder="1" applyAlignment="1" applyProtection="1">
      <alignment horizontal="right" vertical="center" wrapText="1"/>
    </xf>
    <xf numFmtId="0" fontId="14" fillId="0" borderId="53" xfId="0" applyFont="1" applyFill="1" applyBorder="1" applyAlignment="1" applyProtection="1">
      <alignment horizontal="center" vertical="center" wrapText="1"/>
      <protection locked="0"/>
    </xf>
    <xf numFmtId="0" fontId="14" fillId="0" borderId="24" xfId="0" applyFont="1" applyFill="1" applyBorder="1" applyAlignment="1" applyProtection="1">
      <alignment horizontal="center" vertical="center" wrapText="1"/>
      <protection locked="0"/>
    </xf>
    <xf numFmtId="0" fontId="15" fillId="0" borderId="1" xfId="0" applyFont="1" applyFill="1" applyBorder="1" applyProtection="1"/>
    <xf numFmtId="3" fontId="16" fillId="0" borderId="40" xfId="0" applyNumberFormat="1" applyFont="1" applyFill="1" applyBorder="1" applyAlignment="1" applyProtection="1">
      <alignment horizontal="right" vertical="center"/>
    </xf>
    <xf numFmtId="0" fontId="20" fillId="0" borderId="10" xfId="0" applyFont="1" applyFill="1" applyBorder="1" applyAlignment="1" applyProtection="1">
      <alignment horizontal="left" vertical="center" wrapText="1"/>
    </xf>
    <xf numFmtId="0" fontId="20" fillId="0" borderId="35" xfId="0" applyFont="1" applyFill="1" applyBorder="1" applyAlignment="1" applyProtection="1">
      <alignment horizontal="left" vertical="center" wrapText="1"/>
      <protection locked="0"/>
    </xf>
    <xf numFmtId="3" fontId="14" fillId="0" borderId="40" xfId="0" applyNumberFormat="1" applyFont="1" applyFill="1" applyBorder="1" applyAlignment="1" applyProtection="1">
      <alignment vertical="center" wrapText="1"/>
      <protection locked="0"/>
    </xf>
    <xf numFmtId="168" fontId="16" fillId="0" borderId="40" xfId="0" applyNumberFormat="1" applyFont="1" applyFill="1" applyBorder="1" applyAlignment="1" applyProtection="1">
      <alignment horizontal="center" vertical="center"/>
    </xf>
    <xf numFmtId="168" fontId="16" fillId="0" borderId="10" xfId="0" applyNumberFormat="1" applyFont="1" applyFill="1" applyBorder="1" applyAlignment="1" applyProtection="1">
      <alignment horizontal="center" vertical="center" wrapText="1"/>
    </xf>
    <xf numFmtId="168" fontId="11" fillId="0" borderId="35" xfId="0" applyNumberFormat="1" applyFont="1" applyFill="1" applyBorder="1" applyAlignment="1" applyProtection="1">
      <alignment horizontal="center" vertical="center" wrapText="1"/>
    </xf>
    <xf numFmtId="168" fontId="16" fillId="0" borderId="1" xfId="0" applyNumberFormat="1" applyFont="1" applyFill="1" applyBorder="1" applyAlignment="1" applyProtection="1">
      <alignment horizontal="center" vertical="center"/>
    </xf>
    <xf numFmtId="3" fontId="14" fillId="0" borderId="1" xfId="0" applyNumberFormat="1" applyFont="1" applyFill="1" applyBorder="1" applyAlignment="1" applyProtection="1">
      <alignment vertical="center" wrapText="1"/>
      <protection locked="0"/>
    </xf>
    <xf numFmtId="168" fontId="16" fillId="0" borderId="1" xfId="0" applyNumberFormat="1" applyFont="1" applyFill="1" applyBorder="1" applyAlignment="1" applyProtection="1">
      <alignment horizontal="center" vertical="center" wrapText="1"/>
    </xf>
    <xf numFmtId="0" fontId="20" fillId="0" borderId="11" xfId="0" applyFont="1" applyFill="1" applyBorder="1" applyAlignment="1" applyProtection="1">
      <alignment horizontal="left" vertical="center" wrapText="1"/>
    </xf>
    <xf numFmtId="3" fontId="14" fillId="0" borderId="6" xfId="0" applyNumberFormat="1" applyFont="1" applyFill="1" applyBorder="1" applyAlignment="1" applyProtection="1">
      <alignment horizontal="right" vertical="center" wrapText="1"/>
      <protection locked="0"/>
    </xf>
    <xf numFmtId="3" fontId="14" fillId="0" borderId="7" xfId="0" applyNumberFormat="1" applyFont="1" applyFill="1" applyBorder="1" applyAlignment="1" applyProtection="1">
      <alignment horizontal="right" vertical="center" wrapText="1"/>
      <protection locked="0"/>
    </xf>
    <xf numFmtId="3" fontId="14" fillId="0" borderId="8" xfId="0" applyNumberFormat="1" applyFont="1" applyFill="1" applyBorder="1" applyAlignment="1" applyProtection="1">
      <alignment horizontal="right" vertical="center" wrapText="1"/>
      <protection locked="0"/>
    </xf>
    <xf numFmtId="3" fontId="14" fillId="0" borderId="7" xfId="0" applyNumberFormat="1" applyFont="1" applyFill="1" applyBorder="1" applyAlignment="1" applyProtection="1">
      <alignment horizontal="right" vertical="center" wrapText="1"/>
    </xf>
    <xf numFmtId="0" fontId="16" fillId="0" borderId="19" xfId="0" applyNumberFormat="1" applyFont="1" applyFill="1" applyBorder="1" applyAlignment="1" applyProtection="1">
      <alignment horizontal="right" vertical="center" wrapText="1"/>
    </xf>
    <xf numFmtId="0" fontId="11" fillId="0" borderId="1" xfId="0" applyNumberFormat="1" applyFont="1" applyFill="1" applyBorder="1" applyAlignment="1" applyProtection="1">
      <alignment horizontal="right" vertical="center"/>
    </xf>
    <xf numFmtId="0" fontId="11" fillId="0" borderId="1" xfId="0" applyNumberFormat="1" applyFont="1" applyFill="1" applyBorder="1" applyAlignment="1" applyProtection="1">
      <alignment horizontal="right" vertical="center" wrapText="1"/>
    </xf>
    <xf numFmtId="0" fontId="11" fillId="0" borderId="1" xfId="0" applyNumberFormat="1" applyFont="1" applyFill="1" applyBorder="1" applyAlignment="1" applyProtection="1">
      <alignment horizontal="right" vertical="center" wrapText="1"/>
      <protection locked="0"/>
    </xf>
    <xf numFmtId="0" fontId="16" fillId="0" borderId="1" xfId="0" applyNumberFormat="1" applyFont="1" applyFill="1" applyBorder="1" applyAlignment="1" applyProtection="1">
      <alignment horizontal="right" vertical="center" wrapText="1"/>
    </xf>
    <xf numFmtId="49" fontId="11" fillId="0" borderId="39" xfId="0" applyNumberFormat="1" applyFont="1" applyFill="1" applyBorder="1" applyAlignment="1" applyProtection="1">
      <alignment horizontal="center" vertical="center"/>
    </xf>
    <xf numFmtId="49" fontId="11" fillId="0" borderId="9" xfId="0" applyNumberFormat="1" applyFont="1" applyFill="1" applyBorder="1" applyAlignment="1" applyProtection="1">
      <alignment horizontal="center" vertical="center" wrapText="1"/>
    </xf>
    <xf numFmtId="49" fontId="11" fillId="0" borderId="9" xfId="0" applyNumberFormat="1" applyFont="1" applyFill="1" applyBorder="1" applyAlignment="1" applyProtection="1">
      <alignment horizontal="center" vertical="center" wrapText="1"/>
      <protection locked="0"/>
    </xf>
    <xf numFmtId="49" fontId="11" fillId="0" borderId="34" xfId="0" applyNumberFormat="1" applyFont="1" applyFill="1" applyBorder="1" applyAlignment="1" applyProtection="1">
      <alignment horizontal="center" vertical="center" wrapText="1"/>
    </xf>
    <xf numFmtId="49" fontId="16" fillId="0" borderId="19" xfId="0" applyNumberFormat="1" applyFont="1" applyFill="1" applyBorder="1" applyAlignment="1" applyProtection="1">
      <alignment horizontal="center" vertical="center" wrapText="1"/>
    </xf>
    <xf numFmtId="14" fontId="11" fillId="0" borderId="39" xfId="0" applyNumberFormat="1" applyFont="1" applyFill="1" applyBorder="1" applyAlignment="1" applyProtection="1">
      <alignment horizontal="center" vertical="center"/>
    </xf>
    <xf numFmtId="14" fontId="11" fillId="0" borderId="9" xfId="0" applyNumberFormat="1" applyFont="1" applyFill="1" applyBorder="1" applyAlignment="1" applyProtection="1">
      <alignment horizontal="center" vertical="center" wrapText="1"/>
    </xf>
    <xf numFmtId="14" fontId="11" fillId="0" borderId="9" xfId="0" applyNumberFormat="1" applyFont="1" applyFill="1" applyBorder="1" applyAlignment="1" applyProtection="1">
      <alignment horizontal="center" vertical="center" wrapText="1"/>
      <protection locked="0"/>
    </xf>
    <xf numFmtId="14" fontId="11" fillId="0" borderId="34" xfId="0" applyNumberFormat="1" applyFont="1" applyFill="1" applyBorder="1" applyAlignment="1" applyProtection="1">
      <alignment horizontal="center" vertical="center" wrapText="1"/>
    </xf>
    <xf numFmtId="49" fontId="11" fillId="0" borderId="2" xfId="0" applyNumberFormat="1" applyFont="1" applyFill="1" applyBorder="1" applyAlignment="1" applyProtection="1">
      <alignment horizontal="center" vertical="center"/>
    </xf>
    <xf numFmtId="49" fontId="11" fillId="0" borderId="3" xfId="0" applyNumberFormat="1" applyFont="1" applyFill="1" applyBorder="1" applyAlignment="1" applyProtection="1">
      <alignment horizontal="center" vertical="center" wrapText="1"/>
    </xf>
    <xf numFmtId="49" fontId="11" fillId="0" borderId="3" xfId="0" applyNumberFormat="1" applyFont="1" applyFill="1" applyBorder="1" applyAlignment="1" applyProtection="1">
      <alignment horizontal="center" vertical="center" wrapText="1"/>
      <protection locked="0"/>
    </xf>
    <xf numFmtId="49" fontId="11" fillId="0" borderId="46" xfId="0" applyNumberFormat="1" applyFont="1" applyFill="1" applyBorder="1" applyAlignment="1" applyProtection="1">
      <alignment horizontal="center" vertical="center" wrapText="1"/>
    </xf>
    <xf numFmtId="49" fontId="16" fillId="0" borderId="25" xfId="0" applyNumberFormat="1" applyFont="1" applyFill="1" applyBorder="1" applyAlignment="1" applyProtection="1">
      <alignment horizontal="center" vertical="center" wrapText="1"/>
    </xf>
    <xf numFmtId="0" fontId="20" fillId="0" borderId="1" xfId="0" applyFont="1" applyFill="1" applyBorder="1" applyAlignment="1" applyProtection="1">
      <alignment horizontal="left" vertical="center" wrapText="1" indent="1"/>
      <protection locked="0"/>
    </xf>
    <xf numFmtId="0" fontId="15" fillId="0" borderId="1" xfId="0" applyFont="1" applyBorder="1"/>
    <xf numFmtId="0" fontId="15" fillId="0" borderId="1" xfId="0" applyFont="1" applyFill="1" applyBorder="1"/>
    <xf numFmtId="49" fontId="20" fillId="0" borderId="7" xfId="0" applyNumberFormat="1" applyFont="1" applyFill="1" applyBorder="1" applyAlignment="1" applyProtection="1">
      <alignment horizontal="center" vertical="center" wrapText="1"/>
      <protection locked="0"/>
    </xf>
    <xf numFmtId="3" fontId="11" fillId="0" borderId="11" xfId="0" applyNumberFormat="1" applyFont="1" applyFill="1" applyBorder="1" applyAlignment="1" applyProtection="1">
      <alignment horizontal="right" vertical="center"/>
    </xf>
    <xf numFmtId="49" fontId="20" fillId="0" borderId="1" xfId="0" applyNumberFormat="1" applyFont="1" applyFill="1" applyBorder="1" applyAlignment="1" applyProtection="1">
      <alignment horizontal="center" vertical="center" wrapText="1"/>
      <protection locked="0"/>
    </xf>
    <xf numFmtId="4" fontId="11" fillId="0" borderId="1" xfId="0" applyNumberFormat="1" applyFont="1" applyFill="1" applyBorder="1" applyAlignment="1" applyProtection="1">
      <alignment horizontal="right" vertical="center" wrapText="1"/>
      <protection locked="0"/>
    </xf>
    <xf numFmtId="4" fontId="11" fillId="0" borderId="1" xfId="0" applyNumberFormat="1" applyFont="1" applyFill="1" applyBorder="1" applyAlignment="1" applyProtection="1">
      <alignment horizontal="right" vertical="center" wrapText="1"/>
    </xf>
    <xf numFmtId="0" fontId="21" fillId="0" borderId="0" xfId="0" applyFont="1" applyAlignment="1">
      <alignment horizontal="right" vertical="center"/>
    </xf>
    <xf numFmtId="49" fontId="11" fillId="0" borderId="10" xfId="0" applyNumberFormat="1" applyFont="1" applyFill="1" applyBorder="1" applyAlignment="1" applyProtection="1">
      <alignment horizontal="right" vertical="center"/>
    </xf>
    <xf numFmtId="49" fontId="20" fillId="0" borderId="7" xfId="0" applyNumberFormat="1" applyFont="1" applyFill="1" applyBorder="1" applyAlignment="1" applyProtection="1">
      <alignment horizontal="right" vertical="center" wrapText="1"/>
      <protection locked="0"/>
    </xf>
    <xf numFmtId="0" fontId="20" fillId="0" borderId="7" xfId="0" applyNumberFormat="1" applyFont="1" applyFill="1" applyBorder="1" applyAlignment="1" applyProtection="1">
      <alignment horizontal="center" vertical="center" wrapText="1"/>
      <protection locked="0"/>
    </xf>
    <xf numFmtId="0" fontId="11" fillId="0" borderId="10" xfId="0" applyNumberFormat="1" applyFont="1" applyFill="1" applyBorder="1" applyAlignment="1" applyProtection="1">
      <alignment horizontal="center" vertical="center"/>
    </xf>
    <xf numFmtId="49" fontId="11" fillId="0" borderId="10" xfId="0" applyNumberFormat="1" applyFont="1" applyFill="1" applyBorder="1" applyAlignment="1" applyProtection="1">
      <alignment horizontal="center" vertical="center"/>
    </xf>
    <xf numFmtId="49" fontId="11" fillId="0" borderId="19" xfId="0" applyNumberFormat="1" applyFont="1" applyFill="1" applyBorder="1" applyAlignment="1" applyProtection="1">
      <alignment horizontal="center" vertical="center" wrapText="1"/>
      <protection locked="0"/>
    </xf>
    <xf numFmtId="3" fontId="20" fillId="0" borderId="8" xfId="0" applyNumberFormat="1" applyFont="1" applyFill="1" applyBorder="1" applyAlignment="1" applyProtection="1">
      <alignment horizontal="right" vertical="center" wrapText="1"/>
      <protection locked="0"/>
    </xf>
    <xf numFmtId="0" fontId="20" fillId="0" borderId="9" xfId="0" applyFont="1" applyFill="1" applyBorder="1" applyAlignment="1" applyProtection="1">
      <alignment horizontal="left" vertical="center" wrapText="1"/>
    </xf>
    <xf numFmtId="49" fontId="11" fillId="0" borderId="10" xfId="0" applyNumberFormat="1" applyFont="1" applyFill="1" applyBorder="1" applyAlignment="1" applyProtection="1">
      <alignment horizontal="right" vertical="center" wrapText="1"/>
    </xf>
    <xf numFmtId="49" fontId="11" fillId="0" borderId="10" xfId="0" applyNumberFormat="1" applyFont="1" applyFill="1" applyBorder="1" applyAlignment="1" applyProtection="1">
      <alignment horizontal="center" vertical="center" wrapText="1"/>
    </xf>
    <xf numFmtId="49" fontId="11" fillId="0" borderId="14" xfId="0" applyNumberFormat="1" applyFont="1" applyFill="1" applyBorder="1" applyAlignment="1" applyProtection="1">
      <alignment horizontal="right" vertical="center" wrapText="1"/>
      <protection locked="0"/>
    </xf>
    <xf numFmtId="49" fontId="11" fillId="0" borderId="14" xfId="0" applyNumberFormat="1" applyFont="1" applyFill="1" applyBorder="1" applyAlignment="1" applyProtection="1">
      <alignment horizontal="center" vertical="center" wrapText="1"/>
    </xf>
    <xf numFmtId="3" fontId="20" fillId="0" borderId="7" xfId="0" applyNumberFormat="1" applyFont="1" applyFill="1" applyBorder="1" applyAlignment="1" applyProtection="1">
      <alignment horizontal="right" vertical="center" wrapText="1"/>
      <protection locked="0"/>
    </xf>
    <xf numFmtId="49" fontId="11" fillId="0" borderId="14" xfId="0" applyNumberFormat="1" applyFont="1" applyFill="1" applyBorder="1" applyAlignment="1" applyProtection="1">
      <alignment horizontal="center" vertical="center" wrapText="1"/>
      <protection locked="0"/>
    </xf>
    <xf numFmtId="3" fontId="20" fillId="0" borderId="1" xfId="0" applyNumberFormat="1" applyFont="1" applyFill="1" applyBorder="1" applyAlignment="1" applyProtection="1">
      <alignment horizontal="right" vertical="center" wrapText="1"/>
      <protection locked="0"/>
    </xf>
    <xf numFmtId="0" fontId="20" fillId="0" borderId="34" xfId="0" applyFont="1" applyFill="1" applyBorder="1" applyAlignment="1" applyProtection="1">
      <alignment horizontal="left" vertical="center" wrapText="1"/>
      <protection locked="0"/>
    </xf>
    <xf numFmtId="49" fontId="11" fillId="0" borderId="1" xfId="0" applyNumberFormat="1" applyFont="1" applyFill="1" applyBorder="1" applyAlignment="1" applyProtection="1">
      <alignment horizontal="center" vertical="center" wrapText="1"/>
      <protection locked="0"/>
    </xf>
    <xf numFmtId="49" fontId="11" fillId="0" borderId="1" xfId="0" applyNumberFormat="1" applyFont="1" applyFill="1" applyBorder="1" applyAlignment="1" applyProtection="1">
      <alignment horizontal="right" vertical="center" wrapText="1"/>
      <protection locked="0"/>
    </xf>
    <xf numFmtId="49" fontId="11" fillId="0" borderId="1" xfId="0" applyNumberFormat="1" applyFont="1" applyFill="1" applyBorder="1" applyAlignment="1" applyProtection="1">
      <alignment horizontal="center" vertical="center" wrapText="1"/>
    </xf>
    <xf numFmtId="49" fontId="11" fillId="0" borderId="1" xfId="0" applyNumberFormat="1" applyFont="1" applyFill="1" applyBorder="1" applyAlignment="1" applyProtection="1">
      <alignment horizontal="right" vertical="center" wrapText="1"/>
    </xf>
    <xf numFmtId="0" fontId="14" fillId="0" borderId="19" xfId="0" applyFont="1" applyFill="1" applyBorder="1" applyAlignment="1" applyProtection="1">
      <alignment horizontal="left" vertical="center" wrapText="1"/>
    </xf>
    <xf numFmtId="3" fontId="14" fillId="0" borderId="8" xfId="0" applyNumberFormat="1" applyFont="1" applyFill="1" applyBorder="1" applyAlignment="1" applyProtection="1">
      <alignment horizontal="right" vertical="center" wrapText="1"/>
    </xf>
    <xf numFmtId="3" fontId="16" fillId="0" borderId="36" xfId="0" applyNumberFormat="1" applyFont="1" applyFill="1" applyBorder="1" applyAlignment="1" applyProtection="1">
      <alignment horizontal="right" vertical="center" wrapText="1"/>
    </xf>
    <xf numFmtId="0" fontId="11" fillId="0" borderId="25" xfId="0" applyNumberFormat="1" applyFont="1" applyFill="1" applyBorder="1" applyAlignment="1" applyProtection="1">
      <alignment horizontal="center" vertical="center" wrapText="1"/>
      <protection locked="0"/>
    </xf>
    <xf numFmtId="0" fontId="11" fillId="0" borderId="5" xfId="0" applyNumberFormat="1" applyFont="1" applyFill="1" applyBorder="1" applyAlignment="1" applyProtection="1">
      <alignment horizontal="center" vertical="center" wrapText="1"/>
      <protection locked="0"/>
    </xf>
    <xf numFmtId="0" fontId="13" fillId="0" borderId="24" xfId="0" applyFont="1" applyFill="1" applyBorder="1" applyAlignment="1" applyProtection="1">
      <alignment horizontal="center" vertical="center" wrapText="1"/>
      <protection locked="0"/>
    </xf>
    <xf numFmtId="3" fontId="13" fillId="0" borderId="24" xfId="0" applyNumberFormat="1" applyFont="1" applyFill="1" applyBorder="1" applyAlignment="1" applyProtection="1">
      <alignment horizontal="center" vertical="center" wrapText="1"/>
    </xf>
    <xf numFmtId="0" fontId="13" fillId="0" borderId="24" xfId="0" applyNumberFormat="1" applyFont="1" applyFill="1" applyBorder="1" applyAlignment="1" applyProtection="1">
      <alignment horizontal="center" vertical="center" wrapText="1"/>
    </xf>
    <xf numFmtId="3" fontId="11" fillId="0" borderId="68" xfId="0" applyNumberFormat="1" applyFont="1" applyFill="1" applyBorder="1" applyAlignment="1" applyProtection="1">
      <alignment horizontal="right" vertical="center" wrapText="1"/>
    </xf>
    <xf numFmtId="3" fontId="11" fillId="0" borderId="70" xfId="0" applyNumberFormat="1" applyFont="1" applyFill="1" applyBorder="1" applyAlignment="1" applyProtection="1">
      <alignment horizontal="right" vertical="center" wrapText="1"/>
    </xf>
    <xf numFmtId="3" fontId="16" fillId="0" borderId="68" xfId="0" applyNumberFormat="1" applyFont="1" applyFill="1" applyBorder="1" applyAlignment="1" applyProtection="1">
      <alignment horizontal="right" vertical="center" wrapText="1"/>
    </xf>
    <xf numFmtId="3" fontId="16" fillId="0" borderId="70" xfId="0" applyNumberFormat="1" applyFont="1" applyFill="1" applyBorder="1" applyAlignment="1" applyProtection="1">
      <alignment horizontal="right" vertical="center" wrapText="1"/>
    </xf>
    <xf numFmtId="0" fontId="15" fillId="0" borderId="1" xfId="0" applyFont="1" applyBorder="1" applyProtection="1"/>
    <xf numFmtId="3" fontId="11" fillId="0" borderId="66" xfId="0" applyNumberFormat="1" applyFont="1" applyFill="1" applyBorder="1" applyAlignment="1" applyProtection="1">
      <alignment horizontal="right" vertical="center" wrapText="1"/>
    </xf>
    <xf numFmtId="3" fontId="11" fillId="0" borderId="71" xfId="0" applyNumberFormat="1" applyFont="1" applyFill="1" applyBorder="1" applyAlignment="1" applyProtection="1">
      <alignment horizontal="right" vertical="center" wrapText="1"/>
    </xf>
    <xf numFmtId="3" fontId="16" fillId="0" borderId="60" xfId="0" applyNumberFormat="1" applyFont="1" applyFill="1" applyBorder="1" applyAlignment="1" applyProtection="1">
      <alignment horizontal="right" vertical="center" wrapText="1"/>
    </xf>
    <xf numFmtId="3" fontId="11" fillId="0" borderId="60" xfId="0" applyNumberFormat="1" applyFont="1" applyFill="1" applyBorder="1" applyAlignment="1" applyProtection="1">
      <alignment horizontal="right" vertical="center" wrapText="1"/>
      <protection locked="0"/>
    </xf>
    <xf numFmtId="3" fontId="11" fillId="0" borderId="44" xfId="0" applyNumberFormat="1" applyFont="1" applyFill="1" applyBorder="1" applyAlignment="1" applyProtection="1">
      <alignment horizontal="right" vertical="center" wrapText="1"/>
      <protection locked="0"/>
    </xf>
    <xf numFmtId="3" fontId="11" fillId="0" borderId="13" xfId="0" applyNumberFormat="1" applyFont="1" applyFill="1" applyBorder="1" applyAlignment="1" applyProtection="1">
      <alignment horizontal="right" vertical="center" wrapText="1"/>
    </xf>
    <xf numFmtId="3" fontId="16" fillId="0" borderId="72" xfId="0" applyNumberFormat="1" applyFont="1" applyFill="1" applyBorder="1" applyAlignment="1" applyProtection="1">
      <alignment horizontal="right" vertical="center" wrapText="1"/>
    </xf>
    <xf numFmtId="3" fontId="16" fillId="0" borderId="73" xfId="0" applyNumberFormat="1" applyFont="1" applyFill="1" applyBorder="1" applyAlignment="1" applyProtection="1">
      <alignment horizontal="right" vertical="center" wrapText="1"/>
    </xf>
    <xf numFmtId="0" fontId="11" fillId="0" borderId="26" xfId="0" applyFont="1" applyFill="1" applyBorder="1" applyAlignment="1" applyProtection="1">
      <alignment vertical="top"/>
      <protection locked="0"/>
    </xf>
    <xf numFmtId="0" fontId="11" fillId="0" borderId="28" xfId="0" applyFont="1" applyFill="1" applyBorder="1" applyAlignment="1" applyProtection="1">
      <alignment vertical="top"/>
      <protection locked="0"/>
    </xf>
    <xf numFmtId="0" fontId="11" fillId="0" borderId="20" xfId="0" applyFont="1" applyFill="1" applyBorder="1" applyAlignment="1" applyProtection="1">
      <alignment horizontal="center" vertical="center"/>
      <protection locked="0"/>
    </xf>
    <xf numFmtId="0" fontId="11" fillId="0" borderId="21" xfId="0" applyFont="1" applyFill="1" applyBorder="1" applyAlignment="1" applyProtection="1">
      <alignment horizontal="center" vertical="center"/>
      <protection locked="0"/>
    </xf>
    <xf numFmtId="0" fontId="14" fillId="0" borderId="20" xfId="0" applyFont="1" applyFill="1" applyBorder="1" applyAlignment="1" applyProtection="1">
      <alignment vertical="center" wrapText="1"/>
    </xf>
    <xf numFmtId="0" fontId="12" fillId="0" borderId="20" xfId="0" applyFont="1" applyFill="1" applyBorder="1" applyAlignment="1" applyProtection="1">
      <alignment vertical="center" wrapText="1"/>
      <protection locked="0"/>
    </xf>
    <xf numFmtId="0" fontId="12" fillId="0" borderId="21" xfId="0" applyFont="1" applyFill="1" applyBorder="1" applyAlignment="1" applyProtection="1">
      <alignment horizontal="left" vertical="center" wrapText="1"/>
      <protection locked="0"/>
    </xf>
    <xf numFmtId="0" fontId="12" fillId="0" borderId="22" xfId="0" applyFont="1" applyFill="1" applyBorder="1" applyAlignment="1" applyProtection="1">
      <alignment vertical="center" wrapText="1"/>
      <protection locked="0"/>
    </xf>
    <xf numFmtId="3" fontId="16" fillId="0" borderId="7" xfId="0" applyNumberFormat="1" applyFont="1" applyFill="1" applyBorder="1" applyAlignment="1" applyProtection="1">
      <alignment horizontal="right" vertical="center" wrapText="1"/>
    </xf>
    <xf numFmtId="3" fontId="16" fillId="0" borderId="8" xfId="0" applyNumberFormat="1" applyFont="1" applyFill="1" applyBorder="1" applyAlignment="1" applyProtection="1">
      <alignment horizontal="right" vertical="center" wrapText="1"/>
    </xf>
    <xf numFmtId="3" fontId="16" fillId="0" borderId="65" xfId="0" applyNumberFormat="1" applyFont="1" applyFill="1" applyBorder="1" applyAlignment="1" applyProtection="1">
      <alignment horizontal="right" vertical="center" wrapText="1"/>
    </xf>
    <xf numFmtId="3" fontId="16" fillId="0" borderId="6" xfId="0" applyNumberFormat="1" applyFont="1" applyFill="1" applyBorder="1" applyAlignment="1" applyProtection="1">
      <alignment horizontal="right" vertical="center" wrapText="1"/>
    </xf>
    <xf numFmtId="3" fontId="16" fillId="0" borderId="69" xfId="0" applyNumberFormat="1" applyFont="1" applyFill="1" applyBorder="1" applyAlignment="1" applyProtection="1">
      <alignment horizontal="right" vertical="center" wrapText="1"/>
    </xf>
    <xf numFmtId="0" fontId="14" fillId="0" borderId="22" xfId="0" applyFont="1" applyFill="1" applyBorder="1" applyAlignment="1" applyProtection="1">
      <alignment vertical="center" wrapText="1"/>
    </xf>
    <xf numFmtId="3" fontId="16" fillId="0" borderId="44" xfId="0" applyNumberFormat="1" applyFont="1" applyFill="1" applyBorder="1" applyAlignment="1" applyProtection="1">
      <alignment horizontal="right" vertical="center" wrapText="1"/>
    </xf>
    <xf numFmtId="3" fontId="16" fillId="0" borderId="66" xfId="0" applyNumberFormat="1" applyFont="1" applyFill="1" applyBorder="1" applyAlignment="1" applyProtection="1">
      <alignment horizontal="right" vertical="center" wrapText="1"/>
    </xf>
    <xf numFmtId="3" fontId="16" fillId="0" borderId="71" xfId="0" applyNumberFormat="1" applyFont="1" applyFill="1" applyBorder="1" applyAlignment="1" applyProtection="1">
      <alignment horizontal="right" vertical="center" wrapText="1"/>
    </xf>
    <xf numFmtId="0" fontId="20" fillId="0" borderId="20" xfId="0" applyFont="1" applyFill="1" applyBorder="1" applyAlignment="1" applyProtection="1">
      <alignment vertical="center" wrapText="1"/>
    </xf>
    <xf numFmtId="0" fontId="20" fillId="0" borderId="20" xfId="0" applyFont="1" applyFill="1" applyBorder="1" applyAlignment="1" applyProtection="1">
      <alignment vertical="center" wrapText="1"/>
      <protection locked="0"/>
    </xf>
    <xf numFmtId="0" fontId="20" fillId="0" borderId="1" xfId="0" applyFont="1" applyFill="1" applyBorder="1" applyAlignment="1" applyProtection="1">
      <alignment vertical="center" wrapText="1"/>
    </xf>
    <xf numFmtId="0" fontId="0" fillId="0" borderId="1" xfId="0" applyFont="1" applyBorder="1" applyProtection="1"/>
    <xf numFmtId="0" fontId="0" fillId="0" borderId="0" xfId="0" applyFont="1" applyProtection="1"/>
    <xf numFmtId="3" fontId="11" fillId="0" borderId="60" xfId="0" applyNumberFormat="1" applyFont="1" applyFill="1" applyBorder="1" applyAlignment="1" applyProtection="1">
      <alignment horizontal="right" vertical="center" wrapText="1"/>
    </xf>
    <xf numFmtId="0" fontId="14" fillId="0" borderId="20" xfId="0" applyFont="1" applyFill="1" applyBorder="1" applyAlignment="1" applyProtection="1">
      <alignment horizontal="left" vertical="center" wrapText="1"/>
    </xf>
    <xf numFmtId="0" fontId="20" fillId="0" borderId="21" xfId="0" applyFont="1" applyFill="1" applyBorder="1" applyAlignment="1" applyProtection="1">
      <alignment horizontal="left" vertical="center" wrapText="1"/>
      <protection locked="0"/>
    </xf>
    <xf numFmtId="0" fontId="11" fillId="0" borderId="25" xfId="0" applyFont="1" applyFill="1" applyBorder="1" applyAlignment="1" applyProtection="1">
      <alignment horizontal="center" vertical="center"/>
      <protection locked="0"/>
    </xf>
    <xf numFmtId="0" fontId="14" fillId="0" borderId="53" xfId="0" applyFont="1" applyFill="1" applyBorder="1" applyAlignment="1" applyProtection="1">
      <alignment horizontal="center" vertical="center" wrapText="1"/>
      <protection locked="0"/>
    </xf>
    <xf numFmtId="0" fontId="14" fillId="0" borderId="24" xfId="0" applyFont="1" applyFill="1" applyBorder="1" applyAlignment="1" applyProtection="1">
      <alignment horizontal="center" vertical="center" wrapText="1"/>
      <protection locked="0"/>
    </xf>
    <xf numFmtId="0" fontId="12" fillId="0" borderId="21" xfId="0" applyFont="1" applyFill="1" applyBorder="1" applyAlignment="1" applyProtection="1">
      <alignment horizontal="left" vertical="center" wrapText="1"/>
      <protection locked="0"/>
    </xf>
    <xf numFmtId="0" fontId="14" fillId="0" borderId="21" xfId="0" applyFont="1" applyFill="1" applyBorder="1" applyAlignment="1" applyProtection="1">
      <alignment horizontal="left" vertical="center" wrapText="1"/>
    </xf>
    <xf numFmtId="0" fontId="12" fillId="0" borderId="23" xfId="0" applyFont="1" applyFill="1" applyBorder="1" applyAlignment="1" applyProtection="1">
      <alignment horizontal="left" vertical="center" wrapText="1"/>
      <protection locked="0"/>
    </xf>
    <xf numFmtId="0" fontId="20" fillId="0" borderId="1" xfId="0" applyFont="1" applyFill="1" applyBorder="1" applyAlignment="1" applyProtection="1">
      <alignment horizontal="left" vertical="center" wrapText="1"/>
    </xf>
    <xf numFmtId="3" fontId="11" fillId="0" borderId="65" xfId="0" applyNumberFormat="1" applyFont="1" applyFill="1" applyBorder="1" applyAlignment="1" applyProtection="1">
      <alignment horizontal="right" vertical="center" wrapText="1"/>
    </xf>
    <xf numFmtId="3" fontId="11" fillId="0" borderId="69" xfId="0" applyNumberFormat="1" applyFont="1" applyFill="1" applyBorder="1" applyAlignment="1" applyProtection="1">
      <alignment horizontal="right" vertical="center" wrapText="1"/>
    </xf>
    <xf numFmtId="3" fontId="11" fillId="0" borderId="44" xfId="0" applyNumberFormat="1" applyFont="1" applyFill="1" applyBorder="1" applyAlignment="1" applyProtection="1">
      <alignment horizontal="right" vertical="center" wrapText="1"/>
    </xf>
    <xf numFmtId="0" fontId="15" fillId="0" borderId="1" xfId="0" applyFont="1" applyBorder="1" applyAlignment="1" applyProtection="1">
      <alignment vertical="center"/>
    </xf>
    <xf numFmtId="0" fontId="15" fillId="0" borderId="0" xfId="0" applyFont="1" applyAlignment="1" applyProtection="1">
      <alignment vertical="center"/>
    </xf>
    <xf numFmtId="0" fontId="0" fillId="0" borderId="1" xfId="0" applyBorder="1" applyAlignment="1">
      <alignment vertical="center"/>
    </xf>
    <xf numFmtId="0" fontId="13" fillId="0" borderId="29" xfId="0" applyNumberFormat="1" applyFont="1" applyFill="1" applyBorder="1" applyAlignment="1" applyProtection="1">
      <alignment horizontal="center" vertical="center" wrapText="1"/>
    </xf>
    <xf numFmtId="0" fontId="0" fillId="0" borderId="10" xfId="0" applyBorder="1" applyAlignment="1">
      <alignment horizontal="center" vertical="center"/>
    </xf>
    <xf numFmtId="0" fontId="13" fillId="0" borderId="1" xfId="0" applyNumberFormat="1" applyFont="1" applyFill="1" applyBorder="1" applyAlignment="1" applyProtection="1">
      <alignment vertical="center" wrapText="1"/>
    </xf>
    <xf numFmtId="0" fontId="13" fillId="0" borderId="25" xfId="0" applyNumberFormat="1" applyFont="1" applyFill="1" applyBorder="1" applyAlignment="1" applyProtection="1">
      <alignment vertical="center" wrapText="1"/>
    </xf>
    <xf numFmtId="0" fontId="0" fillId="0" borderId="0" xfId="0" applyAlignment="1">
      <alignment wrapText="1"/>
    </xf>
    <xf numFmtId="0" fontId="14" fillId="0" borderId="25" xfId="0" applyFont="1" applyFill="1" applyBorder="1" applyAlignment="1" applyProtection="1">
      <alignment horizontal="left" vertical="center" wrapText="1"/>
      <protection locked="0"/>
    </xf>
    <xf numFmtId="0" fontId="38" fillId="0" borderId="1" xfId="0" applyFont="1" applyFill="1" applyBorder="1" applyAlignment="1" applyProtection="1">
      <alignment vertical="center"/>
      <protection locked="0"/>
    </xf>
    <xf numFmtId="3" fontId="28" fillId="2" borderId="52" xfId="0" applyNumberFormat="1" applyFont="1" applyFill="1" applyBorder="1" applyAlignment="1">
      <alignment horizontal="center"/>
    </xf>
    <xf numFmtId="49" fontId="40" fillId="0" borderId="0" xfId="0" applyNumberFormat="1" applyFont="1" applyFill="1" applyAlignment="1">
      <alignment horizontal="left"/>
    </xf>
    <xf numFmtId="0" fontId="17" fillId="0" borderId="0" xfId="0" applyFont="1"/>
    <xf numFmtId="0" fontId="11" fillId="0" borderId="10" xfId="0" applyNumberFormat="1" applyFont="1" applyFill="1" applyBorder="1" applyAlignment="1" applyProtection="1">
      <alignment horizontal="left" vertical="top" wrapText="1"/>
    </xf>
    <xf numFmtId="3" fontId="11" fillId="0" borderId="10" xfId="0" applyNumberFormat="1" applyFont="1" applyFill="1" applyBorder="1" applyAlignment="1" applyProtection="1">
      <alignment horizontal="left" vertical="top" wrapText="1"/>
    </xf>
    <xf numFmtId="3" fontId="11" fillId="0" borderId="14" xfId="0" applyNumberFormat="1" applyFont="1" applyFill="1" applyBorder="1" applyAlignment="1" applyProtection="1">
      <alignment horizontal="left" vertical="top" wrapText="1"/>
    </xf>
    <xf numFmtId="0" fontId="20" fillId="0" borderId="12" xfId="0" applyFont="1" applyFill="1" applyBorder="1" applyAlignment="1" applyProtection="1">
      <alignment horizontal="left" vertical="center" wrapText="1"/>
      <protection locked="0"/>
    </xf>
    <xf numFmtId="0" fontId="23" fillId="0" borderId="1" xfId="0" applyNumberFormat="1" applyFont="1" applyFill="1" applyBorder="1" applyAlignment="1">
      <alignment horizontal="center" vertical="center"/>
    </xf>
    <xf numFmtId="3" fontId="23" fillId="0" borderId="37" xfId="0" applyNumberFormat="1" applyFont="1" applyFill="1" applyBorder="1" applyAlignment="1">
      <alignment horizontal="right" vertical="center"/>
    </xf>
    <xf numFmtId="3" fontId="23" fillId="0" borderId="38" xfId="0" applyNumberFormat="1" applyFont="1" applyFill="1" applyBorder="1" applyAlignment="1">
      <alignment horizontal="right" vertical="center"/>
    </xf>
    <xf numFmtId="0" fontId="0" fillId="0" borderId="7" xfId="0" applyBorder="1"/>
    <xf numFmtId="0" fontId="0" fillId="0" borderId="7" xfId="0" applyFill="1" applyBorder="1"/>
    <xf numFmtId="3" fontId="0" fillId="0" borderId="7" xfId="0" applyNumberFormat="1" applyFill="1" applyBorder="1" applyAlignment="1">
      <alignment horizontal="right"/>
    </xf>
    <xf numFmtId="3" fontId="0" fillId="0" borderId="7" xfId="0" applyNumberFormat="1" applyBorder="1" applyAlignment="1">
      <alignment horizontal="right"/>
    </xf>
    <xf numFmtId="0" fontId="0" fillId="0" borderId="10" xfId="0" applyBorder="1"/>
    <xf numFmtId="0" fontId="0" fillId="0" borderId="10" xfId="0" applyFill="1" applyBorder="1"/>
    <xf numFmtId="3" fontId="0" fillId="0" borderId="10" xfId="0" applyNumberFormat="1" applyFill="1" applyBorder="1" applyAlignment="1">
      <alignment horizontal="right"/>
    </xf>
    <xf numFmtId="3" fontId="0" fillId="0" borderId="10" xfId="0" applyNumberFormat="1" applyBorder="1" applyAlignment="1">
      <alignment horizontal="right"/>
    </xf>
    <xf numFmtId="0" fontId="0" fillId="0" borderId="14" xfId="0" applyBorder="1"/>
    <xf numFmtId="0" fontId="0" fillId="0" borderId="14" xfId="0" applyFill="1" applyBorder="1"/>
    <xf numFmtId="3" fontId="0" fillId="0" borderId="14" xfId="0" applyNumberFormat="1" applyFill="1" applyBorder="1" applyAlignment="1">
      <alignment horizontal="right"/>
    </xf>
    <xf numFmtId="3" fontId="0" fillId="0" borderId="14" xfId="0" applyNumberFormat="1" applyBorder="1" applyAlignment="1">
      <alignment horizontal="right"/>
    </xf>
    <xf numFmtId="3" fontId="0" fillId="3" borderId="7" xfId="0" applyNumberFormat="1" applyFill="1" applyBorder="1" applyAlignment="1">
      <alignment horizontal="right"/>
    </xf>
    <xf numFmtId="3" fontId="0" fillId="3" borderId="10" xfId="0" applyNumberFormat="1" applyFill="1" applyBorder="1" applyAlignment="1">
      <alignment horizontal="right"/>
    </xf>
    <xf numFmtId="3" fontId="0" fillId="3" borderId="14" xfId="0" applyNumberFormat="1" applyFill="1" applyBorder="1" applyAlignment="1">
      <alignment horizontal="right"/>
    </xf>
    <xf numFmtId="3" fontId="23" fillId="3" borderId="37" xfId="0" applyNumberFormat="1" applyFont="1" applyFill="1" applyBorder="1" applyAlignment="1">
      <alignment horizontal="right" vertical="center"/>
    </xf>
    <xf numFmtId="3" fontId="0" fillId="3" borderId="8" xfId="0" applyNumberFormat="1" applyFill="1" applyBorder="1" applyAlignment="1">
      <alignment horizontal="right"/>
    </xf>
    <xf numFmtId="3" fontId="0" fillId="3" borderId="11" xfId="0" applyNumberFormat="1" applyFill="1" applyBorder="1" applyAlignment="1">
      <alignment horizontal="right"/>
    </xf>
    <xf numFmtId="3" fontId="0" fillId="3" borderId="15" xfId="0" applyNumberFormat="1" applyFill="1" applyBorder="1" applyAlignment="1">
      <alignment horizontal="right"/>
    </xf>
    <xf numFmtId="3" fontId="23" fillId="3" borderId="38" xfId="0" applyNumberFormat="1" applyFont="1" applyFill="1" applyBorder="1" applyAlignment="1">
      <alignment horizontal="right" vertical="center"/>
    </xf>
    <xf numFmtId="0" fontId="14" fillId="0" borderId="1" xfId="0" applyFont="1" applyFill="1" applyBorder="1" applyAlignment="1" applyProtection="1">
      <alignment horizontal="center" vertical="center" wrapText="1"/>
      <protection locked="0"/>
    </xf>
    <xf numFmtId="0" fontId="14" fillId="0" borderId="32" xfId="0" applyFont="1" applyFill="1" applyBorder="1" applyAlignment="1" applyProtection="1">
      <alignment horizontal="center" vertical="center" wrapText="1"/>
      <protection locked="0"/>
    </xf>
    <xf numFmtId="0" fontId="14" fillId="0" borderId="7" xfId="0" applyFont="1" applyFill="1" applyBorder="1" applyAlignment="1" applyProtection="1">
      <alignment horizontal="center" vertical="center" wrapText="1"/>
      <protection locked="0"/>
    </xf>
    <xf numFmtId="0" fontId="14" fillId="0" borderId="26" xfId="0" applyFont="1" applyFill="1" applyBorder="1" applyAlignment="1" applyProtection="1">
      <alignment horizontal="center" vertical="center" wrapText="1"/>
      <protection locked="0"/>
    </xf>
    <xf numFmtId="0" fontId="14" fillId="0" borderId="25" xfId="0" applyFont="1" applyFill="1" applyBorder="1" applyAlignment="1" applyProtection="1">
      <alignment horizontal="left" vertical="center" wrapText="1"/>
      <protection locked="0"/>
    </xf>
    <xf numFmtId="0" fontId="14" fillId="0" borderId="24" xfId="0" applyFont="1" applyFill="1" applyBorder="1" applyAlignment="1" applyProtection="1">
      <alignment horizontal="center" vertical="center" wrapText="1"/>
      <protection locked="0"/>
    </xf>
    <xf numFmtId="0" fontId="11" fillId="0" borderId="7" xfId="0" applyNumberFormat="1" applyFont="1" applyFill="1" applyBorder="1" applyAlignment="1" applyProtection="1">
      <alignment horizontal="left" vertical="top" wrapText="1"/>
      <protection locked="0"/>
    </xf>
    <xf numFmtId="0" fontId="14" fillId="0" borderId="50"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left" vertical="center" wrapText="1"/>
      <protection locked="0"/>
    </xf>
    <xf numFmtId="0" fontId="35" fillId="0" borderId="1" xfId="0" applyFont="1" applyBorder="1" applyAlignment="1">
      <alignment horizontal="right"/>
    </xf>
    <xf numFmtId="3" fontId="36" fillId="0" borderId="1" xfId="0" applyNumberFormat="1" applyFont="1" applyBorder="1"/>
    <xf numFmtId="0" fontId="11" fillId="0" borderId="7" xfId="0" applyFont="1" applyFill="1" applyBorder="1" applyAlignment="1" applyProtection="1">
      <alignment horizontal="left" vertical="center"/>
      <protection locked="0"/>
    </xf>
    <xf numFmtId="0" fontId="11" fillId="0" borderId="7" xfId="0" applyFont="1" applyFill="1" applyBorder="1" applyAlignment="1" applyProtection="1">
      <alignment horizontal="left" vertical="center"/>
    </xf>
    <xf numFmtId="0" fontId="11" fillId="0" borderId="6" xfId="0" applyFont="1" applyFill="1" applyBorder="1" applyAlignment="1" applyProtection="1">
      <alignment horizontal="left" vertical="center"/>
      <protection locked="0"/>
    </xf>
    <xf numFmtId="3" fontId="35" fillId="0" borderId="0" xfId="0" applyNumberFormat="1" applyFont="1" applyAlignment="1">
      <alignment horizontal="right"/>
    </xf>
    <xf numFmtId="0" fontId="0" fillId="0" borderId="0" xfId="0" applyAlignment="1">
      <alignment horizontal="left" vertical="center"/>
    </xf>
    <xf numFmtId="0" fontId="14" fillId="0" borderId="25" xfId="0" applyFont="1" applyFill="1" applyBorder="1" applyAlignment="1" applyProtection="1">
      <alignment vertical="center"/>
      <protection locked="0"/>
    </xf>
    <xf numFmtId="3" fontId="12" fillId="0" borderId="25" xfId="0" applyNumberFormat="1" applyFont="1" applyFill="1" applyBorder="1" applyAlignment="1" applyProtection="1">
      <alignment horizontal="right" vertical="center" wrapText="1"/>
      <protection locked="0"/>
    </xf>
    <xf numFmtId="0" fontId="41" fillId="0" borderId="0" xfId="0" applyFont="1" applyFill="1"/>
    <xf numFmtId="0" fontId="42" fillId="0" borderId="0" xfId="0" applyFont="1" applyFill="1"/>
    <xf numFmtId="3" fontId="17" fillId="0" borderId="10" xfId="0" applyNumberFormat="1" applyFont="1" applyBorder="1"/>
    <xf numFmtId="3" fontId="17" fillId="0" borderId="35" xfId="0" applyNumberFormat="1" applyFont="1" applyBorder="1"/>
    <xf numFmtId="0" fontId="43" fillId="0" borderId="6" xfId="0" applyFont="1" applyFill="1" applyBorder="1" applyAlignment="1" applyProtection="1">
      <alignment horizontal="left" vertical="top" wrapText="1"/>
      <protection locked="0"/>
    </xf>
    <xf numFmtId="0" fontId="44" fillId="0" borderId="9" xfId="0" applyFont="1" applyBorder="1"/>
    <xf numFmtId="0" fontId="44" fillId="0" borderId="13" xfId="0" applyFont="1" applyBorder="1"/>
    <xf numFmtId="0" fontId="0" fillId="0" borderId="11" xfId="0" applyBorder="1" applyAlignment="1">
      <alignment horizontal="center" vertical="center"/>
    </xf>
    <xf numFmtId="14" fontId="11" fillId="0" borderId="11" xfId="0" applyNumberFormat="1" applyFont="1" applyFill="1" applyBorder="1" applyAlignment="1" applyProtection="1">
      <alignment horizontal="center" vertical="center" wrapText="1"/>
      <protection locked="0"/>
    </xf>
    <xf numFmtId="14" fontId="11" fillId="0" borderId="34" xfId="0" applyNumberFormat="1" applyFont="1" applyFill="1" applyBorder="1" applyAlignment="1" applyProtection="1">
      <alignment horizontal="center" vertical="center" wrapText="1"/>
      <protection locked="0"/>
    </xf>
    <xf numFmtId="14" fontId="11" fillId="0" borderId="36" xfId="0" applyNumberFormat="1" applyFont="1" applyFill="1" applyBorder="1" applyAlignment="1" applyProtection="1">
      <alignment horizontal="center" vertical="center" wrapText="1"/>
      <protection locked="0"/>
    </xf>
    <xf numFmtId="0" fontId="11" fillId="0" borderId="7" xfId="0" applyNumberFormat="1" applyFont="1" applyFill="1" applyBorder="1" applyAlignment="1" applyProtection="1">
      <alignment horizontal="center" vertical="top" wrapText="1"/>
      <protection locked="0"/>
    </xf>
    <xf numFmtId="0" fontId="11" fillId="0" borderId="40" xfId="0" applyNumberFormat="1" applyFont="1" applyFill="1" applyBorder="1" applyAlignment="1" applyProtection="1">
      <alignment horizontal="center" vertical="top" wrapText="1"/>
      <protection locked="0"/>
    </xf>
    <xf numFmtId="0" fontId="14" fillId="3" borderId="10" xfId="0" applyFont="1" applyFill="1" applyBorder="1" applyAlignment="1" applyProtection="1">
      <alignment horizontal="center" vertical="center" wrapText="1"/>
      <protection locked="0"/>
    </xf>
    <xf numFmtId="49" fontId="14" fillId="0" borderId="10" xfId="0" applyNumberFormat="1" applyFont="1" applyFill="1" applyBorder="1" applyAlignment="1" applyProtection="1">
      <alignment horizontal="center" vertical="center" wrapText="1"/>
      <protection locked="0"/>
    </xf>
    <xf numFmtId="4" fontId="11" fillId="0" borderId="14" xfId="0" applyNumberFormat="1" applyFont="1" applyFill="1" applyBorder="1" applyAlignment="1" applyProtection="1">
      <alignment horizontal="right" vertical="center" wrapText="1"/>
      <protection locked="0"/>
    </xf>
    <xf numFmtId="4" fontId="11" fillId="4" borderId="14" xfId="0" applyNumberFormat="1" applyFont="1" applyFill="1" applyBorder="1" applyAlignment="1" applyProtection="1">
      <alignment horizontal="right" vertical="center" wrapText="1"/>
    </xf>
    <xf numFmtId="0" fontId="11" fillId="0" borderId="14" xfId="0" applyNumberFormat="1" applyFont="1" applyFill="1" applyBorder="1" applyAlignment="1" applyProtection="1">
      <alignment horizontal="center" vertical="center"/>
    </xf>
    <xf numFmtId="0" fontId="0" fillId="0" borderId="0" xfId="0" applyAlignment="1">
      <alignment horizontal="left" vertical="center"/>
    </xf>
    <xf numFmtId="0" fontId="14" fillId="0" borderId="24" xfId="0" applyFont="1" applyFill="1" applyBorder="1" applyAlignment="1" applyProtection="1">
      <alignment horizontal="center" vertical="center" wrapText="1"/>
      <protection locked="0"/>
    </xf>
    <xf numFmtId="0" fontId="38" fillId="0" borderId="1" xfId="0" applyFont="1" applyFill="1" applyBorder="1" applyAlignment="1" applyProtection="1">
      <alignment horizontal="center" vertical="center" wrapText="1"/>
      <protection locked="0"/>
    </xf>
    <xf numFmtId="0" fontId="38" fillId="0" borderId="1" xfId="0" applyFont="1" applyFill="1" applyBorder="1" applyAlignment="1" applyProtection="1">
      <alignment vertical="top"/>
      <protection locked="0"/>
    </xf>
    <xf numFmtId="0" fontId="45" fillId="0" borderId="4" xfId="2" applyFont="1" applyBorder="1" applyAlignment="1">
      <alignment horizontal="center" vertical="center"/>
    </xf>
    <xf numFmtId="0" fontId="10" fillId="0" borderId="1" xfId="2" applyFont="1" applyFill="1" applyBorder="1" applyAlignment="1" applyProtection="1">
      <alignment horizontal="left" vertical="top"/>
      <protection locked="0"/>
    </xf>
    <xf numFmtId="0" fontId="18" fillId="0" borderId="1" xfId="2" applyFill="1"/>
    <xf numFmtId="49" fontId="18" fillId="0" borderId="1" xfId="2" applyNumberFormat="1" applyBorder="1" applyAlignment="1">
      <alignment horizontal="justify" vertical="top" wrapText="1"/>
    </xf>
    <xf numFmtId="0" fontId="46" fillId="0" borderId="0" xfId="0" applyFont="1" applyAlignment="1"/>
    <xf numFmtId="0" fontId="47" fillId="0" borderId="0" xfId="0" applyFont="1"/>
    <xf numFmtId="0" fontId="48" fillId="0" borderId="0" xfId="0" applyFont="1"/>
    <xf numFmtId="0" fontId="48" fillId="0" borderId="0" xfId="0" applyFont="1" applyAlignment="1">
      <alignment horizontal="right" vertical="center"/>
    </xf>
    <xf numFmtId="0" fontId="48" fillId="0" borderId="1" xfId="0" applyFont="1" applyFill="1" applyBorder="1" applyAlignment="1">
      <alignment horizontal="right" vertical="center"/>
    </xf>
    <xf numFmtId="0" fontId="48" fillId="0" borderId="1" xfId="0" applyFont="1" applyBorder="1" applyAlignment="1">
      <alignment horizontal="right" vertical="center"/>
    </xf>
    <xf numFmtId="0" fontId="47" fillId="0" borderId="1" xfId="0" applyFont="1" applyBorder="1"/>
    <xf numFmtId="0" fontId="48" fillId="0" borderId="1" xfId="0" applyFont="1" applyFill="1" applyBorder="1" applyAlignment="1" applyProtection="1">
      <alignment vertical="center" wrapText="1"/>
      <protection locked="0"/>
    </xf>
    <xf numFmtId="0" fontId="50" fillId="0" borderId="1" xfId="0" applyFont="1" applyFill="1" applyBorder="1" applyAlignment="1" applyProtection="1">
      <alignment vertical="center" wrapText="1"/>
      <protection locked="0"/>
    </xf>
    <xf numFmtId="0" fontId="0" fillId="6" borderId="0" xfId="0" applyFill="1"/>
    <xf numFmtId="3" fontId="0" fillId="6" borderId="0" xfId="0" applyNumberFormat="1" applyFill="1"/>
    <xf numFmtId="0" fontId="0" fillId="6" borderId="1" xfId="0" applyFill="1" applyBorder="1"/>
    <xf numFmtId="0" fontId="0" fillId="6" borderId="10" xfId="0" applyFill="1" applyBorder="1" applyAlignment="1">
      <alignment horizontal="center" vertical="center"/>
    </xf>
    <xf numFmtId="0" fontId="12" fillId="0" borderId="1" xfId="0" applyFont="1" applyFill="1" applyBorder="1" applyAlignment="1" applyProtection="1">
      <alignment horizontal="left" vertical="center" wrapText="1"/>
      <protection locked="0"/>
    </xf>
    <xf numFmtId="0" fontId="12" fillId="0" borderId="1" xfId="0" applyFont="1" applyFill="1" applyBorder="1" applyAlignment="1" applyProtection="1">
      <alignment horizontal="left" vertical="top" wrapText="1"/>
      <protection locked="0"/>
    </xf>
    <xf numFmtId="0" fontId="14" fillId="0" borderId="1" xfId="0" applyFont="1" applyFill="1" applyBorder="1" applyAlignment="1" applyProtection="1">
      <alignment horizontal="left" vertical="top" wrapText="1"/>
      <protection locked="0"/>
    </xf>
    <xf numFmtId="0" fontId="14" fillId="0" borderId="25" xfId="0" applyFont="1" applyFill="1" applyBorder="1" applyAlignment="1" applyProtection="1">
      <alignment horizontal="left" vertical="top" wrapText="1"/>
      <protection locked="0"/>
    </xf>
    <xf numFmtId="0" fontId="14" fillId="0" borderId="25" xfId="0" applyFont="1" applyFill="1" applyBorder="1" applyAlignment="1" applyProtection="1">
      <alignment horizontal="left" vertical="center" wrapText="1"/>
      <protection locked="0"/>
    </xf>
    <xf numFmtId="0" fontId="14" fillId="0" borderId="1" xfId="0" applyFont="1" applyFill="1" applyBorder="1" applyAlignment="1" applyProtection="1">
      <alignment horizontal="center" vertical="center" wrapText="1"/>
      <protection locked="0"/>
    </xf>
    <xf numFmtId="3" fontId="13" fillId="0" borderId="1" xfId="0" applyNumberFormat="1" applyFont="1" applyFill="1" applyBorder="1" applyAlignment="1" applyProtection="1">
      <alignment horizontal="center" vertical="center" wrapText="1"/>
    </xf>
    <xf numFmtId="0" fontId="13" fillId="0" borderId="1" xfId="0" applyFont="1" applyFill="1" applyBorder="1" applyAlignment="1" applyProtection="1">
      <alignment horizontal="center" vertical="center" wrapText="1"/>
      <protection locked="0"/>
    </xf>
    <xf numFmtId="10" fontId="11" fillId="0" borderId="8" xfId="0" applyNumberFormat="1" applyFont="1" applyFill="1" applyBorder="1" applyAlignment="1" applyProtection="1">
      <alignment horizontal="center" vertical="center" wrapText="1"/>
      <protection locked="0"/>
    </xf>
    <xf numFmtId="10" fontId="11" fillId="0" borderId="11" xfId="0" applyNumberFormat="1" applyFont="1" applyFill="1" applyBorder="1" applyAlignment="1" applyProtection="1">
      <alignment horizontal="center" vertical="center" wrapText="1"/>
      <protection locked="0"/>
    </xf>
    <xf numFmtId="0" fontId="63" fillId="0" borderId="0" xfId="0" applyFont="1"/>
    <xf numFmtId="0" fontId="65" fillId="2" borderId="1" xfId="15" applyFont="1" applyFill="1"/>
    <xf numFmtId="0" fontId="8" fillId="2" borderId="1" xfId="15" applyFill="1"/>
    <xf numFmtId="0" fontId="62" fillId="38" borderId="1" xfId="15" applyFont="1" applyFill="1" applyAlignment="1">
      <alignment vertical="center" wrapText="1"/>
    </xf>
    <xf numFmtId="14" fontId="62" fillId="38" borderId="1" xfId="15" applyNumberFormat="1" applyFont="1" applyFill="1" applyAlignment="1">
      <alignment vertical="center" wrapText="1"/>
    </xf>
    <xf numFmtId="0" fontId="8" fillId="2" borderId="1" xfId="15" applyFill="1" applyAlignment="1">
      <alignment vertical="center" wrapText="1"/>
    </xf>
    <xf numFmtId="0" fontId="8" fillId="0" borderId="1" xfId="15"/>
    <xf numFmtId="0" fontId="67" fillId="38" borderId="1" xfId="16" applyFont="1" applyFill="1" applyBorder="1" applyAlignment="1">
      <alignment horizontal="left"/>
    </xf>
    <xf numFmtId="14" fontId="67" fillId="38" borderId="1" xfId="16" applyNumberFormat="1" applyFont="1" applyFill="1" applyBorder="1" applyAlignment="1">
      <alignment horizontal="center"/>
    </xf>
    <xf numFmtId="0" fontId="67" fillId="38" borderId="1" xfId="16" applyFont="1" applyFill="1" applyBorder="1" applyAlignment="1">
      <alignment horizontal="center"/>
    </xf>
    <xf numFmtId="0" fontId="8" fillId="0" borderId="4" xfId="15" applyBorder="1"/>
    <xf numFmtId="4" fontId="8" fillId="0" borderId="4" xfId="15" applyNumberFormat="1" applyFill="1" applyBorder="1"/>
    <xf numFmtId="0" fontId="68" fillId="6" borderId="26" xfId="15" applyFont="1" applyFill="1" applyBorder="1"/>
    <xf numFmtId="0" fontId="19" fillId="6" borderId="27" xfId="15" applyFont="1" applyFill="1" applyBorder="1"/>
    <xf numFmtId="0" fontId="19" fillId="6" borderId="28" xfId="15" applyFont="1" applyFill="1" applyBorder="1"/>
    <xf numFmtId="0" fontId="68" fillId="6" borderId="22" xfId="15" applyFont="1" applyFill="1" applyBorder="1"/>
    <xf numFmtId="0" fontId="19" fillId="6" borderId="5" xfId="15" applyFont="1" applyFill="1" applyBorder="1"/>
    <xf numFmtId="0" fontId="19" fillId="6" borderId="23" xfId="15" applyFont="1" applyFill="1" applyBorder="1"/>
    <xf numFmtId="0" fontId="8" fillId="2" borderId="1" xfId="15" applyFill="1" applyAlignment="1">
      <alignment horizontal="center" vertical="center" wrapText="1"/>
    </xf>
    <xf numFmtId="0" fontId="8" fillId="2" borderId="4" xfId="15" applyFill="1" applyBorder="1"/>
    <xf numFmtId="3" fontId="8" fillId="2" borderId="4" xfId="15" applyNumberFormat="1" applyFill="1" applyBorder="1"/>
    <xf numFmtId="0" fontId="32" fillId="0" borderId="4" xfId="15" applyFont="1" applyBorder="1"/>
    <xf numFmtId="3" fontId="32" fillId="0" borderId="4" xfId="15" applyNumberFormat="1" applyFont="1" applyBorder="1"/>
    <xf numFmtId="0" fontId="69" fillId="0" borderId="4" xfId="15" applyFont="1" applyBorder="1"/>
    <xf numFmtId="0" fontId="70" fillId="38" borderId="4" xfId="15" applyFont="1" applyFill="1" applyBorder="1"/>
    <xf numFmtId="3" fontId="70" fillId="38" borderId="4" xfId="15" applyNumberFormat="1" applyFont="1" applyFill="1" applyBorder="1"/>
    <xf numFmtId="4" fontId="70" fillId="38" borderId="4" xfId="15" applyNumberFormat="1" applyFont="1" applyFill="1" applyBorder="1"/>
    <xf numFmtId="4" fontId="8" fillId="2" borderId="1" xfId="15" applyNumberFormat="1" applyFill="1"/>
    <xf numFmtId="3" fontId="8" fillId="2" borderId="1" xfId="15" applyNumberFormat="1" applyFill="1"/>
    <xf numFmtId="171" fontId="8" fillId="0" borderId="4" xfId="17" applyNumberFormat="1" applyFont="1" applyBorder="1"/>
    <xf numFmtId="0" fontId="67" fillId="38" borderId="1" xfId="16" applyFont="1" applyFill="1" applyBorder="1" applyAlignment="1">
      <alignment horizontal="center" vertical="center" wrapText="1"/>
    </xf>
    <xf numFmtId="172" fontId="32" fillId="3" borderId="4" xfId="15" applyNumberFormat="1" applyFont="1" applyFill="1" applyBorder="1"/>
    <xf numFmtId="172" fontId="8" fillId="2" borderId="1" xfId="15" applyNumberFormat="1" applyFill="1"/>
    <xf numFmtId="3" fontId="32" fillId="3" borderId="4" xfId="15" applyNumberFormat="1" applyFont="1" applyFill="1" applyBorder="1"/>
    <xf numFmtId="173" fontId="0" fillId="2" borderId="1" xfId="17" applyNumberFormat="1" applyFont="1" applyFill="1"/>
    <xf numFmtId="173" fontId="8" fillId="2" borderId="1" xfId="15" applyNumberFormat="1" applyFill="1"/>
    <xf numFmtId="171" fontId="70" fillId="38" borderId="4" xfId="17" applyNumberFormat="1" applyFont="1" applyFill="1" applyBorder="1"/>
    <xf numFmtId="0" fontId="19" fillId="0" borderId="1" xfId="15" applyFont="1"/>
    <xf numFmtId="0" fontId="8" fillId="0" borderId="1" xfId="15" applyNumberFormat="1" applyAlignment="1">
      <alignment horizontal="right"/>
    </xf>
    <xf numFmtId="172" fontId="8" fillId="0" borderId="1" xfId="15" applyNumberFormat="1" applyAlignment="1">
      <alignment horizontal="right"/>
    </xf>
    <xf numFmtId="172" fontId="8" fillId="0" borderId="1" xfId="15" applyNumberFormat="1"/>
    <xf numFmtId="0" fontId="8" fillId="0" borderId="1" xfId="15" applyNumberFormat="1"/>
    <xf numFmtId="3" fontId="8" fillId="0" borderId="1" xfId="15" applyNumberFormat="1"/>
    <xf numFmtId="0" fontId="66" fillId="0" borderId="85" xfId="19" quotePrefix="1" applyNumberFormat="1" applyFill="1">
      <alignment horizontal="left" vertical="center" indent="1"/>
    </xf>
    <xf numFmtId="172" fontId="66" fillId="0" borderId="85" xfId="20" applyNumberFormat="1" applyFill="1">
      <alignment horizontal="right" vertical="center"/>
    </xf>
    <xf numFmtId="0" fontId="66" fillId="2" borderId="85" xfId="19" quotePrefix="1" applyNumberFormat="1" applyFill="1">
      <alignment horizontal="left" vertical="center" indent="1"/>
    </xf>
    <xf numFmtId="172" fontId="66" fillId="2" borderId="85" xfId="20" applyNumberFormat="1" applyFill="1">
      <alignment horizontal="right" vertical="center"/>
    </xf>
    <xf numFmtId="0" fontId="72" fillId="2" borderId="1" xfId="19" quotePrefix="1" applyNumberFormat="1" applyFont="1" applyFill="1" applyBorder="1">
      <alignment horizontal="left" vertical="center" indent="1"/>
    </xf>
    <xf numFmtId="0" fontId="72" fillId="40" borderId="85" xfId="19" quotePrefix="1" applyNumberFormat="1" applyFont="1" applyFill="1">
      <alignment horizontal="left" vertical="center" indent="1"/>
    </xf>
    <xf numFmtId="172" fontId="72" fillId="40" borderId="85" xfId="20" applyNumberFormat="1" applyFont="1" applyFill="1">
      <alignment horizontal="right" vertical="center"/>
    </xf>
    <xf numFmtId="0" fontId="72" fillId="41" borderId="85" xfId="19" quotePrefix="1" applyNumberFormat="1" applyFont="1" applyFill="1">
      <alignment horizontal="left" vertical="center" indent="1"/>
    </xf>
    <xf numFmtId="172" fontId="72" fillId="41" borderId="85" xfId="20" applyNumberFormat="1" applyFont="1" applyFill="1">
      <alignment horizontal="right" vertical="center"/>
    </xf>
    <xf numFmtId="0" fontId="66" fillId="0" borderId="1" xfId="15" applyFont="1" applyFill="1"/>
    <xf numFmtId="0" fontId="66" fillId="0" borderId="1" xfId="15" applyFont="1"/>
    <xf numFmtId="0" fontId="73" fillId="0" borderId="1" xfId="15" applyFont="1" applyFill="1" applyBorder="1"/>
    <xf numFmtId="172" fontId="66" fillId="0" borderId="1" xfId="15" applyNumberFormat="1" applyFont="1" applyFill="1"/>
    <xf numFmtId="0" fontId="65" fillId="0" borderId="1" xfId="15" applyFont="1" applyFill="1"/>
    <xf numFmtId="0" fontId="74" fillId="0" borderId="1" xfId="15" applyFont="1" applyFill="1"/>
    <xf numFmtId="172" fontId="74" fillId="0" borderId="1" xfId="15" applyNumberFormat="1" applyFont="1" applyFill="1"/>
    <xf numFmtId="17" fontId="72" fillId="0" borderId="1" xfId="15" applyNumberFormat="1" applyFont="1" applyFill="1" applyAlignment="1">
      <alignment horizontal="center"/>
    </xf>
    <xf numFmtId="0" fontId="72" fillId="0" borderId="1" xfId="15" applyFont="1" applyFill="1" applyAlignment="1">
      <alignment horizontal="center"/>
    </xf>
    <xf numFmtId="0" fontId="72" fillId="0" borderId="1" xfId="15" applyFont="1" applyFill="1" applyAlignment="1"/>
    <xf numFmtId="17" fontId="72" fillId="0" borderId="1" xfId="15" applyNumberFormat="1" applyFont="1" applyAlignment="1">
      <alignment horizontal="center"/>
    </xf>
    <xf numFmtId="0" fontId="66" fillId="0" borderId="1" xfId="15" applyFont="1" applyFill="1" applyAlignment="1">
      <alignment horizontal="center" vertical="center" wrapText="1"/>
    </xf>
    <xf numFmtId="0" fontId="67" fillId="42" borderId="1" xfId="15" applyFont="1" applyFill="1" applyAlignment="1">
      <alignment horizontal="center" vertical="center" wrapText="1"/>
    </xf>
    <xf numFmtId="0" fontId="66" fillId="0" borderId="1" xfId="15" applyFont="1" applyAlignment="1">
      <alignment horizontal="center" vertical="center" wrapText="1"/>
    </xf>
    <xf numFmtId="0" fontId="34" fillId="2" borderId="1" xfId="15" applyFont="1" applyFill="1" applyBorder="1"/>
    <xf numFmtId="0" fontId="34" fillId="0" borderId="1" xfId="15" applyFont="1" applyFill="1"/>
    <xf numFmtId="0" fontId="66" fillId="2" borderId="85" xfId="19" quotePrefix="1" applyNumberFormat="1" applyFill="1" applyBorder="1">
      <alignment horizontal="left" vertical="center" indent="1"/>
    </xf>
    <xf numFmtId="0" fontId="34" fillId="0" borderId="1" xfId="15" applyFont="1"/>
    <xf numFmtId="0" fontId="34" fillId="2" borderId="1" xfId="15" applyFont="1" applyFill="1"/>
    <xf numFmtId="3" fontId="34" fillId="0" borderId="1" xfId="15" applyNumberFormat="1" applyFont="1" applyFill="1" applyBorder="1"/>
    <xf numFmtId="0" fontId="34" fillId="0" borderId="1" xfId="15" applyFont="1" applyFill="1" applyBorder="1"/>
    <xf numFmtId="0" fontId="34" fillId="0" borderId="1" xfId="15" applyFont="1" applyBorder="1"/>
    <xf numFmtId="0" fontId="75" fillId="2" borderId="1" xfId="15" applyFont="1" applyFill="1" applyBorder="1" applyAlignment="1"/>
    <xf numFmtId="172" fontId="34" fillId="2" borderId="1" xfId="15" applyNumberFormat="1" applyFont="1" applyFill="1"/>
    <xf numFmtId="172" fontId="34" fillId="0" borderId="1" xfId="15" applyNumberFormat="1" applyFont="1" applyFill="1" applyBorder="1"/>
    <xf numFmtId="172" fontId="34" fillId="2" borderId="1" xfId="15" applyNumberFormat="1" applyFont="1" applyFill="1" applyBorder="1"/>
    <xf numFmtId="172" fontId="76" fillId="0" borderId="1" xfId="15" applyNumberFormat="1" applyFont="1" applyFill="1" applyBorder="1"/>
    <xf numFmtId="0" fontId="8" fillId="2" borderId="88" xfId="15" applyFill="1" applyBorder="1"/>
    <xf numFmtId="0" fontId="8" fillId="2" borderId="89" xfId="15" applyFill="1" applyBorder="1"/>
    <xf numFmtId="0" fontId="8" fillId="2" borderId="90" xfId="15" applyFill="1" applyBorder="1"/>
    <xf numFmtId="0" fontId="8" fillId="2" borderId="91" xfId="15" applyFill="1" applyBorder="1"/>
    <xf numFmtId="0" fontId="8" fillId="2" borderId="1" xfId="15" applyFill="1" applyBorder="1"/>
    <xf numFmtId="0" fontId="8" fillId="2" borderId="92" xfId="15" applyFill="1" applyBorder="1"/>
    <xf numFmtId="0" fontId="78" fillId="2" borderId="1" xfId="15" applyFont="1" applyFill="1"/>
    <xf numFmtId="0" fontId="78" fillId="2" borderId="91" xfId="15" applyFont="1" applyFill="1" applyBorder="1"/>
    <xf numFmtId="0" fontId="78" fillId="2" borderId="1" xfId="15" applyFont="1" applyFill="1" applyBorder="1"/>
    <xf numFmtId="0" fontId="78" fillId="2" borderId="92" xfId="15" applyFont="1" applyFill="1" applyBorder="1"/>
    <xf numFmtId="0" fontId="79" fillId="2" borderId="91" xfId="15" applyFont="1" applyFill="1" applyBorder="1" applyAlignment="1"/>
    <xf numFmtId="0" fontId="79" fillId="2" borderId="1" xfId="15" applyFont="1" applyFill="1" applyBorder="1" applyAlignment="1"/>
    <xf numFmtId="0" fontId="80" fillId="2" borderId="1" xfId="21" applyFill="1" applyBorder="1" applyAlignment="1" applyProtection="1"/>
    <xf numFmtId="0" fontId="79" fillId="2" borderId="92" xfId="15" applyFont="1" applyFill="1" applyBorder="1" applyAlignment="1">
      <alignment horizontal="right"/>
    </xf>
    <xf numFmtId="0" fontId="80" fillId="0" borderId="1" xfId="21" applyAlignment="1" applyProtection="1"/>
    <xf numFmtId="0" fontId="8" fillId="2" borderId="93" xfId="15" applyFill="1" applyBorder="1"/>
    <xf numFmtId="0" fontId="8" fillId="2" borderId="94" xfId="15" applyFill="1" applyBorder="1"/>
    <xf numFmtId="0" fontId="8" fillId="2" borderId="95" xfId="15" applyFill="1" applyBorder="1"/>
    <xf numFmtId="0" fontId="121" fillId="2" borderId="1" xfId="15" applyFont="1" applyFill="1"/>
    <xf numFmtId="0" fontId="122" fillId="2" borderId="1" xfId="15" applyFont="1" applyFill="1"/>
    <xf numFmtId="0" fontId="148" fillId="43" borderId="1" xfId="15" applyFont="1" applyFill="1" applyAlignment="1">
      <alignment horizontal="center" vertical="center" wrapText="1"/>
    </xf>
    <xf numFmtId="0" fontId="66" fillId="0" borderId="86" xfId="19" quotePrefix="1" applyNumberFormat="1" applyFill="1" applyBorder="1">
      <alignment horizontal="left" vertical="center" indent="1"/>
    </xf>
    <xf numFmtId="172" fontId="139" fillId="0" borderId="1" xfId="820" applyNumberFormat="1" applyFont="1" applyFill="1" applyBorder="1"/>
    <xf numFmtId="172" fontId="16" fillId="0" borderId="4" xfId="0" applyNumberFormat="1" applyFont="1" applyFill="1" applyBorder="1" applyAlignment="1" applyProtection="1">
      <alignment horizontal="right" vertical="top" wrapText="1"/>
    </xf>
    <xf numFmtId="0" fontId="66" fillId="0" borderId="85" xfId="19" quotePrefix="1" applyNumberFormat="1" applyFill="1" applyBorder="1">
      <alignment horizontal="left" vertical="center" indent="1"/>
    </xf>
    <xf numFmtId="0" fontId="0" fillId="0" borderId="0" xfId="0" pivotButton="1"/>
    <xf numFmtId="172" fontId="11" fillId="0" borderId="4" xfId="0" applyNumberFormat="1" applyFont="1" applyFill="1" applyBorder="1" applyAlignment="1" applyProtection="1">
      <alignment horizontal="left" vertical="center"/>
      <protection locked="0"/>
    </xf>
    <xf numFmtId="172" fontId="134" fillId="0" borderId="1" xfId="820" applyNumberFormat="1" applyFont="1" applyFill="1" applyBorder="1"/>
    <xf numFmtId="172" fontId="11" fillId="0" borderId="4" xfId="0" applyNumberFormat="1" applyFont="1" applyFill="1" applyBorder="1" applyAlignment="1" applyProtection="1">
      <alignment horizontal="left" vertical="top"/>
      <protection locked="0"/>
    </xf>
    <xf numFmtId="0" fontId="11" fillId="112" borderId="126" xfId="1250" applyFont="1" applyFill="1" applyBorder="1" applyAlignment="1" applyProtection="1">
      <alignment horizontal="left" vertical="top" wrapText="1"/>
      <protection locked="0"/>
    </xf>
    <xf numFmtId="172" fontId="134" fillId="0" borderId="1" xfId="462" applyNumberFormat="1" applyFont="1" applyFill="1" applyBorder="1"/>
    <xf numFmtId="0" fontId="21" fillId="0" borderId="0" xfId="0" applyFont="1" applyAlignment="1"/>
    <xf numFmtId="0" fontId="0" fillId="0" borderId="0" xfId="0" applyAlignment="1">
      <alignment horizontal="left"/>
    </xf>
    <xf numFmtId="172" fontId="16" fillId="0" borderId="4" xfId="0" applyNumberFormat="1" applyFont="1" applyFill="1" applyBorder="1" applyAlignment="1" applyProtection="1">
      <alignment horizontal="right" vertical="center" wrapText="1"/>
    </xf>
    <xf numFmtId="0" fontId="71" fillId="38" borderId="85" xfId="18" quotePrefix="1" applyNumberFormat="1" applyFont="1" applyFill="1" applyAlignment="1">
      <alignment horizontal="center" vertical="center" wrapText="1"/>
    </xf>
    <xf numFmtId="172" fontId="11" fillId="0" borderId="4" xfId="0" applyNumberFormat="1" applyFont="1" applyFill="1" applyBorder="1" applyAlignment="1" applyProtection="1">
      <alignment horizontal="right" vertical="center" wrapText="1"/>
      <protection locked="0"/>
    </xf>
    <xf numFmtId="0" fontId="71" fillId="38" borderId="85" xfId="19" quotePrefix="1" applyNumberFormat="1" applyFont="1" applyFill="1" applyAlignment="1">
      <alignment horizontal="center" vertical="center" wrapText="1"/>
    </xf>
    <xf numFmtId="172" fontId="0" fillId="0" borderId="0" xfId="0" applyNumberFormat="1"/>
    <xf numFmtId="0" fontId="134" fillId="0" borderId="1" xfId="820" applyFont="1" applyFill="1" applyBorder="1"/>
    <xf numFmtId="177" fontId="136" fillId="0" borderId="1" xfId="820" applyNumberFormat="1" applyFont="1" applyFill="1" applyBorder="1"/>
    <xf numFmtId="172" fontId="11" fillId="0" borderId="4" xfId="0" applyNumberFormat="1" applyFont="1" applyFill="1" applyBorder="1" applyAlignment="1" applyProtection="1">
      <alignment horizontal="right" vertical="top" wrapText="1"/>
      <protection locked="0"/>
    </xf>
    <xf numFmtId="0" fontId="22" fillId="0" borderId="0" xfId="0" applyFont="1"/>
    <xf numFmtId="0" fontId="124" fillId="104" borderId="1" xfId="820" applyFont="1" applyFill="1"/>
    <xf numFmtId="0" fontId="124" fillId="2" borderId="1" xfId="820" applyFont="1" applyFill="1"/>
    <xf numFmtId="0" fontId="129" fillId="104" borderId="1" xfId="820" applyFont="1" applyFill="1"/>
    <xf numFmtId="177" fontId="124" fillId="2" borderId="1" xfId="820" applyNumberFormat="1" applyFont="1" applyFill="1"/>
    <xf numFmtId="177" fontId="88" fillId="2" borderId="1" xfId="820" applyNumberFormat="1" applyFont="1" applyFill="1"/>
    <xf numFmtId="0" fontId="88" fillId="2" borderId="1" xfId="820" applyFont="1" applyFill="1"/>
    <xf numFmtId="172" fontId="24" fillId="2" borderId="1" xfId="820" applyNumberFormat="1" applyFont="1" applyFill="1"/>
    <xf numFmtId="0" fontId="80" fillId="0" borderId="1" xfId="21" applyAlignment="1" applyProtection="1"/>
    <xf numFmtId="0" fontId="125" fillId="2" borderId="1" xfId="820" applyFont="1" applyFill="1"/>
    <xf numFmtId="0" fontId="129" fillId="2" borderId="1" xfId="820" applyFont="1" applyFill="1"/>
    <xf numFmtId="171" fontId="88" fillId="2" borderId="1" xfId="462" applyNumberFormat="1" applyFont="1" applyFill="1"/>
    <xf numFmtId="3" fontId="8" fillId="2" borderId="1" xfId="820" applyNumberFormat="1" applyFill="1"/>
    <xf numFmtId="177" fontId="123" fillId="2" borderId="1" xfId="820" applyNumberFormat="1" applyFont="1" applyFill="1"/>
    <xf numFmtId="177" fontId="73" fillId="2" borderId="1" xfId="820" applyNumberFormat="1" applyFont="1" applyFill="1" applyBorder="1"/>
    <xf numFmtId="177" fontId="75" fillId="2" borderId="4" xfId="820" applyNumberFormat="1" applyFont="1" applyFill="1" applyBorder="1"/>
    <xf numFmtId="172" fontId="129" fillId="2" borderId="1" xfId="820" applyNumberFormat="1" applyFont="1" applyFill="1"/>
    <xf numFmtId="0" fontId="130" fillId="42" borderId="117" xfId="820" applyFont="1" applyFill="1" applyBorder="1" applyAlignment="1">
      <alignment horizontal="center"/>
    </xf>
    <xf numFmtId="177" fontId="75" fillId="105" borderId="4" xfId="820" applyNumberFormat="1" applyFont="1" applyFill="1" applyBorder="1"/>
    <xf numFmtId="0" fontId="73" fillId="2" borderId="1" xfId="820" applyFont="1" applyFill="1" applyBorder="1" applyAlignment="1">
      <alignment horizontal="left"/>
    </xf>
    <xf numFmtId="0" fontId="73" fillId="2" borderId="1" xfId="820" applyFont="1" applyFill="1" applyBorder="1" applyAlignment="1"/>
    <xf numFmtId="177" fontId="73" fillId="2" borderId="114" xfId="820" applyNumberFormat="1" applyFont="1" applyFill="1" applyBorder="1"/>
    <xf numFmtId="177" fontId="73" fillId="2" borderId="121" xfId="820" applyNumberFormat="1" applyFont="1" applyFill="1" applyBorder="1"/>
    <xf numFmtId="0" fontId="73" fillId="2" borderId="116" xfId="820" applyFont="1" applyFill="1" applyBorder="1"/>
    <xf numFmtId="0" fontId="80" fillId="2" borderId="1" xfId="21" applyFill="1" applyAlignment="1" applyProtection="1"/>
    <xf numFmtId="0" fontId="75" fillId="2" borderId="1" xfId="820" applyFont="1" applyFill="1" applyBorder="1" applyAlignment="1">
      <alignment horizontal="left"/>
    </xf>
    <xf numFmtId="0" fontId="73" fillId="2" borderId="1" xfId="820" applyFont="1" applyFill="1" applyBorder="1"/>
    <xf numFmtId="177" fontId="73" fillId="2" borderId="4" xfId="820" applyNumberFormat="1" applyFont="1" applyFill="1" applyBorder="1"/>
    <xf numFmtId="3" fontId="129" fillId="2" borderId="1" xfId="820" applyNumberFormat="1" applyFont="1" applyFill="1"/>
    <xf numFmtId="0" fontId="73" fillId="2" borderId="120" xfId="820" applyFont="1" applyFill="1" applyBorder="1"/>
    <xf numFmtId="0" fontId="73" fillId="2" borderId="87" xfId="820" applyFont="1" applyFill="1" applyBorder="1"/>
    <xf numFmtId="0" fontId="124" fillId="2" borderId="1" xfId="820" applyFont="1" applyFill="1" applyBorder="1"/>
    <xf numFmtId="0" fontId="130" fillId="42" borderId="52" xfId="820" applyFont="1" applyFill="1" applyBorder="1" applyAlignment="1">
      <alignment horizontal="center" vertical="center" wrapText="1"/>
    </xf>
    <xf numFmtId="0" fontId="73" fillId="2" borderId="87" xfId="820" applyFont="1" applyFill="1" applyBorder="1" applyAlignment="1">
      <alignment horizontal="left"/>
    </xf>
    <xf numFmtId="14" fontId="130" fillId="42" borderId="52" xfId="820" applyNumberFormat="1" applyFont="1" applyFill="1" applyBorder="1" applyAlignment="1">
      <alignment horizontal="center" vertical="center" wrapText="1"/>
    </xf>
    <xf numFmtId="177" fontId="75" fillId="2" borderId="114" xfId="820" applyNumberFormat="1" applyFont="1" applyFill="1" applyBorder="1"/>
    <xf numFmtId="0" fontId="73" fillId="2" borderId="87" xfId="820" applyFont="1" applyFill="1" applyBorder="1" applyAlignment="1"/>
    <xf numFmtId="0" fontId="123" fillId="104" borderId="123" xfId="820" applyFont="1" applyFill="1" applyBorder="1" applyAlignment="1">
      <alignment horizontal="right"/>
    </xf>
    <xf numFmtId="0" fontId="131" fillId="42" borderId="117" xfId="820" applyFont="1" applyFill="1" applyBorder="1"/>
    <xf numFmtId="0" fontId="75" fillId="2" borderId="116" xfId="820" applyFont="1" applyFill="1" applyBorder="1"/>
    <xf numFmtId="0" fontId="75" fillId="2" borderId="118" xfId="820" applyFont="1" applyFill="1" applyBorder="1" applyAlignment="1">
      <alignment horizontal="center"/>
    </xf>
    <xf numFmtId="0" fontId="75" fillId="2" borderId="124" xfId="820" applyFont="1" applyFill="1" applyBorder="1" applyAlignment="1">
      <alignment horizontal="center"/>
    </xf>
    <xf numFmtId="0" fontId="75" fillId="2" borderId="122" xfId="820" applyFont="1" applyFill="1" applyBorder="1" applyAlignment="1">
      <alignment horizontal="center"/>
    </xf>
    <xf numFmtId="14" fontId="73" fillId="2" borderId="120" xfId="820" applyNumberFormat="1" applyFont="1" applyFill="1" applyBorder="1" applyAlignment="1">
      <alignment horizontal="center"/>
    </xf>
    <xf numFmtId="14" fontId="73" fillId="2" borderId="87" xfId="820" applyNumberFormat="1" applyFont="1" applyFill="1" applyBorder="1" applyAlignment="1">
      <alignment horizontal="center"/>
    </xf>
    <xf numFmtId="14" fontId="73" fillId="2" borderId="125" xfId="820" applyNumberFormat="1" applyFont="1" applyFill="1" applyBorder="1" applyAlignment="1">
      <alignment horizontal="center"/>
    </xf>
    <xf numFmtId="171" fontId="125" fillId="2" borderId="1" xfId="462" applyNumberFormat="1" applyFont="1" applyFill="1" applyAlignment="1">
      <alignment horizontal="center"/>
    </xf>
    <xf numFmtId="0" fontId="125" fillId="2" borderId="1" xfId="820" applyFont="1" applyFill="1" applyAlignment="1">
      <alignment horizontal="center"/>
    </xf>
    <xf numFmtId="0" fontId="123" fillId="2" borderId="1" xfId="820" applyFont="1" applyFill="1"/>
    <xf numFmtId="0" fontId="129" fillId="2" borderId="1" xfId="820" applyFont="1" applyFill="1" applyBorder="1"/>
    <xf numFmtId="172" fontId="132" fillId="2" borderId="1" xfId="935" applyNumberFormat="1" applyFont="1" applyFill="1" applyBorder="1" applyAlignment="1">
      <alignment horizontal="left"/>
    </xf>
    <xf numFmtId="172" fontId="129" fillId="2" borderId="1" xfId="820" applyNumberFormat="1" applyFont="1" applyFill="1" applyBorder="1"/>
    <xf numFmtId="177" fontId="129" fillId="2" borderId="1" xfId="820" applyNumberFormat="1" applyFont="1" applyFill="1" applyBorder="1"/>
    <xf numFmtId="0" fontId="73" fillId="2" borderId="114" xfId="820" applyFont="1" applyFill="1" applyBorder="1" applyAlignment="1">
      <alignment horizontal="left"/>
    </xf>
    <xf numFmtId="0" fontId="73" fillId="2" borderId="116" xfId="820" applyFont="1" applyFill="1" applyBorder="1" applyAlignment="1"/>
    <xf numFmtId="0" fontId="73" fillId="2" borderId="115" xfId="820" applyFont="1" applyFill="1" applyBorder="1"/>
    <xf numFmtId="0" fontId="125" fillId="2" borderId="1" xfId="820" applyFont="1" applyFill="1" applyAlignment="1">
      <alignment horizontal="right"/>
    </xf>
    <xf numFmtId="3" fontId="133" fillId="2" borderId="1" xfId="820" applyNumberFormat="1" applyFont="1" applyFill="1"/>
    <xf numFmtId="177" fontId="73" fillId="2" borderId="123" xfId="820" applyNumberFormat="1" applyFont="1" applyFill="1" applyBorder="1"/>
    <xf numFmtId="0" fontId="75" fillId="2" borderId="124" xfId="820" applyFont="1" applyFill="1" applyBorder="1" applyAlignment="1">
      <alignment horizontal="left"/>
    </xf>
    <xf numFmtId="0" fontId="75" fillId="105" borderId="115" xfId="820" applyFont="1" applyFill="1" applyBorder="1"/>
    <xf numFmtId="0" fontId="73" fillId="2" borderId="120" xfId="820" applyFont="1" applyFill="1" applyBorder="1" applyAlignment="1"/>
    <xf numFmtId="0" fontId="75" fillId="2" borderId="118" xfId="820" applyFont="1" applyFill="1" applyBorder="1"/>
    <xf numFmtId="177" fontId="75" fillId="2" borderId="121" xfId="820" applyNumberFormat="1" applyFont="1" applyFill="1" applyBorder="1"/>
    <xf numFmtId="177" fontId="129" fillId="104" borderId="4" xfId="820" applyNumberFormat="1" applyFont="1" applyFill="1" applyBorder="1"/>
    <xf numFmtId="0" fontId="123" fillId="2" borderId="4" xfId="820" applyFont="1" applyFill="1" applyBorder="1"/>
    <xf numFmtId="177" fontId="123" fillId="2" borderId="4" xfId="820" applyNumberFormat="1" applyFont="1" applyFill="1" applyBorder="1"/>
    <xf numFmtId="0" fontId="128" fillId="104" borderId="1" xfId="820" applyFont="1" applyFill="1" applyAlignment="1">
      <alignment horizontal="left"/>
    </xf>
    <xf numFmtId="177" fontId="73" fillId="0" borderId="4" xfId="820" applyNumberFormat="1" applyFont="1" applyFill="1" applyBorder="1"/>
    <xf numFmtId="177" fontId="75" fillId="0" borderId="4" xfId="820" applyNumberFormat="1" applyFont="1" applyFill="1" applyBorder="1"/>
    <xf numFmtId="176" fontId="73" fillId="2" borderId="4" xfId="820" applyNumberFormat="1" applyFont="1" applyFill="1" applyBorder="1"/>
    <xf numFmtId="176" fontId="75" fillId="2" borderId="4" xfId="820" applyNumberFormat="1" applyFont="1" applyFill="1" applyBorder="1"/>
    <xf numFmtId="177" fontId="124" fillId="0" borderId="1" xfId="820" applyNumberFormat="1" applyFont="1" applyFill="1"/>
    <xf numFmtId="0" fontId="75" fillId="0" borderId="119" xfId="820" applyFont="1" applyFill="1" applyBorder="1" applyAlignment="1">
      <alignment horizontal="center"/>
    </xf>
    <xf numFmtId="14" fontId="73" fillId="0" borderId="52" xfId="820" applyNumberFormat="1" applyFont="1" applyFill="1" applyBorder="1" applyAlignment="1">
      <alignment horizontal="center"/>
    </xf>
    <xf numFmtId="176" fontId="75" fillId="0" borderId="4" xfId="820" applyNumberFormat="1" applyFont="1" applyFill="1" applyBorder="1"/>
    <xf numFmtId="177" fontId="73" fillId="0" borderId="114" xfId="820" applyNumberFormat="1" applyFont="1" applyFill="1" applyBorder="1"/>
    <xf numFmtId="177" fontId="73" fillId="0" borderId="121" xfId="820" applyNumberFormat="1" applyFont="1" applyFill="1" applyBorder="1"/>
    <xf numFmtId="177" fontId="73" fillId="0" borderId="123" xfId="820" applyNumberFormat="1" applyFont="1" applyFill="1" applyBorder="1"/>
    <xf numFmtId="177" fontId="73" fillId="0" borderId="124" xfId="820" applyNumberFormat="1" applyFont="1" applyFill="1" applyBorder="1"/>
    <xf numFmtId="0" fontId="124" fillId="0" borderId="1" xfId="820" applyFont="1" applyFill="1"/>
    <xf numFmtId="0" fontId="130" fillId="42" borderId="120" xfId="820" applyFont="1" applyFill="1" applyBorder="1" applyAlignment="1">
      <alignment horizontal="center" vertical="center" wrapText="1"/>
    </xf>
    <xf numFmtId="0" fontId="134" fillId="104" borderId="1" xfId="820" applyFont="1" applyFill="1"/>
    <xf numFmtId="172" fontId="134" fillId="104" borderId="1" xfId="820" applyNumberFormat="1" applyFont="1" applyFill="1" applyBorder="1"/>
    <xf numFmtId="0" fontId="135" fillId="104" borderId="1" xfId="820" applyFont="1" applyFill="1"/>
    <xf numFmtId="3" fontId="134" fillId="104" borderId="1" xfId="820" applyNumberFormat="1" applyFont="1" applyFill="1"/>
    <xf numFmtId="3" fontId="136" fillId="0" borderId="1" xfId="820" applyNumberFormat="1" applyFont="1" applyFill="1" applyBorder="1"/>
    <xf numFmtId="171" fontId="134" fillId="104" borderId="1" xfId="462" applyNumberFormat="1" applyFont="1" applyFill="1"/>
    <xf numFmtId="177" fontId="134" fillId="104" borderId="1" xfId="820" applyNumberFormat="1" applyFont="1" applyFill="1"/>
    <xf numFmtId="171" fontId="134" fillId="104" borderId="1" xfId="820" applyNumberFormat="1" applyFont="1" applyFill="1"/>
    <xf numFmtId="177" fontId="137" fillId="42" borderId="117" xfId="820" applyNumberFormat="1" applyFont="1" applyFill="1" applyBorder="1" applyAlignment="1">
      <alignment horizontal="center"/>
    </xf>
    <xf numFmtId="0" fontId="138" fillId="42" borderId="117" xfId="820" applyFont="1" applyFill="1" applyBorder="1" applyAlignment="1">
      <alignment horizontal="center" vertical="center" wrapText="1"/>
    </xf>
    <xf numFmtId="0" fontId="137" fillId="42" borderId="52" xfId="820" applyFont="1" applyFill="1" applyBorder="1" applyAlignment="1">
      <alignment horizontal="center" vertical="center" wrapText="1"/>
    </xf>
    <xf numFmtId="0" fontId="135" fillId="2" borderId="1" xfId="820" applyFont="1" applyFill="1" applyBorder="1" applyAlignment="1">
      <alignment horizontal="center"/>
    </xf>
    <xf numFmtId="0" fontId="137" fillId="42" borderId="117" xfId="820" applyFont="1" applyFill="1" applyBorder="1" applyAlignment="1">
      <alignment horizontal="center"/>
    </xf>
    <xf numFmtId="0" fontId="139" fillId="104" borderId="123" xfId="820" applyFont="1" applyFill="1" applyBorder="1" applyAlignment="1">
      <alignment horizontal="right"/>
    </xf>
    <xf numFmtId="177" fontId="135" fillId="2" borderId="4" xfId="820" applyNumberFormat="1" applyFont="1" applyFill="1" applyBorder="1"/>
    <xf numFmtId="14" fontId="137" fillId="42" borderId="52" xfId="820" applyNumberFormat="1" applyFont="1" applyFill="1" applyBorder="1" applyAlignment="1">
      <alignment horizontal="center" vertical="center" wrapText="1"/>
    </xf>
    <xf numFmtId="0" fontId="135" fillId="104" borderId="1" xfId="820" applyFont="1" applyFill="1" applyBorder="1"/>
    <xf numFmtId="0" fontId="140" fillId="104" borderId="1" xfId="820" applyFont="1" applyFill="1"/>
    <xf numFmtId="171" fontId="141" fillId="104" borderId="1" xfId="462" applyNumberFormat="1" applyFont="1" applyFill="1" applyAlignment="1">
      <alignment horizontal="center"/>
    </xf>
    <xf numFmtId="0" fontId="140" fillId="104" borderId="1" xfId="820" applyFont="1" applyFill="1" applyAlignment="1">
      <alignment horizontal="center"/>
    </xf>
    <xf numFmtId="0" fontId="134" fillId="2" borderId="116" xfId="820" applyFont="1" applyFill="1" applyBorder="1"/>
    <xf numFmtId="0" fontId="142" fillId="2" borderId="1" xfId="820" applyFont="1" applyFill="1" applyBorder="1"/>
    <xf numFmtId="172" fontId="142" fillId="2" borderId="1" xfId="820" applyNumberFormat="1" applyFont="1" applyFill="1" applyBorder="1"/>
    <xf numFmtId="0" fontId="142" fillId="2" borderId="114" xfId="820" applyFont="1" applyFill="1" applyBorder="1"/>
    <xf numFmtId="0" fontId="142" fillId="2" borderId="123" xfId="820" applyFont="1" applyFill="1" applyBorder="1"/>
    <xf numFmtId="0" fontId="135" fillId="2" borderId="1" xfId="820" applyFont="1" applyFill="1" applyBorder="1"/>
    <xf numFmtId="0" fontId="134" fillId="2" borderId="1" xfId="820" applyFont="1" applyFill="1"/>
    <xf numFmtId="172" fontId="136" fillId="2" borderId="116" xfId="820" applyNumberFormat="1" applyFont="1" applyFill="1" applyBorder="1" applyAlignment="1">
      <alignment horizontal="left" vertical="center"/>
    </xf>
    <xf numFmtId="172" fontId="136" fillId="2" borderId="1" xfId="820" applyNumberFormat="1" applyFont="1" applyFill="1" applyBorder="1" applyAlignment="1">
      <alignment horizontal="left" vertical="center"/>
    </xf>
    <xf numFmtId="172" fontId="136" fillId="2" borderId="1" xfId="820" applyNumberFormat="1" applyFont="1" applyFill="1" applyBorder="1" applyAlignment="1">
      <alignment vertical="center"/>
    </xf>
    <xf numFmtId="177" fontId="136" fillId="105" borderId="4" xfId="820" applyNumberFormat="1" applyFont="1" applyFill="1" applyBorder="1"/>
    <xf numFmtId="177" fontId="136" fillId="2" borderId="1" xfId="820" applyNumberFormat="1" applyFont="1" applyFill="1" applyBorder="1" applyAlignment="1">
      <alignment horizontal="right"/>
    </xf>
    <xf numFmtId="177" fontId="143" fillId="2" borderId="1" xfId="21" applyNumberFormat="1" applyFont="1" applyFill="1" applyBorder="1" applyAlignment="1" applyProtection="1"/>
    <xf numFmtId="177" fontId="136" fillId="2" borderId="1" xfId="820" applyNumberFormat="1" applyFont="1" applyFill="1" applyBorder="1"/>
    <xf numFmtId="0" fontId="135" fillId="2" borderId="1" xfId="820" applyFont="1" applyFill="1"/>
    <xf numFmtId="177" fontId="144" fillId="2" borderId="1" xfId="820" applyNumberFormat="1" applyFont="1" applyFill="1"/>
    <xf numFmtId="177" fontId="142" fillId="2" borderId="114" xfId="820" applyNumberFormat="1" applyFont="1" applyFill="1" applyBorder="1"/>
    <xf numFmtId="177" fontId="142" fillId="2" borderId="121" xfId="820" applyNumberFormat="1" applyFont="1" applyFill="1" applyBorder="1"/>
    <xf numFmtId="177" fontId="135" fillId="2" borderId="1" xfId="820" applyNumberFormat="1" applyFont="1" applyFill="1" applyBorder="1"/>
    <xf numFmtId="177" fontId="136" fillId="2" borderId="114" xfId="820" applyNumberFormat="1" applyFont="1" applyFill="1" applyBorder="1"/>
    <xf numFmtId="172" fontId="136" fillId="2" borderId="1" xfId="820" applyNumberFormat="1" applyFont="1" applyFill="1" applyBorder="1" applyAlignment="1">
      <alignment horizontal="left"/>
    </xf>
    <xf numFmtId="172" fontId="142" fillId="2" borderId="1" xfId="820" applyNumberFormat="1" applyFont="1" applyFill="1" applyBorder="1" applyAlignment="1"/>
    <xf numFmtId="177" fontId="142" fillId="105" borderId="4" xfId="820" applyNumberFormat="1" applyFont="1" applyFill="1" applyBorder="1"/>
    <xf numFmtId="177" fontId="136" fillId="2" borderId="4" xfId="820" applyNumberFormat="1" applyFont="1" applyFill="1" applyBorder="1"/>
    <xf numFmtId="177" fontId="142" fillId="2" borderId="4" xfId="820" applyNumberFormat="1" applyFont="1" applyFill="1" applyBorder="1"/>
    <xf numFmtId="0" fontId="142" fillId="2" borderId="1" xfId="820" applyFont="1" applyFill="1" applyBorder="1" applyAlignment="1">
      <alignment horizontal="left" vertical="center"/>
    </xf>
    <xf numFmtId="0" fontId="136" fillId="2" borderId="1" xfId="820" applyFont="1" applyFill="1" applyBorder="1" applyAlignment="1">
      <alignment horizontal="left" vertical="center"/>
    </xf>
    <xf numFmtId="177" fontId="142" fillId="2" borderId="1" xfId="820" applyNumberFormat="1" applyFont="1" applyFill="1" applyBorder="1"/>
    <xf numFmtId="165" fontId="136" fillId="105" borderId="4" xfId="820" applyNumberFormat="1" applyFont="1" applyFill="1" applyBorder="1"/>
    <xf numFmtId="0" fontId="136" fillId="2" borderId="1" xfId="820" applyFont="1" applyFill="1" applyBorder="1" applyAlignment="1">
      <alignment horizontal="left"/>
    </xf>
    <xf numFmtId="0" fontId="142" fillId="2" borderId="1" xfId="820" applyFont="1" applyFill="1" applyBorder="1" applyAlignment="1"/>
    <xf numFmtId="3" fontId="135" fillId="2" borderId="1" xfId="820" applyNumberFormat="1" applyFont="1" applyFill="1" applyBorder="1"/>
    <xf numFmtId="171" fontId="145" fillId="2" borderId="1" xfId="462" applyNumberFormat="1" applyFont="1" applyFill="1"/>
    <xf numFmtId="177" fontId="134" fillId="2" borderId="1" xfId="820" applyNumberFormat="1" applyFont="1" applyFill="1"/>
    <xf numFmtId="0" fontId="142" fillId="2" borderId="1" xfId="820" applyFont="1" applyFill="1" applyBorder="1" applyAlignment="1">
      <alignment horizontal="left"/>
    </xf>
    <xf numFmtId="177" fontId="142" fillId="109" borderId="4" xfId="820" applyNumberFormat="1" applyFont="1" applyFill="1" applyBorder="1"/>
    <xf numFmtId="177" fontId="136" fillId="0" borderId="4" xfId="820" applyNumberFormat="1" applyFont="1" applyFill="1" applyBorder="1"/>
    <xf numFmtId="0" fontId="139" fillId="2" borderId="116" xfId="820" applyFont="1" applyFill="1" applyBorder="1"/>
    <xf numFmtId="0" fontId="136" fillId="2" borderId="1" xfId="820" applyFont="1" applyFill="1" applyBorder="1" applyAlignment="1"/>
    <xf numFmtId="0" fontId="139" fillId="2" borderId="1" xfId="820" applyFont="1" applyFill="1"/>
    <xf numFmtId="177" fontId="139" fillId="2" borderId="1" xfId="820" applyNumberFormat="1" applyFont="1" applyFill="1"/>
    <xf numFmtId="177" fontId="142" fillId="0" borderId="4" xfId="820" applyNumberFormat="1" applyFont="1" applyFill="1" applyBorder="1"/>
    <xf numFmtId="172" fontId="134" fillId="2" borderId="1" xfId="820" applyNumberFormat="1" applyFont="1" applyFill="1"/>
    <xf numFmtId="171" fontId="134" fillId="2" borderId="1" xfId="820" applyNumberFormat="1" applyFont="1" applyFill="1"/>
    <xf numFmtId="165" fontId="136" fillId="0" borderId="4" xfId="820" applyNumberFormat="1" applyFont="1" applyFill="1" applyBorder="1"/>
    <xf numFmtId="165" fontId="136" fillId="2" borderId="4" xfId="820" applyNumberFormat="1" applyFont="1" applyFill="1" applyBorder="1"/>
    <xf numFmtId="177" fontId="135" fillId="2" borderId="1" xfId="820" applyNumberFormat="1" applyFont="1" applyFill="1"/>
    <xf numFmtId="0" fontId="143" fillId="0" borderId="1" xfId="21" applyFont="1" applyAlignment="1" applyProtection="1"/>
    <xf numFmtId="0" fontId="134" fillId="2" borderId="120" xfId="820" applyFont="1" applyFill="1" applyBorder="1"/>
    <xf numFmtId="0" fontId="142" fillId="2" borderId="87" xfId="820" applyFont="1" applyFill="1" applyBorder="1"/>
    <xf numFmtId="0" fontId="142" fillId="2" borderId="87" xfId="820" applyFont="1" applyFill="1" applyBorder="1" applyAlignment="1"/>
    <xf numFmtId="0" fontId="136" fillId="2" borderId="87" xfId="820" applyFont="1" applyFill="1" applyBorder="1" applyAlignment="1">
      <alignment horizontal="left"/>
    </xf>
    <xf numFmtId="0" fontId="134" fillId="2" borderId="87" xfId="820" applyFont="1" applyFill="1" applyBorder="1"/>
    <xf numFmtId="177" fontId="134" fillId="2" borderId="87" xfId="820" applyNumberFormat="1" applyFont="1" applyFill="1" applyBorder="1"/>
    <xf numFmtId="0" fontId="134" fillId="2" borderId="115" xfId="820" applyFont="1" applyFill="1" applyBorder="1"/>
    <xf numFmtId="0" fontId="134" fillId="2" borderId="4" xfId="820" applyFont="1" applyFill="1" applyBorder="1"/>
    <xf numFmtId="0" fontId="134" fillId="2" borderId="1" xfId="820" applyFont="1" applyFill="1" applyBorder="1"/>
    <xf numFmtId="177" fontId="134" fillId="2" borderId="1" xfId="820" applyNumberFormat="1" applyFont="1" applyFill="1" applyBorder="1"/>
    <xf numFmtId="0" fontId="139" fillId="104" borderId="1" xfId="820" applyFont="1" applyFill="1"/>
    <xf numFmtId="0" fontId="139" fillId="104" borderId="1" xfId="820" applyFont="1" applyFill="1" applyAlignment="1"/>
    <xf numFmtId="172" fontId="134" fillId="101" borderId="1" xfId="820" applyNumberFormat="1" applyFont="1" applyFill="1" applyBorder="1"/>
    <xf numFmtId="0" fontId="134" fillId="101" borderId="1" xfId="820" applyFont="1" applyFill="1" applyBorder="1"/>
    <xf numFmtId="172" fontId="139" fillId="106" borderId="4" xfId="820" applyNumberFormat="1" applyFont="1" applyFill="1" applyBorder="1"/>
    <xf numFmtId="0" fontId="139" fillId="106" borderId="4" xfId="820" applyFont="1" applyFill="1" applyBorder="1" applyAlignment="1">
      <alignment horizontal="center"/>
    </xf>
    <xf numFmtId="177" fontId="134" fillId="101" borderId="1" xfId="820" applyNumberFormat="1" applyFont="1" applyFill="1" applyBorder="1"/>
    <xf numFmtId="0" fontId="134" fillId="104" borderId="1" xfId="820" applyFont="1" applyFill="1" applyAlignment="1"/>
    <xf numFmtId="0" fontId="137" fillId="42" borderId="120" xfId="820" applyFont="1" applyFill="1" applyBorder="1" applyAlignment="1">
      <alignment horizontal="center" vertical="center" wrapText="1"/>
    </xf>
    <xf numFmtId="177" fontId="137" fillId="42" borderId="124" xfId="820" applyNumberFormat="1" applyFont="1" applyFill="1" applyBorder="1" applyAlignment="1">
      <alignment horizontal="center"/>
    </xf>
    <xf numFmtId="0" fontId="137" fillId="42" borderId="124" xfId="820" applyFont="1" applyFill="1" applyBorder="1" applyAlignment="1">
      <alignment horizontal="center"/>
    </xf>
    <xf numFmtId="14" fontId="137" fillId="42" borderId="52" xfId="820" applyNumberFormat="1" applyFont="1" applyFill="1" applyBorder="1" applyAlignment="1">
      <alignment horizontal="center" vertical="center"/>
    </xf>
    <xf numFmtId="14" fontId="137" fillId="42" borderId="125" xfId="820" applyNumberFormat="1" applyFont="1" applyFill="1" applyBorder="1" applyAlignment="1">
      <alignment horizontal="center" vertical="center" wrapText="1"/>
    </xf>
    <xf numFmtId="0" fontId="144" fillId="104" borderId="1" xfId="820" applyFont="1" applyFill="1" applyAlignment="1">
      <alignment horizontal="center" vertical="center" wrapText="1"/>
    </xf>
    <xf numFmtId="0" fontId="144" fillId="104" borderId="1" xfId="820" applyFont="1" applyFill="1"/>
    <xf numFmtId="0" fontId="140" fillId="104" borderId="1" xfId="820" applyFont="1" applyFill="1" applyAlignment="1">
      <alignment horizontal="right"/>
    </xf>
    <xf numFmtId="0" fontId="142" fillId="2" borderId="118" xfId="820" applyFont="1" applyFill="1" applyBorder="1"/>
    <xf numFmtId="0" fontId="142" fillId="2" borderId="124" xfId="820" applyFont="1" applyFill="1" applyBorder="1"/>
    <xf numFmtId="3" fontId="142" fillId="2" borderId="114" xfId="820" applyNumberFormat="1" applyFont="1" applyFill="1" applyBorder="1"/>
    <xf numFmtId="3" fontId="142" fillId="2" borderId="121" xfId="820" applyNumberFormat="1" applyFont="1" applyFill="1" applyBorder="1"/>
    <xf numFmtId="0" fontId="142" fillId="2" borderId="121" xfId="820" applyFont="1" applyFill="1" applyBorder="1"/>
    <xf numFmtId="0" fontId="144" fillId="2" borderId="1" xfId="820" applyFont="1" applyFill="1"/>
    <xf numFmtId="0" fontId="144" fillId="2" borderId="1" xfId="820" applyFont="1" applyFill="1" applyAlignment="1">
      <alignment horizontal="right"/>
    </xf>
    <xf numFmtId="177" fontId="144" fillId="2" borderId="1" xfId="820" applyNumberFormat="1" applyFont="1" applyFill="1" applyAlignment="1">
      <alignment horizontal="right"/>
    </xf>
    <xf numFmtId="0" fontId="142" fillId="2" borderId="116" xfId="820" applyFont="1" applyFill="1" applyBorder="1" applyAlignment="1">
      <alignment horizontal="left"/>
    </xf>
    <xf numFmtId="177" fontId="142" fillId="0" borderId="121" xfId="820" applyNumberFormat="1" applyFont="1" applyFill="1" applyBorder="1"/>
    <xf numFmtId="0" fontId="142" fillId="2" borderId="116" xfId="820" applyFont="1" applyFill="1" applyBorder="1"/>
    <xf numFmtId="0" fontId="136" fillId="2" borderId="1" xfId="820" applyFont="1" applyFill="1" applyBorder="1"/>
    <xf numFmtId="0" fontId="140" fillId="2" borderId="1" xfId="820" applyFont="1" applyFill="1" applyAlignment="1">
      <alignment horizontal="right"/>
    </xf>
    <xf numFmtId="0" fontId="143" fillId="2" borderId="1" xfId="21" applyFont="1" applyFill="1" applyAlignment="1" applyProtection="1"/>
    <xf numFmtId="179" fontId="134" fillId="2" borderId="1" xfId="820" applyNumberFormat="1" applyFont="1" applyFill="1"/>
    <xf numFmtId="3" fontId="135" fillId="2" borderId="1" xfId="820" applyNumberFormat="1" applyFont="1" applyFill="1"/>
    <xf numFmtId="3" fontId="144" fillId="2" borderId="1" xfId="820" applyNumberFormat="1" applyFont="1" applyFill="1"/>
    <xf numFmtId="3" fontId="143" fillId="2" borderId="1" xfId="21" applyNumberFormat="1" applyFont="1" applyFill="1" applyAlignment="1" applyProtection="1"/>
    <xf numFmtId="177" fontId="142" fillId="6" borderId="4" xfId="820" applyNumberFormat="1" applyFont="1" applyFill="1" applyBorder="1"/>
    <xf numFmtId="177" fontId="143" fillId="2" borderId="1" xfId="21" applyNumberFormat="1" applyFont="1" applyFill="1" applyAlignment="1" applyProtection="1"/>
    <xf numFmtId="3" fontId="140" fillId="2" borderId="1" xfId="820" applyNumberFormat="1" applyFont="1" applyFill="1" applyAlignment="1">
      <alignment horizontal="right"/>
    </xf>
    <xf numFmtId="177" fontId="141" fillId="2" borderId="4" xfId="820" applyNumberFormat="1" applyFont="1" applyFill="1" applyBorder="1"/>
    <xf numFmtId="0" fontId="145" fillId="2" borderId="1" xfId="820" applyFont="1" applyFill="1"/>
    <xf numFmtId="0" fontId="142" fillId="2" borderId="1" xfId="820" applyFont="1" applyFill="1"/>
    <xf numFmtId="3" fontId="134" fillId="2" borderId="1" xfId="820" applyNumberFormat="1" applyFont="1" applyFill="1"/>
    <xf numFmtId="0" fontId="134" fillId="2" borderId="1" xfId="820" applyFont="1" applyFill="1" applyAlignment="1">
      <alignment horizontal="right"/>
    </xf>
    <xf numFmtId="176" fontId="136" fillId="0" borderId="4" xfId="820" applyNumberFormat="1" applyFont="1" applyFill="1" applyBorder="1"/>
    <xf numFmtId="0" fontId="136" fillId="2" borderId="1" xfId="820" applyFont="1" applyFill="1" applyBorder="1" applyAlignment="1">
      <alignment horizontal="center" vertical="center"/>
    </xf>
    <xf numFmtId="0" fontId="146" fillId="2" borderId="1" xfId="820" applyFont="1" applyFill="1" applyAlignment="1">
      <alignment horizontal="right"/>
    </xf>
    <xf numFmtId="177" fontId="145" fillId="2" borderId="1" xfId="820" applyNumberFormat="1" applyFont="1" applyFill="1"/>
    <xf numFmtId="176" fontId="142" fillId="0" borderId="4" xfId="820" applyNumberFormat="1" applyFont="1" applyFill="1" applyBorder="1"/>
    <xf numFmtId="3" fontId="145" fillId="2" borderId="1" xfId="820" applyNumberFormat="1" applyFont="1" applyFill="1"/>
    <xf numFmtId="177" fontId="141" fillId="2" borderId="1" xfId="820" applyNumberFormat="1" applyFont="1" applyFill="1"/>
    <xf numFmtId="3" fontId="141" fillId="2" borderId="1" xfId="820" applyNumberFormat="1" applyFont="1" applyFill="1"/>
    <xf numFmtId="0" fontId="134" fillId="0" borderId="125" xfId="820" applyFont="1" applyFill="1" applyBorder="1"/>
    <xf numFmtId="172" fontId="134" fillId="2" borderId="1" xfId="820" applyNumberFormat="1" applyFont="1" applyFill="1" applyBorder="1"/>
    <xf numFmtId="180" fontId="144" fillId="2" borderId="1" xfId="820" applyNumberFormat="1" applyFont="1" applyFill="1"/>
    <xf numFmtId="181" fontId="144" fillId="2" borderId="1" xfId="820" applyNumberFormat="1" applyFont="1" applyFill="1"/>
    <xf numFmtId="181" fontId="136" fillId="2" borderId="1" xfId="820" applyNumberFormat="1" applyFont="1" applyFill="1" applyBorder="1"/>
    <xf numFmtId="0" fontId="147" fillId="2" borderId="1" xfId="820" applyFont="1" applyFill="1"/>
    <xf numFmtId="172" fontId="73" fillId="2" borderId="4" xfId="462" applyNumberFormat="1" applyFont="1" applyFill="1" applyBorder="1"/>
    <xf numFmtId="182" fontId="124" fillId="2" borderId="1" xfId="820" applyNumberFormat="1" applyFont="1" applyFill="1"/>
    <xf numFmtId="0" fontId="142" fillId="0" borderId="1" xfId="820" applyFont="1" applyFill="1" applyBorder="1"/>
    <xf numFmtId="182" fontId="88" fillId="2" borderId="1" xfId="820" applyNumberFormat="1" applyFont="1" applyFill="1"/>
    <xf numFmtId="177" fontId="75" fillId="2" borderId="4" xfId="820" applyNumberFormat="1" applyFont="1" applyFill="1" applyBorder="1" applyAlignment="1">
      <alignment horizontal="center"/>
    </xf>
    <xf numFmtId="0" fontId="75" fillId="105" borderId="118" xfId="820" applyFont="1" applyFill="1" applyBorder="1"/>
    <xf numFmtId="177" fontId="75" fillId="105" borderId="117" xfId="820" applyNumberFormat="1" applyFont="1" applyFill="1" applyBorder="1"/>
    <xf numFmtId="177" fontId="73" fillId="2" borderId="52" xfId="820" applyNumberFormat="1" applyFont="1" applyFill="1" applyBorder="1"/>
    <xf numFmtId="172" fontId="129" fillId="2" borderId="124" xfId="820" applyNumberFormat="1" applyFont="1" applyFill="1" applyBorder="1" applyAlignment="1">
      <alignment horizontal="center"/>
    </xf>
    <xf numFmtId="178" fontId="75" fillId="2" borderId="4" xfId="820" applyNumberFormat="1" applyFont="1" applyFill="1" applyBorder="1"/>
    <xf numFmtId="178" fontId="129" fillId="2" borderId="1" xfId="820" applyNumberFormat="1" applyFont="1" applyFill="1" applyBorder="1"/>
    <xf numFmtId="178" fontId="73" fillId="2" borderId="4" xfId="820" applyNumberFormat="1" applyFont="1" applyFill="1" applyBorder="1"/>
    <xf numFmtId="172" fontId="75" fillId="2" borderId="4" xfId="462" applyNumberFormat="1" applyFont="1" applyFill="1" applyBorder="1"/>
    <xf numFmtId="177" fontId="144" fillId="0" borderId="1" xfId="820" applyNumberFormat="1" applyFont="1" applyFill="1"/>
    <xf numFmtId="177" fontId="138" fillId="2" borderId="1" xfId="820" applyNumberFormat="1" applyFont="1" applyFill="1"/>
    <xf numFmtId="172" fontId="88" fillId="2" borderId="1" xfId="820" applyNumberFormat="1" applyFont="1" applyFill="1"/>
    <xf numFmtId="172" fontId="124" fillId="2" borderId="1" xfId="820" applyNumberFormat="1" applyFont="1" applyFill="1"/>
    <xf numFmtId="177" fontId="73" fillId="108" borderId="4" xfId="820" applyNumberFormat="1" applyFont="1" applyFill="1" applyBorder="1"/>
    <xf numFmtId="177" fontId="142" fillId="108" borderId="4" xfId="820" applyNumberFormat="1" applyFont="1" applyFill="1" applyBorder="1"/>
    <xf numFmtId="177" fontId="135" fillId="110" borderId="4" xfId="820" applyNumberFormat="1" applyFont="1" applyFill="1" applyBorder="1"/>
    <xf numFmtId="171" fontId="136" fillId="2" borderId="4" xfId="462" applyNumberFormat="1" applyFont="1" applyFill="1" applyBorder="1"/>
    <xf numFmtId="171" fontId="142" fillId="2" borderId="4" xfId="462" applyNumberFormat="1" applyFont="1" applyFill="1" applyBorder="1"/>
    <xf numFmtId="177" fontId="139" fillId="104" borderId="1" xfId="820" applyNumberFormat="1" applyFont="1" applyFill="1"/>
    <xf numFmtId="177" fontId="125" fillId="2" borderId="1" xfId="820" applyNumberFormat="1" applyFont="1" applyFill="1"/>
    <xf numFmtId="177" fontId="73" fillId="6" borderId="4" xfId="820" applyNumberFormat="1" applyFont="1" applyFill="1" applyBorder="1"/>
    <xf numFmtId="172" fontId="134" fillId="2" borderId="87" xfId="820" applyNumberFormat="1" applyFont="1" applyFill="1" applyBorder="1"/>
    <xf numFmtId="173" fontId="142" fillId="2" borderId="1" xfId="462" applyNumberFormat="1" applyFont="1" applyFill="1" applyBorder="1"/>
    <xf numFmtId="173" fontId="73" fillId="2" borderId="4" xfId="462" applyNumberFormat="1" applyFont="1" applyFill="1" applyBorder="1"/>
    <xf numFmtId="177" fontId="75" fillId="107" borderId="4" xfId="820" applyNumberFormat="1" applyFont="1" applyFill="1" applyBorder="1"/>
    <xf numFmtId="177" fontId="142" fillId="44" borderId="4" xfId="820" applyNumberFormat="1" applyFont="1" applyFill="1" applyBorder="1"/>
    <xf numFmtId="173" fontId="134" fillId="101" borderId="1" xfId="462" applyNumberFormat="1" applyFont="1" applyFill="1" applyBorder="1"/>
    <xf numFmtId="173" fontId="134" fillId="101" borderId="1" xfId="820" applyNumberFormat="1" applyFont="1" applyFill="1" applyBorder="1"/>
    <xf numFmtId="177" fontId="134" fillId="0" borderId="1" xfId="820" applyNumberFormat="1" applyFont="1" applyFill="1" applyBorder="1"/>
    <xf numFmtId="0" fontId="66" fillId="0" borderId="85" xfId="19" quotePrefix="1" applyNumberFormat="1" applyFill="1">
      <alignment horizontal="left" vertical="center" indent="1"/>
    </xf>
    <xf numFmtId="177" fontId="142" fillId="111" borderId="4" xfId="820" applyNumberFormat="1" applyFont="1" applyFill="1" applyBorder="1"/>
    <xf numFmtId="3" fontId="124" fillId="104" borderId="1" xfId="820" applyNumberFormat="1" applyFont="1" applyFill="1"/>
    <xf numFmtId="0" fontId="130" fillId="42" borderId="119" xfId="820" applyFont="1" applyFill="1" applyBorder="1" applyAlignment="1">
      <alignment horizontal="center" vertical="center" wrapText="1"/>
    </xf>
    <xf numFmtId="173" fontId="136" fillId="2" borderId="4" xfId="820" applyNumberFormat="1" applyFont="1" applyFill="1" applyBorder="1"/>
    <xf numFmtId="177" fontId="142" fillId="2" borderId="115" xfId="820" applyNumberFormat="1" applyFont="1" applyFill="1" applyBorder="1"/>
    <xf numFmtId="176" fontId="136" fillId="2" borderId="4" xfId="820" applyNumberFormat="1" applyFont="1" applyFill="1" applyBorder="1"/>
    <xf numFmtId="176" fontId="142" fillId="2" borderId="4" xfId="820" applyNumberFormat="1" applyFont="1" applyFill="1" applyBorder="1"/>
    <xf numFmtId="173" fontId="142" fillId="2" borderId="4" xfId="462" applyNumberFormat="1" applyFont="1" applyFill="1" applyBorder="1"/>
    <xf numFmtId="177" fontId="145" fillId="2" borderId="4" xfId="820" applyNumberFormat="1" applyFont="1" applyFill="1" applyBorder="1"/>
    <xf numFmtId="172" fontId="66" fillId="0" borderId="85" xfId="20" applyNumberFormat="1" applyFill="1">
      <alignment horizontal="right" vertical="center"/>
    </xf>
    <xf numFmtId="0" fontId="138" fillId="42" borderId="119" xfId="820" applyFont="1" applyFill="1" applyBorder="1" applyAlignment="1">
      <alignment horizontal="center" vertical="center" wrapText="1"/>
    </xf>
    <xf numFmtId="173" fontId="124" fillId="2" borderId="1" xfId="462" applyNumberFormat="1" applyFont="1" applyFill="1"/>
    <xf numFmtId="176" fontId="142" fillId="6" borderId="4" xfId="820" applyNumberFormat="1" applyFont="1" applyFill="1" applyBorder="1"/>
    <xf numFmtId="177" fontId="145" fillId="6" borderId="4" xfId="820" applyNumberFormat="1" applyFont="1" applyFill="1" applyBorder="1"/>
    <xf numFmtId="10" fontId="134" fillId="101" borderId="1" xfId="1121" applyNumberFormat="1" applyFont="1" applyFill="1" applyBorder="1" applyAlignment="1">
      <alignment horizontal="left"/>
    </xf>
    <xf numFmtId="0" fontId="134" fillId="101" borderId="1" xfId="820" applyFont="1" applyFill="1" applyBorder="1" applyAlignment="1">
      <alignment horizontal="left"/>
    </xf>
    <xf numFmtId="177" fontId="136" fillId="44" borderId="4" xfId="820" applyNumberFormat="1" applyFont="1" applyFill="1" applyBorder="1"/>
    <xf numFmtId="176" fontId="134" fillId="2" borderId="1" xfId="820" applyNumberFormat="1" applyFont="1" applyFill="1"/>
    <xf numFmtId="173" fontId="134" fillId="2" borderId="1" xfId="820" applyNumberFormat="1" applyFont="1" applyFill="1"/>
    <xf numFmtId="183" fontId="11" fillId="0" borderId="8" xfId="0" applyNumberFormat="1" applyFont="1" applyFill="1" applyBorder="1" applyAlignment="1" applyProtection="1">
      <alignment horizontal="center" vertical="center" wrapText="1"/>
      <protection locked="0"/>
    </xf>
    <xf numFmtId="183" fontId="11" fillId="0" borderId="11" xfId="0" applyNumberFormat="1" applyFont="1" applyFill="1" applyBorder="1" applyAlignment="1" applyProtection="1">
      <alignment horizontal="center" vertical="center" wrapText="1"/>
      <protection locked="0"/>
    </xf>
    <xf numFmtId="10" fontId="11" fillId="0" borderId="11" xfId="0" applyNumberFormat="1" applyFont="1" applyFill="1" applyBorder="1" applyAlignment="1" applyProtection="1">
      <alignment horizontal="right" vertical="center" wrapText="1"/>
      <protection locked="0"/>
    </xf>
    <xf numFmtId="10" fontId="16" fillId="0" borderId="11" xfId="0" applyNumberFormat="1" applyFont="1" applyFill="1" applyBorder="1" applyAlignment="1" applyProtection="1">
      <alignment horizontal="right" vertical="center" wrapText="1"/>
    </xf>
    <xf numFmtId="0" fontId="132" fillId="0" borderId="0" xfId="0" applyFont="1"/>
    <xf numFmtId="0" fontId="11" fillId="0" borderId="7" xfId="0" applyNumberFormat="1" applyFont="1" applyFill="1" applyBorder="1" applyAlignment="1" applyProtection="1">
      <alignment horizontal="left" vertical="center" wrapText="1"/>
      <protection locked="0"/>
    </xf>
    <xf numFmtId="0" fontId="11" fillId="0" borderId="10" xfId="0" applyNumberFormat="1" applyFont="1" applyFill="1" applyBorder="1" applyAlignment="1" applyProtection="1">
      <alignment horizontal="left" vertical="center" wrapText="1"/>
      <protection locked="0"/>
    </xf>
    <xf numFmtId="3" fontId="11" fillId="0" borderId="7" xfId="0" applyNumberFormat="1" applyFont="1" applyFill="1" applyBorder="1" applyAlignment="1" applyProtection="1">
      <alignment horizontal="center" vertical="center" wrapText="1"/>
      <protection locked="0"/>
    </xf>
    <xf numFmtId="3" fontId="11" fillId="0" borderId="10" xfId="0" applyNumberFormat="1" applyFont="1" applyFill="1" applyBorder="1" applyAlignment="1" applyProtection="1">
      <alignment horizontal="center" vertical="center" wrapText="1"/>
      <protection locked="0"/>
    </xf>
    <xf numFmtId="0" fontId="19" fillId="0" borderId="1" xfId="15" applyNumberFormat="1" applyFont="1"/>
    <xf numFmtId="0" fontId="66" fillId="2" borderId="86" xfId="19" quotePrefix="1" applyNumberFormat="1" applyFill="1" applyBorder="1">
      <alignment horizontal="left" vertical="center" indent="1"/>
    </xf>
    <xf numFmtId="172" fontId="0" fillId="0" borderId="0" xfId="0" applyNumberFormat="1" applyAlignment="1"/>
    <xf numFmtId="172" fontId="15" fillId="0" borderId="0" xfId="0" applyNumberFormat="1" applyFont="1"/>
    <xf numFmtId="0" fontId="149" fillId="0" borderId="0" xfId="0" applyFont="1"/>
    <xf numFmtId="172" fontId="149" fillId="0" borderId="0" xfId="0" applyNumberFormat="1" applyFont="1"/>
    <xf numFmtId="0" fontId="150" fillId="0" borderId="0" xfId="0" applyFont="1"/>
    <xf numFmtId="0" fontId="125" fillId="104" borderId="1" xfId="1252" applyFont="1" applyFill="1"/>
    <xf numFmtId="0" fontId="12" fillId="0" borderId="9" xfId="0" applyFont="1" applyFill="1" applyBorder="1" applyAlignment="1" applyProtection="1">
      <alignment horizontal="left" vertical="top" wrapText="1"/>
      <protection locked="0"/>
    </xf>
    <xf numFmtId="0" fontId="12" fillId="0" borderId="6" xfId="0" applyFont="1" applyFill="1" applyBorder="1" applyAlignment="1" applyProtection="1">
      <alignment horizontal="left" vertical="top" wrapText="1"/>
      <protection locked="0"/>
    </xf>
    <xf numFmtId="0" fontId="12" fillId="0" borderId="9" xfId="0" applyFont="1" applyFill="1" applyBorder="1" applyAlignment="1" applyProtection="1">
      <alignment horizontal="left" vertical="top" wrapText="1"/>
      <protection locked="0"/>
    </xf>
    <xf numFmtId="0" fontId="12" fillId="0" borderId="6" xfId="0" applyFont="1" applyFill="1" applyBorder="1" applyAlignment="1" applyProtection="1">
      <alignment horizontal="left" vertical="top" wrapText="1"/>
      <protection locked="0"/>
    </xf>
    <xf numFmtId="4" fontId="11" fillId="0" borderId="7" xfId="0" applyNumberFormat="1" applyFont="1" applyFill="1" applyBorder="1" applyAlignment="1" applyProtection="1">
      <alignment horizontal="right" vertical="center" wrapText="1"/>
      <protection locked="0"/>
    </xf>
    <xf numFmtId="4" fontId="11" fillId="0" borderId="10" xfId="0" applyNumberFormat="1" applyFont="1" applyFill="1" applyBorder="1" applyAlignment="1" applyProtection="1">
      <alignment horizontal="right" vertical="center" wrapText="1"/>
      <protection locked="0"/>
    </xf>
    <xf numFmtId="0" fontId="12" fillId="0" borderId="1" xfId="0" applyFont="1" applyFill="1" applyBorder="1" applyAlignment="1" applyProtection="1">
      <alignment horizontal="left" vertical="center" wrapText="1"/>
      <protection locked="0"/>
    </xf>
    <xf numFmtId="0" fontId="12" fillId="0" borderId="9" xfId="0" applyFont="1" applyFill="1" applyBorder="1" applyAlignment="1" applyProtection="1">
      <alignment horizontal="left" vertical="top" wrapText="1"/>
      <protection locked="0"/>
    </xf>
    <xf numFmtId="0" fontId="11" fillId="0" borderId="10" xfId="0" applyNumberFormat="1" applyFont="1" applyFill="1" applyBorder="1" applyAlignment="1" applyProtection="1">
      <alignment horizontal="left" vertical="top" wrapText="1"/>
      <protection locked="0"/>
    </xf>
    <xf numFmtId="0" fontId="11" fillId="0" borderId="7" xfId="0" applyNumberFormat="1" applyFont="1" applyFill="1" applyBorder="1" applyAlignment="1" applyProtection="1">
      <alignment horizontal="left" vertical="top" wrapText="1"/>
      <protection locked="0"/>
    </xf>
    <xf numFmtId="4" fontId="11" fillId="0" borderId="7" xfId="0" applyNumberFormat="1" applyFont="1" applyFill="1" applyBorder="1" applyAlignment="1" applyProtection="1">
      <alignment horizontal="right" vertical="top" wrapText="1"/>
      <protection locked="0"/>
    </xf>
    <xf numFmtId="4" fontId="11" fillId="0" borderId="10" xfId="0" applyNumberFormat="1" applyFont="1" applyFill="1" applyBorder="1" applyAlignment="1" applyProtection="1">
      <alignment horizontal="right" vertical="top" wrapText="1"/>
      <protection locked="0"/>
    </xf>
    <xf numFmtId="10" fontId="11" fillId="0" borderId="7" xfId="0" applyNumberFormat="1" applyFont="1" applyFill="1" applyBorder="1" applyAlignment="1" applyProtection="1">
      <alignment horizontal="right" vertical="center" wrapText="1"/>
      <protection locked="0"/>
    </xf>
    <xf numFmtId="10" fontId="11" fillId="0" borderId="10" xfId="0" applyNumberFormat="1" applyFont="1" applyFill="1" applyBorder="1" applyAlignment="1" applyProtection="1">
      <alignment horizontal="right" vertical="center" wrapText="1"/>
      <protection locked="0"/>
    </xf>
    <xf numFmtId="0" fontId="11" fillId="0" borderId="8" xfId="0" applyFont="1" applyFill="1" applyBorder="1" applyAlignment="1" applyProtection="1">
      <alignment horizontal="left" vertical="center" wrapText="1"/>
      <protection locked="0"/>
    </xf>
    <xf numFmtId="0" fontId="11" fillId="0" borderId="11" xfId="0" applyFont="1" applyFill="1" applyBorder="1" applyAlignment="1" applyProtection="1">
      <alignment horizontal="left" vertical="center" wrapText="1"/>
      <protection locked="0"/>
    </xf>
    <xf numFmtId="10" fontId="11" fillId="0" borderId="7" xfId="0" applyNumberFormat="1" applyFont="1" applyFill="1" applyBorder="1" applyAlignment="1" applyProtection="1">
      <alignment horizontal="center" vertical="center" wrapText="1"/>
      <protection locked="0"/>
    </xf>
    <xf numFmtId="10" fontId="11" fillId="0" borderId="10" xfId="0" applyNumberFormat="1" applyFont="1" applyFill="1" applyBorder="1" applyAlignment="1" applyProtection="1">
      <alignment horizontal="center" vertical="center" wrapText="1"/>
      <protection locked="0"/>
    </xf>
    <xf numFmtId="10" fontId="11" fillId="0" borderId="35" xfId="0" applyNumberFormat="1" applyFont="1" applyFill="1" applyBorder="1" applyAlignment="1" applyProtection="1">
      <alignment horizontal="center" vertical="center" wrapText="1"/>
      <protection locked="0"/>
    </xf>
    <xf numFmtId="10" fontId="11" fillId="0" borderId="35" xfId="0" applyNumberFormat="1" applyFont="1" applyFill="1" applyBorder="1" applyAlignment="1" applyProtection="1">
      <alignment horizontal="right" vertical="center" wrapText="1"/>
      <protection locked="0"/>
    </xf>
    <xf numFmtId="10" fontId="16" fillId="0" borderId="37" xfId="0" applyNumberFormat="1" applyFont="1" applyFill="1" applyBorder="1" applyAlignment="1" applyProtection="1">
      <alignment horizontal="right" vertical="center" wrapText="1"/>
    </xf>
    <xf numFmtId="10" fontId="11" fillId="0" borderId="8" xfId="0" applyNumberFormat="1" applyFont="1" applyFill="1" applyBorder="1" applyAlignment="1" applyProtection="1">
      <alignment horizontal="right" vertical="center" wrapText="1"/>
      <protection locked="0"/>
    </xf>
    <xf numFmtId="10" fontId="11" fillId="0" borderId="36" xfId="0" applyNumberFormat="1" applyFont="1" applyFill="1" applyBorder="1" applyAlignment="1" applyProtection="1">
      <alignment horizontal="right" vertical="center" wrapText="1"/>
      <protection locked="0"/>
    </xf>
    <xf numFmtId="10" fontId="16" fillId="0" borderId="38" xfId="0" applyNumberFormat="1" applyFont="1" applyFill="1" applyBorder="1" applyAlignment="1" applyProtection="1">
      <alignment horizontal="right" vertical="center" wrapText="1"/>
    </xf>
    <xf numFmtId="172" fontId="66" fillId="6" borderId="85" xfId="20" applyNumberFormat="1" applyFill="1">
      <alignment horizontal="right" vertical="center"/>
    </xf>
    <xf numFmtId="0" fontId="66" fillId="6" borderId="85" xfId="19" quotePrefix="1" applyNumberFormat="1" applyFill="1" applyBorder="1">
      <alignment horizontal="left" vertical="center" indent="1"/>
    </xf>
    <xf numFmtId="0" fontId="66" fillId="6" borderId="85" xfId="19" quotePrefix="1" applyNumberFormat="1" applyFill="1">
      <alignment horizontal="left" vertical="center" indent="1"/>
    </xf>
    <xf numFmtId="177" fontId="80" fillId="2" borderId="1" xfId="21" applyNumberFormat="1" applyFill="1" applyBorder="1" applyAlignment="1" applyProtection="1"/>
    <xf numFmtId="0" fontId="18" fillId="0" borderId="1" xfId="3339"/>
    <xf numFmtId="0" fontId="18" fillId="0" borderId="116" xfId="3339" applyBorder="1"/>
    <xf numFmtId="171" fontId="0" fillId="0" borderId="123" xfId="3340" applyNumberFormat="1" applyFont="1" applyBorder="1"/>
    <xf numFmtId="0" fontId="11" fillId="0" borderId="10" xfId="3345" applyNumberFormat="1" applyFont="1" applyFill="1" applyBorder="1" applyAlignment="1" applyProtection="1">
      <alignment horizontal="center" vertical="top" wrapText="1"/>
      <protection locked="0"/>
    </xf>
    <xf numFmtId="0" fontId="11" fillId="0" borderId="7" xfId="3345" applyNumberFormat="1" applyFont="1" applyFill="1" applyBorder="1" applyAlignment="1" applyProtection="1">
      <alignment horizontal="left" vertical="top" wrapText="1"/>
      <protection locked="0"/>
    </xf>
    <xf numFmtId="0" fontId="11" fillId="0" borderId="10" xfId="3345" applyNumberFormat="1" applyFont="1" applyFill="1" applyBorder="1" applyAlignment="1" applyProtection="1">
      <alignment horizontal="left" vertical="top" wrapText="1"/>
      <protection locked="0"/>
    </xf>
    <xf numFmtId="49" fontId="11" fillId="0" borderId="7" xfId="3345" applyNumberFormat="1" applyFont="1" applyFill="1" applyBorder="1" applyAlignment="1" applyProtection="1">
      <alignment horizontal="center" vertical="center" wrapText="1"/>
      <protection locked="0"/>
    </xf>
    <xf numFmtId="49" fontId="11" fillId="0" borderId="10" xfId="3345" applyNumberFormat="1" applyFont="1" applyFill="1" applyBorder="1" applyAlignment="1" applyProtection="1">
      <alignment horizontal="center" vertical="center" wrapText="1"/>
      <protection locked="0"/>
    </xf>
    <xf numFmtId="3" fontId="11" fillId="0" borderId="10" xfId="3214" applyNumberFormat="1" applyFont="1" applyFill="1" applyBorder="1" applyAlignment="1" applyProtection="1">
      <alignment horizontal="right" vertical="center" wrapText="1"/>
      <protection locked="0"/>
    </xf>
    <xf numFmtId="3" fontId="11" fillId="0" borderId="11" xfId="3214" applyNumberFormat="1" applyFont="1" applyFill="1" applyBorder="1" applyAlignment="1" applyProtection="1">
      <alignment horizontal="right" vertical="center" wrapText="1"/>
      <protection locked="0"/>
    </xf>
    <xf numFmtId="3" fontId="11" fillId="0" borderId="7" xfId="3214" applyNumberFormat="1" applyFont="1" applyFill="1" applyBorder="1" applyAlignment="1" applyProtection="1">
      <alignment horizontal="right" vertical="center" wrapText="1"/>
      <protection locked="0"/>
    </xf>
    <xf numFmtId="3" fontId="11" fillId="0" borderId="8" xfId="3214" applyNumberFormat="1" applyFont="1" applyFill="1" applyBorder="1" applyAlignment="1" applyProtection="1">
      <alignment horizontal="right" vertical="center" wrapText="1"/>
      <protection locked="0"/>
    </xf>
    <xf numFmtId="0" fontId="66" fillId="0" borderId="85" xfId="19" quotePrefix="1" applyNumberFormat="1" applyFill="1">
      <alignment horizontal="left" vertical="center" indent="1"/>
    </xf>
    <xf numFmtId="0" fontId="80" fillId="2" borderId="1" xfId="21" applyFill="1" applyAlignment="1" applyProtection="1"/>
    <xf numFmtId="3" fontId="80" fillId="2" borderId="1" xfId="21" applyNumberFormat="1" applyFill="1" applyAlignment="1" applyProtection="1"/>
    <xf numFmtId="172" fontId="73" fillId="113" borderId="4" xfId="820" applyNumberFormat="1" applyFont="1" applyFill="1" applyBorder="1"/>
    <xf numFmtId="0" fontId="15" fillId="5" borderId="4" xfId="0" applyFont="1" applyFill="1" applyBorder="1"/>
    <xf numFmtId="3" fontId="0" fillId="0" borderId="4" xfId="0" applyNumberFormat="1" applyBorder="1"/>
    <xf numFmtId="0" fontId="15" fillId="114" borderId="4" xfId="0" applyFont="1" applyFill="1" applyBorder="1"/>
    <xf numFmtId="3" fontId="15" fillId="114" borderId="4" xfId="0" applyNumberFormat="1" applyFont="1" applyFill="1" applyBorder="1"/>
    <xf numFmtId="0" fontId="151" fillId="0" borderId="124" xfId="0" applyFont="1" applyFill="1" applyBorder="1"/>
    <xf numFmtId="0" fontId="0" fillId="0" borderId="124" xfId="0" applyBorder="1"/>
    <xf numFmtId="0" fontId="15" fillId="114" borderId="115" xfId="3339" applyFont="1" applyFill="1" applyBorder="1"/>
    <xf numFmtId="0" fontId="15" fillId="5" borderId="115" xfId="3339" applyFont="1" applyFill="1" applyBorder="1"/>
    <xf numFmtId="0" fontId="15" fillId="5" borderId="121" xfId="3339" applyFont="1" applyFill="1" applyBorder="1"/>
    <xf numFmtId="171" fontId="15" fillId="114" borderId="121" xfId="3340" applyNumberFormat="1" applyFont="1" applyFill="1" applyBorder="1"/>
    <xf numFmtId="0" fontId="12" fillId="0" borderId="9" xfId="0" applyFont="1" applyFill="1" applyBorder="1" applyAlignment="1" applyProtection="1">
      <alignment horizontal="left" vertical="top" wrapText="1"/>
      <protection locked="0"/>
    </xf>
    <xf numFmtId="177" fontId="142" fillId="2" borderId="4" xfId="4047" applyNumberFormat="1" applyFont="1" applyFill="1" applyBorder="1"/>
    <xf numFmtId="177" fontId="142" fillId="2" borderId="4" xfId="5368" applyNumberFormat="1" applyFont="1" applyFill="1" applyBorder="1"/>
    <xf numFmtId="177" fontId="142" fillId="0" borderId="4" xfId="5368" applyNumberFormat="1" applyFont="1" applyFill="1" applyBorder="1"/>
    <xf numFmtId="177" fontId="142" fillId="0" borderId="4" xfId="5368" applyNumberFormat="1" applyFont="1" applyFill="1" applyBorder="1"/>
    <xf numFmtId="171" fontId="0" fillId="0" borderId="0" xfId="6450" applyNumberFormat="1" applyFont="1"/>
    <xf numFmtId="49" fontId="12" fillId="0" borderId="7" xfId="0" applyNumberFormat="1" applyFont="1" applyFill="1" applyBorder="1" applyAlignment="1" applyProtection="1">
      <alignment horizontal="center" vertical="center" wrapText="1"/>
      <protection locked="0"/>
    </xf>
    <xf numFmtId="0" fontId="12" fillId="0" borderId="1" xfId="0" applyNumberFormat="1" applyFont="1" applyFill="1" applyBorder="1" applyAlignment="1" applyProtection="1">
      <alignment horizontal="center" vertical="center" wrapText="1"/>
      <protection locked="0"/>
    </xf>
    <xf numFmtId="3" fontId="0" fillId="0" borderId="1" xfId="0" applyNumberFormat="1" applyFill="1" applyBorder="1"/>
    <xf numFmtId="0" fontId="132" fillId="0" borderId="1" xfId="0" applyFont="1" applyBorder="1"/>
    <xf numFmtId="3" fontId="150" fillId="0" borderId="1" xfId="0" applyNumberFormat="1" applyFont="1" applyBorder="1"/>
    <xf numFmtId="0" fontId="150" fillId="0" borderId="1" xfId="0" applyFont="1" applyFill="1" applyBorder="1"/>
    <xf numFmtId="0" fontId="152" fillId="0" borderId="0" xfId="0" applyFont="1"/>
    <xf numFmtId="172" fontId="152" fillId="0" borderId="0" xfId="0" applyNumberFormat="1" applyFont="1"/>
    <xf numFmtId="172" fontId="150" fillId="0" borderId="0" xfId="0" applyNumberFormat="1" applyFont="1"/>
    <xf numFmtId="0" fontId="80" fillId="0" borderId="0" xfId="21" applyBorder="1" applyAlignment="1" applyProtection="1"/>
    <xf numFmtId="3" fontId="11" fillId="0" borderId="10" xfId="0" applyNumberFormat="1" applyFont="1" applyFill="1" applyBorder="1" applyAlignment="1" applyProtection="1">
      <alignment horizontal="right" vertical="top" wrapText="1"/>
    </xf>
    <xf numFmtId="3" fontId="16" fillId="0" borderId="9" xfId="0" applyNumberFormat="1" applyFont="1" applyFill="1" applyBorder="1" applyAlignment="1" applyProtection="1">
      <alignment horizontal="right" vertical="top" wrapText="1"/>
    </xf>
    <xf numFmtId="3" fontId="16" fillId="0" borderId="10" xfId="0" applyNumberFormat="1" applyFont="1" applyFill="1" applyBorder="1" applyAlignment="1" applyProtection="1">
      <alignment horizontal="right" vertical="top" wrapText="1"/>
    </xf>
    <xf numFmtId="3" fontId="11" fillId="0" borderId="35" xfId="0" applyNumberFormat="1" applyFont="1" applyFill="1" applyBorder="1" applyAlignment="1" applyProtection="1">
      <alignment horizontal="right" vertical="top" wrapText="1"/>
    </xf>
    <xf numFmtId="3" fontId="11" fillId="0" borderId="48" xfId="0" applyNumberFormat="1" applyFont="1" applyFill="1" applyBorder="1" applyAlignment="1" applyProtection="1">
      <alignment horizontal="right" vertical="top" wrapText="1"/>
    </xf>
    <xf numFmtId="178" fontId="0" fillId="0" borderId="0" xfId="0" applyNumberFormat="1"/>
    <xf numFmtId="0" fontId="14" fillId="0" borderId="1" xfId="0" applyFont="1" applyFill="1" applyBorder="1" applyAlignment="1" applyProtection="1">
      <alignment horizontal="left" vertical="center" wrapText="1"/>
      <protection locked="0"/>
    </xf>
    <xf numFmtId="177" fontId="142" fillId="0" borderId="4" xfId="7150" applyNumberFormat="1" applyFont="1" applyFill="1" applyBorder="1"/>
    <xf numFmtId="177" fontId="73" fillId="2" borderId="4" xfId="11571" applyNumberFormat="1" applyFont="1" applyFill="1" applyBorder="1"/>
    <xf numFmtId="177" fontId="73" fillId="44" borderId="4" xfId="11571" applyNumberFormat="1" applyFont="1" applyFill="1" applyBorder="1"/>
    <xf numFmtId="177" fontId="73" fillId="2" borderId="4" xfId="11571" applyNumberFormat="1" applyFont="1" applyFill="1" applyBorder="1"/>
    <xf numFmtId="0" fontId="130" fillId="42" borderId="52" xfId="11571" applyFont="1" applyFill="1" applyBorder="1" applyAlignment="1">
      <alignment horizontal="center" vertical="center" wrapText="1"/>
    </xf>
    <xf numFmtId="0" fontId="131" fillId="42" borderId="117" xfId="11571" applyFont="1" applyFill="1" applyBorder="1"/>
    <xf numFmtId="177" fontId="136" fillId="105" borderId="4" xfId="12653" applyNumberFormat="1" applyFont="1" applyFill="1" applyBorder="1"/>
    <xf numFmtId="0" fontId="134" fillId="101" borderId="1" xfId="17773" applyFont="1" applyFill="1" applyBorder="1"/>
    <xf numFmtId="0" fontId="139" fillId="6" borderId="1" xfId="17773" applyFont="1" applyFill="1" applyBorder="1"/>
    <xf numFmtId="0" fontId="139" fillId="6" borderId="1" xfId="18853" applyFont="1" applyFill="1" applyBorder="1"/>
    <xf numFmtId="0" fontId="134" fillId="101" borderId="1" xfId="18853" applyFont="1" applyFill="1" applyBorder="1"/>
    <xf numFmtId="177" fontId="134" fillId="101" borderId="1" xfId="18853" applyNumberFormat="1" applyFont="1" applyFill="1" applyBorder="1"/>
    <xf numFmtId="0" fontId="12" fillId="0" borderId="9" xfId="0" applyFont="1" applyFill="1" applyBorder="1" applyAlignment="1" applyProtection="1">
      <alignment horizontal="left" vertical="top" wrapText="1"/>
      <protection locked="0"/>
    </xf>
    <xf numFmtId="172" fontId="16" fillId="0" borderId="60" xfId="0" applyNumberFormat="1" applyFont="1" applyFill="1" applyBorder="1" applyAlignment="1" applyProtection="1">
      <alignment horizontal="right" vertical="center" wrapText="1"/>
    </xf>
    <xf numFmtId="172" fontId="16" fillId="0" borderId="10" xfId="0" applyNumberFormat="1" applyFont="1" applyFill="1" applyBorder="1" applyAlignment="1" applyProtection="1">
      <alignment horizontal="right" vertical="center" wrapText="1"/>
    </xf>
    <xf numFmtId="172" fontId="16" fillId="0" borderId="11" xfId="0" applyNumberFormat="1" applyFont="1" applyFill="1" applyBorder="1" applyAlignment="1" applyProtection="1">
      <alignment horizontal="right" vertical="center" wrapText="1"/>
    </xf>
    <xf numFmtId="172" fontId="16" fillId="0" borderId="68" xfId="0" applyNumberFormat="1" applyFont="1" applyFill="1" applyBorder="1" applyAlignment="1" applyProtection="1">
      <alignment horizontal="right" vertical="center" wrapText="1"/>
    </xf>
    <xf numFmtId="172" fontId="16" fillId="0" borderId="9" xfId="0" applyNumberFormat="1" applyFont="1" applyFill="1" applyBorder="1" applyAlignment="1" applyProtection="1">
      <alignment horizontal="right" vertical="center" wrapText="1"/>
    </xf>
    <xf numFmtId="172" fontId="16" fillId="0" borderId="72" xfId="0" applyNumberFormat="1" applyFont="1" applyFill="1" applyBorder="1" applyAlignment="1" applyProtection="1">
      <alignment horizontal="right" vertical="center" wrapText="1"/>
    </xf>
    <xf numFmtId="172" fontId="16" fillId="0" borderId="73" xfId="0" applyNumberFormat="1" applyFont="1" applyFill="1" applyBorder="1" applyAlignment="1" applyProtection="1">
      <alignment horizontal="right" vertical="center" wrapText="1"/>
    </xf>
    <xf numFmtId="172" fontId="16" fillId="0" borderId="70" xfId="0" applyNumberFormat="1" applyFont="1" applyFill="1" applyBorder="1" applyAlignment="1" applyProtection="1">
      <alignment horizontal="right" vertical="center" wrapText="1"/>
    </xf>
    <xf numFmtId="172" fontId="11" fillId="0" borderId="60" xfId="0" applyNumberFormat="1" applyFont="1" applyFill="1" applyBorder="1" applyAlignment="1" applyProtection="1">
      <alignment horizontal="right" vertical="center" wrapText="1"/>
      <protection locked="0"/>
    </xf>
    <xf numFmtId="172" fontId="11" fillId="0" borderId="10" xfId="0" applyNumberFormat="1" applyFont="1" applyFill="1" applyBorder="1" applyAlignment="1" applyProtection="1">
      <alignment horizontal="right" vertical="center" wrapText="1"/>
      <protection locked="0"/>
    </xf>
    <xf numFmtId="172" fontId="11" fillId="0" borderId="11" xfId="0" applyNumberFormat="1" applyFont="1" applyFill="1" applyBorder="1" applyAlignment="1" applyProtection="1">
      <alignment horizontal="right" vertical="center" wrapText="1"/>
      <protection locked="0"/>
    </xf>
    <xf numFmtId="172" fontId="11" fillId="0" borderId="68" xfId="0" applyNumberFormat="1" applyFont="1" applyFill="1" applyBorder="1" applyAlignment="1" applyProtection="1">
      <alignment horizontal="right" vertical="center" wrapText="1"/>
    </xf>
    <xf numFmtId="172" fontId="11" fillId="0" borderId="9" xfId="0" applyNumberFormat="1" applyFont="1" applyFill="1" applyBorder="1" applyAlignment="1" applyProtection="1">
      <alignment horizontal="right" vertical="center" wrapText="1"/>
      <protection locked="0"/>
    </xf>
    <xf numFmtId="172" fontId="11" fillId="0" borderId="9" xfId="0" applyNumberFormat="1" applyFont="1" applyFill="1" applyBorder="1" applyAlignment="1" applyProtection="1">
      <alignment horizontal="right" vertical="center" wrapText="1"/>
    </xf>
    <xf numFmtId="172" fontId="11" fillId="0" borderId="10" xfId="0" applyNumberFormat="1" applyFont="1" applyFill="1" applyBorder="1" applyAlignment="1" applyProtection="1">
      <alignment horizontal="right" vertical="center" wrapText="1"/>
    </xf>
    <xf numFmtId="172" fontId="11" fillId="0" borderId="11" xfId="0" applyNumberFormat="1" applyFont="1" applyFill="1" applyBorder="1" applyAlignment="1" applyProtection="1">
      <alignment horizontal="right" vertical="center" wrapText="1"/>
    </xf>
    <xf numFmtId="172" fontId="11" fillId="0" borderId="70" xfId="0" applyNumberFormat="1" applyFont="1" applyFill="1" applyBorder="1" applyAlignment="1" applyProtection="1">
      <alignment horizontal="right" vertical="center" wrapText="1"/>
    </xf>
    <xf numFmtId="172" fontId="11" fillId="0" borderId="44" xfId="0" applyNumberFormat="1" applyFont="1" applyFill="1" applyBorder="1" applyAlignment="1" applyProtection="1">
      <alignment horizontal="right" vertical="center" wrapText="1"/>
      <protection locked="0"/>
    </xf>
    <xf numFmtId="172" fontId="11" fillId="0" borderId="14" xfId="0" applyNumberFormat="1" applyFont="1" applyFill="1" applyBorder="1" applyAlignment="1" applyProtection="1">
      <alignment horizontal="right" vertical="center" wrapText="1"/>
      <protection locked="0"/>
    </xf>
    <xf numFmtId="172" fontId="11" fillId="0" borderId="15" xfId="0" applyNumberFormat="1" applyFont="1" applyFill="1" applyBorder="1" applyAlignment="1" applyProtection="1">
      <alignment horizontal="right" vertical="center" wrapText="1"/>
      <protection locked="0"/>
    </xf>
    <xf numFmtId="172" fontId="11" fillId="0" borderId="66" xfId="0" applyNumberFormat="1" applyFont="1" applyFill="1" applyBorder="1" applyAlignment="1" applyProtection="1">
      <alignment horizontal="right" vertical="center" wrapText="1"/>
    </xf>
    <xf numFmtId="172" fontId="11" fillId="0" borderId="13" xfId="0" applyNumberFormat="1" applyFont="1" applyFill="1" applyBorder="1" applyAlignment="1" applyProtection="1">
      <alignment horizontal="right" vertical="center" wrapText="1"/>
      <protection locked="0"/>
    </xf>
    <xf numFmtId="172" fontId="11" fillId="0" borderId="13" xfId="0" applyNumberFormat="1" applyFont="1" applyFill="1" applyBorder="1" applyAlignment="1" applyProtection="1">
      <alignment horizontal="right" vertical="center" wrapText="1"/>
    </xf>
    <xf numFmtId="172" fontId="11" fillId="0" borderId="14" xfId="0" applyNumberFormat="1" applyFont="1" applyFill="1" applyBorder="1" applyAlignment="1" applyProtection="1">
      <alignment horizontal="right" vertical="center" wrapText="1"/>
    </xf>
    <xf numFmtId="172" fontId="11" fillId="0" borderId="15" xfId="0" applyNumberFormat="1" applyFont="1" applyFill="1" applyBorder="1" applyAlignment="1" applyProtection="1">
      <alignment horizontal="right" vertical="center" wrapText="1"/>
    </xf>
    <xf numFmtId="172" fontId="11" fillId="0" borderId="71" xfId="0" applyNumberFormat="1" applyFont="1" applyFill="1" applyBorder="1" applyAlignment="1" applyProtection="1">
      <alignment horizontal="right" vertical="center" wrapText="1"/>
    </xf>
    <xf numFmtId="172" fontId="13" fillId="0" borderId="24" xfId="0" applyNumberFormat="1" applyFont="1" applyFill="1" applyBorder="1" applyAlignment="1" applyProtection="1">
      <alignment horizontal="center" vertical="center" wrapText="1"/>
    </xf>
    <xf numFmtId="172" fontId="14" fillId="0" borderId="53" xfId="0" applyNumberFormat="1" applyFont="1" applyFill="1" applyBorder="1" applyAlignment="1" applyProtection="1">
      <alignment horizontal="center" vertical="center" wrapText="1"/>
      <protection locked="0"/>
    </xf>
    <xf numFmtId="172" fontId="13" fillId="0" borderId="24" xfId="0" applyNumberFormat="1" applyFont="1" applyFill="1" applyBorder="1" applyAlignment="1" applyProtection="1">
      <alignment horizontal="center" vertical="center" wrapText="1"/>
      <protection locked="0"/>
    </xf>
    <xf numFmtId="172" fontId="14" fillId="0" borderId="24" xfId="0" applyNumberFormat="1" applyFont="1" applyFill="1" applyBorder="1" applyAlignment="1" applyProtection="1">
      <alignment horizontal="center" vertical="center" wrapText="1"/>
      <protection locked="0"/>
    </xf>
    <xf numFmtId="172" fontId="16" fillId="0" borderId="42" xfId="0" applyNumberFormat="1" applyFont="1" applyFill="1" applyBorder="1" applyAlignment="1" applyProtection="1">
      <alignment horizontal="right" vertical="center" wrapText="1"/>
    </xf>
    <xf numFmtId="172" fontId="16" fillId="0" borderId="7" xfId="0" applyNumberFormat="1" applyFont="1" applyFill="1" applyBorder="1" applyAlignment="1" applyProtection="1">
      <alignment horizontal="right" vertical="center" wrapText="1"/>
    </xf>
    <xf numFmtId="172" fontId="16" fillId="0" borderId="8" xfId="0" applyNumberFormat="1" applyFont="1" applyFill="1" applyBorder="1" applyAlignment="1" applyProtection="1">
      <alignment horizontal="right" vertical="center" wrapText="1"/>
    </xf>
    <xf numFmtId="172" fontId="16" fillId="0" borderId="65" xfId="0" applyNumberFormat="1" applyFont="1" applyFill="1" applyBorder="1" applyAlignment="1" applyProtection="1">
      <alignment horizontal="right" vertical="center" wrapText="1"/>
    </xf>
    <xf numFmtId="172" fontId="16" fillId="0" borderId="6" xfId="0" applyNumberFormat="1" applyFont="1" applyFill="1" applyBorder="1" applyAlignment="1" applyProtection="1">
      <alignment horizontal="right" vertical="center" wrapText="1"/>
    </xf>
    <xf numFmtId="172" fontId="16" fillId="0" borderId="69" xfId="0" applyNumberFormat="1" applyFont="1" applyFill="1" applyBorder="1" applyAlignment="1" applyProtection="1">
      <alignment horizontal="right" vertical="center" wrapText="1"/>
    </xf>
    <xf numFmtId="172" fontId="15" fillId="0" borderId="0" xfId="0" applyNumberFormat="1" applyFont="1" applyProtection="1"/>
    <xf numFmtId="172" fontId="0" fillId="0" borderId="0" xfId="0" applyNumberFormat="1" applyFill="1"/>
    <xf numFmtId="0" fontId="14" fillId="115" borderId="24" xfId="0" applyFont="1" applyFill="1" applyBorder="1" applyAlignment="1" applyProtection="1">
      <alignment horizontal="center" vertical="center" wrapText="1"/>
      <protection locked="0"/>
    </xf>
    <xf numFmtId="172" fontId="16" fillId="115" borderId="72" xfId="0" applyNumberFormat="1" applyFont="1" applyFill="1" applyBorder="1" applyAlignment="1" applyProtection="1">
      <alignment horizontal="right" vertical="center" wrapText="1"/>
    </xf>
    <xf numFmtId="172" fontId="16" fillId="115" borderId="68" xfId="0" applyNumberFormat="1" applyFont="1" applyFill="1" applyBorder="1" applyAlignment="1" applyProtection="1">
      <alignment horizontal="right" vertical="center" wrapText="1"/>
    </xf>
    <xf numFmtId="172" fontId="11" fillId="115" borderId="68" xfId="0" applyNumberFormat="1" applyFont="1" applyFill="1" applyBorder="1" applyAlignment="1" applyProtection="1">
      <alignment horizontal="right" vertical="center" wrapText="1"/>
    </xf>
    <xf numFmtId="172" fontId="11" fillId="115" borderId="66" xfId="0" applyNumberFormat="1" applyFont="1" applyFill="1" applyBorder="1" applyAlignment="1" applyProtection="1">
      <alignment horizontal="right" vertical="center" wrapText="1"/>
    </xf>
    <xf numFmtId="172" fontId="16" fillId="105" borderId="73" xfId="0" applyNumberFormat="1" applyFont="1" applyFill="1" applyBorder="1" applyAlignment="1" applyProtection="1">
      <alignment horizontal="right" vertical="center" wrapText="1"/>
    </xf>
    <xf numFmtId="172" fontId="16" fillId="105" borderId="70" xfId="0" applyNumberFormat="1" applyFont="1" applyFill="1" applyBorder="1" applyAlignment="1" applyProtection="1">
      <alignment horizontal="right" vertical="center" wrapText="1"/>
    </xf>
    <xf numFmtId="0" fontId="14" fillId="115" borderId="53" xfId="0" applyFont="1" applyFill="1" applyBorder="1" applyAlignment="1" applyProtection="1">
      <alignment horizontal="center" vertical="center" wrapText="1"/>
      <protection locked="0"/>
    </xf>
    <xf numFmtId="172" fontId="16" fillId="0" borderId="1" xfId="0" applyNumberFormat="1" applyFont="1" applyFill="1" applyBorder="1" applyAlignment="1" applyProtection="1">
      <alignment horizontal="right" vertical="center" wrapText="1"/>
    </xf>
    <xf numFmtId="172" fontId="15" fillId="0" borderId="1" xfId="0" applyNumberFormat="1" applyFont="1" applyBorder="1" applyProtection="1"/>
    <xf numFmtId="172" fontId="0" fillId="0" borderId="1" xfId="0" applyNumberFormat="1" applyBorder="1"/>
    <xf numFmtId="172" fontId="16" fillId="0" borderId="44" xfId="0" applyNumberFormat="1" applyFont="1" applyFill="1" applyBorder="1" applyAlignment="1" applyProtection="1">
      <alignment horizontal="right" vertical="center" wrapText="1"/>
    </xf>
    <xf numFmtId="172" fontId="16" fillId="0" borderId="14" xfId="0" applyNumberFormat="1" applyFont="1" applyFill="1" applyBorder="1" applyAlignment="1" applyProtection="1">
      <alignment horizontal="right" vertical="center" wrapText="1"/>
    </xf>
    <xf numFmtId="172" fontId="16" fillId="0" borderId="15" xfId="0" applyNumberFormat="1" applyFont="1" applyFill="1" applyBorder="1" applyAlignment="1" applyProtection="1">
      <alignment horizontal="right" vertical="center" wrapText="1"/>
    </xf>
    <xf numFmtId="172" fontId="16" fillId="0" borderId="66" xfId="0" applyNumberFormat="1" applyFont="1" applyFill="1" applyBorder="1" applyAlignment="1" applyProtection="1">
      <alignment horizontal="right" vertical="center" wrapText="1"/>
    </xf>
    <xf numFmtId="172" fontId="16" fillId="0" borderId="13" xfId="0" applyNumberFormat="1" applyFont="1" applyFill="1" applyBorder="1" applyAlignment="1" applyProtection="1">
      <alignment horizontal="right" vertical="center" wrapText="1"/>
    </xf>
    <xf numFmtId="172" fontId="16" fillId="0" borderId="71" xfId="0" applyNumberFormat="1" applyFont="1" applyFill="1" applyBorder="1" applyAlignment="1" applyProtection="1">
      <alignment horizontal="right" vertical="center" wrapText="1"/>
    </xf>
    <xf numFmtId="172" fontId="11" fillId="0" borderId="60" xfId="0" applyNumberFormat="1" applyFont="1" applyFill="1" applyBorder="1" applyAlignment="1" applyProtection="1">
      <alignment horizontal="right" vertical="center" wrapText="1"/>
    </xf>
    <xf numFmtId="172" fontId="16" fillId="105" borderId="71" xfId="0" applyNumberFormat="1" applyFont="1" applyFill="1" applyBorder="1" applyAlignment="1" applyProtection="1">
      <alignment horizontal="right" vertical="center" wrapText="1"/>
    </xf>
    <xf numFmtId="10" fontId="11" fillId="0" borderId="39" xfId="0" applyNumberFormat="1" applyFont="1" applyFill="1" applyBorder="1" applyAlignment="1" applyProtection="1">
      <alignment horizontal="right" vertical="center"/>
    </xf>
    <xf numFmtId="10" fontId="11" fillId="0" borderId="9" xfId="0" applyNumberFormat="1" applyFont="1" applyFill="1" applyBorder="1" applyAlignment="1" applyProtection="1">
      <alignment horizontal="right" vertical="center" wrapText="1"/>
    </xf>
    <xf numFmtId="10" fontId="11" fillId="0" borderId="34" xfId="0" applyNumberFormat="1" applyFont="1" applyFill="1" applyBorder="1" applyAlignment="1" applyProtection="1">
      <alignment horizontal="right" vertical="center" wrapText="1"/>
    </xf>
    <xf numFmtId="3" fontId="11" fillId="0" borderId="1" xfId="0" applyNumberFormat="1" applyFont="1" applyFill="1" applyBorder="1" applyAlignment="1" applyProtection="1">
      <alignment horizontal="left" vertical="center"/>
    </xf>
    <xf numFmtId="10" fontId="16" fillId="0" borderId="1" xfId="19898" applyNumberFormat="1" applyFont="1" applyFill="1" applyBorder="1" applyAlignment="1" applyProtection="1">
      <alignment horizontal="right" vertical="center" wrapText="1"/>
    </xf>
    <xf numFmtId="3" fontId="80" fillId="0" borderId="1" xfId="21" applyNumberFormat="1" applyFill="1" applyBorder="1" applyAlignment="1" applyProtection="1">
      <alignment horizontal="right" vertical="center" wrapText="1"/>
    </xf>
    <xf numFmtId="10" fontId="16" fillId="0" borderId="40" xfId="0" applyNumberFormat="1" applyFont="1" applyFill="1" applyBorder="1" applyAlignment="1" applyProtection="1">
      <alignment horizontal="center" vertical="center"/>
    </xf>
    <xf numFmtId="10" fontId="16" fillId="0" borderId="10" xfId="0" applyNumberFormat="1" applyFont="1" applyFill="1" applyBorder="1" applyAlignment="1" applyProtection="1">
      <alignment horizontal="center" vertical="center" wrapText="1"/>
    </xf>
    <xf numFmtId="10" fontId="11" fillId="0" borderId="35" xfId="0" applyNumberFormat="1" applyFont="1" applyFill="1" applyBorder="1" applyAlignment="1" applyProtection="1">
      <alignment horizontal="center" vertical="center" wrapText="1"/>
    </xf>
    <xf numFmtId="10" fontId="11" fillId="0" borderId="3" xfId="0" applyNumberFormat="1" applyFont="1" applyFill="1" applyBorder="1" applyAlignment="1" applyProtection="1">
      <alignment horizontal="center" vertical="center" wrapText="1"/>
    </xf>
    <xf numFmtId="4" fontId="11" fillId="0" borderId="3" xfId="0" applyNumberFormat="1" applyFont="1" applyFill="1" applyBorder="1" applyAlignment="1" applyProtection="1">
      <alignment horizontal="right" vertical="center" wrapText="1"/>
    </xf>
    <xf numFmtId="2" fontId="11" fillId="0" borderId="3" xfId="19898" applyNumberFormat="1" applyFont="1" applyFill="1" applyBorder="1" applyAlignment="1" applyProtection="1">
      <alignment horizontal="right" vertical="center" wrapText="1"/>
    </xf>
    <xf numFmtId="3" fontId="11" fillId="0" borderId="6" xfId="0" applyNumberFormat="1" applyFont="1" applyFill="1" applyBorder="1" applyAlignment="1" applyProtection="1">
      <alignment horizontal="center" vertical="center" wrapText="1"/>
      <protection locked="0"/>
    </xf>
    <xf numFmtId="3" fontId="11" fillId="0" borderId="9" xfId="0" applyNumberFormat="1" applyFont="1" applyFill="1" applyBorder="1" applyAlignment="1" applyProtection="1">
      <alignment horizontal="center" vertical="center" wrapText="1"/>
    </xf>
    <xf numFmtId="3" fontId="11" fillId="0" borderId="10" xfId="0" applyNumberFormat="1" applyFont="1" applyFill="1" applyBorder="1" applyAlignment="1" applyProtection="1">
      <alignment horizontal="center" vertical="center" wrapText="1"/>
    </xf>
    <xf numFmtId="3" fontId="16" fillId="0" borderId="9" xfId="0" applyNumberFormat="1" applyFont="1" applyFill="1" applyBorder="1" applyAlignment="1" applyProtection="1">
      <alignment horizontal="center" vertical="center" wrapText="1"/>
    </xf>
    <xf numFmtId="3" fontId="16" fillId="0" borderId="10" xfId="0" applyNumberFormat="1" applyFont="1" applyFill="1" applyBorder="1" applyAlignment="1" applyProtection="1">
      <alignment horizontal="center" vertical="center" wrapText="1"/>
    </xf>
    <xf numFmtId="10" fontId="11" fillId="0" borderId="8" xfId="0" applyNumberFormat="1" applyFont="1" applyFill="1" applyBorder="1" applyAlignment="1" applyProtection="1">
      <alignment horizontal="center" vertical="center" wrapText="1"/>
    </xf>
    <xf numFmtId="10" fontId="11" fillId="0" borderId="11" xfId="0" applyNumberFormat="1" applyFont="1" applyFill="1" applyBorder="1" applyAlignment="1" applyProtection="1">
      <alignment horizontal="center" vertical="center" wrapText="1"/>
    </xf>
    <xf numFmtId="10" fontId="16" fillId="0" borderId="11" xfId="0" applyNumberFormat="1" applyFont="1" applyFill="1" applyBorder="1" applyAlignment="1" applyProtection="1">
      <alignment horizontal="center" vertical="center" wrapText="1"/>
    </xf>
    <xf numFmtId="0" fontId="80" fillId="0" borderId="0" xfId="21" quotePrefix="1" applyBorder="1" applyAlignment="1" applyProtection="1"/>
    <xf numFmtId="3" fontId="11" fillId="116" borderId="10" xfId="0" applyNumberFormat="1" applyFont="1" applyFill="1" applyBorder="1" applyAlignment="1" applyProtection="1">
      <alignment horizontal="right" vertical="center" wrapText="1"/>
    </xf>
    <xf numFmtId="3" fontId="153" fillId="116" borderId="0" xfId="0" applyNumberFormat="1" applyFont="1" applyFill="1"/>
    <xf numFmtId="3" fontId="0" fillId="116" borderId="0" xfId="0" applyNumberFormat="1" applyFill="1"/>
    <xf numFmtId="0" fontId="0" fillId="116" borderId="0" xfId="0" applyFill="1"/>
    <xf numFmtId="0" fontId="0" fillId="0" borderId="0" xfId="0" applyAlignment="1">
      <alignment horizontal="center"/>
    </xf>
    <xf numFmtId="184" fontId="142" fillId="44" borderId="4" xfId="820" applyNumberFormat="1" applyFont="1" applyFill="1" applyBorder="1"/>
    <xf numFmtId="184" fontId="142" fillId="0" borderId="4" xfId="820" applyNumberFormat="1" applyFont="1" applyFill="1" applyBorder="1"/>
    <xf numFmtId="184" fontId="142" fillId="2" borderId="4" xfId="820" applyNumberFormat="1" applyFont="1" applyFill="1" applyBorder="1"/>
    <xf numFmtId="171" fontId="134" fillId="104" borderId="1" xfId="6450" applyNumberFormat="1" applyFont="1" applyFill="1" applyBorder="1"/>
    <xf numFmtId="171" fontId="137" fillId="42" borderId="117" xfId="6450" applyNumberFormat="1" applyFont="1" applyFill="1" applyBorder="1" applyAlignment="1">
      <alignment horizontal="center"/>
    </xf>
    <xf numFmtId="171" fontId="137" fillId="42" borderId="52" xfId="6450" applyNumberFormat="1" applyFont="1" applyFill="1" applyBorder="1" applyAlignment="1">
      <alignment horizontal="center" vertical="center" wrapText="1"/>
    </xf>
    <xf numFmtId="171" fontId="142" fillId="2" borderId="123" xfId="6450" applyNumberFormat="1" applyFont="1" applyFill="1" applyBorder="1"/>
    <xf numFmtId="171" fontId="136" fillId="105" borderId="4" xfId="6450" applyNumberFormat="1" applyFont="1" applyFill="1" applyBorder="1"/>
    <xf numFmtId="171" fontId="142" fillId="2" borderId="121" xfId="6450" applyNumberFormat="1" applyFont="1" applyFill="1" applyBorder="1"/>
    <xf numFmtId="171" fontId="136" fillId="2" borderId="4" xfId="6450" applyNumberFormat="1" applyFont="1" applyFill="1" applyBorder="1"/>
    <xf numFmtId="171" fontId="142" fillId="2" borderId="4" xfId="6450" applyNumberFormat="1" applyFont="1" applyFill="1" applyBorder="1"/>
    <xf numFmtId="171" fontId="134" fillId="2" borderId="125" xfId="6450" applyNumberFormat="1" applyFont="1" applyFill="1" applyBorder="1"/>
    <xf numFmtId="171" fontId="134" fillId="2" borderId="1" xfId="6450" applyNumberFormat="1" applyFont="1" applyFill="1" applyBorder="1"/>
    <xf numFmtId="171" fontId="134" fillId="0" borderId="87" xfId="6450" applyNumberFormat="1" applyFont="1" applyFill="1" applyBorder="1"/>
    <xf numFmtId="171" fontId="142" fillId="0" borderId="1" xfId="6450" applyNumberFormat="1" applyFont="1" applyFill="1" applyBorder="1"/>
    <xf numFmtId="171" fontId="134" fillId="0" borderId="1" xfId="6450" applyNumberFormat="1" applyFont="1" applyFill="1" applyBorder="1"/>
    <xf numFmtId="171" fontId="139" fillId="0" borderId="87" xfId="6450" applyNumberFormat="1" applyFont="1" applyFill="1" applyBorder="1"/>
    <xf numFmtId="171" fontId="139" fillId="6" borderId="1" xfId="6450" applyNumberFormat="1" applyFont="1" applyFill="1" applyBorder="1"/>
    <xf numFmtId="171" fontId="134" fillId="101" borderId="1" xfId="6450" applyNumberFormat="1" applyFont="1" applyFill="1" applyBorder="1"/>
    <xf numFmtId="172" fontId="154" fillId="0" borderId="1" xfId="935" applyNumberFormat="1" applyFont="1" applyFill="1"/>
    <xf numFmtId="0" fontId="14" fillId="0" borderId="1" xfId="0" applyFont="1" applyFill="1" applyBorder="1" applyAlignment="1" applyProtection="1">
      <alignment horizontal="left" vertical="center" wrapText="1"/>
      <protection locked="0"/>
    </xf>
    <xf numFmtId="0" fontId="14" fillId="0" borderId="25" xfId="0" applyFont="1" applyFill="1" applyBorder="1" applyAlignment="1" applyProtection="1">
      <alignment horizontal="left" vertical="center" wrapText="1"/>
      <protection locked="0"/>
    </xf>
    <xf numFmtId="0" fontId="20" fillId="0" borderId="5" xfId="0" applyFont="1" applyFill="1" applyBorder="1" applyAlignment="1" applyProtection="1">
      <alignment horizontal="left" vertical="center" wrapText="1"/>
      <protection locked="0"/>
    </xf>
    <xf numFmtId="0" fontId="15" fillId="0" borderId="1" xfId="0" applyNumberFormat="1" applyFont="1" applyBorder="1" applyAlignment="1">
      <alignment horizontal="center"/>
    </xf>
    <xf numFmtId="168" fontId="15" fillId="0" borderId="1" xfId="0" applyNumberFormat="1" applyFont="1" applyBorder="1" applyAlignment="1">
      <alignment horizontal="center" vertical="center"/>
    </xf>
    <xf numFmtId="0" fontId="15" fillId="0" borderId="1" xfId="0" applyNumberFormat="1" applyFont="1" applyBorder="1" applyAlignment="1">
      <alignment horizontal="center" vertical="center"/>
    </xf>
    <xf numFmtId="3" fontId="15" fillId="0" borderId="1" xfId="0" applyNumberFormat="1" applyFont="1" applyBorder="1" applyAlignment="1">
      <alignment horizontal="right" vertical="center"/>
    </xf>
    <xf numFmtId="0" fontId="15" fillId="0" borderId="25" xfId="0" applyNumberFormat="1" applyFont="1" applyFill="1" applyBorder="1" applyAlignment="1">
      <alignment horizontal="center"/>
    </xf>
    <xf numFmtId="168" fontId="15" fillId="0" borderId="25" xfId="0" applyNumberFormat="1" applyFont="1" applyFill="1" applyBorder="1" applyAlignment="1">
      <alignment horizontal="center"/>
    </xf>
    <xf numFmtId="206" fontId="11" fillId="0" borderId="7" xfId="19898" applyNumberFormat="1" applyFont="1" applyFill="1" applyBorder="1" applyAlignment="1" applyProtection="1">
      <alignment horizontal="center" vertical="center" wrapText="1"/>
    </xf>
    <xf numFmtId="206" fontId="11" fillId="0" borderId="10" xfId="19898" applyNumberFormat="1" applyFont="1" applyFill="1" applyBorder="1" applyAlignment="1" applyProtection="1">
      <alignment horizontal="center" vertical="center" wrapText="1"/>
    </xf>
    <xf numFmtId="206" fontId="0" fillId="0" borderId="10" xfId="19898" applyNumberFormat="1" applyFont="1" applyFill="1" applyBorder="1" applyAlignment="1">
      <alignment horizontal="center"/>
    </xf>
    <xf numFmtId="206" fontId="0" fillId="0" borderId="14" xfId="19898" applyNumberFormat="1" applyFont="1" applyFill="1" applyBorder="1" applyAlignment="1">
      <alignment horizontal="center"/>
    </xf>
    <xf numFmtId="206" fontId="15" fillId="0" borderId="19" xfId="19898" applyNumberFormat="1" applyFont="1" applyBorder="1" applyAlignment="1">
      <alignment horizontal="center"/>
    </xf>
    <xf numFmtId="10" fontId="11" fillId="0" borderId="10" xfId="0" applyNumberFormat="1" applyFont="1" applyFill="1" applyBorder="1" applyAlignment="1" applyProtection="1">
      <alignment horizontal="center" vertical="center" wrapText="1"/>
    </xf>
    <xf numFmtId="10" fontId="0" fillId="0" borderId="10" xfId="0" applyNumberFormat="1" applyBorder="1" applyAlignment="1">
      <alignment horizontal="center" vertical="center"/>
    </xf>
    <xf numFmtId="10" fontId="0" fillId="0" borderId="14" xfId="0" applyNumberFormat="1" applyBorder="1" applyAlignment="1">
      <alignment horizontal="center" vertical="center"/>
    </xf>
    <xf numFmtId="10" fontId="15" fillId="0" borderId="19" xfId="0" applyNumberFormat="1" applyFont="1" applyBorder="1" applyAlignment="1">
      <alignment horizontal="center"/>
    </xf>
    <xf numFmtId="10" fontId="11" fillId="0" borderId="7" xfId="0" applyNumberFormat="1" applyFont="1" applyFill="1" applyBorder="1" applyAlignment="1" applyProtection="1">
      <alignment horizontal="center" vertical="center" wrapText="1"/>
    </xf>
    <xf numFmtId="171" fontId="15" fillId="0" borderId="19" xfId="6450" applyNumberFormat="1" applyFont="1" applyBorder="1" applyAlignment="1">
      <alignment horizontal="center"/>
    </xf>
    <xf numFmtId="0" fontId="220" fillId="0" borderId="9" xfId="0" applyNumberFormat="1" applyFont="1" applyBorder="1" applyAlignment="1">
      <alignment horizontal="center"/>
    </xf>
    <xf numFmtId="0" fontId="220" fillId="0" borderId="10" xfId="0" applyNumberFormat="1" applyFont="1" applyFill="1" applyBorder="1" applyAlignment="1">
      <alignment horizontal="center"/>
    </xf>
    <xf numFmtId="206" fontId="220" fillId="0" borderId="10" xfId="19898" applyNumberFormat="1" applyFont="1" applyFill="1" applyBorder="1" applyAlignment="1">
      <alignment horizontal="center"/>
    </xf>
    <xf numFmtId="0" fontId="220" fillId="0" borderId="10" xfId="0" applyNumberFormat="1" applyFont="1" applyBorder="1" applyAlignment="1">
      <alignment horizontal="center" vertical="center"/>
    </xf>
    <xf numFmtId="3" fontId="220" fillId="0" borderId="11" xfId="0" applyNumberFormat="1" applyFont="1" applyBorder="1" applyAlignment="1">
      <alignment horizontal="right" vertical="center"/>
    </xf>
    <xf numFmtId="171" fontId="15" fillId="0" borderId="1" xfId="6450" applyNumberFormat="1" applyFont="1" applyBorder="1" applyAlignment="1">
      <alignment horizontal="center"/>
    </xf>
    <xf numFmtId="168" fontId="11" fillId="0" borderId="25" xfId="0" applyNumberFormat="1" applyFont="1" applyFill="1" applyBorder="1" applyAlignment="1" applyProtection="1">
      <alignment horizontal="center" vertical="center" wrapText="1"/>
    </xf>
    <xf numFmtId="0" fontId="11" fillId="0" borderId="25" xfId="0" applyNumberFormat="1" applyFont="1" applyFill="1" applyBorder="1" applyAlignment="1" applyProtection="1">
      <alignment horizontal="center" vertical="center" wrapText="1"/>
    </xf>
    <xf numFmtId="0" fontId="11" fillId="0" borderId="27" xfId="0" applyNumberFormat="1" applyFont="1" applyFill="1" applyBorder="1" applyAlignment="1" applyProtection="1">
      <alignment horizontal="center" vertical="center" wrapText="1"/>
      <protection locked="0"/>
    </xf>
    <xf numFmtId="168" fontId="11" fillId="0" borderId="27" xfId="0" applyNumberFormat="1" applyFont="1" applyFill="1" applyBorder="1" applyAlignment="1" applyProtection="1">
      <alignment horizontal="center" vertical="center" wrapText="1"/>
    </xf>
    <xf numFmtId="0" fontId="11" fillId="0" borderId="27" xfId="0" applyNumberFormat="1" applyFont="1" applyFill="1" applyBorder="1" applyAlignment="1" applyProtection="1">
      <alignment horizontal="center" vertical="center" wrapText="1"/>
    </xf>
    <xf numFmtId="168" fontId="11" fillId="0" borderId="5" xfId="0" applyNumberFormat="1" applyFont="1" applyFill="1" applyBorder="1" applyAlignment="1" applyProtection="1">
      <alignment horizontal="center" vertical="center" wrapText="1"/>
    </xf>
    <xf numFmtId="0" fontId="11" fillId="0" borderId="5" xfId="0" applyNumberFormat="1" applyFont="1" applyFill="1" applyBorder="1" applyAlignment="1" applyProtection="1">
      <alignment horizontal="center" vertical="center" wrapText="1"/>
    </xf>
    <xf numFmtId="171" fontId="15" fillId="0" borderId="27" xfId="6450" applyNumberFormat="1" applyFont="1" applyBorder="1" applyAlignment="1">
      <alignment horizontal="center"/>
    </xf>
    <xf numFmtId="171" fontId="15" fillId="0" borderId="5" xfId="6450" applyNumberFormat="1" applyFont="1" applyBorder="1" applyAlignment="1">
      <alignment horizontal="center"/>
    </xf>
    <xf numFmtId="168" fontId="15" fillId="0" borderId="1" xfId="0" applyNumberFormat="1" applyFont="1" applyBorder="1" applyAlignment="1">
      <alignment horizontal="center"/>
    </xf>
    <xf numFmtId="168" fontId="15" fillId="0" borderId="1" xfId="0" applyNumberFormat="1" applyFont="1" applyBorder="1"/>
    <xf numFmtId="3" fontId="11" fillId="0" borderId="7" xfId="0" applyNumberFormat="1" applyFont="1" applyFill="1" applyBorder="1" applyAlignment="1" applyProtection="1">
      <alignment horizontal="center" vertical="center" wrapText="1"/>
    </xf>
    <xf numFmtId="3" fontId="220" fillId="0" borderId="10" xfId="0" applyNumberFormat="1" applyFont="1" applyFill="1" applyBorder="1" applyAlignment="1">
      <alignment horizontal="center"/>
    </xf>
    <xf numFmtId="10" fontId="220" fillId="0" borderId="10" xfId="0" applyNumberFormat="1" applyFont="1" applyFill="1" applyBorder="1" applyAlignment="1">
      <alignment horizontal="center"/>
    </xf>
    <xf numFmtId="3" fontId="220" fillId="0" borderId="10" xfId="0" applyNumberFormat="1" applyFont="1" applyBorder="1" applyAlignment="1">
      <alignment horizontal="center"/>
    </xf>
    <xf numFmtId="0" fontId="220" fillId="0" borderId="13" xfId="0" applyNumberFormat="1" applyFont="1" applyBorder="1" applyAlignment="1">
      <alignment horizontal="center"/>
    </xf>
    <xf numFmtId="3" fontId="220" fillId="0" borderId="14" xfId="0" applyNumberFormat="1" applyFont="1" applyFill="1" applyBorder="1" applyAlignment="1">
      <alignment horizontal="center"/>
    </xf>
    <xf numFmtId="10" fontId="220" fillId="0" borderId="14" xfId="0" applyNumberFormat="1" applyFont="1" applyFill="1" applyBorder="1" applyAlignment="1">
      <alignment horizontal="center"/>
    </xf>
    <xf numFmtId="3" fontId="220" fillId="0" borderId="14" xfId="0" applyNumberFormat="1" applyFont="1" applyBorder="1" applyAlignment="1">
      <alignment horizontal="center"/>
    </xf>
    <xf numFmtId="3" fontId="220" fillId="0" borderId="15" xfId="0" applyNumberFormat="1" applyFont="1" applyBorder="1" applyAlignment="1">
      <alignment horizontal="right" vertical="center"/>
    </xf>
    <xf numFmtId="3" fontId="221" fillId="0" borderId="19" xfId="0" applyNumberFormat="1" applyFont="1" applyBorder="1" applyAlignment="1">
      <alignment horizontal="center"/>
    </xf>
    <xf numFmtId="171" fontId="11" fillId="0" borderId="37" xfId="6450" applyNumberFormat="1" applyFont="1" applyFill="1" applyBorder="1" applyAlignment="1" applyProtection="1">
      <alignment horizontal="center" vertical="center" wrapText="1"/>
      <protection locked="0"/>
    </xf>
    <xf numFmtId="3" fontId="11" fillId="0" borderId="1" xfId="0" applyNumberFormat="1" applyFont="1" applyFill="1" applyBorder="1" applyAlignment="1" applyProtection="1">
      <alignment horizontal="center" vertical="center" wrapText="1"/>
    </xf>
    <xf numFmtId="1" fontId="11" fillId="0" borderId="6" xfId="0" applyNumberFormat="1" applyFont="1" applyFill="1" applyBorder="1" applyAlignment="1" applyProtection="1">
      <alignment horizontal="center" vertical="center" wrapText="1"/>
      <protection locked="0"/>
    </xf>
    <xf numFmtId="1" fontId="11" fillId="0" borderId="9" xfId="0" applyNumberFormat="1" applyFont="1" applyFill="1" applyBorder="1" applyAlignment="1" applyProtection="1">
      <alignment horizontal="center" vertical="center" wrapText="1"/>
    </xf>
    <xf numFmtId="1" fontId="11" fillId="0" borderId="10" xfId="0" applyNumberFormat="1" applyFont="1" applyFill="1" applyBorder="1" applyAlignment="1" applyProtection="1">
      <alignment horizontal="center" vertical="center" wrapText="1"/>
    </xf>
    <xf numFmtId="1" fontId="11" fillId="0" borderId="11" xfId="0" applyNumberFormat="1" applyFont="1" applyFill="1" applyBorder="1" applyAlignment="1" applyProtection="1">
      <alignment horizontal="center" vertical="center" wrapText="1"/>
    </xf>
    <xf numFmtId="1" fontId="0" fillId="0" borderId="9" xfId="0" applyNumberFormat="1" applyBorder="1" applyAlignment="1">
      <alignment horizontal="center" vertical="center"/>
    </xf>
    <xf numFmtId="1" fontId="0" fillId="0" borderId="10" xfId="0" applyNumberFormat="1" applyFill="1" applyBorder="1" applyAlignment="1">
      <alignment horizontal="center" vertical="center"/>
    </xf>
    <xf numFmtId="1" fontId="0" fillId="0" borderId="10" xfId="0" applyNumberFormat="1" applyBorder="1" applyAlignment="1">
      <alignment horizontal="center" vertical="center"/>
    </xf>
    <xf numFmtId="1" fontId="0" fillId="0" borderId="11" xfId="0" applyNumberFormat="1" applyBorder="1" applyAlignment="1">
      <alignment horizontal="center" vertical="center"/>
    </xf>
    <xf numFmtId="1" fontId="0" fillId="0" borderId="34" xfId="0" applyNumberFormat="1" applyBorder="1" applyAlignment="1">
      <alignment horizontal="center" vertical="center"/>
    </xf>
    <xf numFmtId="1" fontId="0" fillId="0" borderId="35" xfId="0" applyNumberFormat="1" applyFill="1" applyBorder="1" applyAlignment="1">
      <alignment horizontal="center" vertical="center"/>
    </xf>
    <xf numFmtId="1" fontId="0" fillId="0" borderId="35" xfId="0" applyNumberFormat="1" applyBorder="1" applyAlignment="1">
      <alignment horizontal="center" vertical="center"/>
    </xf>
    <xf numFmtId="1" fontId="0" fillId="0" borderId="36" xfId="0" applyNumberFormat="1" applyBorder="1" applyAlignment="1">
      <alignment horizontal="center" vertical="center"/>
    </xf>
    <xf numFmtId="1" fontId="15" fillId="0" borderId="19" xfId="0" applyNumberFormat="1" applyFont="1" applyBorder="1" applyAlignment="1">
      <alignment horizontal="center" vertical="center"/>
    </xf>
    <xf numFmtId="171" fontId="11" fillId="0" borderId="6" xfId="6450" applyNumberFormat="1" applyFont="1" applyFill="1" applyBorder="1" applyAlignment="1" applyProtection="1">
      <alignment horizontal="center" vertical="center" wrapText="1"/>
      <protection locked="0"/>
    </xf>
    <xf numFmtId="171" fontId="11" fillId="0" borderId="7" xfId="6450" applyNumberFormat="1" applyFont="1" applyFill="1" applyBorder="1" applyAlignment="1" applyProtection="1">
      <alignment horizontal="center" vertical="center" wrapText="1"/>
      <protection locked="0"/>
    </xf>
    <xf numFmtId="171" fontId="11" fillId="0" borderId="7" xfId="6450" applyNumberFormat="1" applyFont="1" applyFill="1" applyBorder="1" applyAlignment="1" applyProtection="1">
      <alignment horizontal="center" vertical="center" wrapText="1"/>
    </xf>
    <xf numFmtId="171" fontId="11" fillId="0" borderId="8" xfId="6450" applyNumberFormat="1" applyFont="1" applyFill="1" applyBorder="1" applyAlignment="1" applyProtection="1">
      <alignment horizontal="center" vertical="center" wrapText="1"/>
    </xf>
    <xf numFmtId="171" fontId="11" fillId="0" borderId="9" xfId="6450" applyNumberFormat="1" applyFont="1" applyFill="1" applyBorder="1" applyAlignment="1" applyProtection="1">
      <alignment horizontal="center" vertical="center" wrapText="1"/>
    </xf>
    <xf numFmtId="171" fontId="11" fillId="0" borderId="10" xfId="6450" applyNumberFormat="1" applyFont="1" applyFill="1" applyBorder="1" applyAlignment="1" applyProtection="1">
      <alignment horizontal="center" vertical="center" wrapText="1"/>
    </xf>
    <xf numFmtId="171" fontId="11" fillId="0" borderId="11" xfId="6450" applyNumberFormat="1" applyFont="1" applyFill="1" applyBorder="1" applyAlignment="1" applyProtection="1">
      <alignment horizontal="center" vertical="center" wrapText="1"/>
    </xf>
    <xf numFmtId="171" fontId="0" fillId="0" borderId="9" xfId="6450" applyNumberFormat="1" applyFont="1" applyBorder="1" applyAlignment="1">
      <alignment horizontal="center" vertical="center"/>
    </xf>
    <xf numFmtId="171" fontId="0" fillId="0" borderId="10" xfId="6450" applyNumberFormat="1" applyFont="1" applyFill="1" applyBorder="1" applyAlignment="1">
      <alignment horizontal="center" vertical="center"/>
    </xf>
    <xf numFmtId="171" fontId="0" fillId="0" borderId="10" xfId="6450" applyNumberFormat="1" applyFont="1" applyBorder="1" applyAlignment="1">
      <alignment horizontal="center" vertical="center"/>
    </xf>
    <xf numFmtId="171" fontId="0" fillId="0" borderId="11" xfId="6450" applyNumberFormat="1" applyFont="1" applyBorder="1" applyAlignment="1">
      <alignment horizontal="center" vertical="center"/>
    </xf>
    <xf numFmtId="171" fontId="0" fillId="0" borderId="34" xfId="6450" applyNumberFormat="1" applyFont="1" applyBorder="1" applyAlignment="1">
      <alignment horizontal="center" vertical="center"/>
    </xf>
    <xf numFmtId="171" fontId="0" fillId="0" borderId="35" xfId="6450" applyNumberFormat="1" applyFont="1" applyFill="1" applyBorder="1" applyAlignment="1">
      <alignment horizontal="center" vertical="center"/>
    </xf>
    <xf numFmtId="171" fontId="0" fillId="0" borderId="35" xfId="6450" applyNumberFormat="1" applyFont="1" applyBorder="1" applyAlignment="1">
      <alignment horizontal="center" vertical="center"/>
    </xf>
    <xf numFmtId="171" fontId="0" fillId="0" borderId="36" xfId="6450" applyNumberFormat="1" applyFont="1" applyBorder="1" applyAlignment="1">
      <alignment horizontal="center" vertical="center"/>
    </xf>
    <xf numFmtId="171" fontId="15" fillId="0" borderId="19" xfId="6450" applyNumberFormat="1" applyFont="1" applyBorder="1" applyAlignment="1">
      <alignment horizontal="center" vertical="center"/>
    </xf>
    <xf numFmtId="171" fontId="15" fillId="0" borderId="37" xfId="6450" applyNumberFormat="1" applyFont="1" applyFill="1" applyBorder="1" applyAlignment="1">
      <alignment horizontal="center" vertical="center"/>
    </xf>
    <xf numFmtId="171" fontId="15" fillId="0" borderId="37" xfId="6450" applyNumberFormat="1" applyFont="1" applyBorder="1" applyAlignment="1">
      <alignment horizontal="center" vertical="center"/>
    </xf>
    <xf numFmtId="171" fontId="15" fillId="0" borderId="38" xfId="6450" applyNumberFormat="1" applyFont="1" applyBorder="1" applyAlignment="1">
      <alignment horizontal="center" vertical="center"/>
    </xf>
    <xf numFmtId="171" fontId="11" fillId="0" borderId="1" xfId="0" applyNumberFormat="1" applyFont="1" applyFill="1" applyBorder="1" applyAlignment="1" applyProtection="1">
      <alignment horizontal="center" vertical="center" wrapText="1"/>
    </xf>
    <xf numFmtId="171" fontId="11" fillId="0" borderId="9" xfId="6450" applyNumberFormat="1" applyFont="1" applyFill="1" applyBorder="1" applyAlignment="1" applyProtection="1">
      <alignment horizontal="right" vertical="center" wrapText="1"/>
    </xf>
    <xf numFmtId="171" fontId="23" fillId="0" borderId="19" xfId="6450" applyNumberFormat="1" applyFont="1" applyBorder="1" applyAlignment="1">
      <alignment horizontal="right" vertical="center"/>
    </xf>
    <xf numFmtId="0" fontId="0" fillId="0" borderId="0" xfId="0" applyAlignment="1">
      <alignment horizontal="left" vertical="center"/>
    </xf>
    <xf numFmtId="171" fontId="16" fillId="0" borderId="37" xfId="6450" applyNumberFormat="1" applyFont="1" applyFill="1" applyBorder="1" applyAlignment="1" applyProtection="1">
      <alignment horizontal="right" vertical="center" wrapText="1"/>
    </xf>
    <xf numFmtId="171" fontId="16" fillId="0" borderId="38" xfId="6450" applyNumberFormat="1" applyFont="1" applyFill="1" applyBorder="1" applyAlignment="1" applyProtection="1">
      <alignment horizontal="right" vertical="center" wrapText="1"/>
    </xf>
    <xf numFmtId="3" fontId="149" fillId="0" borderId="1" xfId="0" applyNumberFormat="1" applyFont="1" applyFill="1" applyBorder="1" applyAlignment="1" applyProtection="1">
      <alignment horizontal="left" vertical="center"/>
      <protection locked="0"/>
    </xf>
    <xf numFmtId="3" fontId="11" fillId="43" borderId="60" xfId="0" applyNumberFormat="1" applyFont="1" applyFill="1" applyBorder="1" applyAlignment="1" applyProtection="1">
      <alignment horizontal="right" vertical="center" wrapText="1"/>
      <protection locked="0"/>
    </xf>
    <xf numFmtId="3" fontId="11" fillId="43" borderId="10" xfId="0" applyNumberFormat="1" applyFont="1" applyFill="1" applyBorder="1" applyAlignment="1" applyProtection="1">
      <alignment horizontal="right" vertical="center" wrapText="1"/>
      <protection locked="0"/>
    </xf>
    <xf numFmtId="3" fontId="11" fillId="43" borderId="11" xfId="0" applyNumberFormat="1" applyFont="1" applyFill="1" applyBorder="1" applyAlignment="1" applyProtection="1">
      <alignment horizontal="right" vertical="center" wrapText="1"/>
      <protection locked="0"/>
    </xf>
    <xf numFmtId="3" fontId="16" fillId="43" borderId="68" xfId="0" applyNumberFormat="1" applyFont="1" applyFill="1" applyBorder="1" applyAlignment="1" applyProtection="1">
      <alignment horizontal="right" vertical="center" wrapText="1"/>
    </xf>
    <xf numFmtId="3" fontId="11" fillId="43" borderId="9" xfId="0" applyNumberFormat="1" applyFont="1" applyFill="1" applyBorder="1" applyAlignment="1" applyProtection="1">
      <alignment horizontal="right" vertical="center" wrapText="1"/>
      <protection locked="0"/>
    </xf>
    <xf numFmtId="3" fontId="11" fillId="43" borderId="68" xfId="0" applyNumberFormat="1" applyFont="1" applyFill="1" applyBorder="1" applyAlignment="1" applyProtection="1">
      <alignment horizontal="right" vertical="center" wrapText="1"/>
    </xf>
    <xf numFmtId="3" fontId="11" fillId="43" borderId="9" xfId="0" applyNumberFormat="1" applyFont="1" applyFill="1" applyBorder="1" applyAlignment="1" applyProtection="1">
      <alignment horizontal="right" vertical="center" wrapText="1"/>
    </xf>
    <xf numFmtId="3" fontId="11" fillId="43" borderId="10" xfId="0" applyNumberFormat="1" applyFont="1" applyFill="1" applyBorder="1" applyAlignment="1" applyProtection="1">
      <alignment horizontal="right" vertical="center" wrapText="1"/>
    </xf>
    <xf numFmtId="3" fontId="11" fillId="43" borderId="11" xfId="0" applyNumberFormat="1" applyFont="1" applyFill="1" applyBorder="1" applyAlignment="1" applyProtection="1">
      <alignment horizontal="right" vertical="center" wrapText="1"/>
    </xf>
    <xf numFmtId="3" fontId="16" fillId="43" borderId="70" xfId="0" applyNumberFormat="1" applyFont="1" applyFill="1" applyBorder="1" applyAlignment="1" applyProtection="1">
      <alignment horizontal="right" vertical="center" wrapText="1"/>
    </xf>
    <xf numFmtId="3" fontId="16" fillId="43" borderId="66" xfId="0" applyNumberFormat="1" applyFont="1" applyFill="1" applyBorder="1" applyAlignment="1" applyProtection="1">
      <alignment horizontal="right" vertical="center" wrapText="1"/>
    </xf>
    <xf numFmtId="3" fontId="16" fillId="43" borderId="10" xfId="0" applyNumberFormat="1" applyFont="1" applyFill="1" applyBorder="1" applyAlignment="1" applyProtection="1">
      <alignment horizontal="right" vertical="center" wrapText="1"/>
    </xf>
    <xf numFmtId="3" fontId="16" fillId="43" borderId="14" xfId="0" applyNumberFormat="1" applyFont="1" applyFill="1" applyBorder="1" applyAlignment="1" applyProtection="1">
      <alignment horizontal="right" vertical="center" wrapText="1"/>
    </xf>
    <xf numFmtId="3" fontId="0" fillId="0" borderId="1" xfId="0" applyNumberFormat="1" applyBorder="1"/>
    <xf numFmtId="3" fontId="0" fillId="0" borderId="10" xfId="0" applyNumberFormat="1" applyBorder="1" applyAlignment="1">
      <alignment horizontal="center" vertical="center"/>
    </xf>
    <xf numFmtId="172" fontId="15" fillId="6" borderId="0" xfId="0" applyNumberFormat="1" applyFont="1" applyFill="1"/>
    <xf numFmtId="172" fontId="11" fillId="6" borderId="9" xfId="0" applyNumberFormat="1" applyFont="1" applyFill="1" applyBorder="1" applyAlignment="1" applyProtection="1">
      <alignment horizontal="right" vertical="center" wrapText="1"/>
    </xf>
    <xf numFmtId="172" fontId="11" fillId="6" borderId="10" xfId="0" applyNumberFormat="1" applyFont="1" applyFill="1" applyBorder="1" applyAlignment="1" applyProtection="1">
      <alignment horizontal="right" vertical="center" wrapText="1"/>
      <protection locked="0"/>
    </xf>
    <xf numFmtId="172" fontId="16" fillId="6" borderId="10" xfId="0" applyNumberFormat="1" applyFont="1" applyFill="1" applyBorder="1" applyAlignment="1" applyProtection="1">
      <alignment horizontal="right" vertical="center" wrapText="1"/>
    </xf>
    <xf numFmtId="3" fontId="13" fillId="6" borderId="24" xfId="0" applyNumberFormat="1" applyFont="1" applyFill="1" applyBorder="1" applyAlignment="1" applyProtection="1">
      <alignment horizontal="center" vertical="center" wrapText="1"/>
    </xf>
    <xf numFmtId="172" fontId="16" fillId="6" borderId="68" xfId="0" applyNumberFormat="1" applyFont="1" applyFill="1" applyBorder="1" applyAlignment="1" applyProtection="1">
      <alignment horizontal="right" vertical="center" wrapText="1"/>
    </xf>
    <xf numFmtId="172" fontId="11" fillId="6" borderId="68" xfId="0" applyNumberFormat="1" applyFont="1" applyFill="1" applyBorder="1" applyAlignment="1" applyProtection="1">
      <alignment horizontal="right" vertical="center" wrapText="1"/>
    </xf>
    <xf numFmtId="172" fontId="16" fillId="6" borderId="70" xfId="0" applyNumberFormat="1" applyFont="1" applyFill="1" applyBorder="1" applyAlignment="1" applyProtection="1">
      <alignment horizontal="right" vertical="center" wrapText="1"/>
    </xf>
    <xf numFmtId="0" fontId="13" fillId="6" borderId="24" xfId="0" applyFont="1" applyFill="1" applyBorder="1" applyAlignment="1" applyProtection="1">
      <alignment horizontal="center" vertical="center" wrapText="1"/>
      <protection locked="0"/>
    </xf>
    <xf numFmtId="3" fontId="11" fillId="6" borderId="13" xfId="0" applyNumberFormat="1" applyFont="1" applyFill="1" applyBorder="1" applyAlignment="1" applyProtection="1">
      <alignment horizontal="right" vertical="center" wrapText="1"/>
    </xf>
    <xf numFmtId="3" fontId="11" fillId="6" borderId="66" xfId="0" applyNumberFormat="1" applyFont="1" applyFill="1" applyBorder="1" applyAlignment="1" applyProtection="1">
      <alignment horizontal="right" vertical="center" wrapText="1"/>
    </xf>
    <xf numFmtId="172" fontId="11" fillId="6" borderId="71" xfId="0" applyNumberFormat="1" applyFont="1" applyFill="1" applyBorder="1" applyAlignment="1" applyProtection="1">
      <alignment horizontal="right" vertical="center" wrapText="1"/>
    </xf>
    <xf numFmtId="3" fontId="16" fillId="6" borderId="68" xfId="0" applyNumberFormat="1" applyFont="1" applyFill="1" applyBorder="1" applyAlignment="1" applyProtection="1">
      <alignment horizontal="right" vertical="center" wrapText="1"/>
    </xf>
    <xf numFmtId="172" fontId="16" fillId="6" borderId="9" xfId="0" applyNumberFormat="1" applyFont="1" applyFill="1" applyBorder="1" applyAlignment="1" applyProtection="1">
      <alignment horizontal="right" vertical="center" wrapText="1"/>
    </xf>
    <xf numFmtId="3" fontId="16" fillId="6" borderId="9" xfId="0" applyNumberFormat="1" applyFont="1" applyFill="1" applyBorder="1" applyAlignment="1" applyProtection="1">
      <alignment horizontal="right" vertical="center" wrapText="1"/>
    </xf>
    <xf numFmtId="172" fontId="11" fillId="6" borderId="4" xfId="0" applyNumberFormat="1" applyFont="1" applyFill="1" applyBorder="1" applyAlignment="1" applyProtection="1">
      <alignment horizontal="right" vertical="center" wrapText="1"/>
      <protection locked="0"/>
    </xf>
    <xf numFmtId="172" fontId="16" fillId="6" borderId="72" xfId="0" applyNumberFormat="1" applyFont="1" applyFill="1" applyBorder="1" applyAlignment="1" applyProtection="1">
      <alignment horizontal="right" vertical="center" wrapText="1"/>
    </xf>
    <xf numFmtId="172" fontId="16" fillId="6" borderId="4" xfId="0" applyNumberFormat="1" applyFont="1" applyFill="1" applyBorder="1" applyAlignment="1" applyProtection="1">
      <alignment horizontal="right" vertical="center" wrapText="1"/>
    </xf>
    <xf numFmtId="3" fontId="11" fillId="6" borderId="9" xfId="0" applyNumberFormat="1" applyFont="1" applyFill="1" applyBorder="1" applyAlignment="1" applyProtection="1">
      <alignment horizontal="right" vertical="center" wrapText="1"/>
      <protection locked="0"/>
    </xf>
    <xf numFmtId="3" fontId="16" fillId="6" borderId="19" xfId="0" applyNumberFormat="1" applyFont="1" applyFill="1" applyBorder="1" applyAlignment="1" applyProtection="1">
      <alignment horizontal="right" vertical="center" wrapText="1"/>
    </xf>
    <xf numFmtId="3" fontId="11" fillId="6" borderId="11" xfId="0" applyNumberFormat="1" applyFont="1" applyFill="1" applyBorder="1" applyAlignment="1" applyProtection="1">
      <alignment horizontal="right" vertical="center" wrapText="1"/>
    </xf>
    <xf numFmtId="172" fontId="16" fillId="6" borderId="65" xfId="0" applyNumberFormat="1" applyFont="1" applyFill="1" applyBorder="1" applyAlignment="1" applyProtection="1">
      <alignment horizontal="right" vertical="center" wrapText="1"/>
    </xf>
    <xf numFmtId="172" fontId="16" fillId="105" borderId="68" xfId="0" applyNumberFormat="1" applyFont="1" applyFill="1" applyBorder="1" applyAlignment="1" applyProtection="1">
      <alignment horizontal="right" vertical="center" wrapText="1"/>
    </xf>
    <xf numFmtId="172" fontId="11" fillId="105" borderId="68" xfId="0" applyNumberFormat="1" applyFont="1" applyFill="1" applyBorder="1" applyAlignment="1" applyProtection="1">
      <alignment horizontal="right" vertical="center" wrapText="1"/>
    </xf>
    <xf numFmtId="172" fontId="11" fillId="105" borderId="66" xfId="0" applyNumberFormat="1" applyFont="1" applyFill="1" applyBorder="1" applyAlignment="1" applyProtection="1">
      <alignment horizontal="right" vertical="center" wrapText="1"/>
    </xf>
    <xf numFmtId="172" fontId="11" fillId="6" borderId="44" xfId="0" applyNumberFormat="1" applyFont="1" applyFill="1" applyBorder="1" applyAlignment="1" applyProtection="1">
      <alignment horizontal="right" vertical="center" wrapText="1"/>
      <protection locked="0"/>
    </xf>
    <xf numFmtId="0" fontId="12" fillId="6" borderId="23" xfId="0" applyFont="1" applyFill="1" applyBorder="1" applyAlignment="1" applyProtection="1">
      <alignment horizontal="left" vertical="center" wrapText="1"/>
      <protection locked="0"/>
    </xf>
    <xf numFmtId="172" fontId="16" fillId="6" borderId="60" xfId="0" applyNumberFormat="1" applyFont="1" applyFill="1" applyBorder="1" applyAlignment="1" applyProtection="1">
      <alignment horizontal="right" vertical="center" wrapText="1"/>
    </xf>
    <xf numFmtId="172" fontId="16" fillId="6" borderId="69" xfId="0" applyNumberFormat="1" applyFont="1" applyFill="1" applyBorder="1" applyAlignment="1" applyProtection="1">
      <alignment horizontal="right" vertical="center" wrapText="1"/>
    </xf>
    <xf numFmtId="172" fontId="11" fillId="6" borderId="66" xfId="0" applyNumberFormat="1" applyFont="1" applyFill="1" applyBorder="1" applyAlignment="1" applyProtection="1">
      <alignment horizontal="right" vertical="center" wrapText="1"/>
    </xf>
    <xf numFmtId="171" fontId="0" fillId="6" borderId="123" xfId="3340" applyNumberFormat="1" applyFont="1" applyFill="1" applyBorder="1"/>
    <xf numFmtId="0" fontId="18" fillId="6" borderId="116" xfId="3339" applyFill="1" applyBorder="1"/>
    <xf numFmtId="0" fontId="20" fillId="6" borderId="1" xfId="0" applyFont="1" applyFill="1" applyBorder="1" applyAlignment="1" applyProtection="1">
      <alignment horizontal="left" vertical="center" wrapText="1"/>
      <protection locked="0"/>
    </xf>
    <xf numFmtId="3" fontId="11" fillId="6" borderId="3" xfId="0" applyNumberFormat="1" applyFont="1" applyFill="1" applyBorder="1" applyAlignment="1" applyProtection="1">
      <alignment horizontal="right" vertical="center" wrapText="1"/>
    </xf>
    <xf numFmtId="3" fontId="16" fillId="6" borderId="25" xfId="0" applyNumberFormat="1" applyFont="1" applyFill="1" applyBorder="1" applyAlignment="1" applyProtection="1">
      <alignment horizontal="right" vertical="center" wrapText="1"/>
    </xf>
    <xf numFmtId="0" fontId="14" fillId="6" borderId="25" xfId="0" applyFont="1" applyFill="1" applyBorder="1" applyAlignment="1" applyProtection="1">
      <alignment horizontal="left" vertical="center" wrapText="1"/>
      <protection locked="0"/>
    </xf>
    <xf numFmtId="3" fontId="11" fillId="6" borderId="10" xfId="0" applyNumberFormat="1" applyFont="1" applyFill="1" applyBorder="1" applyAlignment="1" applyProtection="1">
      <alignment horizontal="right" vertical="top" wrapText="1"/>
    </xf>
    <xf numFmtId="3" fontId="11" fillId="6" borderId="10" xfId="0" applyNumberFormat="1" applyFont="1" applyFill="1" applyBorder="1" applyAlignment="1" applyProtection="1">
      <alignment horizontal="right" vertical="top" wrapText="1"/>
      <protection locked="0"/>
    </xf>
    <xf numFmtId="3" fontId="11" fillId="6" borderId="10" xfId="0" applyNumberFormat="1" applyFont="1" applyFill="1" applyBorder="1" applyAlignment="1" applyProtection="1">
      <alignment horizontal="right" vertical="center" wrapText="1"/>
    </xf>
    <xf numFmtId="3" fontId="11" fillId="6" borderId="9" xfId="0" applyNumberFormat="1" applyFont="1" applyFill="1" applyBorder="1" applyAlignment="1" applyProtection="1">
      <alignment horizontal="right" vertical="center" wrapText="1"/>
    </xf>
    <xf numFmtId="3" fontId="11" fillId="6" borderId="10" xfId="0" applyNumberFormat="1" applyFont="1" applyFill="1" applyBorder="1" applyAlignment="1" applyProtection="1">
      <alignment horizontal="right" vertical="center" wrapText="1"/>
      <protection locked="0"/>
    </xf>
    <xf numFmtId="3" fontId="16" fillId="6" borderId="10" xfId="0" applyNumberFormat="1" applyFont="1" applyFill="1" applyBorder="1" applyAlignment="1" applyProtection="1">
      <alignment horizontal="right" vertical="center" wrapText="1"/>
    </xf>
    <xf numFmtId="0" fontId="0" fillId="43" borderId="0" xfId="0" applyFill="1"/>
    <xf numFmtId="3" fontId="16" fillId="6" borderId="17" xfId="0" applyNumberFormat="1" applyFont="1" applyFill="1" applyBorder="1" applyAlignment="1" applyProtection="1">
      <alignment horizontal="right" vertical="center" wrapText="1"/>
      <protection locked="0"/>
    </xf>
    <xf numFmtId="3" fontId="16" fillId="6" borderId="37" xfId="0" applyNumberFormat="1" applyFont="1" applyFill="1" applyBorder="1" applyAlignment="1" applyProtection="1">
      <alignment horizontal="right" vertical="top" wrapText="1"/>
    </xf>
    <xf numFmtId="172" fontId="139" fillId="2" borderId="1" xfId="820" applyNumberFormat="1" applyFont="1" applyFill="1"/>
    <xf numFmtId="0" fontId="12" fillId="6" borderId="1" xfId="0" applyFont="1" applyFill="1" applyBorder="1" applyAlignment="1" applyProtection="1">
      <alignment vertical="center" wrapText="1"/>
      <protection locked="0"/>
    </xf>
    <xf numFmtId="0" fontId="18" fillId="0" borderId="1" xfId="57710"/>
    <xf numFmtId="3" fontId="16" fillId="6" borderId="24" xfId="0" applyNumberFormat="1" applyFont="1" applyFill="1" applyBorder="1" applyAlignment="1" applyProtection="1">
      <alignment horizontal="right" vertical="center" wrapText="1"/>
    </xf>
    <xf numFmtId="3" fontId="11" fillId="6" borderId="34" xfId="0" applyNumberFormat="1" applyFont="1" applyFill="1" applyBorder="1" applyAlignment="1" applyProtection="1">
      <alignment horizontal="right" vertical="center" wrapText="1"/>
      <protection locked="0"/>
    </xf>
    <xf numFmtId="171" fontId="8" fillId="2" borderId="1" xfId="15" applyNumberFormat="1" applyFill="1"/>
    <xf numFmtId="3" fontId="152" fillId="0" borderId="0" xfId="0" applyNumberFormat="1" applyFont="1"/>
    <xf numFmtId="0" fontId="0" fillId="0" borderId="0" xfId="0" applyAlignment="1">
      <alignment horizontal="center" vertical="center"/>
    </xf>
    <xf numFmtId="0" fontId="0" fillId="0" borderId="0" xfId="0" applyAlignment="1">
      <alignment horizontal="left" vertical="center"/>
    </xf>
    <xf numFmtId="0" fontId="12" fillId="0" borderId="1" xfId="0" applyFont="1" applyFill="1" applyBorder="1" applyAlignment="1" applyProtection="1">
      <alignment horizontal="left" vertical="center" wrapText="1"/>
      <protection locked="0"/>
    </xf>
    <xf numFmtId="0" fontId="14" fillId="6" borderId="1" xfId="0" applyFont="1" applyFill="1" applyBorder="1" applyAlignment="1" applyProtection="1">
      <alignment horizontal="left" vertical="center" wrapText="1"/>
      <protection locked="0"/>
    </xf>
    <xf numFmtId="0" fontId="14" fillId="0" borderId="1" xfId="0" applyFont="1" applyFill="1" applyBorder="1" applyAlignment="1" applyProtection="1">
      <alignment horizontal="left" vertical="center" wrapText="1"/>
      <protection locked="0"/>
    </xf>
    <xf numFmtId="0" fontId="12" fillId="6" borderId="1" xfId="0" applyFont="1" applyFill="1" applyBorder="1" applyAlignment="1" applyProtection="1">
      <alignment horizontal="left" vertical="center" wrapText="1"/>
      <protection locked="0"/>
    </xf>
    <xf numFmtId="0" fontId="222" fillId="6" borderId="1" xfId="0" applyFont="1" applyFill="1" applyBorder="1" applyAlignment="1" applyProtection="1">
      <alignment horizontal="left" vertical="center" wrapText="1"/>
      <protection locked="0"/>
    </xf>
    <xf numFmtId="0" fontId="142" fillId="2" borderId="1" xfId="820" applyFont="1" applyFill="1" applyBorder="1" applyAlignment="1">
      <alignment horizontal="left"/>
    </xf>
    <xf numFmtId="0" fontId="136" fillId="2" borderId="1" xfId="820" applyFont="1" applyFill="1" applyBorder="1" applyAlignment="1">
      <alignment horizontal="left"/>
    </xf>
    <xf numFmtId="0" fontId="142" fillId="0" borderId="1" xfId="820" applyFont="1" applyFill="1" applyBorder="1" applyAlignment="1">
      <alignment horizontal="left"/>
    </xf>
    <xf numFmtId="0" fontId="136" fillId="2" borderId="1" xfId="820" applyFont="1" applyFill="1" applyBorder="1" applyAlignment="1">
      <alignment horizontal="left" vertical="center"/>
    </xf>
    <xf numFmtId="0" fontId="14" fillId="0" borderId="1" xfId="0" applyFont="1" applyFill="1" applyBorder="1" applyAlignment="1" applyProtection="1">
      <alignment horizontal="left" vertical="center" wrapText="1"/>
    </xf>
    <xf numFmtId="0" fontId="14" fillId="0" borderId="1" xfId="0" applyFont="1" applyFill="1" applyBorder="1" applyAlignment="1" applyProtection="1">
      <alignment horizontal="left" vertical="top" wrapText="1"/>
    </xf>
    <xf numFmtId="0" fontId="12" fillId="0" borderId="1" xfId="0" applyFont="1" applyFill="1" applyBorder="1" applyAlignment="1" applyProtection="1">
      <alignment horizontal="left" vertical="top" wrapText="1"/>
      <protection locked="0"/>
    </xf>
    <xf numFmtId="0" fontId="11" fillId="0" borderId="1" xfId="0" applyFont="1" applyFill="1" applyBorder="1" applyAlignment="1" applyProtection="1">
      <alignment horizontal="left" vertical="top"/>
      <protection locked="0"/>
    </xf>
    <xf numFmtId="0" fontId="37" fillId="0" borderId="74" xfId="0" applyFont="1" applyFill="1" applyBorder="1" applyAlignment="1" applyProtection="1">
      <alignment horizontal="center" vertical="center" wrapText="1"/>
      <protection locked="0"/>
    </xf>
    <xf numFmtId="0" fontId="14" fillId="0" borderId="50" xfId="0" applyFont="1" applyFill="1" applyBorder="1" applyAlignment="1" applyProtection="1">
      <alignment horizontal="center" vertical="center" wrapText="1"/>
      <protection locked="0"/>
    </xf>
    <xf numFmtId="0" fontId="14" fillId="0" borderId="51" xfId="0" applyFont="1" applyFill="1" applyBorder="1" applyAlignment="1" applyProtection="1">
      <alignment horizontal="center" vertical="center" wrapText="1"/>
      <protection locked="0"/>
    </xf>
    <xf numFmtId="0" fontId="12" fillId="0" borderId="20" xfId="0" applyFont="1" applyFill="1" applyBorder="1" applyAlignment="1" applyProtection="1">
      <alignment horizontal="left" vertical="center" wrapText="1"/>
      <protection locked="0"/>
    </xf>
    <xf numFmtId="0" fontId="12" fillId="0" borderId="21" xfId="0" applyFont="1" applyFill="1" applyBorder="1" applyAlignment="1" applyProtection="1">
      <alignment horizontal="left" vertical="center" wrapText="1"/>
      <protection locked="0"/>
    </xf>
    <xf numFmtId="0" fontId="14" fillId="0" borderId="26" xfId="0" applyFont="1" applyFill="1" applyBorder="1" applyAlignment="1" applyProtection="1">
      <alignment horizontal="left" vertical="center" wrapText="1"/>
      <protection locked="0"/>
    </xf>
    <xf numFmtId="0" fontId="14" fillId="0" borderId="27" xfId="0" applyFont="1" applyFill="1" applyBorder="1" applyAlignment="1" applyProtection="1">
      <alignment horizontal="left" vertical="center" wrapText="1"/>
      <protection locked="0"/>
    </xf>
    <xf numFmtId="0" fontId="14" fillId="0" borderId="28" xfId="0" applyFont="1" applyFill="1" applyBorder="1" applyAlignment="1" applyProtection="1">
      <alignment horizontal="left" vertical="center" wrapText="1"/>
      <protection locked="0"/>
    </xf>
    <xf numFmtId="0" fontId="12" fillId="0" borderId="20" xfId="0" applyFont="1" applyFill="1" applyBorder="1" applyAlignment="1" applyProtection="1">
      <alignment horizontal="left" vertical="top" wrapText="1"/>
      <protection locked="0"/>
    </xf>
    <xf numFmtId="0" fontId="12" fillId="0" borderId="21" xfId="0" applyFont="1" applyFill="1" applyBorder="1" applyAlignment="1" applyProtection="1">
      <alignment horizontal="left" vertical="top" wrapText="1"/>
      <protection locked="0"/>
    </xf>
    <xf numFmtId="0" fontId="14" fillId="0" borderId="20" xfId="0" applyFont="1" applyFill="1" applyBorder="1" applyAlignment="1" applyProtection="1">
      <alignment horizontal="left" vertical="top" wrapText="1"/>
    </xf>
    <xf numFmtId="0" fontId="14" fillId="0" borderId="21" xfId="0" applyFont="1" applyFill="1" applyBorder="1" applyAlignment="1" applyProtection="1">
      <alignment horizontal="left" vertical="top" wrapText="1"/>
    </xf>
    <xf numFmtId="0" fontId="12" fillId="0" borderId="22" xfId="0" applyFont="1" applyFill="1" applyBorder="1" applyAlignment="1" applyProtection="1">
      <alignment horizontal="left" vertical="top" wrapText="1"/>
      <protection locked="0"/>
    </xf>
    <xf numFmtId="0" fontId="12" fillId="0" borderId="5" xfId="0" applyFont="1" applyFill="1" applyBorder="1" applyAlignment="1" applyProtection="1">
      <alignment horizontal="left" vertical="top" wrapText="1"/>
      <protection locked="0"/>
    </xf>
    <xf numFmtId="0" fontId="12" fillId="0" borderId="23" xfId="0" applyFont="1" applyFill="1" applyBorder="1" applyAlignment="1" applyProtection="1">
      <alignment horizontal="left" vertical="top" wrapText="1"/>
      <protection locked="0"/>
    </xf>
    <xf numFmtId="0" fontId="14" fillId="0" borderId="25" xfId="0" applyFont="1" applyFill="1" applyBorder="1" applyAlignment="1" applyProtection="1">
      <alignment horizontal="left" vertical="top" wrapText="1"/>
    </xf>
    <xf numFmtId="0" fontId="38" fillId="0" borderId="1" xfId="0" applyFont="1" applyFill="1" applyBorder="1" applyAlignment="1" applyProtection="1">
      <alignment horizontal="left" vertical="center" wrapText="1"/>
      <protection locked="0"/>
    </xf>
    <xf numFmtId="0" fontId="14" fillId="0" borderId="1" xfId="0" applyFont="1" applyFill="1" applyBorder="1" applyAlignment="1" applyProtection="1">
      <alignment horizontal="left" vertical="top" wrapText="1"/>
      <protection locked="0"/>
    </xf>
    <xf numFmtId="0" fontId="38" fillId="0" borderId="1" xfId="0" applyFont="1" applyFill="1" applyBorder="1" applyAlignment="1" applyProtection="1">
      <alignment horizontal="center" vertical="center" wrapText="1"/>
      <protection locked="0"/>
    </xf>
    <xf numFmtId="0" fontId="14" fillId="0" borderId="9" xfId="0" applyFont="1" applyFill="1" applyBorder="1" applyAlignment="1" applyProtection="1">
      <alignment horizontal="left" vertical="top" wrapText="1"/>
      <protection locked="0"/>
    </xf>
    <xf numFmtId="0" fontId="14" fillId="0" borderId="10" xfId="0" applyFont="1" applyFill="1" applyBorder="1" applyAlignment="1" applyProtection="1">
      <alignment horizontal="left" vertical="top" wrapText="1"/>
      <protection locked="0"/>
    </xf>
    <xf numFmtId="0" fontId="14" fillId="0" borderId="12" xfId="0" applyFont="1" applyFill="1" applyBorder="1" applyAlignment="1" applyProtection="1">
      <alignment horizontal="left" vertical="top" wrapText="1"/>
      <protection locked="0"/>
    </xf>
    <xf numFmtId="0" fontId="14" fillId="0" borderId="3" xfId="0" applyFont="1" applyFill="1" applyBorder="1" applyAlignment="1" applyProtection="1">
      <alignment horizontal="left" vertical="top" wrapText="1"/>
      <protection locked="0"/>
    </xf>
    <xf numFmtId="0" fontId="14" fillId="0" borderId="6" xfId="0" applyFont="1" applyFill="1" applyBorder="1" applyAlignment="1" applyProtection="1">
      <alignment horizontal="left" vertical="top" wrapText="1"/>
      <protection locked="0"/>
    </xf>
    <xf numFmtId="0" fontId="14" fillId="0" borderId="7" xfId="0" applyFont="1" applyFill="1" applyBorder="1" applyAlignment="1" applyProtection="1">
      <alignment horizontal="left" vertical="top" wrapText="1"/>
      <protection locked="0"/>
    </xf>
    <xf numFmtId="49" fontId="18" fillId="0" borderId="48" xfId="2" applyNumberFormat="1" applyBorder="1" applyAlignment="1">
      <alignment horizontal="justify" vertical="top" wrapText="1"/>
    </xf>
    <xf numFmtId="49" fontId="18" fillId="0" borderId="40" xfId="2" applyNumberFormat="1" applyBorder="1" applyAlignment="1">
      <alignment horizontal="justify" vertical="top" wrapText="1"/>
    </xf>
    <xf numFmtId="49" fontId="18" fillId="0" borderId="75" xfId="2" applyNumberFormat="1" applyBorder="1" applyAlignment="1">
      <alignment horizontal="justify" vertical="top" wrapText="1"/>
    </xf>
    <xf numFmtId="0" fontId="12" fillId="0" borderId="9" xfId="0" applyFont="1" applyFill="1" applyBorder="1" applyAlignment="1" applyProtection="1">
      <alignment horizontal="left" vertical="top" wrapText="1"/>
      <protection locked="0"/>
    </xf>
    <xf numFmtId="0" fontId="12" fillId="0" borderId="10" xfId="0" applyFont="1" applyFill="1" applyBorder="1" applyAlignment="1" applyProtection="1">
      <alignment horizontal="left" vertical="top" wrapText="1"/>
      <protection locked="0"/>
    </xf>
    <xf numFmtId="0" fontId="12" fillId="0" borderId="13" xfId="0" applyFont="1" applyFill="1" applyBorder="1" applyAlignment="1" applyProtection="1">
      <alignment horizontal="left" vertical="top" wrapText="1"/>
      <protection locked="0"/>
    </xf>
    <xf numFmtId="0" fontId="12" fillId="0" borderId="14" xfId="0" applyFont="1" applyFill="1" applyBorder="1" applyAlignment="1" applyProtection="1">
      <alignment horizontal="left" vertical="top" wrapText="1"/>
      <protection locked="0"/>
    </xf>
    <xf numFmtId="0" fontId="14" fillId="0" borderId="16" xfId="0" applyFont="1" applyFill="1" applyBorder="1" applyAlignment="1" applyProtection="1">
      <alignment horizontal="left" vertical="top" wrapText="1"/>
      <protection locked="0"/>
    </xf>
    <xf numFmtId="0" fontId="14" fillId="0" borderId="17" xfId="0" applyFont="1" applyFill="1" applyBorder="1" applyAlignment="1" applyProtection="1">
      <alignment horizontal="left" vertical="top" wrapText="1"/>
      <protection locked="0"/>
    </xf>
    <xf numFmtId="0" fontId="14" fillId="0" borderId="33" xfId="0" applyFont="1" applyFill="1" applyBorder="1" applyAlignment="1" applyProtection="1">
      <alignment horizontal="center" vertical="center" wrapText="1"/>
      <protection locked="0"/>
    </xf>
    <xf numFmtId="0" fontId="14" fillId="0" borderId="18" xfId="0" applyFont="1" applyFill="1" applyBorder="1" applyAlignment="1" applyProtection="1">
      <alignment horizontal="center" vertical="center" wrapText="1"/>
      <protection locked="0"/>
    </xf>
    <xf numFmtId="0" fontId="14" fillId="0" borderId="5" xfId="0" applyFont="1" applyFill="1" applyBorder="1" applyAlignment="1" applyProtection="1">
      <alignment horizontal="center" vertical="top" wrapText="1"/>
    </xf>
    <xf numFmtId="0" fontId="14" fillId="0" borderId="31" xfId="0" applyFont="1" applyFill="1" applyBorder="1" applyAlignment="1" applyProtection="1">
      <alignment horizontal="center" vertical="center" wrapText="1"/>
      <protection locked="0"/>
    </xf>
    <xf numFmtId="0" fontId="14" fillId="0" borderId="16" xfId="0" applyFont="1" applyFill="1" applyBorder="1" applyAlignment="1" applyProtection="1">
      <alignment horizontal="center" vertical="center" wrapText="1"/>
      <protection locked="0"/>
    </xf>
    <xf numFmtId="0" fontId="14" fillId="0" borderId="32" xfId="0" applyFont="1" applyFill="1" applyBorder="1" applyAlignment="1" applyProtection="1">
      <alignment horizontal="center" vertical="center" wrapText="1"/>
      <protection locked="0"/>
    </xf>
    <xf numFmtId="0" fontId="14" fillId="0" borderId="17" xfId="0" applyFont="1" applyFill="1" applyBorder="1" applyAlignment="1" applyProtection="1">
      <alignment horizontal="center" vertical="center" wrapText="1"/>
      <protection locked="0"/>
    </xf>
    <xf numFmtId="0" fontId="14" fillId="0" borderId="10" xfId="0" applyFont="1" applyFill="1" applyBorder="1" applyAlignment="1" applyProtection="1">
      <alignment horizontal="center" vertical="center" wrapText="1"/>
      <protection locked="0"/>
    </xf>
    <xf numFmtId="0" fontId="14" fillId="0" borderId="14" xfId="0" applyFont="1" applyFill="1" applyBorder="1" applyAlignment="1" applyProtection="1">
      <alignment horizontal="center" vertical="center" wrapText="1"/>
      <protection locked="0"/>
    </xf>
    <xf numFmtId="0" fontId="14" fillId="0" borderId="6" xfId="0" applyFont="1" applyFill="1" applyBorder="1" applyAlignment="1" applyProtection="1">
      <alignment horizontal="center" vertical="center" wrapText="1"/>
      <protection locked="0"/>
    </xf>
    <xf numFmtId="0" fontId="14" fillId="0" borderId="7" xfId="0" applyFont="1" applyFill="1" applyBorder="1" applyAlignment="1" applyProtection="1">
      <alignment horizontal="center" vertical="center" wrapText="1"/>
      <protection locked="0"/>
    </xf>
    <xf numFmtId="0" fontId="14" fillId="0" borderId="8" xfId="0" applyFont="1" applyFill="1" applyBorder="1" applyAlignment="1" applyProtection="1">
      <alignment horizontal="center" vertical="center" wrapText="1"/>
      <protection locked="0"/>
    </xf>
    <xf numFmtId="0" fontId="14" fillId="0" borderId="9" xfId="0" applyFont="1" applyFill="1" applyBorder="1" applyAlignment="1" applyProtection="1">
      <alignment horizontal="center" vertical="center" wrapText="1"/>
      <protection locked="0"/>
    </xf>
    <xf numFmtId="0" fontId="14" fillId="0" borderId="11" xfId="0" applyFont="1" applyFill="1" applyBorder="1" applyAlignment="1" applyProtection="1">
      <alignment horizontal="center" vertical="center" wrapText="1"/>
      <protection locked="0"/>
    </xf>
    <xf numFmtId="0" fontId="14" fillId="0" borderId="15" xfId="0" applyFont="1" applyFill="1" applyBorder="1" applyAlignment="1" applyProtection="1">
      <alignment horizontal="center" vertical="center" wrapText="1"/>
      <protection locked="0"/>
    </xf>
    <xf numFmtId="0" fontId="14" fillId="0" borderId="5" xfId="0" applyFont="1" applyFill="1" applyBorder="1" applyAlignment="1" applyProtection="1">
      <alignment horizontal="left" vertical="center" wrapText="1"/>
      <protection locked="0"/>
    </xf>
    <xf numFmtId="0" fontId="12" fillId="0" borderId="5" xfId="0" applyFont="1" applyFill="1" applyBorder="1" applyAlignment="1" applyProtection="1">
      <alignment horizontal="left" vertical="center" wrapText="1"/>
      <protection locked="0"/>
    </xf>
    <xf numFmtId="0" fontId="14" fillId="0" borderId="24" xfId="0" applyFont="1" applyFill="1" applyBorder="1" applyAlignment="1" applyProtection="1">
      <alignment horizontal="center" vertical="center" wrapText="1"/>
      <protection locked="0"/>
    </xf>
    <xf numFmtId="0" fontId="14" fillId="0" borderId="5" xfId="0" applyFont="1" applyFill="1" applyBorder="1" applyAlignment="1" applyProtection="1">
      <alignment horizontal="left" vertical="top" wrapText="1"/>
      <protection locked="0"/>
    </xf>
    <xf numFmtId="0" fontId="14" fillId="0" borderId="25" xfId="0" applyFont="1" applyFill="1" applyBorder="1" applyAlignment="1" applyProtection="1">
      <alignment horizontal="left" vertical="top" wrapText="1"/>
      <protection locked="0"/>
    </xf>
    <xf numFmtId="0" fontId="16" fillId="0" borderId="26" xfId="0" applyFont="1" applyFill="1" applyBorder="1" applyAlignment="1" applyProtection="1">
      <alignment horizontal="center" vertical="center" wrapText="1"/>
      <protection locked="0"/>
    </xf>
    <xf numFmtId="0" fontId="16" fillId="0" borderId="28" xfId="0" applyFont="1" applyFill="1" applyBorder="1" applyAlignment="1" applyProtection="1">
      <alignment horizontal="center" vertical="center" wrapText="1"/>
      <protection locked="0"/>
    </xf>
    <xf numFmtId="0" fontId="16" fillId="0" borderId="22" xfId="0" applyFont="1" applyFill="1" applyBorder="1" applyAlignment="1" applyProtection="1">
      <alignment horizontal="center" vertical="center" wrapText="1"/>
      <protection locked="0"/>
    </xf>
    <xf numFmtId="0" fontId="16" fillId="0" borderId="23" xfId="0" applyFont="1" applyFill="1" applyBorder="1" applyAlignment="1" applyProtection="1">
      <alignment horizontal="center" vertical="center" wrapText="1"/>
      <protection locked="0"/>
    </xf>
    <xf numFmtId="0" fontId="14" fillId="0" borderId="25" xfId="0" applyFont="1" applyFill="1" applyBorder="1" applyAlignment="1" applyProtection="1">
      <alignment horizontal="left" vertical="center" wrapText="1"/>
      <protection locked="0"/>
    </xf>
    <xf numFmtId="0" fontId="14" fillId="0" borderId="5" xfId="0" applyFont="1" applyFill="1" applyBorder="1" applyAlignment="1" applyProtection="1">
      <alignment horizontal="left" vertical="top" wrapText="1"/>
    </xf>
    <xf numFmtId="0" fontId="12" fillId="0" borderId="1" xfId="0" applyFont="1" applyFill="1" applyBorder="1" applyAlignment="1" applyProtection="1">
      <alignment horizontal="center" vertical="top" wrapText="1"/>
      <protection locked="0"/>
    </xf>
    <xf numFmtId="0" fontId="12" fillId="0" borderId="5" xfId="0" applyFont="1" applyFill="1" applyBorder="1" applyAlignment="1" applyProtection="1">
      <alignment horizontal="center" vertical="top" wrapText="1"/>
      <protection locked="0"/>
    </xf>
    <xf numFmtId="0" fontId="14" fillId="0" borderId="42" xfId="0" applyFont="1" applyFill="1" applyBorder="1" applyAlignment="1" applyProtection="1">
      <alignment horizontal="center" vertical="center" wrapText="1"/>
      <protection locked="0"/>
    </xf>
    <xf numFmtId="0" fontId="14" fillId="0" borderId="44" xfId="0" applyFont="1" applyFill="1" applyBorder="1" applyAlignment="1" applyProtection="1">
      <alignment horizontal="center" vertical="center" wrapText="1"/>
      <protection locked="0"/>
    </xf>
    <xf numFmtId="0" fontId="14" fillId="0" borderId="43" xfId="0" applyFont="1" applyFill="1" applyBorder="1" applyAlignment="1" applyProtection="1">
      <alignment horizontal="center" vertical="center" wrapText="1"/>
      <protection locked="0"/>
    </xf>
    <xf numFmtId="0" fontId="12" fillId="0" borderId="5" xfId="0" applyFont="1" applyFill="1" applyBorder="1" applyAlignment="1" applyProtection="1">
      <alignment horizontal="center" vertical="center" wrapText="1"/>
      <protection locked="0"/>
    </xf>
    <xf numFmtId="0" fontId="25" fillId="0" borderId="1" xfId="1" applyFont="1" applyFill="1" applyAlignment="1">
      <alignment horizontal="left" wrapText="1"/>
    </xf>
    <xf numFmtId="2" fontId="14" fillId="0" borderId="25" xfId="0" applyNumberFormat="1" applyFont="1" applyFill="1" applyBorder="1" applyAlignment="1" applyProtection="1">
      <alignment horizontal="left" vertical="center" wrapText="1"/>
    </xf>
    <xf numFmtId="2" fontId="14" fillId="0" borderId="1" xfId="0" applyNumberFormat="1" applyFont="1" applyFill="1" applyBorder="1" applyAlignment="1" applyProtection="1">
      <alignment horizontal="left" vertical="center" wrapText="1"/>
    </xf>
    <xf numFmtId="0" fontId="14" fillId="0" borderId="7" xfId="0" applyFont="1" applyFill="1" applyBorder="1" applyAlignment="1" applyProtection="1">
      <alignment horizontal="center" vertical="top" wrapText="1"/>
      <protection locked="0"/>
    </xf>
    <xf numFmtId="0" fontId="12" fillId="0" borderId="34" xfId="0" applyFont="1" applyFill="1" applyBorder="1" applyAlignment="1" applyProtection="1">
      <alignment horizontal="left" vertical="top" wrapText="1"/>
      <protection locked="0"/>
    </xf>
    <xf numFmtId="0" fontId="12" fillId="0" borderId="35" xfId="0" applyFont="1" applyFill="1" applyBorder="1" applyAlignment="1" applyProtection="1">
      <alignment horizontal="left" vertical="top" wrapText="1"/>
      <protection locked="0"/>
    </xf>
    <xf numFmtId="0" fontId="14" fillId="0" borderId="19" xfId="0" applyFont="1" applyFill="1" applyBorder="1" applyAlignment="1" applyProtection="1">
      <alignment horizontal="left" vertical="top" wrapText="1"/>
      <protection locked="0"/>
    </xf>
    <xf numFmtId="0" fontId="14" fillId="0" borderId="12" xfId="0" applyFont="1" applyFill="1" applyBorder="1" applyAlignment="1" applyProtection="1">
      <alignment horizontal="center" vertical="center" wrapText="1"/>
      <protection locked="0"/>
    </xf>
    <xf numFmtId="0" fontId="14" fillId="0" borderId="48" xfId="0" applyFont="1" applyFill="1" applyBorder="1" applyAlignment="1" applyProtection="1">
      <alignment horizontal="center" vertical="center" wrapText="1"/>
      <protection locked="0"/>
    </xf>
    <xf numFmtId="0" fontId="14" fillId="0" borderId="49" xfId="0" applyFont="1" applyFill="1" applyBorder="1" applyAlignment="1" applyProtection="1">
      <alignment horizontal="center" vertical="center" wrapText="1"/>
      <protection locked="0"/>
    </xf>
    <xf numFmtId="0" fontId="11" fillId="0" borderId="25" xfId="0" applyFont="1" applyFill="1" applyBorder="1" applyAlignment="1" applyProtection="1">
      <alignment horizontal="center" vertical="center"/>
      <protection locked="0"/>
    </xf>
    <xf numFmtId="0" fontId="11" fillId="0" borderId="19" xfId="0" applyFont="1" applyFill="1" applyBorder="1" applyAlignment="1" applyProtection="1">
      <alignment horizontal="center" vertical="center"/>
      <protection locked="0"/>
    </xf>
    <xf numFmtId="0" fontId="12" fillId="0" borderId="6" xfId="0" applyFont="1" applyFill="1" applyBorder="1" applyAlignment="1" applyProtection="1">
      <alignment horizontal="left" vertical="top" wrapText="1"/>
      <protection locked="0"/>
    </xf>
    <xf numFmtId="0" fontId="12" fillId="0" borderId="7" xfId="0" applyFont="1" applyFill="1" applyBorder="1" applyAlignment="1" applyProtection="1">
      <alignment horizontal="left" vertical="top" wrapText="1"/>
      <protection locked="0"/>
    </xf>
    <xf numFmtId="49" fontId="14" fillId="2" borderId="50" xfId="0" applyNumberFormat="1" applyFont="1" applyFill="1" applyBorder="1" applyAlignment="1">
      <alignment horizontal="center" vertical="center" wrapText="1"/>
    </xf>
    <xf numFmtId="49" fontId="14" fillId="2" borderId="51" xfId="0" applyNumberFormat="1" applyFont="1" applyFill="1" applyBorder="1" applyAlignment="1">
      <alignment horizontal="center" vertical="center"/>
    </xf>
    <xf numFmtId="0" fontId="29" fillId="2" borderId="50" xfId="0" applyFont="1" applyFill="1" applyBorder="1" applyAlignment="1">
      <alignment horizontal="center" vertical="center" wrapText="1"/>
    </xf>
    <xf numFmtId="0" fontId="29" fillId="2" borderId="51" xfId="0" applyFont="1" applyFill="1" applyBorder="1" applyAlignment="1">
      <alignment horizontal="center" vertical="center"/>
    </xf>
    <xf numFmtId="0" fontId="14" fillId="0" borderId="27" xfId="0" applyFont="1" applyFill="1" applyBorder="1" applyAlignment="1" applyProtection="1">
      <alignment horizontal="center" vertical="center" wrapText="1"/>
      <protection locked="0"/>
    </xf>
    <xf numFmtId="0" fontId="14" fillId="0" borderId="5" xfId="0" applyFont="1" applyFill="1" applyBorder="1" applyAlignment="1" applyProtection="1">
      <alignment horizontal="center" vertical="center" wrapText="1"/>
      <protection locked="0"/>
    </xf>
    <xf numFmtId="0" fontId="14" fillId="0" borderId="58" xfId="0" applyFont="1" applyFill="1" applyBorder="1" applyAlignment="1" applyProtection="1">
      <alignment horizontal="center" vertical="center" wrapText="1"/>
      <protection locked="0"/>
    </xf>
    <xf numFmtId="0" fontId="14" fillId="0" borderId="54" xfId="0" applyFont="1" applyFill="1" applyBorder="1" applyAlignment="1" applyProtection="1">
      <alignment horizontal="center" vertical="center" wrapText="1"/>
      <protection locked="0"/>
    </xf>
    <xf numFmtId="0" fontId="14" fillId="0" borderId="56" xfId="0" applyFont="1" applyFill="1" applyBorder="1" applyAlignment="1" applyProtection="1">
      <alignment horizontal="center" vertical="center" wrapText="1"/>
      <protection locked="0"/>
    </xf>
    <xf numFmtId="0" fontId="14" fillId="0" borderId="59" xfId="0" applyFont="1" applyFill="1" applyBorder="1" applyAlignment="1" applyProtection="1">
      <alignment horizontal="center" vertical="center" wrapText="1"/>
      <protection locked="0"/>
    </xf>
    <xf numFmtId="0" fontId="14" fillId="0" borderId="55" xfId="0" applyFont="1" applyFill="1" applyBorder="1" applyAlignment="1" applyProtection="1">
      <alignment horizontal="center" vertical="center" wrapText="1"/>
      <protection locked="0"/>
    </xf>
    <xf numFmtId="0" fontId="14" fillId="0" borderId="57" xfId="0" applyFont="1" applyFill="1" applyBorder="1" applyAlignment="1" applyProtection="1">
      <alignment horizontal="center" vertical="center" wrapText="1"/>
      <protection locked="0"/>
    </xf>
    <xf numFmtId="0" fontId="14" fillId="0" borderId="53" xfId="0" applyFont="1" applyFill="1" applyBorder="1" applyAlignment="1" applyProtection="1">
      <alignment horizontal="center" vertical="center" wrapText="1"/>
      <protection locked="0"/>
    </xf>
    <xf numFmtId="0" fontId="14" fillId="0" borderId="25" xfId="0" applyFont="1" applyFill="1" applyBorder="1" applyAlignment="1" applyProtection="1">
      <alignment horizontal="center" vertical="center" wrapText="1"/>
      <protection locked="0"/>
    </xf>
    <xf numFmtId="0" fontId="14" fillId="0" borderId="29" xfId="0" applyFont="1" applyFill="1" applyBorder="1" applyAlignment="1" applyProtection="1">
      <alignment horizontal="center" vertical="center" wrapText="1"/>
      <protection locked="0"/>
    </xf>
    <xf numFmtId="0" fontId="14" fillId="0" borderId="60" xfId="0" applyFont="1" applyFill="1" applyBorder="1" applyAlignment="1" applyProtection="1">
      <alignment horizontal="center" vertical="center" wrapText="1"/>
      <protection locked="0"/>
    </xf>
    <xf numFmtId="0" fontId="14" fillId="0" borderId="61" xfId="0" applyFont="1" applyFill="1" applyBorder="1" applyAlignment="1" applyProtection="1">
      <alignment horizontal="center" vertical="center" wrapText="1"/>
      <protection locked="0"/>
    </xf>
    <xf numFmtId="0" fontId="14" fillId="0" borderId="45" xfId="0" applyFont="1" applyFill="1" applyBorder="1" applyAlignment="1" applyProtection="1">
      <alignment horizontal="center" vertical="center" wrapText="1"/>
      <protection locked="0"/>
    </xf>
    <xf numFmtId="0" fontId="20" fillId="0" borderId="1" xfId="2" applyFont="1" applyFill="1" applyBorder="1" applyAlignment="1" applyProtection="1">
      <alignment horizontal="center" vertical="top" wrapText="1"/>
      <protection locked="0"/>
    </xf>
    <xf numFmtId="0" fontId="0" fillId="0" borderId="74" xfId="0" applyBorder="1" applyAlignment="1">
      <alignment horizontal="center"/>
    </xf>
    <xf numFmtId="2" fontId="14" fillId="0" borderId="1" xfId="0" applyNumberFormat="1" applyFont="1" applyFill="1" applyBorder="1" applyAlignment="1" applyProtection="1">
      <alignment horizontal="left" vertical="top" wrapText="1"/>
    </xf>
    <xf numFmtId="2" fontId="14" fillId="0" borderId="25" xfId="0" applyNumberFormat="1" applyFont="1" applyFill="1" applyBorder="1" applyAlignment="1" applyProtection="1">
      <alignment horizontal="left" vertical="top" wrapText="1"/>
    </xf>
    <xf numFmtId="0" fontId="11" fillId="0" borderId="27" xfId="0" applyFont="1" applyFill="1" applyBorder="1" applyAlignment="1" applyProtection="1">
      <alignment horizontal="center" vertical="top"/>
      <protection locked="0"/>
    </xf>
    <xf numFmtId="0" fontId="11" fillId="0" borderId="28" xfId="0" applyFont="1" applyFill="1" applyBorder="1" applyAlignment="1" applyProtection="1">
      <alignment horizontal="center" vertical="top"/>
      <protection locked="0"/>
    </xf>
    <xf numFmtId="0" fontId="11" fillId="0" borderId="1" xfId="0" applyFont="1" applyFill="1" applyBorder="1" applyAlignment="1" applyProtection="1">
      <alignment horizontal="center" vertical="top"/>
      <protection locked="0"/>
    </xf>
    <xf numFmtId="0" fontId="11" fillId="0" borderId="21" xfId="0" applyFont="1" applyFill="1" applyBorder="1" applyAlignment="1" applyProtection="1">
      <alignment horizontal="center" vertical="top"/>
      <protection locked="0"/>
    </xf>
    <xf numFmtId="0" fontId="11" fillId="0" borderId="5" xfId="0" applyFont="1" applyFill="1" applyBorder="1" applyAlignment="1" applyProtection="1">
      <alignment horizontal="center" vertical="top"/>
      <protection locked="0"/>
    </xf>
    <xf numFmtId="0" fontId="11" fillId="0" borderId="23" xfId="0" applyFont="1" applyFill="1" applyBorder="1" applyAlignment="1" applyProtection="1">
      <alignment horizontal="center" vertical="top"/>
      <protection locked="0"/>
    </xf>
    <xf numFmtId="0" fontId="14" fillId="0" borderId="13" xfId="0" applyFont="1" applyFill="1" applyBorder="1" applyAlignment="1" applyProtection="1">
      <alignment horizontal="center" vertical="center" wrapText="1"/>
      <protection locked="0"/>
    </xf>
    <xf numFmtId="3" fontId="16" fillId="0" borderId="38" xfId="0" applyNumberFormat="1" applyFont="1" applyFill="1" applyBorder="1" applyAlignment="1" applyProtection="1">
      <alignment horizontal="center" vertical="center" wrapText="1"/>
    </xf>
    <xf numFmtId="3" fontId="16" fillId="0" borderId="25" xfId="0" applyNumberFormat="1" applyFont="1" applyFill="1" applyBorder="1" applyAlignment="1" applyProtection="1">
      <alignment horizontal="center" vertical="center" wrapText="1"/>
    </xf>
    <xf numFmtId="3" fontId="16" fillId="0" borderId="19" xfId="0" applyNumberFormat="1" applyFont="1" applyFill="1" applyBorder="1" applyAlignment="1" applyProtection="1">
      <alignment horizontal="center" vertical="center" wrapText="1"/>
    </xf>
    <xf numFmtId="0" fontId="11" fillId="0" borderId="7" xfId="0" applyNumberFormat="1" applyFont="1" applyFill="1" applyBorder="1" applyAlignment="1" applyProtection="1">
      <alignment horizontal="left" vertical="top" wrapText="1"/>
      <protection locked="0"/>
    </xf>
    <xf numFmtId="0" fontId="11" fillId="0" borderId="10" xfId="0" applyNumberFormat="1" applyFont="1" applyFill="1" applyBorder="1" applyAlignment="1" applyProtection="1">
      <alignment horizontal="left" vertical="top" wrapText="1"/>
      <protection locked="0"/>
    </xf>
    <xf numFmtId="0" fontId="11" fillId="0" borderId="31" xfId="0" applyFont="1" applyFill="1" applyBorder="1" applyAlignment="1" applyProtection="1">
      <alignment horizontal="center" vertical="top"/>
      <protection locked="0"/>
    </xf>
    <xf numFmtId="0" fontId="11" fillId="0" borderId="16" xfId="0" applyFont="1" applyFill="1" applyBorder="1" applyAlignment="1" applyProtection="1">
      <alignment horizontal="center" vertical="top"/>
      <protection locked="0"/>
    </xf>
    <xf numFmtId="0" fontId="11" fillId="0" borderId="14" xfId="0" applyNumberFormat="1" applyFont="1" applyFill="1" applyBorder="1" applyAlignment="1" applyProtection="1">
      <alignment horizontal="left" vertical="top" wrapText="1"/>
      <protection locked="0"/>
    </xf>
    <xf numFmtId="0" fontId="14" fillId="0" borderId="1" xfId="0" applyFont="1" applyFill="1" applyBorder="1" applyAlignment="1" applyProtection="1">
      <alignment horizontal="center" vertical="center" wrapText="1"/>
      <protection locked="0"/>
    </xf>
    <xf numFmtId="0" fontId="14" fillId="0" borderId="65" xfId="0" applyFont="1" applyFill="1" applyBorder="1" applyAlignment="1" applyProtection="1">
      <alignment horizontal="center" vertical="center" wrapText="1"/>
      <protection locked="0"/>
    </xf>
    <xf numFmtId="0" fontId="14" fillId="0" borderId="66" xfId="0" applyFont="1" applyFill="1" applyBorder="1" applyAlignment="1" applyProtection="1">
      <alignment horizontal="center" vertical="center" wrapText="1"/>
      <protection locked="0"/>
    </xf>
    <xf numFmtId="0" fontId="0" fillId="0" borderId="53" xfId="0" applyFill="1" applyBorder="1" applyAlignment="1">
      <alignment horizontal="center" vertical="center"/>
    </xf>
    <xf numFmtId="0" fontId="0" fillId="0" borderId="25" xfId="0" applyFill="1" applyBorder="1" applyAlignment="1">
      <alignment horizontal="center" vertical="center"/>
    </xf>
    <xf numFmtId="0" fontId="0" fillId="0" borderId="29" xfId="0" applyFill="1" applyBorder="1" applyAlignment="1">
      <alignment horizontal="center" vertical="center"/>
    </xf>
    <xf numFmtId="0" fontId="0" fillId="0" borderId="53" xfId="0" applyFill="1" applyBorder="1" applyAlignment="1">
      <alignment horizontal="center"/>
    </xf>
    <xf numFmtId="0" fontId="0" fillId="0" borderId="25" xfId="0" applyFill="1" applyBorder="1" applyAlignment="1">
      <alignment horizontal="center"/>
    </xf>
    <xf numFmtId="0" fontId="0" fillId="0" borderId="29" xfId="0" applyFill="1" applyBorder="1" applyAlignment="1">
      <alignment horizontal="center"/>
    </xf>
    <xf numFmtId="0" fontId="14" fillId="0" borderId="67" xfId="0" applyFont="1" applyFill="1" applyBorder="1" applyAlignment="1" applyProtection="1">
      <alignment horizontal="center" vertical="center" wrapText="1"/>
      <protection locked="0"/>
    </xf>
    <xf numFmtId="0" fontId="14" fillId="0" borderId="62" xfId="0" applyFont="1" applyFill="1" applyBorder="1" applyAlignment="1" applyProtection="1">
      <alignment horizontal="center" vertical="center" wrapText="1"/>
      <protection locked="0"/>
    </xf>
    <xf numFmtId="0" fontId="39" fillId="0" borderId="1" xfId="0" quotePrefix="1" applyFont="1" applyFill="1" applyBorder="1" applyAlignment="1">
      <alignment horizontal="justify" vertical="top" wrapText="1"/>
    </xf>
    <xf numFmtId="0" fontId="39" fillId="0" borderId="1" xfId="0" applyFont="1" applyFill="1" applyBorder="1" applyAlignment="1">
      <alignment horizontal="justify" vertical="top" wrapText="1"/>
    </xf>
    <xf numFmtId="0" fontId="14" fillId="0" borderId="28" xfId="0" applyFont="1" applyFill="1" applyBorder="1" applyAlignment="1" applyProtection="1">
      <alignment horizontal="center" vertical="center" wrapText="1"/>
      <protection locked="0"/>
    </xf>
    <xf numFmtId="0" fontId="14" fillId="0" borderId="23" xfId="0" applyFont="1" applyFill="1" applyBorder="1" applyAlignment="1" applyProtection="1">
      <alignment horizontal="center" vertical="center" wrapText="1"/>
      <protection locked="0"/>
    </xf>
    <xf numFmtId="0" fontId="14" fillId="0" borderId="47" xfId="0" applyFont="1" applyFill="1" applyBorder="1" applyAlignment="1" applyProtection="1">
      <alignment horizontal="center" vertical="center" wrapText="1"/>
      <protection locked="0"/>
    </xf>
    <xf numFmtId="0" fontId="14" fillId="0" borderId="30" xfId="0" applyFont="1" applyFill="1" applyBorder="1" applyAlignment="1" applyProtection="1">
      <alignment horizontal="center" vertical="center" wrapText="1"/>
      <protection locked="0"/>
    </xf>
    <xf numFmtId="0" fontId="14" fillId="0" borderId="28" xfId="0" applyFont="1" applyFill="1" applyBorder="1" applyAlignment="1" applyProtection="1">
      <alignment horizontal="center" vertical="center"/>
      <protection locked="0"/>
    </xf>
    <xf numFmtId="0" fontId="14" fillId="0" borderId="23" xfId="0" applyFont="1" applyFill="1" applyBorder="1" applyAlignment="1" applyProtection="1">
      <alignment horizontal="center" vertical="center"/>
      <protection locked="0"/>
    </xf>
    <xf numFmtId="0" fontId="14" fillId="0" borderId="26" xfId="0" applyFont="1" applyFill="1" applyBorder="1" applyAlignment="1" applyProtection="1">
      <alignment horizontal="center" vertical="center" wrapText="1"/>
      <protection locked="0"/>
    </xf>
    <xf numFmtId="0" fontId="14" fillId="0" borderId="22" xfId="0" applyFont="1" applyFill="1" applyBorder="1" applyAlignment="1" applyProtection="1">
      <alignment horizontal="center" vertical="center" wrapText="1"/>
      <protection locked="0"/>
    </xf>
    <xf numFmtId="0" fontId="14" fillId="0" borderId="53" xfId="0" applyFont="1" applyFill="1" applyBorder="1" applyAlignment="1" applyProtection="1">
      <alignment horizontal="center" vertical="top" wrapText="1"/>
      <protection locked="0"/>
    </xf>
    <xf numFmtId="0" fontId="14" fillId="0" borderId="25" xfId="0" applyFont="1" applyFill="1" applyBorder="1" applyAlignment="1" applyProtection="1">
      <alignment horizontal="center" vertical="top" wrapText="1"/>
      <protection locked="0"/>
    </xf>
    <xf numFmtId="0" fontId="14" fillId="0" borderId="29" xfId="0" applyFont="1" applyFill="1" applyBorder="1" applyAlignment="1" applyProtection="1">
      <alignment horizontal="center" vertical="top" wrapText="1"/>
      <protection locked="0"/>
    </xf>
    <xf numFmtId="0" fontId="11" fillId="0" borderId="10" xfId="0" applyNumberFormat="1" applyFont="1" applyFill="1" applyBorder="1" applyAlignment="1" applyProtection="1">
      <alignment horizontal="left" vertical="top"/>
      <protection locked="0"/>
    </xf>
    <xf numFmtId="0" fontId="11" fillId="0" borderId="11" xfId="0" applyNumberFormat="1" applyFont="1" applyFill="1" applyBorder="1" applyAlignment="1" applyProtection="1">
      <alignment horizontal="left" vertical="top"/>
      <protection locked="0"/>
    </xf>
    <xf numFmtId="0" fontId="11" fillId="0" borderId="14" xfId="0" applyNumberFormat="1" applyFont="1" applyFill="1" applyBorder="1" applyAlignment="1" applyProtection="1">
      <alignment horizontal="left" vertical="top"/>
      <protection locked="0"/>
    </xf>
    <xf numFmtId="0" fontId="11" fillId="0" borderId="15" xfId="0" applyNumberFormat="1" applyFont="1" applyFill="1" applyBorder="1" applyAlignment="1" applyProtection="1">
      <alignment horizontal="left" vertical="top"/>
      <protection locked="0"/>
    </xf>
    <xf numFmtId="0" fontId="11" fillId="0" borderId="7" xfId="0" applyNumberFormat="1" applyFont="1" applyFill="1" applyBorder="1" applyAlignment="1" applyProtection="1">
      <alignment horizontal="left" vertical="top"/>
      <protection locked="0"/>
    </xf>
    <xf numFmtId="0" fontId="11" fillId="0" borderId="8" xfId="0" applyNumberFormat="1" applyFont="1" applyFill="1" applyBorder="1" applyAlignment="1" applyProtection="1">
      <alignment horizontal="left" vertical="top"/>
      <protection locked="0"/>
    </xf>
    <xf numFmtId="0" fontId="11" fillId="0" borderId="10" xfId="3343" applyNumberFormat="1" applyFont="1" applyFill="1" applyBorder="1" applyAlignment="1" applyProtection="1">
      <alignment horizontal="left" vertical="top" wrapText="1"/>
      <protection locked="0"/>
    </xf>
    <xf numFmtId="0" fontId="11" fillId="0" borderId="10" xfId="3344" applyNumberFormat="1" applyFont="1" applyFill="1" applyBorder="1" applyAlignment="1" applyProtection="1">
      <alignment horizontal="left" vertical="top" wrapText="1"/>
      <protection locked="0"/>
    </xf>
    <xf numFmtId="0" fontId="11" fillId="0" borderId="10" xfId="3014" applyNumberFormat="1" applyFont="1" applyFill="1" applyBorder="1" applyAlignment="1" applyProtection="1">
      <alignment horizontal="left" vertical="top" wrapText="1"/>
      <protection locked="0"/>
    </xf>
    <xf numFmtId="0" fontId="20" fillId="0" borderId="1" xfId="0" applyFont="1" applyFill="1" applyBorder="1" applyAlignment="1" applyProtection="1">
      <alignment horizontal="left" vertical="top" wrapText="1"/>
      <protection locked="0"/>
    </xf>
    <xf numFmtId="0" fontId="0" fillId="0" borderId="26" xfId="0" applyBorder="1" applyAlignment="1">
      <alignment horizontal="center"/>
    </xf>
    <xf numFmtId="0" fontId="0" fillId="0" borderId="28" xfId="0"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11" fillId="0" borderId="7" xfId="0" applyNumberFormat="1" applyFont="1" applyFill="1" applyBorder="1" applyAlignment="1" applyProtection="1">
      <alignment horizontal="center" vertical="center"/>
    </xf>
    <xf numFmtId="0" fontId="37" fillId="0" borderId="53" xfId="0" applyFont="1" applyFill="1" applyBorder="1" applyAlignment="1" applyProtection="1">
      <alignment horizontal="center" vertical="center" wrapText="1"/>
    </xf>
    <xf numFmtId="0" fontId="37" fillId="0" borderId="25" xfId="0" applyFont="1" applyFill="1" applyBorder="1" applyAlignment="1" applyProtection="1">
      <alignment horizontal="center" vertical="center" wrapText="1"/>
    </xf>
    <xf numFmtId="3" fontId="16" fillId="0" borderId="53" xfId="0" applyNumberFormat="1" applyFont="1" applyFill="1" applyBorder="1" applyAlignment="1" applyProtection="1">
      <alignment horizontal="center" vertical="center" wrapText="1"/>
    </xf>
    <xf numFmtId="3" fontId="16" fillId="0" borderId="29" xfId="0" applyNumberFormat="1" applyFont="1" applyFill="1" applyBorder="1" applyAlignment="1" applyProtection="1">
      <alignment horizontal="center" vertical="center" wrapText="1"/>
    </xf>
    <xf numFmtId="0" fontId="38" fillId="0" borderId="1" xfId="0" applyFont="1" applyFill="1" applyBorder="1" applyAlignment="1" applyProtection="1">
      <alignment horizontal="left" vertical="top" wrapText="1"/>
      <protection locked="0"/>
    </xf>
    <xf numFmtId="0" fontId="49" fillId="0" borderId="1" xfId="0" applyFont="1" applyFill="1" applyBorder="1" applyAlignment="1" applyProtection="1">
      <alignment horizontal="left" vertical="center" wrapText="1"/>
      <protection locked="0"/>
    </xf>
    <xf numFmtId="0" fontId="14" fillId="0" borderId="21" xfId="0" applyFont="1" applyFill="1" applyBorder="1" applyAlignment="1" applyProtection="1">
      <alignment horizontal="left" vertical="center" wrapText="1"/>
    </xf>
    <xf numFmtId="0" fontId="14" fillId="0" borderId="20" xfId="0" applyFont="1" applyFill="1" applyBorder="1" applyAlignment="1" applyProtection="1">
      <alignment horizontal="left" vertical="center" wrapText="1"/>
    </xf>
    <xf numFmtId="0" fontId="14" fillId="105" borderId="50" xfId="0" applyFont="1" applyFill="1" applyBorder="1" applyAlignment="1" applyProtection="1">
      <alignment horizontal="center" vertical="center" wrapText="1"/>
      <protection locked="0"/>
    </xf>
    <xf numFmtId="0" fontId="14" fillId="105" borderId="51" xfId="0" applyFont="1" applyFill="1" applyBorder="1" applyAlignment="1" applyProtection="1">
      <alignment horizontal="center" vertical="center" wrapText="1"/>
      <protection locked="0"/>
    </xf>
    <xf numFmtId="172" fontId="14" fillId="0" borderId="53" xfId="0" applyNumberFormat="1" applyFont="1" applyFill="1" applyBorder="1" applyAlignment="1" applyProtection="1">
      <alignment horizontal="center" vertical="top" wrapText="1"/>
    </xf>
    <xf numFmtId="172" fontId="14" fillId="0" borderId="25" xfId="0" applyNumberFormat="1" applyFont="1" applyFill="1" applyBorder="1" applyAlignment="1" applyProtection="1">
      <alignment horizontal="center" vertical="top" wrapText="1"/>
    </xf>
    <xf numFmtId="172" fontId="14" fillId="0" borderId="29" xfId="0" applyNumberFormat="1" applyFont="1" applyFill="1" applyBorder="1" applyAlignment="1" applyProtection="1">
      <alignment horizontal="center" vertical="top" wrapText="1"/>
    </xf>
    <xf numFmtId="172" fontId="14" fillId="0" borderId="24" xfId="0" applyNumberFormat="1" applyFont="1" applyFill="1" applyBorder="1" applyAlignment="1" applyProtection="1">
      <alignment horizontal="center" vertical="top" wrapText="1"/>
      <protection locked="0"/>
    </xf>
    <xf numFmtId="172" fontId="14" fillId="0" borderId="50" xfId="0" applyNumberFormat="1" applyFont="1" applyFill="1" applyBorder="1" applyAlignment="1" applyProtection="1">
      <alignment horizontal="center" vertical="center" wrapText="1"/>
      <protection locked="0"/>
    </xf>
    <xf numFmtId="172" fontId="14" fillId="0" borderId="51" xfId="0" applyNumberFormat="1" applyFont="1" applyFill="1" applyBorder="1" applyAlignment="1" applyProtection="1">
      <alignment horizontal="center" vertical="center" wrapText="1"/>
      <protection locked="0"/>
    </xf>
    <xf numFmtId="0" fontId="14" fillId="0" borderId="53" xfId="0" applyFont="1" applyFill="1" applyBorder="1" applyAlignment="1" applyProtection="1">
      <alignment horizontal="center" vertical="top" wrapText="1"/>
    </xf>
    <xf numFmtId="0" fontId="14" fillId="0" borderId="25" xfId="0" applyFont="1" applyFill="1" applyBorder="1" applyAlignment="1" applyProtection="1">
      <alignment horizontal="center" vertical="top" wrapText="1"/>
    </xf>
    <xf numFmtId="0" fontId="14" fillId="0" borderId="29" xfId="0" applyFont="1" applyFill="1" applyBorder="1" applyAlignment="1" applyProtection="1">
      <alignment horizontal="center" vertical="top" wrapText="1"/>
    </xf>
    <xf numFmtId="0" fontId="14" fillId="0" borderId="24" xfId="0" applyFont="1" applyFill="1" applyBorder="1" applyAlignment="1" applyProtection="1">
      <alignment horizontal="center" vertical="top" wrapText="1"/>
      <protection locked="0"/>
    </xf>
    <xf numFmtId="0" fontId="12" fillId="0" borderId="23" xfId="0" applyFont="1" applyFill="1" applyBorder="1" applyAlignment="1" applyProtection="1">
      <alignment horizontal="left" vertical="center" wrapText="1"/>
      <protection locked="0"/>
    </xf>
    <xf numFmtId="0" fontId="20" fillId="0" borderId="20" xfId="0" applyFont="1" applyFill="1" applyBorder="1" applyAlignment="1" applyProtection="1">
      <alignment horizontal="left" vertical="center" wrapText="1"/>
    </xf>
    <xf numFmtId="0" fontId="20" fillId="0" borderId="1" xfId="0" applyFont="1" applyFill="1" applyBorder="1" applyAlignment="1" applyProtection="1">
      <alignment horizontal="left" vertical="center" wrapText="1"/>
    </xf>
    <xf numFmtId="0" fontId="20" fillId="0" borderId="21" xfId="0" applyFont="1" applyFill="1" applyBorder="1" applyAlignment="1" applyProtection="1">
      <alignment horizontal="left" vertical="center" wrapText="1"/>
    </xf>
    <xf numFmtId="0" fontId="14" fillId="0" borderId="22" xfId="0" applyFont="1" applyFill="1" applyBorder="1" applyAlignment="1" applyProtection="1">
      <alignment horizontal="left" vertical="center" wrapText="1"/>
    </xf>
    <xf numFmtId="0" fontId="14" fillId="0" borderId="5" xfId="0" applyFont="1" applyFill="1" applyBorder="1" applyAlignment="1" applyProtection="1">
      <alignment horizontal="left" vertical="center" wrapText="1"/>
    </xf>
    <xf numFmtId="0" fontId="14" fillId="0" borderId="23" xfId="0" applyFont="1" applyFill="1" applyBorder="1" applyAlignment="1" applyProtection="1">
      <alignment horizontal="left" vertical="center" wrapText="1"/>
    </xf>
    <xf numFmtId="0" fontId="20" fillId="0" borderId="22" xfId="0" applyFont="1" applyFill="1" applyBorder="1" applyAlignment="1" applyProtection="1">
      <alignment horizontal="left" vertical="center" wrapText="1"/>
    </xf>
    <xf numFmtId="0" fontId="20" fillId="0" borderId="5" xfId="0" applyFont="1" applyFill="1" applyBorder="1" applyAlignment="1" applyProtection="1">
      <alignment horizontal="left" vertical="center" wrapText="1"/>
    </xf>
    <xf numFmtId="0" fontId="20" fillId="0" borderId="23" xfId="0" applyFont="1" applyFill="1" applyBorder="1" applyAlignment="1" applyProtection="1">
      <alignment horizontal="left" vertical="center" wrapText="1"/>
    </xf>
    <xf numFmtId="0" fontId="20" fillId="0" borderId="22" xfId="0" applyFont="1" applyFill="1" applyBorder="1" applyAlignment="1" applyProtection="1">
      <alignment horizontal="left" vertical="center" wrapText="1"/>
      <protection locked="0"/>
    </xf>
    <xf numFmtId="0" fontId="20" fillId="0" borderId="5" xfId="0" applyFont="1" applyFill="1" applyBorder="1" applyAlignment="1" applyProtection="1">
      <alignment horizontal="left" vertical="center" wrapText="1"/>
      <protection locked="0"/>
    </xf>
    <xf numFmtId="0" fontId="20" fillId="0" borderId="23" xfId="0" applyFont="1" applyFill="1" applyBorder="1" applyAlignment="1" applyProtection="1">
      <alignment horizontal="left" vertical="center" wrapText="1"/>
      <protection locked="0"/>
    </xf>
    <xf numFmtId="0" fontId="11" fillId="0" borderId="26" xfId="0" applyFont="1" applyFill="1" applyBorder="1" applyAlignment="1" applyProtection="1">
      <alignment horizontal="center" vertical="center"/>
      <protection locked="0"/>
    </xf>
    <xf numFmtId="0" fontId="11" fillId="0" borderId="27" xfId="0" applyFont="1" applyFill="1" applyBorder="1" applyAlignment="1" applyProtection="1">
      <alignment horizontal="center" vertical="center"/>
      <protection locked="0"/>
    </xf>
    <xf numFmtId="0" fontId="11" fillId="0" borderId="28" xfId="0" applyFont="1" applyFill="1" applyBorder="1" applyAlignment="1" applyProtection="1">
      <alignment horizontal="center" vertical="center"/>
      <protection locked="0"/>
    </xf>
    <xf numFmtId="0" fontId="14" fillId="0" borderId="20" xfId="0" applyFont="1" applyFill="1" applyBorder="1" applyAlignment="1" applyProtection="1">
      <alignment horizontal="left" vertical="center" wrapText="1"/>
      <protection locked="0"/>
    </xf>
    <xf numFmtId="0" fontId="14" fillId="0" borderId="21" xfId="0" applyFont="1" applyFill="1" applyBorder="1" applyAlignment="1" applyProtection="1">
      <alignment horizontal="left" vertical="center" wrapText="1"/>
      <protection locked="0"/>
    </xf>
    <xf numFmtId="0" fontId="13" fillId="0" borderId="1" xfId="0" applyNumberFormat="1" applyFont="1" applyFill="1" applyBorder="1" applyAlignment="1" applyProtection="1">
      <alignment horizontal="center" vertical="center" wrapText="1"/>
    </xf>
    <xf numFmtId="3" fontId="13" fillId="0" borderId="1" xfId="0" applyNumberFormat="1" applyFont="1" applyFill="1" applyBorder="1" applyAlignment="1" applyProtection="1">
      <alignment horizontal="center" vertical="center" wrapText="1"/>
    </xf>
    <xf numFmtId="0" fontId="14" fillId="0" borderId="50" xfId="0" applyFont="1" applyFill="1" applyBorder="1" applyAlignment="1" applyProtection="1">
      <alignment horizontal="center" vertical="center" wrapText="1"/>
    </xf>
    <xf numFmtId="0" fontId="14" fillId="0" borderId="51" xfId="0" applyFont="1" applyFill="1" applyBorder="1" applyAlignment="1" applyProtection="1">
      <alignment horizontal="center" vertical="center" wrapText="1"/>
    </xf>
    <xf numFmtId="0" fontId="14" fillId="0" borderId="28" xfId="0" applyFont="1" applyFill="1" applyBorder="1" applyAlignment="1" applyProtection="1">
      <alignment horizontal="center" vertical="center" wrapText="1"/>
    </xf>
    <xf numFmtId="0" fontId="14" fillId="0" borderId="23" xfId="0" applyFont="1" applyFill="1" applyBorder="1" applyAlignment="1" applyProtection="1">
      <alignment horizontal="center" vertical="center" wrapText="1"/>
    </xf>
    <xf numFmtId="0" fontId="20" fillId="43" borderId="20" xfId="0" applyFont="1" applyFill="1" applyBorder="1" applyAlignment="1" applyProtection="1">
      <alignment horizontal="left" vertical="center" wrapText="1"/>
    </xf>
    <xf numFmtId="0" fontId="20" fillId="43" borderId="1" xfId="0" applyFont="1" applyFill="1" applyBorder="1" applyAlignment="1" applyProtection="1">
      <alignment horizontal="left" vertical="center" wrapText="1"/>
    </xf>
    <xf numFmtId="0" fontId="20" fillId="43" borderId="21" xfId="0" applyFont="1" applyFill="1" applyBorder="1" applyAlignment="1" applyProtection="1">
      <alignment horizontal="left" vertical="center" wrapText="1"/>
    </xf>
    <xf numFmtId="0" fontId="67" fillId="38" borderId="1" xfId="16" applyFont="1" applyFill="1" applyBorder="1" applyAlignment="1">
      <alignment horizontal="center" vertical="center" wrapText="1"/>
    </xf>
    <xf numFmtId="0" fontId="67" fillId="38" borderId="1" xfId="16" applyFont="1" applyFill="1" applyBorder="1" applyAlignment="1">
      <alignment horizontal="center"/>
    </xf>
    <xf numFmtId="0" fontId="77" fillId="2" borderId="91" xfId="15" applyFont="1" applyFill="1" applyBorder="1" applyAlignment="1">
      <alignment horizontal="center"/>
    </xf>
    <xf numFmtId="0" fontId="77" fillId="2" borderId="1" xfId="15" applyFont="1" applyFill="1" applyBorder="1" applyAlignment="1">
      <alignment horizontal="center"/>
    </xf>
    <xf numFmtId="0" fontId="77" fillId="2" borderId="92" xfId="15" applyFont="1" applyFill="1" applyBorder="1" applyAlignment="1">
      <alignment horizontal="center"/>
    </xf>
    <xf numFmtId="0" fontId="79" fillId="2" borderId="91" xfId="15" applyFont="1" applyFill="1" applyBorder="1" applyAlignment="1">
      <alignment horizontal="center"/>
    </xf>
    <xf numFmtId="0" fontId="79" fillId="2" borderId="1" xfId="15" applyFont="1" applyFill="1" applyBorder="1" applyAlignment="1">
      <alignment horizontal="center"/>
    </xf>
    <xf numFmtId="0" fontId="79" fillId="2" borderId="92" xfId="15" applyFont="1" applyFill="1" applyBorder="1" applyAlignment="1">
      <alignment horizontal="center"/>
    </xf>
    <xf numFmtId="0" fontId="137" fillId="42" borderId="124" xfId="820" applyFont="1" applyFill="1" applyBorder="1" applyAlignment="1">
      <alignment horizontal="center" vertical="center" wrapText="1"/>
    </xf>
    <xf numFmtId="0" fontId="137" fillId="42" borderId="122" xfId="820" applyFont="1" applyFill="1" applyBorder="1" applyAlignment="1">
      <alignment horizontal="center" vertical="center" wrapText="1"/>
    </xf>
    <xf numFmtId="0" fontId="137" fillId="42" borderId="87" xfId="820" applyFont="1" applyFill="1" applyBorder="1" applyAlignment="1">
      <alignment horizontal="center" vertical="center" wrapText="1"/>
    </xf>
    <xf numFmtId="0" fontId="137" fillId="42" borderId="125" xfId="820" applyFont="1" applyFill="1" applyBorder="1" applyAlignment="1">
      <alignment horizontal="center" vertical="center" wrapText="1"/>
    </xf>
    <xf numFmtId="0" fontId="136" fillId="2" borderId="116" xfId="820" applyFont="1" applyFill="1" applyBorder="1" applyAlignment="1">
      <alignment horizontal="left"/>
    </xf>
    <xf numFmtId="0" fontId="137" fillId="42" borderId="116" xfId="820" applyFont="1" applyFill="1" applyBorder="1" applyAlignment="1">
      <alignment horizontal="center" vertical="center" wrapText="1"/>
    </xf>
    <xf numFmtId="0" fontId="137" fillId="42" borderId="1" xfId="820" applyFont="1" applyFill="1" applyBorder="1" applyAlignment="1">
      <alignment horizontal="center" vertical="center" wrapText="1"/>
    </xf>
    <xf numFmtId="0" fontId="137" fillId="42" borderId="120" xfId="820" applyFont="1" applyFill="1" applyBorder="1" applyAlignment="1">
      <alignment horizontal="center" vertical="center" wrapText="1"/>
    </xf>
    <xf numFmtId="0" fontId="73" fillId="2" borderId="1" xfId="820" applyFont="1" applyFill="1" applyBorder="1" applyAlignment="1">
      <alignment horizontal="left"/>
    </xf>
    <xf numFmtId="0" fontId="130" fillId="42" borderId="118" xfId="820" applyFont="1" applyFill="1" applyBorder="1" applyAlignment="1">
      <alignment horizontal="center" vertical="center" wrapText="1"/>
    </xf>
    <xf numFmtId="0" fontId="130" fillId="42" borderId="124" xfId="820" applyFont="1" applyFill="1" applyBorder="1" applyAlignment="1">
      <alignment horizontal="center" vertical="center" wrapText="1"/>
    </xf>
    <xf numFmtId="0" fontId="130" fillId="42" borderId="120" xfId="820" applyFont="1" applyFill="1" applyBorder="1" applyAlignment="1">
      <alignment horizontal="center" vertical="center" wrapText="1"/>
    </xf>
    <xf numFmtId="0" fontId="130" fillId="42" borderId="87" xfId="820" applyFont="1" applyFill="1" applyBorder="1" applyAlignment="1">
      <alignment horizontal="center" vertical="center" wrapText="1"/>
    </xf>
    <xf numFmtId="0" fontId="130" fillId="42" borderId="119" xfId="820" applyFont="1" applyFill="1" applyBorder="1" applyAlignment="1">
      <alignment horizontal="center" vertical="center" wrapText="1"/>
    </xf>
    <xf numFmtId="0" fontId="130" fillId="42" borderId="52" xfId="820" applyFont="1" applyFill="1" applyBorder="1" applyAlignment="1">
      <alignment horizontal="center" vertical="center" wrapText="1"/>
    </xf>
    <xf numFmtId="0" fontId="75" fillId="105" borderId="124" xfId="820" applyFont="1" applyFill="1" applyBorder="1" applyAlignment="1">
      <alignment horizontal="left"/>
    </xf>
    <xf numFmtId="0" fontId="75" fillId="2" borderId="1" xfId="820" applyFont="1" applyFill="1" applyBorder="1" applyAlignment="1">
      <alignment horizontal="left"/>
    </xf>
    <xf numFmtId="0" fontId="73" fillId="2" borderId="87" xfId="820" applyFont="1" applyFill="1" applyBorder="1" applyAlignment="1">
      <alignment horizontal="left"/>
    </xf>
    <xf numFmtId="0" fontId="75" fillId="105" borderId="114" xfId="820" applyFont="1" applyFill="1" applyBorder="1" applyAlignment="1">
      <alignment horizontal="left"/>
    </xf>
    <xf numFmtId="0" fontId="73" fillId="2" borderId="114" xfId="820" applyFont="1" applyFill="1" applyBorder="1" applyAlignment="1">
      <alignment horizontal="left"/>
    </xf>
    <xf numFmtId="0" fontId="75" fillId="2" borderId="116" xfId="820" applyFont="1" applyFill="1" applyBorder="1" applyAlignment="1">
      <alignment horizontal="left"/>
    </xf>
  </cellXfs>
  <cellStyles count="57711">
    <cellStyle name="_x000d__x000a_JournalTemplate=C:\COMFO\CTALK\JOURSTD.TPL_x000d__x000a_LbStateAddress=3 3 0 251 1 89 2 311_x000d__x000a_LbStateJou" xfId="20016"/>
    <cellStyle name="_x000d__x000a_JournalTemplate=C:\COMFO\CTALK\JOURSTD.TPL_x000d__x000a_LbStateAddress=3 3 0 251 1 89 2 311_x000d__x000a_LbStateJou 10" xfId="20017"/>
    <cellStyle name="_x000d__x000a_JournalTemplate=C:\COMFO\CTALK\JOURSTD.TPL_x000d__x000a_LbStateAddress=3 3 0 251 1 89 2 311_x000d__x000a_LbStateJou 11" xfId="20018"/>
    <cellStyle name="_x000d__x000a_JournalTemplate=C:\COMFO\CTALK\JOURSTD.TPL_x000d__x000a_LbStateAddress=3 3 0 251 1 89 2 311_x000d__x000a_LbStateJou 2" xfId="20019"/>
    <cellStyle name="_x000d__x000a_JournalTemplate=C:\COMFO\CTALK\JOURSTD.TPL_x000d__x000a_LbStateAddress=3 3 0 251 1 89 2 311_x000d__x000a_LbStateJou 2 2" xfId="20020"/>
    <cellStyle name="_x000d__x000a_JournalTemplate=C:\COMFO\CTALK\JOURSTD.TPL_x000d__x000a_LbStateAddress=3 3 0 251 1 89 2 311_x000d__x000a_LbStateJou 2 2 2" xfId="20021"/>
    <cellStyle name="_x000d__x000a_JournalTemplate=C:\COMFO\CTALK\JOURSTD.TPL_x000d__x000a_LbStateAddress=3 3 0 251 1 89 2 311_x000d__x000a_LbStateJou 2_Plan by Lob" xfId="20022"/>
    <cellStyle name="_x000d__x000a_JournalTemplate=C:\COMFO\CTALK\JOURSTD.TPL_x000d__x000a_LbStateAddress=3 3 0 251 1 89 2 311_x000d__x000a_LbStateJou 3" xfId="20023"/>
    <cellStyle name="_x000d__x000a_JournalTemplate=C:\COMFO\CTALK\JOURSTD.TPL_x000d__x000a_LbStateAddress=3 3 0 251 1 89 2 311_x000d__x000a_LbStateJou 3 2" xfId="20024"/>
    <cellStyle name="_x000d__x000a_JournalTemplate=C:\COMFO\CTALK\JOURSTD.TPL_x000d__x000a_LbStateAddress=3 3 0 251 1 89 2 311_x000d__x000a_LbStateJou 4" xfId="20025"/>
    <cellStyle name="_x000d__x000a_JournalTemplate=C:\COMFO\CTALK\JOURSTD.TPL_x000d__x000a_LbStateAddress=3 3 0 251 1 89 2 311_x000d__x000a_LbStateJou 5" xfId="20026"/>
    <cellStyle name="_x000d__x000a_JournalTemplate=C:\COMFO\CTALK\JOURSTD.TPL_x000d__x000a_LbStateAddress=3 3 0 251 1 89 2 311_x000d__x000a_LbStateJou 5 2" xfId="20027"/>
    <cellStyle name="_x000d__x000a_JournalTemplate=C:\COMFO\CTALK\JOURSTD.TPL_x000d__x000a_LbStateAddress=3 3 0 251 1 89 2 311_x000d__x000a_LbStateJou 6" xfId="20028"/>
    <cellStyle name="_x000d__x000a_JournalTemplate=C:\COMFO\CTALK\JOURSTD.TPL_x000d__x000a_LbStateAddress=3 3 0 251 1 89 2 311_x000d__x000a_LbStateJou 7" xfId="20029"/>
    <cellStyle name="_x000d__x000a_JournalTemplate=C:\COMFO\CTALK\JOURSTD.TPL_x000d__x000a_LbStateAddress=3 3 0 251 1 89 2 311_x000d__x000a_LbStateJou 8" xfId="20030"/>
    <cellStyle name="_x000d__x000a_JournalTemplate=C:\COMFO\CTALK\JOURSTD.TPL_x000d__x000a_LbStateAddress=3 3 0 251 1 89 2 311_x000d__x000a_LbStateJou 9" xfId="20031"/>
    <cellStyle name="_x000d__x000a_JournalTemplate=C:\COMFO\CTALK\JOURSTD.TPL_x000d__x000a_LbStateAddress=3 3 0 251 1 89 2 311_x000d__x000a_LbStateJou_2012-2014 Planning Excel Templates_vFinal v" xfId="20032"/>
    <cellStyle name="%" xfId="20033"/>
    <cellStyle name="% 2" xfId="20034"/>
    <cellStyle name="% 2 2" xfId="20035"/>
    <cellStyle name="% 2 2 2" xfId="20036"/>
    <cellStyle name="% 2_Plan by Lob" xfId="20037"/>
    <cellStyle name="% 3" xfId="20038"/>
    <cellStyle name="% 4" xfId="20039"/>
    <cellStyle name="%_CHIL" xfId="20040"/>
    <cellStyle name="%_Direct_Cost_Template_with_GBS_GFER" xfId="20041"/>
    <cellStyle name="%_Direct_Cost_Template_with_GBS_GFER 2" xfId="20042"/>
    <cellStyle name="%_Direct_Cost_Template_with_GBS_GFER_Direct_Cost_Template_without_GBS" xfId="20043"/>
    <cellStyle name="%_Direct_Cost_Template_without_GBS" xfId="20044"/>
    <cellStyle name="%_FYFC" xfId="20045"/>
    <cellStyle name="%_GFER-GLER April 2012 - UK" xfId="20046"/>
    <cellStyle name="%_GFER-GLER April 2012 - UK 2" xfId="20047"/>
    <cellStyle name="%_GFER-GLER reporting Template - UK GBP" xfId="20048"/>
    <cellStyle name="%_Plan by Lob" xfId="20049"/>
    <cellStyle name="%_Plan2013" xfId="20050"/>
    <cellStyle name="%_Summary GLER_FTEs LatAm Plan 2012-2014" xfId="20051"/>
    <cellStyle name="%_Summary KPIs Plan 2012 v5 con targets final" xfId="20052"/>
    <cellStyle name="_BOP walk P2011 - FYFC 2011" xfId="20053"/>
    <cellStyle name="_Column1" xfId="20054"/>
    <cellStyle name="_Column1 2" xfId="20055"/>
    <cellStyle name="_Column1 2 2" xfId="20056"/>
    <cellStyle name="_Column1 3" xfId="20057"/>
    <cellStyle name="_Column1_Direct_Cost_Template_with_GBS_GFER" xfId="20058"/>
    <cellStyle name="_Column1_Direct_Cost_Template_without_GBS" xfId="20059"/>
    <cellStyle name="_Column1_GFER-GLER reporting Template - Australia AUD" xfId="20060"/>
    <cellStyle name="_Column1_GFER-GLER reporting Template - Australia AUD 2" xfId="20061"/>
    <cellStyle name="_Column1_Monthly Summary Life July 2011 v2" xfId="20062"/>
    <cellStyle name="_Column1_OPEX_3Q11_Template_with_GBS_GFER" xfId="20063"/>
    <cellStyle name="_Column1_Plan by Lob" xfId="20064"/>
    <cellStyle name="_Column1_Summary GLER_FTEs LatAm Plan 2012-2014" xfId="20065"/>
    <cellStyle name="_Column1_Summary KPIs Plan 2012 v5 con targets final" xfId="20066"/>
    <cellStyle name="_Column2" xfId="20067"/>
    <cellStyle name="_Column2 2" xfId="20068"/>
    <cellStyle name="_Column2_GFER-GLER reporting Template - Australia AUD" xfId="20069"/>
    <cellStyle name="_Column3" xfId="20070"/>
    <cellStyle name="_Column4" xfId="20071"/>
    <cellStyle name="_Column5" xfId="20072"/>
    <cellStyle name="_Column6" xfId="20073"/>
    <cellStyle name="_Column7" xfId="20074"/>
    <cellStyle name="_Column7 2" xfId="20075"/>
    <cellStyle name="_Column7_CHIL" xfId="20076"/>
    <cellStyle name="_Column7_Direct_Cost_Template_with_GBS" xfId="20077"/>
    <cellStyle name="_Column7_Direct_Cost_Template_with_GBS_GFER" xfId="20078"/>
    <cellStyle name="_Column7_Direct_Cost_Template_without_GBS" xfId="20079"/>
    <cellStyle name="_Column7_OPEX_3Q11_Template_with_GBS_GFER" xfId="20080"/>
    <cellStyle name="_Data" xfId="20081"/>
    <cellStyle name="_Data 2" xfId="20082"/>
    <cellStyle name="_Data 2 2" xfId="20083"/>
    <cellStyle name="_Data 3" xfId="20084"/>
    <cellStyle name="_Data_Direct_Cost_Template_with_GBS_GFER" xfId="20085"/>
    <cellStyle name="_Data_Direct_Cost_Template_without_GBS" xfId="20086"/>
    <cellStyle name="_Data_GFER-GLER reporting Template - Australia AUD" xfId="20087"/>
    <cellStyle name="_Data_GFER-GLER reporting Template - Australia AUD 2" xfId="20088"/>
    <cellStyle name="_Data_Monthly Summary Life July 2011 v2" xfId="20089"/>
    <cellStyle name="_Data_OPEX_3Q11_Template_with_GBS_GFER" xfId="20090"/>
    <cellStyle name="_Data_Plan by Lob" xfId="20091"/>
    <cellStyle name="_Data_Summary GLER_FTEs LatAm Plan 2012-2014" xfId="20092"/>
    <cellStyle name="_Data_Summary KPIs Plan 2012 v5 con targets final" xfId="20093"/>
    <cellStyle name="_FTE_Plan_12-14" xfId="20094"/>
    <cellStyle name="_FTE_Plan_12-14 2" xfId="20095"/>
    <cellStyle name="_FTE_Plan_12-14_CHIL" xfId="20096"/>
    <cellStyle name="_FTE_Plan_12-14_Direct_Cost_Template_with_GBS_GFER" xfId="20097"/>
    <cellStyle name="_FTE_Plan_12-14_Direct_Cost_Template_with_GBS_GFER 2" xfId="20098"/>
    <cellStyle name="_FTE_Plan_12-14_Direct_Cost_Template_with_GBS_GFER_Direct_Cost_Template_without_GBS" xfId="20099"/>
    <cellStyle name="_FTE_Plan_12-14_Direct_Cost_Template_without_GBS" xfId="20100"/>
    <cellStyle name="_FTE_Plan_12-14_OPEX_3Q11_Template_with_GBS_GFER" xfId="20101"/>
    <cellStyle name="_FX Plan 2011 Latin America" xfId="20102"/>
    <cellStyle name="_GLER Feb 2010 - Austria" xfId="20103"/>
    <cellStyle name="_GLER Feb 2010 - Austria 2" xfId="20104"/>
    <cellStyle name="_GLER P2010 - Austria" xfId="20105"/>
    <cellStyle name="_GLER P2010 - Austria 2" xfId="20106"/>
    <cellStyle name="_Header" xfId="20107"/>
    <cellStyle name="_Resumen GLER" xfId="20108"/>
    <cellStyle name="_Row1" xfId="20109"/>
    <cellStyle name="_Row1 2" xfId="20110"/>
    <cellStyle name="_Row1 2 2" xfId="20111"/>
    <cellStyle name="_Row1 3" xfId="20112"/>
    <cellStyle name="_Row1_Direct_Cost_Template_with_GBS_GFER" xfId="20113"/>
    <cellStyle name="_Row1_Direct_Cost_Template_without_GBS" xfId="20114"/>
    <cellStyle name="_Row1_GFER-GLER reporting Template - Australia AUD" xfId="20115"/>
    <cellStyle name="_Row1_GFER-GLER reporting Template - Australia AUD 2" xfId="20116"/>
    <cellStyle name="_Row1_Monthly Summary Life July 2011 v2" xfId="20117"/>
    <cellStyle name="_Row1_OPEX_3Q11_Template_with_GBS_GFER" xfId="20118"/>
    <cellStyle name="_Row1_Plan by Lob" xfId="20119"/>
    <cellStyle name="_Row1_Summary GLER_FTEs LatAm Plan 2012-2014" xfId="20120"/>
    <cellStyle name="_Row1_Summary KPIs Plan 2012 v5 con targets final" xfId="20121"/>
    <cellStyle name="_Row2" xfId="20122"/>
    <cellStyle name="_Row2 2" xfId="20123"/>
    <cellStyle name="_Row2_GFER-GLER reporting Template - Australia AUD" xfId="20124"/>
    <cellStyle name="_Row3" xfId="20125"/>
    <cellStyle name="_Row4" xfId="20126"/>
    <cellStyle name="_Row5" xfId="20127"/>
    <cellStyle name="_Row6" xfId="20128"/>
    <cellStyle name="_Row7" xfId="20129"/>
    <cellStyle name="_Row7 2" xfId="20130"/>
    <cellStyle name="_Row7_CHIL" xfId="20131"/>
    <cellStyle name="_Row7_Direct_Cost_Template_with_GBS" xfId="20132"/>
    <cellStyle name="_Row7_Direct_Cost_Template_with_GBS_GFER" xfId="20133"/>
    <cellStyle name="_Row7_Direct_Cost_Template_without_GBS" xfId="20134"/>
    <cellStyle name="_Row7_OPEX_3Q11_Template_with_GBS_GFER" xfId="20135"/>
    <cellStyle name="_Summary FTEs Life December 2010" xfId="20136"/>
    <cellStyle name="10spacesR" xfId="20137"/>
    <cellStyle name="20 % - Accent1" xfId="20138"/>
    <cellStyle name="20 % - Accent2" xfId="20139"/>
    <cellStyle name="20 % - Accent3" xfId="20140"/>
    <cellStyle name="20 % - Accent4" xfId="20141"/>
    <cellStyle name="20 % - Accent5" xfId="20142"/>
    <cellStyle name="20 % - Accent6" xfId="20143"/>
    <cellStyle name="20% - Accent1" xfId="20144"/>
    <cellStyle name="20% - Accent1 2" xfId="20145"/>
    <cellStyle name="20% - Accent1 3" xfId="20146"/>
    <cellStyle name="20% - Accent1 4" xfId="20147"/>
    <cellStyle name="20% - Accent1 5" xfId="20148"/>
    <cellStyle name="20% - Accent1 6" xfId="20149"/>
    <cellStyle name="20% - Accent1 7" xfId="20150"/>
    <cellStyle name="20% - Accent1 7 2" xfId="20151"/>
    <cellStyle name="20% - Accent1 7 2 2" xfId="20152"/>
    <cellStyle name="20% - Accent1 7 3" xfId="20153"/>
    <cellStyle name="20% - Accent1_CC by Function (InsightZ)" xfId="20154"/>
    <cellStyle name="20% - Accent2" xfId="20155"/>
    <cellStyle name="20% - Accent2 2" xfId="20156"/>
    <cellStyle name="20% - Accent2 3" xfId="20157"/>
    <cellStyle name="20% - Accent2 4" xfId="20158"/>
    <cellStyle name="20% - Accent2 5" xfId="20159"/>
    <cellStyle name="20% - Accent2 6" xfId="20160"/>
    <cellStyle name="20% - Accent2 7" xfId="20161"/>
    <cellStyle name="20% - Accent2 7 2" xfId="20162"/>
    <cellStyle name="20% - Accent2 7 2 2" xfId="20163"/>
    <cellStyle name="20% - Accent2 7 3" xfId="20164"/>
    <cellStyle name="20% - Accent2_CC by Function (InsightZ)" xfId="20165"/>
    <cellStyle name="20% - Accent3" xfId="20166"/>
    <cellStyle name="20% - Accent3 2" xfId="20167"/>
    <cellStyle name="20% - Accent3 3" xfId="20168"/>
    <cellStyle name="20% - Accent3 4" xfId="20169"/>
    <cellStyle name="20% - Accent3 5" xfId="20170"/>
    <cellStyle name="20% - Accent3 6" xfId="20171"/>
    <cellStyle name="20% - Accent3 7" xfId="20172"/>
    <cellStyle name="20% - Accent3 7 2" xfId="20173"/>
    <cellStyle name="20% - Accent3 7 2 2" xfId="20174"/>
    <cellStyle name="20% - Accent3 7 3" xfId="20175"/>
    <cellStyle name="20% - Accent3_CC by Function (InsightZ)" xfId="20176"/>
    <cellStyle name="20% - Accent4" xfId="20177"/>
    <cellStyle name="20% - Accent4 2" xfId="20178"/>
    <cellStyle name="20% - Accent4 3" xfId="20179"/>
    <cellStyle name="20% - Accent4 4" xfId="20180"/>
    <cellStyle name="20% - Accent4 5" xfId="20181"/>
    <cellStyle name="20% - Accent4 6" xfId="20182"/>
    <cellStyle name="20% - Accent4 7" xfId="20183"/>
    <cellStyle name="20% - Accent4 7 2" xfId="20184"/>
    <cellStyle name="20% - Accent4 7 2 2" xfId="20185"/>
    <cellStyle name="20% - Accent4 7 3" xfId="20186"/>
    <cellStyle name="20% - Accent4_CC by Function (InsightZ)" xfId="20187"/>
    <cellStyle name="20% - Accent5" xfId="20188"/>
    <cellStyle name="20% - Accent5 2" xfId="20189"/>
    <cellStyle name="20% - Accent5 3" xfId="20190"/>
    <cellStyle name="20% - Accent5 4" xfId="20191"/>
    <cellStyle name="20% - Accent5 5" xfId="20192"/>
    <cellStyle name="20% - Accent5 6" xfId="20193"/>
    <cellStyle name="20% - Accent5 7" xfId="20194"/>
    <cellStyle name="20% - Accent5 7 2" xfId="20195"/>
    <cellStyle name="20% - Accent5 7 2 2" xfId="20196"/>
    <cellStyle name="20% - Accent5 7 3" xfId="20197"/>
    <cellStyle name="20% - Accent5_CC by Function (InsightZ)" xfId="20198"/>
    <cellStyle name="20% - Accent6" xfId="20199"/>
    <cellStyle name="20% - Accent6 2" xfId="20200"/>
    <cellStyle name="20% - Accent6 3" xfId="20201"/>
    <cellStyle name="20% - Accent6 4" xfId="20202"/>
    <cellStyle name="20% - Accent6 5" xfId="20203"/>
    <cellStyle name="20% - Accent6 6" xfId="20204"/>
    <cellStyle name="20% - Accent6 7" xfId="20205"/>
    <cellStyle name="20% - Accent6 7 2" xfId="20206"/>
    <cellStyle name="20% - Accent6 7 2 2" xfId="20207"/>
    <cellStyle name="20% - Accent6 7 3" xfId="20208"/>
    <cellStyle name="20% - Accent6_CC by Function (InsightZ)" xfId="20209"/>
    <cellStyle name="20% - akcent 1" xfId="22"/>
    <cellStyle name="20% - akcent 2" xfId="23"/>
    <cellStyle name="20% - akcent 3" xfId="24"/>
    <cellStyle name="20% - akcent 4" xfId="25"/>
    <cellStyle name="20% - akcent 5" xfId="26"/>
    <cellStyle name="20% - akcent 6" xfId="27"/>
    <cellStyle name="20% - Akzent1" xfId="20210"/>
    <cellStyle name="20% - Akzent1 2" xfId="20211"/>
    <cellStyle name="20% - Akzent1 3" xfId="20212"/>
    <cellStyle name="20% - Akzent2" xfId="20213"/>
    <cellStyle name="20% - Akzent2 2" xfId="20214"/>
    <cellStyle name="20% - Akzent2 3" xfId="20215"/>
    <cellStyle name="20% - Akzent3" xfId="20216"/>
    <cellStyle name="20% - Akzent3 2" xfId="20217"/>
    <cellStyle name="20% - Akzent3 3" xfId="20218"/>
    <cellStyle name="20% - Akzent4" xfId="20219"/>
    <cellStyle name="20% - Akzent4 2" xfId="20220"/>
    <cellStyle name="20% - Akzent4 3" xfId="20221"/>
    <cellStyle name="20% - Akzent5" xfId="20222"/>
    <cellStyle name="20% - Akzent5 2" xfId="20223"/>
    <cellStyle name="20% - Akzent5 3" xfId="20224"/>
    <cellStyle name="20% - Akzent6" xfId="20225"/>
    <cellStyle name="20% - Akzent6 2" xfId="20226"/>
    <cellStyle name="20% - Akzent6 3" xfId="20227"/>
    <cellStyle name="20% - Ênfase1" xfId="20228"/>
    <cellStyle name="20% - Ênfase2" xfId="20229"/>
    <cellStyle name="20% - Ênfase3" xfId="20230"/>
    <cellStyle name="20% - Ênfase4" xfId="20231"/>
    <cellStyle name="20% - Ênfase5" xfId="20232"/>
    <cellStyle name="20% - Ênfase6" xfId="20233"/>
    <cellStyle name="20% - Énfasis1 10" xfId="20234"/>
    <cellStyle name="20% - Énfasis1 10 2" xfId="20235"/>
    <cellStyle name="20% - Énfasis1 10 2 2" xfId="20236"/>
    <cellStyle name="20% - Énfasis1 10 2 2 2" xfId="20237"/>
    <cellStyle name="20% - Énfasis1 10 2 3" xfId="20238"/>
    <cellStyle name="20% - Énfasis1 10 2 3 2" xfId="20239"/>
    <cellStyle name="20% - Énfasis1 10 2 4" xfId="20240"/>
    <cellStyle name="20% - Énfasis1 10 3" xfId="20241"/>
    <cellStyle name="20% - Énfasis1 10 4" xfId="20242"/>
    <cellStyle name="20% - Énfasis1 10 4 2" xfId="20243"/>
    <cellStyle name="20% - Énfasis1 10 5" xfId="20244"/>
    <cellStyle name="20% - Énfasis1 10_IAS" xfId="20245"/>
    <cellStyle name="20% - Énfasis1 11" xfId="20246"/>
    <cellStyle name="20% - Énfasis1 11 2" xfId="20247"/>
    <cellStyle name="20% - Énfasis1 11 2 2" xfId="20248"/>
    <cellStyle name="20% - Énfasis1 11 3" xfId="20249"/>
    <cellStyle name="20% - Énfasis1 11 3 2" xfId="20250"/>
    <cellStyle name="20% - Énfasis1 11 4" xfId="20251"/>
    <cellStyle name="20% - Énfasis1 11_IAS" xfId="20252"/>
    <cellStyle name="20% - Énfasis1 12" xfId="20253"/>
    <cellStyle name="20% - Énfasis1 12 2" xfId="20254"/>
    <cellStyle name="20% - Énfasis1 13" xfId="20255"/>
    <cellStyle name="20% - Énfasis1 13 2" xfId="20256"/>
    <cellStyle name="20% - Énfasis1 14" xfId="20257"/>
    <cellStyle name="20% - Énfasis1 14 2" xfId="20258"/>
    <cellStyle name="20% - Énfasis1 15" xfId="20259"/>
    <cellStyle name="20% - Énfasis1 16" xfId="19900"/>
    <cellStyle name="20% - Énfasis1 2" xfId="28"/>
    <cellStyle name="20% - Énfasis1 2 10" xfId="12656"/>
    <cellStyle name="20% - Énfasis1 2 11" xfId="20260"/>
    <cellStyle name="20% - Énfasis1 2 2" xfId="29"/>
    <cellStyle name="20% - Énfasis1 2 2 10" xfId="20261"/>
    <cellStyle name="20% - Énfasis1 2 2 2" xfId="30"/>
    <cellStyle name="20% - Énfasis1 2 2 2 2" xfId="31"/>
    <cellStyle name="20% - Énfasis1 2 2 2 2 2" xfId="32"/>
    <cellStyle name="20% - Énfasis1 2 2 2 2 2 2" xfId="2260"/>
    <cellStyle name="20% - Énfasis1 2 2 2 2 2 2 2" xfId="5385"/>
    <cellStyle name="20% - Énfasis1 2 2 2 2 2 2 2 2" xfId="11588"/>
    <cellStyle name="20% - Énfasis1 2 2 2 2 2 2 2 3" xfId="17790"/>
    <cellStyle name="20% - Énfasis1 2 2 2 2 2 2 2 4" xfId="56621"/>
    <cellStyle name="20% - Énfasis1 2 2 2 2 2 2 3" xfId="8488"/>
    <cellStyle name="20% - Énfasis1 2 2 2 2 2 2 4" xfId="14690"/>
    <cellStyle name="20% - Énfasis1 2 2 2 2 2 2 5" xfId="53725"/>
    <cellStyle name="20% - Énfasis1 2 2 2 2 2 3" xfId="2303"/>
    <cellStyle name="20% - Énfasis1 2 2 2 2 2 3 2" xfId="5427"/>
    <cellStyle name="20% - Énfasis1 2 2 2 2 2 3 2 2" xfId="11630"/>
    <cellStyle name="20% - Énfasis1 2 2 2 2 2 3 2 3" xfId="17832"/>
    <cellStyle name="20% - Énfasis1 2 2 2 2 2 3 2 4" xfId="56660"/>
    <cellStyle name="20% - Énfasis1 2 2 2 2 2 3 3" xfId="8530"/>
    <cellStyle name="20% - Énfasis1 2 2 2 2 2 3 4" xfId="14732"/>
    <cellStyle name="20% - Énfasis1 2 2 2 2 2 3 5" xfId="53765"/>
    <cellStyle name="20% - Énfasis1 2 2 2 2 2 4" xfId="3355"/>
    <cellStyle name="20% - Énfasis1 2 2 2 2 2 4 2" xfId="9559"/>
    <cellStyle name="20% - Énfasis1 2 2 2 2 2 4 3" xfId="15761"/>
    <cellStyle name="20% - Énfasis1 2 2 2 2 2 4 4" xfId="54732"/>
    <cellStyle name="20% - Énfasis1 2 2 2 2 2 5" xfId="6458"/>
    <cellStyle name="20% - Énfasis1 2 2 2 2 2 5 2" xfId="19861"/>
    <cellStyle name="20% - Énfasis1 2 2 2 2 2 6" xfId="12660"/>
    <cellStyle name="20% - Énfasis1 2 2 2 2 2 7" xfId="52169"/>
    <cellStyle name="20% - Énfasis1 2 2 2 2 3" xfId="1736"/>
    <cellStyle name="20% - Énfasis1 2 2 2 2 3 2" xfId="4861"/>
    <cellStyle name="20% - Énfasis1 2 2 2 2 3 2 2" xfId="11064"/>
    <cellStyle name="20% - Énfasis1 2 2 2 2 3 2 3" xfId="17266"/>
    <cellStyle name="20% - Énfasis1 2 2 2 2 3 2 4" xfId="56132"/>
    <cellStyle name="20% - Énfasis1 2 2 2 2 3 3" xfId="7964"/>
    <cellStyle name="20% - Énfasis1 2 2 2 2 3 4" xfId="14166"/>
    <cellStyle name="20% - Énfasis1 2 2 2 2 3 5" xfId="53240"/>
    <cellStyle name="20% - Énfasis1 2 2 2 2 4" xfId="2302"/>
    <cellStyle name="20% - Énfasis1 2 2 2 2 4 2" xfId="5426"/>
    <cellStyle name="20% - Énfasis1 2 2 2 2 4 2 2" xfId="11629"/>
    <cellStyle name="20% - Énfasis1 2 2 2 2 4 2 3" xfId="17831"/>
    <cellStyle name="20% - Énfasis1 2 2 2 2 4 2 4" xfId="56659"/>
    <cellStyle name="20% - Énfasis1 2 2 2 2 4 3" xfId="8529"/>
    <cellStyle name="20% - Énfasis1 2 2 2 2 4 4" xfId="14731"/>
    <cellStyle name="20% - Énfasis1 2 2 2 2 4 5" xfId="53764"/>
    <cellStyle name="20% - Énfasis1 2 2 2 2 5" xfId="3354"/>
    <cellStyle name="20% - Énfasis1 2 2 2 2 5 2" xfId="9558"/>
    <cellStyle name="20% - Énfasis1 2 2 2 2 5 3" xfId="15760"/>
    <cellStyle name="20% - Énfasis1 2 2 2 2 5 4" xfId="54731"/>
    <cellStyle name="20% - Énfasis1 2 2 2 2 6" xfId="6457"/>
    <cellStyle name="20% - Énfasis1 2 2 2 2 6 2" xfId="19337"/>
    <cellStyle name="20% - Énfasis1 2 2 2 2 7" xfId="12659"/>
    <cellStyle name="20% - Énfasis1 2 2 2 2 8" xfId="52168"/>
    <cellStyle name="20% - Énfasis1 2 2 2 3" xfId="33"/>
    <cellStyle name="20% - Énfasis1 2 2 2 3 2" xfId="2015"/>
    <cellStyle name="20% - Énfasis1 2 2 2 3 2 2" xfId="5140"/>
    <cellStyle name="20% - Énfasis1 2 2 2 3 2 2 2" xfId="11343"/>
    <cellStyle name="20% - Énfasis1 2 2 2 3 2 2 3" xfId="17545"/>
    <cellStyle name="20% - Énfasis1 2 2 2 3 2 2 4" xfId="56394"/>
    <cellStyle name="20% - Énfasis1 2 2 2 3 2 3" xfId="8243"/>
    <cellStyle name="20% - Énfasis1 2 2 2 3 2 4" xfId="14445"/>
    <cellStyle name="20% - Énfasis1 2 2 2 3 2 5" xfId="53499"/>
    <cellStyle name="20% - Énfasis1 2 2 2 3 3" xfId="2304"/>
    <cellStyle name="20% - Énfasis1 2 2 2 3 3 2" xfId="5428"/>
    <cellStyle name="20% - Énfasis1 2 2 2 3 3 2 2" xfId="11631"/>
    <cellStyle name="20% - Énfasis1 2 2 2 3 3 2 3" xfId="17833"/>
    <cellStyle name="20% - Énfasis1 2 2 2 3 3 2 4" xfId="56661"/>
    <cellStyle name="20% - Énfasis1 2 2 2 3 3 3" xfId="8531"/>
    <cellStyle name="20% - Énfasis1 2 2 2 3 3 4" xfId="14733"/>
    <cellStyle name="20% - Énfasis1 2 2 2 3 3 5" xfId="53766"/>
    <cellStyle name="20% - Énfasis1 2 2 2 3 4" xfId="3356"/>
    <cellStyle name="20% - Énfasis1 2 2 2 3 4 2" xfId="9560"/>
    <cellStyle name="20% - Énfasis1 2 2 2 3 4 3" xfId="15762"/>
    <cellStyle name="20% - Énfasis1 2 2 2 3 4 4" xfId="54733"/>
    <cellStyle name="20% - Énfasis1 2 2 2 3 5" xfId="6459"/>
    <cellStyle name="20% - Énfasis1 2 2 2 3 5 2" xfId="19616"/>
    <cellStyle name="20% - Énfasis1 2 2 2 3 6" xfId="12661"/>
    <cellStyle name="20% - Énfasis1 2 2 2 3 7" xfId="52170"/>
    <cellStyle name="20% - Énfasis1 2 2 2 4" xfId="1491"/>
    <cellStyle name="20% - Énfasis1 2 2 2 4 2" xfId="4616"/>
    <cellStyle name="20% - Énfasis1 2 2 2 4 2 2" xfId="10819"/>
    <cellStyle name="20% - Énfasis1 2 2 2 4 2 3" xfId="17021"/>
    <cellStyle name="20% - Énfasis1 2 2 2 4 2 4" xfId="55899"/>
    <cellStyle name="20% - Énfasis1 2 2 2 4 3" xfId="7719"/>
    <cellStyle name="20% - Énfasis1 2 2 2 4 4" xfId="13921"/>
    <cellStyle name="20% - Énfasis1 2 2 2 4 5" xfId="53015"/>
    <cellStyle name="20% - Énfasis1 2 2 2 5" xfId="2301"/>
    <cellStyle name="20% - Énfasis1 2 2 2 5 2" xfId="5425"/>
    <cellStyle name="20% - Énfasis1 2 2 2 5 2 2" xfId="11628"/>
    <cellStyle name="20% - Énfasis1 2 2 2 5 2 3" xfId="17830"/>
    <cellStyle name="20% - Énfasis1 2 2 2 5 2 4" xfId="56658"/>
    <cellStyle name="20% - Énfasis1 2 2 2 5 3" xfId="8528"/>
    <cellStyle name="20% - Énfasis1 2 2 2 5 4" xfId="14730"/>
    <cellStyle name="20% - Énfasis1 2 2 2 5 5" xfId="53763"/>
    <cellStyle name="20% - Énfasis1 2 2 2 6" xfId="3353"/>
    <cellStyle name="20% - Énfasis1 2 2 2 6 2" xfId="9557"/>
    <cellStyle name="20% - Énfasis1 2 2 2 6 3" xfId="15759"/>
    <cellStyle name="20% - Énfasis1 2 2 2 6 4" xfId="54730"/>
    <cellStyle name="20% - Énfasis1 2 2 2 7" xfId="6456"/>
    <cellStyle name="20% - Énfasis1 2 2 2 7 2" xfId="19092"/>
    <cellStyle name="20% - Énfasis1 2 2 2 8" xfId="12658"/>
    <cellStyle name="20% - Énfasis1 2 2 2 9" xfId="52133"/>
    <cellStyle name="20% - Énfasis1 2 2 3" xfId="34"/>
    <cellStyle name="20% - Énfasis1 2 2 3 2" xfId="35"/>
    <cellStyle name="20% - Énfasis1 2 2 3 2 2" xfId="2132"/>
    <cellStyle name="20% - Énfasis1 2 2 3 2 2 2" xfId="5257"/>
    <cellStyle name="20% - Énfasis1 2 2 3 2 2 2 2" xfId="11460"/>
    <cellStyle name="20% - Énfasis1 2 2 3 2 2 2 3" xfId="17662"/>
    <cellStyle name="20% - Énfasis1 2 2 3 2 2 2 4" xfId="56502"/>
    <cellStyle name="20% - Énfasis1 2 2 3 2 2 3" xfId="8360"/>
    <cellStyle name="20% - Énfasis1 2 2 3 2 2 4" xfId="14562"/>
    <cellStyle name="20% - Énfasis1 2 2 3 2 2 5" xfId="53606"/>
    <cellStyle name="20% - Énfasis1 2 2 3 2 3" xfId="2306"/>
    <cellStyle name="20% - Énfasis1 2 2 3 2 3 2" xfId="5430"/>
    <cellStyle name="20% - Énfasis1 2 2 3 2 3 2 2" xfId="11633"/>
    <cellStyle name="20% - Énfasis1 2 2 3 2 3 2 3" xfId="17835"/>
    <cellStyle name="20% - Énfasis1 2 2 3 2 3 2 4" xfId="56663"/>
    <cellStyle name="20% - Énfasis1 2 2 3 2 3 3" xfId="8533"/>
    <cellStyle name="20% - Énfasis1 2 2 3 2 3 4" xfId="14735"/>
    <cellStyle name="20% - Énfasis1 2 2 3 2 3 5" xfId="53768"/>
    <cellStyle name="20% - Énfasis1 2 2 3 2 4" xfId="3358"/>
    <cellStyle name="20% - Énfasis1 2 2 3 2 4 2" xfId="9562"/>
    <cellStyle name="20% - Énfasis1 2 2 3 2 4 3" xfId="15764"/>
    <cellStyle name="20% - Énfasis1 2 2 3 2 4 4" xfId="54735"/>
    <cellStyle name="20% - Énfasis1 2 2 3 2 5" xfId="6461"/>
    <cellStyle name="20% - Énfasis1 2 2 3 2 5 2" xfId="19733"/>
    <cellStyle name="20% - Énfasis1 2 2 3 2 6" xfId="12663"/>
    <cellStyle name="20% - Énfasis1 2 2 3 2 7" xfId="52171"/>
    <cellStyle name="20% - Énfasis1 2 2 3 3" xfId="1608"/>
    <cellStyle name="20% - Énfasis1 2 2 3 3 2" xfId="4733"/>
    <cellStyle name="20% - Énfasis1 2 2 3 3 2 2" xfId="10936"/>
    <cellStyle name="20% - Énfasis1 2 2 3 3 2 3" xfId="17138"/>
    <cellStyle name="20% - Énfasis1 2 2 3 3 2 4" xfId="56010"/>
    <cellStyle name="20% - Énfasis1 2 2 3 3 3" xfId="7836"/>
    <cellStyle name="20% - Énfasis1 2 2 3 3 4" xfId="14038"/>
    <cellStyle name="20% - Énfasis1 2 2 3 3 5" xfId="53121"/>
    <cellStyle name="20% - Énfasis1 2 2 3 4" xfId="2305"/>
    <cellStyle name="20% - Énfasis1 2 2 3 4 2" xfId="5429"/>
    <cellStyle name="20% - Énfasis1 2 2 3 4 2 2" xfId="11632"/>
    <cellStyle name="20% - Énfasis1 2 2 3 4 2 3" xfId="17834"/>
    <cellStyle name="20% - Énfasis1 2 2 3 4 2 4" xfId="56662"/>
    <cellStyle name="20% - Énfasis1 2 2 3 4 3" xfId="8532"/>
    <cellStyle name="20% - Énfasis1 2 2 3 4 4" xfId="14734"/>
    <cellStyle name="20% - Énfasis1 2 2 3 4 5" xfId="53767"/>
    <cellStyle name="20% - Énfasis1 2 2 3 5" xfId="3357"/>
    <cellStyle name="20% - Énfasis1 2 2 3 5 2" xfId="9561"/>
    <cellStyle name="20% - Énfasis1 2 2 3 5 3" xfId="15763"/>
    <cellStyle name="20% - Énfasis1 2 2 3 5 4" xfId="54734"/>
    <cellStyle name="20% - Énfasis1 2 2 3 6" xfId="6460"/>
    <cellStyle name="20% - Énfasis1 2 2 3 6 2" xfId="19209"/>
    <cellStyle name="20% - Énfasis1 2 2 3 7" xfId="12662"/>
    <cellStyle name="20% - Énfasis1 2 2 3 8" xfId="52001"/>
    <cellStyle name="20% - Énfasis1 2 2 4" xfId="36"/>
    <cellStyle name="20% - Énfasis1 2 2 4 2" xfId="1873"/>
    <cellStyle name="20% - Énfasis1 2 2 4 2 2" xfId="4998"/>
    <cellStyle name="20% - Énfasis1 2 2 4 2 2 2" xfId="11201"/>
    <cellStyle name="20% - Énfasis1 2 2 4 2 2 3" xfId="17403"/>
    <cellStyle name="20% - Énfasis1 2 2 4 2 2 4" xfId="56260"/>
    <cellStyle name="20% - Énfasis1 2 2 4 2 3" xfId="8101"/>
    <cellStyle name="20% - Énfasis1 2 2 4 2 4" xfId="14303"/>
    <cellStyle name="20% - Énfasis1 2 2 4 2 5" xfId="53366"/>
    <cellStyle name="20% - Énfasis1 2 2 4 3" xfId="2307"/>
    <cellStyle name="20% - Énfasis1 2 2 4 3 2" xfId="5431"/>
    <cellStyle name="20% - Énfasis1 2 2 4 3 2 2" xfId="11634"/>
    <cellStyle name="20% - Énfasis1 2 2 4 3 2 3" xfId="17836"/>
    <cellStyle name="20% - Énfasis1 2 2 4 3 2 4" xfId="56664"/>
    <cellStyle name="20% - Énfasis1 2 2 4 3 3" xfId="8534"/>
    <cellStyle name="20% - Énfasis1 2 2 4 3 4" xfId="14736"/>
    <cellStyle name="20% - Énfasis1 2 2 4 3 5" xfId="53769"/>
    <cellStyle name="20% - Énfasis1 2 2 4 4" xfId="3359"/>
    <cellStyle name="20% - Énfasis1 2 2 4 4 2" xfId="9563"/>
    <cellStyle name="20% - Énfasis1 2 2 4 4 3" xfId="15765"/>
    <cellStyle name="20% - Énfasis1 2 2 4 4 4" xfId="54736"/>
    <cellStyle name="20% - Énfasis1 2 2 4 5" xfId="6462"/>
    <cellStyle name="20% - Énfasis1 2 2 4 5 2" xfId="19474"/>
    <cellStyle name="20% - Énfasis1 2 2 4 6" xfId="12664"/>
    <cellStyle name="20% - Énfasis1 2 2 4 7" xfId="52172"/>
    <cellStyle name="20% - Énfasis1 2 2 5" xfId="1349"/>
    <cellStyle name="20% - Énfasis1 2 2 5 2" xfId="4474"/>
    <cellStyle name="20% - Énfasis1 2 2 5 2 2" xfId="10677"/>
    <cellStyle name="20% - Énfasis1 2 2 5 2 3" xfId="16879"/>
    <cellStyle name="20% - Énfasis1 2 2 5 2 4" xfId="55764"/>
    <cellStyle name="20% - Énfasis1 2 2 5 3" xfId="7577"/>
    <cellStyle name="20% - Énfasis1 2 2 5 4" xfId="13779"/>
    <cellStyle name="20% - Énfasis1 2 2 5 5" xfId="52889"/>
    <cellStyle name="20% - Énfasis1 2 2 6" xfId="2300"/>
    <cellStyle name="20% - Énfasis1 2 2 6 2" xfId="5424"/>
    <cellStyle name="20% - Énfasis1 2 2 6 2 2" xfId="11627"/>
    <cellStyle name="20% - Énfasis1 2 2 6 2 3" xfId="17829"/>
    <cellStyle name="20% - Énfasis1 2 2 6 2 4" xfId="56657"/>
    <cellStyle name="20% - Énfasis1 2 2 6 3" xfId="8527"/>
    <cellStyle name="20% - Énfasis1 2 2 6 4" xfId="14729"/>
    <cellStyle name="20% - Énfasis1 2 2 6 5" xfId="53762"/>
    <cellStyle name="20% - Énfasis1 2 2 7" xfId="3352"/>
    <cellStyle name="20% - Énfasis1 2 2 7 2" xfId="9556"/>
    <cellStyle name="20% - Énfasis1 2 2 7 3" xfId="15758"/>
    <cellStyle name="20% - Énfasis1 2 2 7 4" xfId="54729"/>
    <cellStyle name="20% - Énfasis1 2 2 8" xfId="6455"/>
    <cellStyle name="20% - Énfasis1 2 2 8 2" xfId="18950"/>
    <cellStyle name="20% - Énfasis1 2 2 9" xfId="12657"/>
    <cellStyle name="20% - Énfasis1 2 3" xfId="37"/>
    <cellStyle name="20% - Énfasis1 2 3 2" xfId="38"/>
    <cellStyle name="20% - Énfasis1 2 3 2 2" xfId="39"/>
    <cellStyle name="20% - Énfasis1 2 3 2 2 2" xfId="2192"/>
    <cellStyle name="20% - Énfasis1 2 3 2 2 2 2" xfId="5317"/>
    <cellStyle name="20% - Énfasis1 2 3 2 2 2 2 2" xfId="11520"/>
    <cellStyle name="20% - Énfasis1 2 3 2 2 2 2 3" xfId="17722"/>
    <cellStyle name="20% - Énfasis1 2 3 2 2 2 2 4" xfId="56558"/>
    <cellStyle name="20% - Énfasis1 2 3 2 2 2 3" xfId="8420"/>
    <cellStyle name="20% - Énfasis1 2 3 2 2 2 4" xfId="14622"/>
    <cellStyle name="20% - Énfasis1 2 3 2 2 2 5" xfId="53662"/>
    <cellStyle name="20% - Énfasis1 2 3 2 2 3" xfId="2310"/>
    <cellStyle name="20% - Énfasis1 2 3 2 2 3 2" xfId="5434"/>
    <cellStyle name="20% - Énfasis1 2 3 2 2 3 2 2" xfId="11637"/>
    <cellStyle name="20% - Énfasis1 2 3 2 2 3 2 3" xfId="17839"/>
    <cellStyle name="20% - Énfasis1 2 3 2 2 3 2 4" xfId="56667"/>
    <cellStyle name="20% - Énfasis1 2 3 2 2 3 3" xfId="8537"/>
    <cellStyle name="20% - Énfasis1 2 3 2 2 3 4" xfId="14739"/>
    <cellStyle name="20% - Énfasis1 2 3 2 2 3 5" xfId="53772"/>
    <cellStyle name="20% - Énfasis1 2 3 2 2 4" xfId="3362"/>
    <cellStyle name="20% - Énfasis1 2 3 2 2 4 2" xfId="9566"/>
    <cellStyle name="20% - Énfasis1 2 3 2 2 4 3" xfId="15768"/>
    <cellStyle name="20% - Énfasis1 2 3 2 2 4 4" xfId="54739"/>
    <cellStyle name="20% - Énfasis1 2 3 2 2 5" xfId="6465"/>
    <cellStyle name="20% - Énfasis1 2 3 2 2 5 2" xfId="19793"/>
    <cellStyle name="20% - Énfasis1 2 3 2 2 6" xfId="12667"/>
    <cellStyle name="20% - Énfasis1 2 3 2 2 7" xfId="52174"/>
    <cellStyle name="20% - Énfasis1 2 3 2 3" xfId="1668"/>
    <cellStyle name="20% - Énfasis1 2 3 2 3 2" xfId="4793"/>
    <cellStyle name="20% - Énfasis1 2 3 2 3 2 2" xfId="10996"/>
    <cellStyle name="20% - Énfasis1 2 3 2 3 2 3" xfId="17198"/>
    <cellStyle name="20% - Énfasis1 2 3 2 3 2 4" xfId="56067"/>
    <cellStyle name="20% - Énfasis1 2 3 2 3 3" xfId="7896"/>
    <cellStyle name="20% - Énfasis1 2 3 2 3 4" xfId="14098"/>
    <cellStyle name="20% - Énfasis1 2 3 2 3 5" xfId="53177"/>
    <cellStyle name="20% - Énfasis1 2 3 2 4" xfId="2309"/>
    <cellStyle name="20% - Énfasis1 2 3 2 4 2" xfId="5433"/>
    <cellStyle name="20% - Énfasis1 2 3 2 4 2 2" xfId="11636"/>
    <cellStyle name="20% - Énfasis1 2 3 2 4 2 3" xfId="17838"/>
    <cellStyle name="20% - Énfasis1 2 3 2 4 2 4" xfId="56666"/>
    <cellStyle name="20% - Énfasis1 2 3 2 4 3" xfId="8536"/>
    <cellStyle name="20% - Énfasis1 2 3 2 4 4" xfId="14738"/>
    <cellStyle name="20% - Énfasis1 2 3 2 4 5" xfId="53771"/>
    <cellStyle name="20% - Énfasis1 2 3 2 5" xfId="3361"/>
    <cellStyle name="20% - Énfasis1 2 3 2 5 2" xfId="9565"/>
    <cellStyle name="20% - Énfasis1 2 3 2 5 3" xfId="15767"/>
    <cellStyle name="20% - Énfasis1 2 3 2 5 4" xfId="54738"/>
    <cellStyle name="20% - Énfasis1 2 3 2 6" xfId="6464"/>
    <cellStyle name="20% - Énfasis1 2 3 2 6 2" xfId="19269"/>
    <cellStyle name="20% - Énfasis1 2 3 2 7" xfId="12666"/>
    <cellStyle name="20% - Énfasis1 2 3 2 8" xfId="52173"/>
    <cellStyle name="20% - Énfasis1 2 3 3" xfId="40"/>
    <cellStyle name="20% - Énfasis1 2 3 3 2" xfId="1947"/>
    <cellStyle name="20% - Énfasis1 2 3 3 2 2" xfId="5072"/>
    <cellStyle name="20% - Énfasis1 2 3 3 2 2 2" xfId="11275"/>
    <cellStyle name="20% - Énfasis1 2 3 3 2 2 3" xfId="17477"/>
    <cellStyle name="20% - Énfasis1 2 3 3 2 2 4" xfId="56331"/>
    <cellStyle name="20% - Énfasis1 2 3 3 2 3" xfId="8175"/>
    <cellStyle name="20% - Énfasis1 2 3 3 2 4" xfId="14377"/>
    <cellStyle name="20% - Énfasis1 2 3 3 2 5" xfId="53437"/>
    <cellStyle name="20% - Énfasis1 2 3 3 3" xfId="2311"/>
    <cellStyle name="20% - Énfasis1 2 3 3 3 2" xfId="5435"/>
    <cellStyle name="20% - Énfasis1 2 3 3 3 2 2" xfId="11638"/>
    <cellStyle name="20% - Énfasis1 2 3 3 3 2 3" xfId="17840"/>
    <cellStyle name="20% - Énfasis1 2 3 3 3 2 4" xfId="56668"/>
    <cellStyle name="20% - Énfasis1 2 3 3 3 3" xfId="8538"/>
    <cellStyle name="20% - Énfasis1 2 3 3 3 4" xfId="14740"/>
    <cellStyle name="20% - Énfasis1 2 3 3 3 5" xfId="53773"/>
    <cellStyle name="20% - Énfasis1 2 3 3 4" xfId="3363"/>
    <cellStyle name="20% - Énfasis1 2 3 3 4 2" xfId="9567"/>
    <cellStyle name="20% - Énfasis1 2 3 3 4 3" xfId="15769"/>
    <cellStyle name="20% - Énfasis1 2 3 3 4 4" xfId="54740"/>
    <cellStyle name="20% - Énfasis1 2 3 3 5" xfId="6466"/>
    <cellStyle name="20% - Énfasis1 2 3 3 5 2" xfId="19548"/>
    <cellStyle name="20% - Énfasis1 2 3 3 6" xfId="12668"/>
    <cellStyle name="20% - Énfasis1 2 3 3 7" xfId="52175"/>
    <cellStyle name="20% - Énfasis1 2 3 4" xfId="1423"/>
    <cellStyle name="20% - Énfasis1 2 3 4 2" xfId="4548"/>
    <cellStyle name="20% - Énfasis1 2 3 4 2 2" xfId="10751"/>
    <cellStyle name="20% - Énfasis1 2 3 4 2 3" xfId="16953"/>
    <cellStyle name="20% - Énfasis1 2 3 4 2 4" xfId="55835"/>
    <cellStyle name="20% - Énfasis1 2 3 4 3" xfId="7651"/>
    <cellStyle name="20% - Énfasis1 2 3 4 4" xfId="13853"/>
    <cellStyle name="20% - Énfasis1 2 3 4 5" xfId="52953"/>
    <cellStyle name="20% - Énfasis1 2 3 5" xfId="2308"/>
    <cellStyle name="20% - Énfasis1 2 3 5 2" xfId="5432"/>
    <cellStyle name="20% - Énfasis1 2 3 5 2 2" xfId="11635"/>
    <cellStyle name="20% - Énfasis1 2 3 5 2 3" xfId="17837"/>
    <cellStyle name="20% - Énfasis1 2 3 5 2 4" xfId="56665"/>
    <cellStyle name="20% - Énfasis1 2 3 5 3" xfId="8535"/>
    <cellStyle name="20% - Énfasis1 2 3 5 4" xfId="14737"/>
    <cellStyle name="20% - Énfasis1 2 3 5 5" xfId="53770"/>
    <cellStyle name="20% - Énfasis1 2 3 6" xfId="3360"/>
    <cellStyle name="20% - Énfasis1 2 3 6 2" xfId="9564"/>
    <cellStyle name="20% - Énfasis1 2 3 6 3" xfId="15766"/>
    <cellStyle name="20% - Énfasis1 2 3 6 4" xfId="54737"/>
    <cellStyle name="20% - Énfasis1 2 3 7" xfId="6463"/>
    <cellStyle name="20% - Énfasis1 2 3 7 2" xfId="19024"/>
    <cellStyle name="20% - Énfasis1 2 3 8" xfId="12665"/>
    <cellStyle name="20% - Énfasis1 2 3 9" xfId="52070"/>
    <cellStyle name="20% - Énfasis1 2 4" xfId="41"/>
    <cellStyle name="20% - Énfasis1 2 4 2" xfId="42"/>
    <cellStyle name="20% - Énfasis1 2 4 2 2" xfId="2045"/>
    <cellStyle name="20% - Énfasis1 2 4 2 2 2" xfId="5170"/>
    <cellStyle name="20% - Énfasis1 2 4 2 2 2 2" xfId="11373"/>
    <cellStyle name="20% - Énfasis1 2 4 2 2 2 3" xfId="17575"/>
    <cellStyle name="20% - Énfasis1 2 4 2 2 2 4" xfId="56422"/>
    <cellStyle name="20% - Énfasis1 2 4 2 2 3" xfId="8273"/>
    <cellStyle name="20% - Énfasis1 2 4 2 2 4" xfId="14475"/>
    <cellStyle name="20% - Énfasis1 2 4 2 2 5" xfId="53526"/>
    <cellStyle name="20% - Énfasis1 2 4 2 3" xfId="2313"/>
    <cellStyle name="20% - Énfasis1 2 4 2 3 2" xfId="5437"/>
    <cellStyle name="20% - Énfasis1 2 4 2 3 2 2" xfId="11640"/>
    <cellStyle name="20% - Énfasis1 2 4 2 3 2 3" xfId="17842"/>
    <cellStyle name="20% - Énfasis1 2 4 2 3 2 4" xfId="56670"/>
    <cellStyle name="20% - Énfasis1 2 4 2 3 3" xfId="8540"/>
    <cellStyle name="20% - Énfasis1 2 4 2 3 4" xfId="14742"/>
    <cellStyle name="20% - Énfasis1 2 4 2 3 5" xfId="53775"/>
    <cellStyle name="20% - Énfasis1 2 4 2 4" xfId="3365"/>
    <cellStyle name="20% - Énfasis1 2 4 2 4 2" xfId="9569"/>
    <cellStyle name="20% - Énfasis1 2 4 2 4 3" xfId="15771"/>
    <cellStyle name="20% - Énfasis1 2 4 2 4 4" xfId="54742"/>
    <cellStyle name="20% - Énfasis1 2 4 2 5" xfId="6468"/>
    <cellStyle name="20% - Énfasis1 2 4 2 5 2" xfId="19646"/>
    <cellStyle name="20% - Énfasis1 2 4 2 6" xfId="12670"/>
    <cellStyle name="20% - Énfasis1 2 4 2 7" xfId="52176"/>
    <cellStyle name="20% - Énfasis1 2 4 3" xfId="1521"/>
    <cellStyle name="20% - Énfasis1 2 4 3 2" xfId="4646"/>
    <cellStyle name="20% - Énfasis1 2 4 3 2 2" xfId="10849"/>
    <cellStyle name="20% - Énfasis1 2 4 3 2 3" xfId="17051"/>
    <cellStyle name="20% - Énfasis1 2 4 3 2 4" xfId="55927"/>
    <cellStyle name="20% - Énfasis1 2 4 3 3" xfId="7749"/>
    <cellStyle name="20% - Énfasis1 2 4 3 4" xfId="13951"/>
    <cellStyle name="20% - Énfasis1 2 4 3 5" xfId="53042"/>
    <cellStyle name="20% - Énfasis1 2 4 4" xfId="2312"/>
    <cellStyle name="20% - Énfasis1 2 4 4 2" xfId="5436"/>
    <cellStyle name="20% - Énfasis1 2 4 4 2 2" xfId="11639"/>
    <cellStyle name="20% - Énfasis1 2 4 4 2 3" xfId="17841"/>
    <cellStyle name="20% - Énfasis1 2 4 4 2 4" xfId="56669"/>
    <cellStyle name="20% - Énfasis1 2 4 4 3" xfId="8539"/>
    <cellStyle name="20% - Énfasis1 2 4 4 4" xfId="14741"/>
    <cellStyle name="20% - Énfasis1 2 4 4 5" xfId="53774"/>
    <cellStyle name="20% - Énfasis1 2 4 5" xfId="3364"/>
    <cellStyle name="20% - Énfasis1 2 4 5 2" xfId="9568"/>
    <cellStyle name="20% - Énfasis1 2 4 5 3" xfId="15770"/>
    <cellStyle name="20% - Énfasis1 2 4 5 4" xfId="54741"/>
    <cellStyle name="20% - Énfasis1 2 4 6" xfId="6467"/>
    <cellStyle name="20% - Énfasis1 2 4 6 2" xfId="19122"/>
    <cellStyle name="20% - Énfasis1 2 4 7" xfId="12669"/>
    <cellStyle name="20% - Énfasis1 2 4 8" xfId="51932"/>
    <cellStyle name="20% - Énfasis1 2 5" xfId="43"/>
    <cellStyle name="20% - Énfasis1 2 5 2" xfId="1774"/>
    <cellStyle name="20% - Énfasis1 2 5 2 2" xfId="4899"/>
    <cellStyle name="20% - Énfasis1 2 5 2 2 2" xfId="11102"/>
    <cellStyle name="20% - Énfasis1 2 5 2 2 3" xfId="17304"/>
    <cellStyle name="20% - Énfasis1 2 5 2 2 4" xfId="56168"/>
    <cellStyle name="20% - Énfasis1 2 5 2 3" xfId="8002"/>
    <cellStyle name="20% - Énfasis1 2 5 2 4" xfId="14204"/>
    <cellStyle name="20% - Énfasis1 2 5 2 5" xfId="53275"/>
    <cellStyle name="20% - Énfasis1 2 5 3" xfId="2314"/>
    <cellStyle name="20% - Énfasis1 2 5 3 2" xfId="5438"/>
    <cellStyle name="20% - Énfasis1 2 5 3 2 2" xfId="11641"/>
    <cellStyle name="20% - Énfasis1 2 5 3 2 3" xfId="17843"/>
    <cellStyle name="20% - Énfasis1 2 5 3 2 4" xfId="56671"/>
    <cellStyle name="20% - Énfasis1 2 5 3 3" xfId="8541"/>
    <cellStyle name="20% - Énfasis1 2 5 3 4" xfId="14743"/>
    <cellStyle name="20% - Énfasis1 2 5 3 5" xfId="53776"/>
    <cellStyle name="20% - Énfasis1 2 5 4" xfId="3366"/>
    <cellStyle name="20% - Énfasis1 2 5 4 2" xfId="9570"/>
    <cellStyle name="20% - Énfasis1 2 5 4 3" xfId="15772"/>
    <cellStyle name="20% - Énfasis1 2 5 4 4" xfId="54743"/>
    <cellStyle name="20% - Énfasis1 2 5 5" xfId="6469"/>
    <cellStyle name="20% - Énfasis1 2 5 5 2" xfId="19375"/>
    <cellStyle name="20% - Énfasis1 2 5 6" xfId="12671"/>
    <cellStyle name="20% - Énfasis1 2 5 7" xfId="52177"/>
    <cellStyle name="20% - Énfasis1 2 6" xfId="1281"/>
    <cellStyle name="20% - Énfasis1 2 6 2" xfId="4406"/>
    <cellStyle name="20% - Énfasis1 2 6 2 2" xfId="10609"/>
    <cellStyle name="20% - Énfasis1 2 6 2 3" xfId="16811"/>
    <cellStyle name="20% - Énfasis1 2 6 2 4" xfId="55699"/>
    <cellStyle name="20% - Énfasis1 2 6 3" xfId="7509"/>
    <cellStyle name="20% - Énfasis1 2 6 4" xfId="13711"/>
    <cellStyle name="20% - Énfasis1 2 6 5" xfId="52828"/>
    <cellStyle name="20% - Énfasis1 2 7" xfId="2299"/>
    <cellStyle name="20% - Énfasis1 2 7 2" xfId="5423"/>
    <cellStyle name="20% - Énfasis1 2 7 2 2" xfId="11626"/>
    <cellStyle name="20% - Énfasis1 2 7 2 3" xfId="17828"/>
    <cellStyle name="20% - Énfasis1 2 7 2 4" xfId="56656"/>
    <cellStyle name="20% - Énfasis1 2 7 3" xfId="8526"/>
    <cellStyle name="20% - Énfasis1 2 7 4" xfId="14728"/>
    <cellStyle name="20% - Énfasis1 2 7 5" xfId="53761"/>
    <cellStyle name="20% - Énfasis1 2 8" xfId="3351"/>
    <cellStyle name="20% - Énfasis1 2 8 2" xfId="9555"/>
    <cellStyle name="20% - Énfasis1 2 8 3" xfId="15757"/>
    <cellStyle name="20% - Énfasis1 2 8 4" xfId="54728"/>
    <cellStyle name="20% - Énfasis1 2 9" xfId="6454"/>
    <cellStyle name="20% - Énfasis1 2 9 2" xfId="18882"/>
    <cellStyle name="20% - Énfasis1 3" xfId="44"/>
    <cellStyle name="20% - Énfasis1 3 10" xfId="20262"/>
    <cellStyle name="20% - Énfasis1 3 2" xfId="45"/>
    <cellStyle name="20% - Énfasis1 3 2 2" xfId="46"/>
    <cellStyle name="20% - Énfasis1 3 2 2 2" xfId="47"/>
    <cellStyle name="20% - Énfasis1 3 2 2 2 2" xfId="2231"/>
    <cellStyle name="20% - Énfasis1 3 2 2 2 2 2" xfId="5356"/>
    <cellStyle name="20% - Énfasis1 3 2 2 2 2 2 2" xfId="11559"/>
    <cellStyle name="20% - Énfasis1 3 2 2 2 2 2 3" xfId="17761"/>
    <cellStyle name="20% - Énfasis1 3 2 2 2 2 2 4" xfId="56595"/>
    <cellStyle name="20% - Énfasis1 3 2 2 2 2 3" xfId="8459"/>
    <cellStyle name="20% - Énfasis1 3 2 2 2 2 4" xfId="14661"/>
    <cellStyle name="20% - Énfasis1 3 2 2 2 2 5" xfId="53699"/>
    <cellStyle name="20% - Énfasis1 3 2 2 2 3" xfId="2318"/>
    <cellStyle name="20% - Énfasis1 3 2 2 2 3 2" xfId="5442"/>
    <cellStyle name="20% - Énfasis1 3 2 2 2 3 2 2" xfId="11645"/>
    <cellStyle name="20% - Énfasis1 3 2 2 2 3 2 3" xfId="17847"/>
    <cellStyle name="20% - Énfasis1 3 2 2 2 3 2 4" xfId="56675"/>
    <cellStyle name="20% - Énfasis1 3 2 2 2 3 3" xfId="8545"/>
    <cellStyle name="20% - Énfasis1 3 2 2 2 3 4" xfId="14747"/>
    <cellStyle name="20% - Énfasis1 3 2 2 2 3 5" xfId="53780"/>
    <cellStyle name="20% - Énfasis1 3 2 2 2 4" xfId="3370"/>
    <cellStyle name="20% - Énfasis1 3 2 2 2 4 2" xfId="9574"/>
    <cellStyle name="20% - Énfasis1 3 2 2 2 4 3" xfId="15776"/>
    <cellStyle name="20% - Énfasis1 3 2 2 2 4 4" xfId="54747"/>
    <cellStyle name="20% - Énfasis1 3 2 2 2 5" xfId="6473"/>
    <cellStyle name="20% - Énfasis1 3 2 2 2 5 2" xfId="19832"/>
    <cellStyle name="20% - Énfasis1 3 2 2 2 6" xfId="12675"/>
    <cellStyle name="20% - Énfasis1 3 2 2 2 7" xfId="52178"/>
    <cellStyle name="20% - Énfasis1 3 2 2 3" xfId="1707"/>
    <cellStyle name="20% - Énfasis1 3 2 2 3 2" xfId="4832"/>
    <cellStyle name="20% - Énfasis1 3 2 2 3 2 2" xfId="11035"/>
    <cellStyle name="20% - Énfasis1 3 2 2 3 2 3" xfId="17237"/>
    <cellStyle name="20% - Énfasis1 3 2 2 3 2 4" xfId="56104"/>
    <cellStyle name="20% - Énfasis1 3 2 2 3 3" xfId="7935"/>
    <cellStyle name="20% - Énfasis1 3 2 2 3 4" xfId="14137"/>
    <cellStyle name="20% - Énfasis1 3 2 2 3 5" xfId="53214"/>
    <cellStyle name="20% - Énfasis1 3 2 2 4" xfId="2317"/>
    <cellStyle name="20% - Énfasis1 3 2 2 4 2" xfId="5441"/>
    <cellStyle name="20% - Énfasis1 3 2 2 4 2 2" xfId="11644"/>
    <cellStyle name="20% - Énfasis1 3 2 2 4 2 3" xfId="17846"/>
    <cellStyle name="20% - Énfasis1 3 2 2 4 2 4" xfId="56674"/>
    <cellStyle name="20% - Énfasis1 3 2 2 4 3" xfId="8544"/>
    <cellStyle name="20% - Énfasis1 3 2 2 4 4" xfId="14746"/>
    <cellStyle name="20% - Énfasis1 3 2 2 4 5" xfId="53779"/>
    <cellStyle name="20% - Énfasis1 3 2 2 5" xfId="3369"/>
    <cellStyle name="20% - Énfasis1 3 2 2 5 2" xfId="9573"/>
    <cellStyle name="20% - Énfasis1 3 2 2 5 3" xfId="15775"/>
    <cellStyle name="20% - Énfasis1 3 2 2 5 4" xfId="54746"/>
    <cellStyle name="20% - Énfasis1 3 2 2 6" xfId="6472"/>
    <cellStyle name="20% - Énfasis1 3 2 2 6 2" xfId="19308"/>
    <cellStyle name="20% - Énfasis1 3 2 2 7" xfId="12674"/>
    <cellStyle name="20% - Énfasis1 3 2 2 8" xfId="52109"/>
    <cellStyle name="20% - Énfasis1 3 2 3" xfId="48"/>
    <cellStyle name="20% - Énfasis1 3 2 3 2" xfId="1986"/>
    <cellStyle name="20% - Énfasis1 3 2 3 2 2" xfId="5111"/>
    <cellStyle name="20% - Énfasis1 3 2 3 2 2 2" xfId="11314"/>
    <cellStyle name="20% - Énfasis1 3 2 3 2 2 3" xfId="17516"/>
    <cellStyle name="20% - Énfasis1 3 2 3 2 2 4" xfId="56368"/>
    <cellStyle name="20% - Énfasis1 3 2 3 2 3" xfId="8214"/>
    <cellStyle name="20% - Énfasis1 3 2 3 2 4" xfId="14416"/>
    <cellStyle name="20% - Énfasis1 3 2 3 2 5" xfId="53474"/>
    <cellStyle name="20% - Énfasis1 3 2 3 3" xfId="2319"/>
    <cellStyle name="20% - Énfasis1 3 2 3 3 2" xfId="5443"/>
    <cellStyle name="20% - Énfasis1 3 2 3 3 2 2" xfId="11646"/>
    <cellStyle name="20% - Énfasis1 3 2 3 3 2 3" xfId="17848"/>
    <cellStyle name="20% - Énfasis1 3 2 3 3 2 4" xfId="56676"/>
    <cellStyle name="20% - Énfasis1 3 2 3 3 3" xfId="8546"/>
    <cellStyle name="20% - Énfasis1 3 2 3 3 4" xfId="14748"/>
    <cellStyle name="20% - Énfasis1 3 2 3 3 5" xfId="53781"/>
    <cellStyle name="20% - Énfasis1 3 2 3 4" xfId="3371"/>
    <cellStyle name="20% - Énfasis1 3 2 3 4 2" xfId="9575"/>
    <cellStyle name="20% - Énfasis1 3 2 3 4 3" xfId="15777"/>
    <cellStyle name="20% - Énfasis1 3 2 3 4 4" xfId="54748"/>
    <cellStyle name="20% - Énfasis1 3 2 3 5" xfId="6474"/>
    <cellStyle name="20% - Énfasis1 3 2 3 5 2" xfId="19587"/>
    <cellStyle name="20% - Énfasis1 3 2 3 6" xfId="12676"/>
    <cellStyle name="20% - Énfasis1 3 2 3 7" xfId="52179"/>
    <cellStyle name="20% - Énfasis1 3 2 4" xfId="1462"/>
    <cellStyle name="20% - Énfasis1 3 2 4 2" xfId="4587"/>
    <cellStyle name="20% - Énfasis1 3 2 4 2 2" xfId="10790"/>
    <cellStyle name="20% - Énfasis1 3 2 4 2 3" xfId="16992"/>
    <cellStyle name="20% - Énfasis1 3 2 4 2 4" xfId="55872"/>
    <cellStyle name="20% - Énfasis1 3 2 4 3" xfId="7690"/>
    <cellStyle name="20% - Énfasis1 3 2 4 4" xfId="13892"/>
    <cellStyle name="20% - Énfasis1 3 2 4 5" xfId="52990"/>
    <cellStyle name="20% - Énfasis1 3 2 5" xfId="2316"/>
    <cellStyle name="20% - Énfasis1 3 2 5 2" xfId="5440"/>
    <cellStyle name="20% - Énfasis1 3 2 5 2 2" xfId="11643"/>
    <cellStyle name="20% - Énfasis1 3 2 5 2 3" xfId="17845"/>
    <cellStyle name="20% - Énfasis1 3 2 5 2 4" xfId="56673"/>
    <cellStyle name="20% - Énfasis1 3 2 5 3" xfId="8543"/>
    <cellStyle name="20% - Énfasis1 3 2 5 4" xfId="14745"/>
    <cellStyle name="20% - Énfasis1 3 2 5 5" xfId="53778"/>
    <cellStyle name="20% - Énfasis1 3 2 6" xfId="3368"/>
    <cellStyle name="20% - Énfasis1 3 2 6 2" xfId="9572"/>
    <cellStyle name="20% - Énfasis1 3 2 6 3" xfId="15774"/>
    <cellStyle name="20% - Énfasis1 3 2 6 4" xfId="54745"/>
    <cellStyle name="20% - Énfasis1 3 2 7" xfId="6471"/>
    <cellStyle name="20% - Énfasis1 3 2 7 2" xfId="19063"/>
    <cellStyle name="20% - Énfasis1 3 2 8" xfId="12673"/>
    <cellStyle name="20% - Énfasis1 3 2 9" xfId="20263"/>
    <cellStyle name="20% - Énfasis1 3 3" xfId="49"/>
    <cellStyle name="20% - Énfasis1 3 3 2" xfId="50"/>
    <cellStyle name="20% - Énfasis1 3 3 2 2" xfId="2103"/>
    <cellStyle name="20% - Énfasis1 3 3 2 2 2" xfId="5228"/>
    <cellStyle name="20% - Énfasis1 3 3 2 2 2 2" xfId="11431"/>
    <cellStyle name="20% - Énfasis1 3 3 2 2 2 3" xfId="17633"/>
    <cellStyle name="20% - Énfasis1 3 3 2 2 2 4" xfId="56476"/>
    <cellStyle name="20% - Énfasis1 3 3 2 2 3" xfId="8331"/>
    <cellStyle name="20% - Énfasis1 3 3 2 2 4" xfId="14533"/>
    <cellStyle name="20% - Énfasis1 3 3 2 2 5" xfId="53580"/>
    <cellStyle name="20% - Énfasis1 3 3 2 3" xfId="2321"/>
    <cellStyle name="20% - Énfasis1 3 3 2 3 2" xfId="5445"/>
    <cellStyle name="20% - Énfasis1 3 3 2 3 2 2" xfId="11648"/>
    <cellStyle name="20% - Énfasis1 3 3 2 3 2 3" xfId="17850"/>
    <cellStyle name="20% - Énfasis1 3 3 2 3 2 4" xfId="56678"/>
    <cellStyle name="20% - Énfasis1 3 3 2 3 3" xfId="8548"/>
    <cellStyle name="20% - Énfasis1 3 3 2 3 4" xfId="14750"/>
    <cellStyle name="20% - Énfasis1 3 3 2 3 5" xfId="53783"/>
    <cellStyle name="20% - Énfasis1 3 3 2 4" xfId="3373"/>
    <cellStyle name="20% - Énfasis1 3 3 2 4 2" xfId="9577"/>
    <cellStyle name="20% - Énfasis1 3 3 2 4 3" xfId="15779"/>
    <cellStyle name="20% - Énfasis1 3 3 2 4 4" xfId="54750"/>
    <cellStyle name="20% - Énfasis1 3 3 2 5" xfId="6476"/>
    <cellStyle name="20% - Énfasis1 3 3 2 5 2" xfId="19704"/>
    <cellStyle name="20% - Énfasis1 3 3 2 6" xfId="12678"/>
    <cellStyle name="20% - Énfasis1 3 3 2 7" xfId="52180"/>
    <cellStyle name="20% - Énfasis1 3 3 3" xfId="1579"/>
    <cellStyle name="20% - Énfasis1 3 3 3 2" xfId="4704"/>
    <cellStyle name="20% - Énfasis1 3 3 3 2 2" xfId="10907"/>
    <cellStyle name="20% - Énfasis1 3 3 3 2 3" xfId="17109"/>
    <cellStyle name="20% - Énfasis1 3 3 3 2 4" xfId="55982"/>
    <cellStyle name="20% - Énfasis1 3 3 3 3" xfId="7807"/>
    <cellStyle name="20% - Énfasis1 3 3 3 4" xfId="14009"/>
    <cellStyle name="20% - Énfasis1 3 3 3 5" xfId="53095"/>
    <cellStyle name="20% - Énfasis1 3 3 4" xfId="2320"/>
    <cellStyle name="20% - Énfasis1 3 3 4 2" xfId="5444"/>
    <cellStyle name="20% - Énfasis1 3 3 4 2 2" xfId="11647"/>
    <cellStyle name="20% - Énfasis1 3 3 4 2 3" xfId="17849"/>
    <cellStyle name="20% - Énfasis1 3 3 4 2 4" xfId="56677"/>
    <cellStyle name="20% - Énfasis1 3 3 4 3" xfId="8547"/>
    <cellStyle name="20% - Énfasis1 3 3 4 4" xfId="14749"/>
    <cellStyle name="20% - Énfasis1 3 3 4 5" xfId="53782"/>
    <cellStyle name="20% - Énfasis1 3 3 5" xfId="3372"/>
    <cellStyle name="20% - Énfasis1 3 3 5 2" xfId="9576"/>
    <cellStyle name="20% - Énfasis1 3 3 5 3" xfId="15778"/>
    <cellStyle name="20% - Énfasis1 3 3 5 4" xfId="54749"/>
    <cellStyle name="20% - Énfasis1 3 3 6" xfId="6475"/>
    <cellStyle name="20% - Énfasis1 3 3 6 2" xfId="19180"/>
    <cellStyle name="20% - Énfasis1 3 3 7" xfId="12677"/>
    <cellStyle name="20% - Énfasis1 3 3 8" xfId="51978"/>
    <cellStyle name="20% - Énfasis1 3 4" xfId="51"/>
    <cellStyle name="20% - Énfasis1 3 4 2" xfId="1844"/>
    <cellStyle name="20% - Énfasis1 3 4 2 2" xfId="4969"/>
    <cellStyle name="20% - Énfasis1 3 4 2 2 2" xfId="11172"/>
    <cellStyle name="20% - Énfasis1 3 4 2 2 3" xfId="17374"/>
    <cellStyle name="20% - Énfasis1 3 4 2 2 4" xfId="56233"/>
    <cellStyle name="20% - Énfasis1 3 4 2 3" xfId="8072"/>
    <cellStyle name="20% - Énfasis1 3 4 2 4" xfId="14274"/>
    <cellStyle name="20% - Énfasis1 3 4 2 5" xfId="53339"/>
    <cellStyle name="20% - Énfasis1 3 4 3" xfId="2322"/>
    <cellStyle name="20% - Énfasis1 3 4 3 2" xfId="5446"/>
    <cellStyle name="20% - Énfasis1 3 4 3 2 2" xfId="11649"/>
    <cellStyle name="20% - Énfasis1 3 4 3 2 3" xfId="17851"/>
    <cellStyle name="20% - Énfasis1 3 4 3 2 4" xfId="56679"/>
    <cellStyle name="20% - Énfasis1 3 4 3 3" xfId="8549"/>
    <cellStyle name="20% - Énfasis1 3 4 3 4" xfId="14751"/>
    <cellStyle name="20% - Énfasis1 3 4 3 5" xfId="53784"/>
    <cellStyle name="20% - Énfasis1 3 4 4" xfId="3374"/>
    <cellStyle name="20% - Énfasis1 3 4 4 2" xfId="9578"/>
    <cellStyle name="20% - Énfasis1 3 4 4 3" xfId="15780"/>
    <cellStyle name="20% - Énfasis1 3 4 4 4" xfId="54751"/>
    <cellStyle name="20% - Énfasis1 3 4 5" xfId="6477"/>
    <cellStyle name="20% - Énfasis1 3 4 5 2" xfId="19445"/>
    <cellStyle name="20% - Énfasis1 3 4 6" xfId="12679"/>
    <cellStyle name="20% - Énfasis1 3 4 7" xfId="52181"/>
    <cellStyle name="20% - Énfasis1 3 5" xfId="1320"/>
    <cellStyle name="20% - Énfasis1 3 5 2" xfId="4445"/>
    <cellStyle name="20% - Énfasis1 3 5 2 2" xfId="10648"/>
    <cellStyle name="20% - Énfasis1 3 5 2 3" xfId="16850"/>
    <cellStyle name="20% - Énfasis1 3 5 2 4" xfId="55736"/>
    <cellStyle name="20% - Énfasis1 3 5 3" xfId="7548"/>
    <cellStyle name="20% - Énfasis1 3 5 4" xfId="13750"/>
    <cellStyle name="20% - Énfasis1 3 5 5" xfId="52864"/>
    <cellStyle name="20% - Énfasis1 3 6" xfId="2315"/>
    <cellStyle name="20% - Énfasis1 3 6 2" xfId="5439"/>
    <cellStyle name="20% - Énfasis1 3 6 2 2" xfId="11642"/>
    <cellStyle name="20% - Énfasis1 3 6 2 3" xfId="17844"/>
    <cellStyle name="20% - Énfasis1 3 6 2 4" xfId="56672"/>
    <cellStyle name="20% - Énfasis1 3 6 3" xfId="8542"/>
    <cellStyle name="20% - Énfasis1 3 6 4" xfId="14744"/>
    <cellStyle name="20% - Énfasis1 3 6 5" xfId="53777"/>
    <cellStyle name="20% - Énfasis1 3 7" xfId="3367"/>
    <cellStyle name="20% - Énfasis1 3 7 2" xfId="9571"/>
    <cellStyle name="20% - Énfasis1 3 7 3" xfId="15773"/>
    <cellStyle name="20% - Énfasis1 3 7 4" xfId="54744"/>
    <cellStyle name="20% - Énfasis1 3 8" xfId="6470"/>
    <cellStyle name="20% - Énfasis1 3 8 2" xfId="18921"/>
    <cellStyle name="20% - Énfasis1 3 9" xfId="12672"/>
    <cellStyle name="20% - Énfasis1 4" xfId="52"/>
    <cellStyle name="20% - Énfasis1 4 2" xfId="53"/>
    <cellStyle name="20% - Énfasis1 4 2 2" xfId="54"/>
    <cellStyle name="20% - Énfasis1 4 2 2 2" xfId="2163"/>
    <cellStyle name="20% - Énfasis1 4 2 2 2 2" xfId="5288"/>
    <cellStyle name="20% - Énfasis1 4 2 2 2 2 2" xfId="11491"/>
    <cellStyle name="20% - Énfasis1 4 2 2 2 2 3" xfId="17693"/>
    <cellStyle name="20% - Énfasis1 4 2 2 2 2 4" xfId="56531"/>
    <cellStyle name="20% - Énfasis1 4 2 2 2 3" xfId="8391"/>
    <cellStyle name="20% - Énfasis1 4 2 2 2 4" xfId="14593"/>
    <cellStyle name="20% - Énfasis1 4 2 2 2 5" xfId="53635"/>
    <cellStyle name="20% - Énfasis1 4 2 2 3" xfId="2325"/>
    <cellStyle name="20% - Énfasis1 4 2 2 3 2" xfId="5449"/>
    <cellStyle name="20% - Énfasis1 4 2 2 3 2 2" xfId="11652"/>
    <cellStyle name="20% - Énfasis1 4 2 2 3 2 3" xfId="17854"/>
    <cellStyle name="20% - Énfasis1 4 2 2 3 2 4" xfId="56682"/>
    <cellStyle name="20% - Énfasis1 4 2 2 3 3" xfId="8552"/>
    <cellStyle name="20% - Énfasis1 4 2 2 3 4" xfId="14754"/>
    <cellStyle name="20% - Énfasis1 4 2 2 3 5" xfId="53787"/>
    <cellStyle name="20% - Énfasis1 4 2 2 4" xfId="3377"/>
    <cellStyle name="20% - Énfasis1 4 2 2 4 2" xfId="9581"/>
    <cellStyle name="20% - Énfasis1 4 2 2 4 3" xfId="15783"/>
    <cellStyle name="20% - Énfasis1 4 2 2 4 4" xfId="54754"/>
    <cellStyle name="20% - Énfasis1 4 2 2 5" xfId="6480"/>
    <cellStyle name="20% - Énfasis1 4 2 2 5 2" xfId="19764"/>
    <cellStyle name="20% - Énfasis1 4 2 2 6" xfId="12682"/>
    <cellStyle name="20% - Énfasis1 4 2 2 7" xfId="52183"/>
    <cellStyle name="20% - Énfasis1 4 2 3" xfId="1639"/>
    <cellStyle name="20% - Énfasis1 4 2 3 2" xfId="4764"/>
    <cellStyle name="20% - Énfasis1 4 2 3 2 2" xfId="10967"/>
    <cellStyle name="20% - Énfasis1 4 2 3 2 3" xfId="17169"/>
    <cellStyle name="20% - Énfasis1 4 2 3 2 4" xfId="56040"/>
    <cellStyle name="20% - Énfasis1 4 2 3 3" xfId="7867"/>
    <cellStyle name="20% - Énfasis1 4 2 3 4" xfId="14069"/>
    <cellStyle name="20% - Énfasis1 4 2 3 5" xfId="53150"/>
    <cellStyle name="20% - Énfasis1 4 2 4" xfId="2324"/>
    <cellStyle name="20% - Énfasis1 4 2 4 2" xfId="5448"/>
    <cellStyle name="20% - Énfasis1 4 2 4 2 2" xfId="11651"/>
    <cellStyle name="20% - Énfasis1 4 2 4 2 3" xfId="17853"/>
    <cellStyle name="20% - Énfasis1 4 2 4 2 4" xfId="56681"/>
    <cellStyle name="20% - Énfasis1 4 2 4 3" xfId="8551"/>
    <cellStyle name="20% - Énfasis1 4 2 4 4" xfId="14753"/>
    <cellStyle name="20% - Énfasis1 4 2 4 5" xfId="53786"/>
    <cellStyle name="20% - Énfasis1 4 2 5" xfId="3376"/>
    <cellStyle name="20% - Énfasis1 4 2 5 2" xfId="9580"/>
    <cellStyle name="20% - Énfasis1 4 2 5 3" xfId="15782"/>
    <cellStyle name="20% - Énfasis1 4 2 5 4" xfId="54753"/>
    <cellStyle name="20% - Énfasis1 4 2 6" xfId="6479"/>
    <cellStyle name="20% - Énfasis1 4 2 6 2" xfId="19240"/>
    <cellStyle name="20% - Énfasis1 4 2 6 3" xfId="52182"/>
    <cellStyle name="20% - Énfasis1 4 2 7" xfId="12681"/>
    <cellStyle name="20% - Énfasis1 4 2 8" xfId="20265"/>
    <cellStyle name="20% - Énfasis1 4 3" xfId="55"/>
    <cellStyle name="20% - Énfasis1 4 3 2" xfId="1917"/>
    <cellStyle name="20% - Énfasis1 4 3 2 2" xfId="5042"/>
    <cellStyle name="20% - Énfasis1 4 3 2 2 2" xfId="11245"/>
    <cellStyle name="20% - Énfasis1 4 3 2 2 3" xfId="17447"/>
    <cellStyle name="20% - Énfasis1 4 3 2 2 4" xfId="56303"/>
    <cellStyle name="20% - Énfasis1 4 3 2 3" xfId="8145"/>
    <cellStyle name="20% - Énfasis1 4 3 2 4" xfId="14347"/>
    <cellStyle name="20% - Énfasis1 4 3 2 5" xfId="53409"/>
    <cellStyle name="20% - Énfasis1 4 3 3" xfId="2326"/>
    <cellStyle name="20% - Énfasis1 4 3 3 2" xfId="5450"/>
    <cellStyle name="20% - Énfasis1 4 3 3 2 2" xfId="11653"/>
    <cellStyle name="20% - Énfasis1 4 3 3 2 3" xfId="17855"/>
    <cellStyle name="20% - Énfasis1 4 3 3 2 4" xfId="56683"/>
    <cellStyle name="20% - Énfasis1 4 3 3 3" xfId="8553"/>
    <cellStyle name="20% - Énfasis1 4 3 3 4" xfId="14755"/>
    <cellStyle name="20% - Énfasis1 4 3 3 5" xfId="53788"/>
    <cellStyle name="20% - Énfasis1 4 3 4" xfId="3378"/>
    <cellStyle name="20% - Énfasis1 4 3 4 2" xfId="9582"/>
    <cellStyle name="20% - Énfasis1 4 3 4 3" xfId="15784"/>
    <cellStyle name="20% - Énfasis1 4 3 4 4" xfId="54755"/>
    <cellStyle name="20% - Énfasis1 4 3 5" xfId="6481"/>
    <cellStyle name="20% - Énfasis1 4 3 5 2" xfId="19518"/>
    <cellStyle name="20% - Énfasis1 4 3 6" xfId="12683"/>
    <cellStyle name="20% - Énfasis1 4 3 7" xfId="52046"/>
    <cellStyle name="20% - Énfasis1 4 4" xfId="1393"/>
    <cellStyle name="20% - Énfasis1 4 4 2" xfId="4518"/>
    <cellStyle name="20% - Énfasis1 4 4 2 2" xfId="10721"/>
    <cellStyle name="20% - Énfasis1 4 4 2 3" xfId="16923"/>
    <cellStyle name="20% - Énfasis1 4 4 2 4" xfId="55807"/>
    <cellStyle name="20% - Énfasis1 4 4 3" xfId="7621"/>
    <cellStyle name="20% - Énfasis1 4 4 4" xfId="13823"/>
    <cellStyle name="20% - Énfasis1 4 4 5" xfId="52930"/>
    <cellStyle name="20% - Énfasis1 4 5" xfId="2323"/>
    <cellStyle name="20% - Énfasis1 4 5 2" xfId="5447"/>
    <cellStyle name="20% - Énfasis1 4 5 2 2" xfId="11650"/>
    <cellStyle name="20% - Énfasis1 4 5 2 3" xfId="17852"/>
    <cellStyle name="20% - Énfasis1 4 5 2 4" xfId="56680"/>
    <cellStyle name="20% - Énfasis1 4 5 3" xfId="8550"/>
    <cellStyle name="20% - Énfasis1 4 5 4" xfId="14752"/>
    <cellStyle name="20% - Énfasis1 4 5 5" xfId="53785"/>
    <cellStyle name="20% - Énfasis1 4 6" xfId="3375"/>
    <cellStyle name="20% - Énfasis1 4 6 2" xfId="9579"/>
    <cellStyle name="20% - Énfasis1 4 6 3" xfId="15781"/>
    <cellStyle name="20% - Énfasis1 4 6 4" xfId="54752"/>
    <cellStyle name="20% - Énfasis1 4 7" xfId="6478"/>
    <cellStyle name="20% - Énfasis1 4 7 2" xfId="18994"/>
    <cellStyle name="20% - Énfasis1 4 8" xfId="12680"/>
    <cellStyle name="20% - Énfasis1 4 9" xfId="20264"/>
    <cellStyle name="20% - Énfasis1 5" xfId="56"/>
    <cellStyle name="20% - Énfasis1 5 2" xfId="57"/>
    <cellStyle name="20% - Énfasis1 5 2 2" xfId="2044"/>
    <cellStyle name="20% - Énfasis1 5 2 2 2" xfId="5169"/>
    <cellStyle name="20% - Énfasis1 5 2 2 2 2" xfId="11372"/>
    <cellStyle name="20% - Énfasis1 5 2 2 2 3" xfId="17574"/>
    <cellStyle name="20% - Énfasis1 5 2 2 2 4" xfId="56421"/>
    <cellStyle name="20% - Énfasis1 5 2 2 3" xfId="8272"/>
    <cellStyle name="20% - Énfasis1 5 2 2 4" xfId="14474"/>
    <cellStyle name="20% - Énfasis1 5 2 2 5" xfId="53525"/>
    <cellStyle name="20% - Énfasis1 5 2 3" xfId="2328"/>
    <cellStyle name="20% - Énfasis1 5 2 3 2" xfId="5452"/>
    <cellStyle name="20% - Énfasis1 5 2 3 2 2" xfId="11655"/>
    <cellStyle name="20% - Énfasis1 5 2 3 2 3" xfId="17857"/>
    <cellStyle name="20% - Énfasis1 5 2 3 2 4" xfId="56685"/>
    <cellStyle name="20% - Énfasis1 5 2 3 3" xfId="8555"/>
    <cellStyle name="20% - Énfasis1 5 2 3 4" xfId="14757"/>
    <cellStyle name="20% - Énfasis1 5 2 3 5" xfId="53790"/>
    <cellStyle name="20% - Énfasis1 5 2 4" xfId="3380"/>
    <cellStyle name="20% - Énfasis1 5 2 4 2" xfId="9584"/>
    <cellStyle name="20% - Énfasis1 5 2 4 3" xfId="15786"/>
    <cellStyle name="20% - Énfasis1 5 2 4 4" xfId="54757"/>
    <cellStyle name="20% - Énfasis1 5 2 5" xfId="6483"/>
    <cellStyle name="20% - Énfasis1 5 2 5 2" xfId="19645"/>
    <cellStyle name="20% - Énfasis1 5 2 5 3" xfId="52185"/>
    <cellStyle name="20% - Énfasis1 5 2 6" xfId="12685"/>
    <cellStyle name="20% - Énfasis1 5 2 7" xfId="20267"/>
    <cellStyle name="20% - Énfasis1 5 3" xfId="1520"/>
    <cellStyle name="20% - Énfasis1 5 3 2" xfId="4645"/>
    <cellStyle name="20% - Énfasis1 5 3 2 2" xfId="10848"/>
    <cellStyle name="20% - Énfasis1 5 3 2 3" xfId="17050"/>
    <cellStyle name="20% - Énfasis1 5 3 2 4" xfId="55926"/>
    <cellStyle name="20% - Énfasis1 5 3 3" xfId="7748"/>
    <cellStyle name="20% - Énfasis1 5 3 4" xfId="13950"/>
    <cellStyle name="20% - Énfasis1 5 3 5" xfId="53041"/>
    <cellStyle name="20% - Énfasis1 5 4" xfId="2327"/>
    <cellStyle name="20% - Énfasis1 5 4 2" xfId="5451"/>
    <cellStyle name="20% - Énfasis1 5 4 2 2" xfId="11654"/>
    <cellStyle name="20% - Énfasis1 5 4 2 3" xfId="17856"/>
    <cellStyle name="20% - Énfasis1 5 4 2 4" xfId="56684"/>
    <cellStyle name="20% - Énfasis1 5 4 3" xfId="8554"/>
    <cellStyle name="20% - Énfasis1 5 4 4" xfId="14756"/>
    <cellStyle name="20% - Énfasis1 5 4 5" xfId="53789"/>
    <cellStyle name="20% - Énfasis1 5 5" xfId="3379"/>
    <cellStyle name="20% - Énfasis1 5 5 2" xfId="9583"/>
    <cellStyle name="20% - Énfasis1 5 5 3" xfId="15785"/>
    <cellStyle name="20% - Énfasis1 5 5 4" xfId="54756"/>
    <cellStyle name="20% - Énfasis1 5 6" xfId="6482"/>
    <cellStyle name="20% - Énfasis1 5 6 2" xfId="19121"/>
    <cellStyle name="20% - Énfasis1 5 6 3" xfId="52184"/>
    <cellStyle name="20% - Énfasis1 5 7" xfId="12684"/>
    <cellStyle name="20% - Énfasis1 5 8" xfId="20266"/>
    <cellStyle name="20% - Énfasis1 6" xfId="58"/>
    <cellStyle name="20% - Énfasis1 6 2" xfId="1773"/>
    <cellStyle name="20% - Énfasis1 6 2 2" xfId="4898"/>
    <cellStyle name="20% - Énfasis1 6 2 2 2" xfId="11101"/>
    <cellStyle name="20% - Énfasis1 6 2 2 3" xfId="17303"/>
    <cellStyle name="20% - Énfasis1 6 2 2 4" xfId="56167"/>
    <cellStyle name="20% - Énfasis1 6 2 3" xfId="8001"/>
    <cellStyle name="20% - Énfasis1 6 2 4" xfId="14203"/>
    <cellStyle name="20% - Énfasis1 6 2 5" xfId="53274"/>
    <cellStyle name="20% - Énfasis1 6 3" xfId="2329"/>
    <cellStyle name="20% - Énfasis1 6 3 2" xfId="5453"/>
    <cellStyle name="20% - Énfasis1 6 3 2 2" xfId="11656"/>
    <cellStyle name="20% - Énfasis1 6 3 2 3" xfId="17858"/>
    <cellStyle name="20% - Énfasis1 6 3 2 4" xfId="56686"/>
    <cellStyle name="20% - Énfasis1 6 3 3" xfId="8556"/>
    <cellStyle name="20% - Énfasis1 6 3 4" xfId="14758"/>
    <cellStyle name="20% - Énfasis1 6 3 5" xfId="53791"/>
    <cellStyle name="20% - Énfasis1 6 4" xfId="3381"/>
    <cellStyle name="20% - Énfasis1 6 4 2" xfId="9585"/>
    <cellStyle name="20% - Énfasis1 6 4 3" xfId="15787"/>
    <cellStyle name="20% - Énfasis1 6 4 4" xfId="54758"/>
    <cellStyle name="20% - Énfasis1 6 5" xfId="6484"/>
    <cellStyle name="20% - Énfasis1 6 5 2" xfId="19374"/>
    <cellStyle name="20% - Énfasis1 6 5 3" xfId="52186"/>
    <cellStyle name="20% - Énfasis1 6 6" xfId="12686"/>
    <cellStyle name="20% - Énfasis1 6 7" xfId="20268"/>
    <cellStyle name="20% - Énfasis1 7" xfId="1253"/>
    <cellStyle name="20% - Énfasis1 7 2" xfId="4378"/>
    <cellStyle name="20% - Énfasis1 7 2 2" xfId="10581"/>
    <cellStyle name="20% - Énfasis1 7 2 3" xfId="16783"/>
    <cellStyle name="20% - Énfasis1 7 2 4" xfId="55674"/>
    <cellStyle name="20% - Énfasis1 7 3" xfId="7481"/>
    <cellStyle name="20% - Énfasis1 7 3 2" xfId="52805"/>
    <cellStyle name="20% - Énfasis1 7 4" xfId="13683"/>
    <cellStyle name="20% - Énfasis1 7 5" xfId="20269"/>
    <cellStyle name="20% - Énfasis1 8" xfId="18854"/>
    <cellStyle name="20% - Énfasis1 8 10" xfId="20271"/>
    <cellStyle name="20% - Énfasis1 8 10 2" xfId="20272"/>
    <cellStyle name="20% - Énfasis1 8 10 2 2" xfId="20273"/>
    <cellStyle name="20% - Énfasis1 8 10 3" xfId="20274"/>
    <cellStyle name="20% - Énfasis1 8 11" xfId="20275"/>
    <cellStyle name="20% - Énfasis1 8 11 2" xfId="20276"/>
    <cellStyle name="20% - Énfasis1 8 11 2 2" xfId="20277"/>
    <cellStyle name="20% - Énfasis1 8 11 3" xfId="20278"/>
    <cellStyle name="20% - Énfasis1 8 12" xfId="20279"/>
    <cellStyle name="20% - Énfasis1 8 12 2" xfId="20280"/>
    <cellStyle name="20% - Énfasis1 8 13" xfId="20281"/>
    <cellStyle name="20% - Énfasis1 8 13 2" xfId="20282"/>
    <cellStyle name="20% - Énfasis1 8 14" xfId="20283"/>
    <cellStyle name="20% - Énfasis1 8 15" xfId="20284"/>
    <cellStyle name="20% - Énfasis1 8 16" xfId="20270"/>
    <cellStyle name="20% - Énfasis1 8 2" xfId="20285"/>
    <cellStyle name="20% - Énfasis1 8 2 10" xfId="20286"/>
    <cellStyle name="20% - Énfasis1 8 2 10 2" xfId="20287"/>
    <cellStyle name="20% - Énfasis1 8 2 10 2 2" xfId="20288"/>
    <cellStyle name="20% - Énfasis1 8 2 10 3" xfId="20289"/>
    <cellStyle name="20% - Énfasis1 8 2 11" xfId="20290"/>
    <cellStyle name="20% - Énfasis1 8 2 11 2" xfId="20291"/>
    <cellStyle name="20% - Énfasis1 8 2 12" xfId="20292"/>
    <cellStyle name="20% - Énfasis1 8 2 12 2" xfId="20293"/>
    <cellStyle name="20% - Énfasis1 8 2 13" xfId="20294"/>
    <cellStyle name="20% - Énfasis1 8 2 14" xfId="20295"/>
    <cellStyle name="20% - Énfasis1 8 2 2" xfId="20296"/>
    <cellStyle name="20% - Énfasis1 8 2 2 2" xfId="20297"/>
    <cellStyle name="20% - Énfasis1 8 2 2 2 2" xfId="20298"/>
    <cellStyle name="20% - Énfasis1 8 2 2 2 2 2" xfId="20299"/>
    <cellStyle name="20% - Énfasis1 8 2 2 2 2 2 2" xfId="20300"/>
    <cellStyle name="20% - Énfasis1 8 2 2 2 2 2 2 2" xfId="20301"/>
    <cellStyle name="20% - Énfasis1 8 2 2 2 2 2 3" xfId="20302"/>
    <cellStyle name="20% - Énfasis1 8 2 2 2 2 2 3 2" xfId="20303"/>
    <cellStyle name="20% - Énfasis1 8 2 2 2 2 2 4" xfId="20304"/>
    <cellStyle name="20% - Énfasis1 8 2 2 2 2 3" xfId="20305"/>
    <cellStyle name="20% - Énfasis1 8 2 2 2 2 4" xfId="20306"/>
    <cellStyle name="20% - Énfasis1 8 2 2 2 2 4 2" xfId="20307"/>
    <cellStyle name="20% - Énfasis1 8 2 2 2 2 5" xfId="20308"/>
    <cellStyle name="20% - Énfasis1 8 2 2 2 2_IAS" xfId="20309"/>
    <cellStyle name="20% - Énfasis1 8 2 2 2 3" xfId="20310"/>
    <cellStyle name="20% - Énfasis1 8 2 2 2 3 2" xfId="20311"/>
    <cellStyle name="20% - Énfasis1 8 2 2 2 3 2 2" xfId="20312"/>
    <cellStyle name="20% - Énfasis1 8 2 2 2 3 3" xfId="20313"/>
    <cellStyle name="20% - Énfasis1 8 2 2 2 3 3 2" xfId="20314"/>
    <cellStyle name="20% - Énfasis1 8 2 2 2 3 4" xfId="20315"/>
    <cellStyle name="20% - Énfasis1 8 2 2 2 4" xfId="20316"/>
    <cellStyle name="20% - Énfasis1 8 2 2 2 5" xfId="20317"/>
    <cellStyle name="20% - Énfasis1 8 2 2 2 5 2" xfId="20318"/>
    <cellStyle name="20% - Énfasis1 8 2 2 2 6" xfId="20319"/>
    <cellStyle name="20% - Énfasis1 8 2 2 2_IAS" xfId="20320"/>
    <cellStyle name="20% - Énfasis1 8 2 2 3" xfId="20321"/>
    <cellStyle name="20% - Énfasis1 8 2 2 3 2" xfId="20322"/>
    <cellStyle name="20% - Énfasis1 8 2 2 3 2 2" xfId="20323"/>
    <cellStyle name="20% - Énfasis1 8 2 2 3 2 2 2" xfId="20324"/>
    <cellStyle name="20% - Énfasis1 8 2 2 3 2 3" xfId="20325"/>
    <cellStyle name="20% - Énfasis1 8 2 2 3 2 3 2" xfId="20326"/>
    <cellStyle name="20% - Énfasis1 8 2 2 3 2 4" xfId="20327"/>
    <cellStyle name="20% - Énfasis1 8 2 2 3 3" xfId="20328"/>
    <cellStyle name="20% - Énfasis1 8 2 2 3 4" xfId="20329"/>
    <cellStyle name="20% - Énfasis1 8 2 2 3 4 2" xfId="20330"/>
    <cellStyle name="20% - Énfasis1 8 2 2 3 5" xfId="20331"/>
    <cellStyle name="20% - Énfasis1 8 2 2 3_IAS" xfId="20332"/>
    <cellStyle name="20% - Énfasis1 8 2 2 4" xfId="20333"/>
    <cellStyle name="20% - Énfasis1 8 2 2 4 2" xfId="20334"/>
    <cellStyle name="20% - Énfasis1 8 2 2 4 2 2" xfId="20335"/>
    <cellStyle name="20% - Énfasis1 8 2 2 4 3" xfId="20336"/>
    <cellStyle name="20% - Énfasis1 8 2 2 4 3 2" xfId="20337"/>
    <cellStyle name="20% - Énfasis1 8 2 2 4 4" xfId="20338"/>
    <cellStyle name="20% - Énfasis1 8 2 2 5" xfId="20339"/>
    <cellStyle name="20% - Énfasis1 8 2 2 6" xfId="20340"/>
    <cellStyle name="20% - Énfasis1 8 2 2 6 2" xfId="20341"/>
    <cellStyle name="20% - Énfasis1 8 2 2 7" xfId="20342"/>
    <cellStyle name="20% - Énfasis1 8 2 2_IAS" xfId="20343"/>
    <cellStyle name="20% - Énfasis1 8 2 3" xfId="20344"/>
    <cellStyle name="20% - Énfasis1 8 2 3 2" xfId="20345"/>
    <cellStyle name="20% - Énfasis1 8 2 3 2 2" xfId="20346"/>
    <cellStyle name="20% - Énfasis1 8 2 3 2 2 2" xfId="20347"/>
    <cellStyle name="20% - Énfasis1 8 2 3 2 2 2 2" xfId="20348"/>
    <cellStyle name="20% - Énfasis1 8 2 3 2 2 2 2 2" xfId="20349"/>
    <cellStyle name="20% - Énfasis1 8 2 3 2 2 2 3" xfId="20350"/>
    <cellStyle name="20% - Énfasis1 8 2 3 2 2 2 3 2" xfId="20351"/>
    <cellStyle name="20% - Énfasis1 8 2 3 2 2 2 4" xfId="20352"/>
    <cellStyle name="20% - Énfasis1 8 2 3 2 2 3" xfId="20353"/>
    <cellStyle name="20% - Énfasis1 8 2 3 2 2 4" xfId="20354"/>
    <cellStyle name="20% - Énfasis1 8 2 3 2 2 4 2" xfId="20355"/>
    <cellStyle name="20% - Énfasis1 8 2 3 2 2 5" xfId="20356"/>
    <cellStyle name="20% - Énfasis1 8 2 3 2 2_IAS" xfId="20357"/>
    <cellStyle name="20% - Énfasis1 8 2 3 2 3" xfId="20358"/>
    <cellStyle name="20% - Énfasis1 8 2 3 2 3 2" xfId="20359"/>
    <cellStyle name="20% - Énfasis1 8 2 3 2 3 2 2" xfId="20360"/>
    <cellStyle name="20% - Énfasis1 8 2 3 2 3 3" xfId="20361"/>
    <cellStyle name="20% - Énfasis1 8 2 3 2 3 3 2" xfId="20362"/>
    <cellStyle name="20% - Énfasis1 8 2 3 2 3 4" xfId="20363"/>
    <cellStyle name="20% - Énfasis1 8 2 3 2 4" xfId="20364"/>
    <cellStyle name="20% - Énfasis1 8 2 3 2 5" xfId="20365"/>
    <cellStyle name="20% - Énfasis1 8 2 3 2 5 2" xfId="20366"/>
    <cellStyle name="20% - Énfasis1 8 2 3 2 6" xfId="20367"/>
    <cellStyle name="20% - Énfasis1 8 2 3 2_IAS" xfId="20368"/>
    <cellStyle name="20% - Énfasis1 8 2 3 3" xfId="20369"/>
    <cellStyle name="20% - Énfasis1 8 2 3 3 2" xfId="20370"/>
    <cellStyle name="20% - Énfasis1 8 2 3 3 2 2" xfId="20371"/>
    <cellStyle name="20% - Énfasis1 8 2 3 3 2 2 2" xfId="20372"/>
    <cellStyle name="20% - Énfasis1 8 2 3 3 2 3" xfId="20373"/>
    <cellStyle name="20% - Énfasis1 8 2 3 3 2 3 2" xfId="20374"/>
    <cellStyle name="20% - Énfasis1 8 2 3 3 2 4" xfId="20375"/>
    <cellStyle name="20% - Énfasis1 8 2 3 3 3" xfId="20376"/>
    <cellStyle name="20% - Énfasis1 8 2 3 3 4" xfId="20377"/>
    <cellStyle name="20% - Énfasis1 8 2 3 3 4 2" xfId="20378"/>
    <cellStyle name="20% - Énfasis1 8 2 3 3 5" xfId="20379"/>
    <cellStyle name="20% - Énfasis1 8 2 3 3_IAS" xfId="20380"/>
    <cellStyle name="20% - Énfasis1 8 2 3 4" xfId="20381"/>
    <cellStyle name="20% - Énfasis1 8 2 3 4 2" xfId="20382"/>
    <cellStyle name="20% - Énfasis1 8 2 3 4 2 2" xfId="20383"/>
    <cellStyle name="20% - Énfasis1 8 2 3 4 3" xfId="20384"/>
    <cellStyle name="20% - Énfasis1 8 2 3 4 3 2" xfId="20385"/>
    <cellStyle name="20% - Énfasis1 8 2 3 4 4" xfId="20386"/>
    <cellStyle name="20% - Énfasis1 8 2 3 5" xfId="20387"/>
    <cellStyle name="20% - Énfasis1 8 2 3 6" xfId="20388"/>
    <cellStyle name="20% - Énfasis1 8 2 3 6 2" xfId="20389"/>
    <cellStyle name="20% - Énfasis1 8 2 3 7" xfId="20390"/>
    <cellStyle name="20% - Énfasis1 8 2 3_IAS" xfId="20391"/>
    <cellStyle name="20% - Énfasis1 8 2 4" xfId="20392"/>
    <cellStyle name="20% - Énfasis1 8 2 5" xfId="20393"/>
    <cellStyle name="20% - Énfasis1 8 2 5 2" xfId="20394"/>
    <cellStyle name="20% - Énfasis1 8 2 5 2 2" xfId="20395"/>
    <cellStyle name="20% - Énfasis1 8 2 5 2 2 2" xfId="20396"/>
    <cellStyle name="20% - Énfasis1 8 2 5 2 2 2 2" xfId="20397"/>
    <cellStyle name="20% - Énfasis1 8 2 5 2 2 3" xfId="20398"/>
    <cellStyle name="20% - Énfasis1 8 2 5 2 2 3 2" xfId="20399"/>
    <cellStyle name="20% - Énfasis1 8 2 5 2 2 4" xfId="20400"/>
    <cellStyle name="20% - Énfasis1 8 2 5 2 3" xfId="20401"/>
    <cellStyle name="20% - Énfasis1 8 2 5 2 4" xfId="20402"/>
    <cellStyle name="20% - Énfasis1 8 2 5 2 4 2" xfId="20403"/>
    <cellStyle name="20% - Énfasis1 8 2 5 2 5" xfId="20404"/>
    <cellStyle name="20% - Énfasis1 8 2 5 2_IAS" xfId="20405"/>
    <cellStyle name="20% - Énfasis1 8 2 5 3" xfId="20406"/>
    <cellStyle name="20% - Énfasis1 8 2 5 3 2" xfId="20407"/>
    <cellStyle name="20% - Énfasis1 8 2 5 3 2 2" xfId="20408"/>
    <cellStyle name="20% - Énfasis1 8 2 5 3 3" xfId="20409"/>
    <cellStyle name="20% - Énfasis1 8 2 5 3 3 2" xfId="20410"/>
    <cellStyle name="20% - Énfasis1 8 2 5 3 4" xfId="20411"/>
    <cellStyle name="20% - Énfasis1 8 2 5 4" xfId="20412"/>
    <cellStyle name="20% - Énfasis1 8 2 5 5" xfId="20413"/>
    <cellStyle name="20% - Énfasis1 8 2 5 5 2" xfId="20414"/>
    <cellStyle name="20% - Énfasis1 8 2 5 6" xfId="20415"/>
    <cellStyle name="20% - Énfasis1 8 2 5_IAS" xfId="20416"/>
    <cellStyle name="20% - Énfasis1 8 2 6" xfId="20417"/>
    <cellStyle name="20% - Énfasis1 8 2 6 2" xfId="20418"/>
    <cellStyle name="20% - Énfasis1 8 2 6 2 2" xfId="20419"/>
    <cellStyle name="20% - Énfasis1 8 2 6 2 2 2" xfId="20420"/>
    <cellStyle name="20% - Énfasis1 8 2 6 2 3" xfId="20421"/>
    <cellStyle name="20% - Énfasis1 8 2 6 2 3 2" xfId="20422"/>
    <cellStyle name="20% - Énfasis1 8 2 6 2 4" xfId="20423"/>
    <cellStyle name="20% - Énfasis1 8 2 6 3" xfId="20424"/>
    <cellStyle name="20% - Énfasis1 8 2 6 4" xfId="20425"/>
    <cellStyle name="20% - Énfasis1 8 2 6 4 2" xfId="20426"/>
    <cellStyle name="20% - Énfasis1 8 2 6 5" xfId="20427"/>
    <cellStyle name="20% - Énfasis1 8 2 6_IAS" xfId="20428"/>
    <cellStyle name="20% - Énfasis1 8 2 7" xfId="20429"/>
    <cellStyle name="20% - Énfasis1 8 2 7 2" xfId="20430"/>
    <cellStyle name="20% - Énfasis1 8 2 7 2 2" xfId="20431"/>
    <cellStyle name="20% - Énfasis1 8 2 7 3" xfId="20432"/>
    <cellStyle name="20% - Énfasis1 8 2 7 3 2" xfId="20433"/>
    <cellStyle name="20% - Énfasis1 8 2 7 4" xfId="20434"/>
    <cellStyle name="20% - Énfasis1 8 2 8" xfId="20435"/>
    <cellStyle name="20% - Énfasis1 8 2 8 2" xfId="20436"/>
    <cellStyle name="20% - Énfasis1 8 2 8 2 2" xfId="20437"/>
    <cellStyle name="20% - Énfasis1 8 2 8 3" xfId="20438"/>
    <cellStyle name="20% - Énfasis1 8 2 9" xfId="20439"/>
    <cellStyle name="20% - Énfasis1 8 2 9 2" xfId="20440"/>
    <cellStyle name="20% - Énfasis1 8 2 9 2 2" xfId="20441"/>
    <cellStyle name="20% - Énfasis1 8 2 9 3" xfId="20442"/>
    <cellStyle name="20% - Énfasis1 8 2_IAS" xfId="20443"/>
    <cellStyle name="20% - Énfasis1 8 3" xfId="20444"/>
    <cellStyle name="20% - Énfasis1 8 3 2" xfId="20445"/>
    <cellStyle name="20% - Énfasis1 8 3 2 2" xfId="20446"/>
    <cellStyle name="20% - Énfasis1 8 3 2 2 2" xfId="20447"/>
    <cellStyle name="20% - Énfasis1 8 3 2 2 2 2" xfId="20448"/>
    <cellStyle name="20% - Énfasis1 8 3 2 2 2 2 2" xfId="20449"/>
    <cellStyle name="20% - Énfasis1 8 3 2 2 2 3" xfId="20450"/>
    <cellStyle name="20% - Énfasis1 8 3 2 2 2 3 2" xfId="20451"/>
    <cellStyle name="20% - Énfasis1 8 3 2 2 2 4" xfId="20452"/>
    <cellStyle name="20% - Énfasis1 8 3 2 2 3" xfId="20453"/>
    <cellStyle name="20% - Énfasis1 8 3 2 2 4" xfId="20454"/>
    <cellStyle name="20% - Énfasis1 8 3 2 2 4 2" xfId="20455"/>
    <cellStyle name="20% - Énfasis1 8 3 2 2 5" xfId="20456"/>
    <cellStyle name="20% - Énfasis1 8 3 2 2_IAS" xfId="20457"/>
    <cellStyle name="20% - Énfasis1 8 3 2 3" xfId="20458"/>
    <cellStyle name="20% - Énfasis1 8 3 2 3 2" xfId="20459"/>
    <cellStyle name="20% - Énfasis1 8 3 2 3 2 2" xfId="20460"/>
    <cellStyle name="20% - Énfasis1 8 3 2 3 3" xfId="20461"/>
    <cellStyle name="20% - Énfasis1 8 3 2 3 3 2" xfId="20462"/>
    <cellStyle name="20% - Énfasis1 8 3 2 3 4" xfId="20463"/>
    <cellStyle name="20% - Énfasis1 8 3 2 4" xfId="20464"/>
    <cellStyle name="20% - Énfasis1 8 3 2 5" xfId="20465"/>
    <cellStyle name="20% - Énfasis1 8 3 2 5 2" xfId="20466"/>
    <cellStyle name="20% - Énfasis1 8 3 2 6" xfId="20467"/>
    <cellStyle name="20% - Énfasis1 8 3 2_IAS" xfId="20468"/>
    <cellStyle name="20% - Énfasis1 8 3 3" xfId="20469"/>
    <cellStyle name="20% - Énfasis1 8 3 3 2" xfId="20470"/>
    <cellStyle name="20% - Énfasis1 8 3 3 2 2" xfId="20471"/>
    <cellStyle name="20% - Énfasis1 8 3 3 2 2 2" xfId="20472"/>
    <cellStyle name="20% - Énfasis1 8 3 3 2 3" xfId="20473"/>
    <cellStyle name="20% - Énfasis1 8 3 3 2 3 2" xfId="20474"/>
    <cellStyle name="20% - Énfasis1 8 3 3 2 4" xfId="20475"/>
    <cellStyle name="20% - Énfasis1 8 3 3 3" xfId="20476"/>
    <cellStyle name="20% - Énfasis1 8 3 3 4" xfId="20477"/>
    <cellStyle name="20% - Énfasis1 8 3 3 4 2" xfId="20478"/>
    <cellStyle name="20% - Énfasis1 8 3 3 5" xfId="20479"/>
    <cellStyle name="20% - Énfasis1 8 3 3_IAS" xfId="20480"/>
    <cellStyle name="20% - Énfasis1 8 3 4" xfId="20481"/>
    <cellStyle name="20% - Énfasis1 8 3 4 2" xfId="20482"/>
    <cellStyle name="20% - Énfasis1 8 3 4 2 2" xfId="20483"/>
    <cellStyle name="20% - Énfasis1 8 3 4 3" xfId="20484"/>
    <cellStyle name="20% - Énfasis1 8 3 4 3 2" xfId="20485"/>
    <cellStyle name="20% - Énfasis1 8 3 4 4" xfId="20486"/>
    <cellStyle name="20% - Énfasis1 8 3 5" xfId="20487"/>
    <cellStyle name="20% - Énfasis1 8 3 6" xfId="20488"/>
    <cellStyle name="20% - Énfasis1 8 3 6 2" xfId="20489"/>
    <cellStyle name="20% - Énfasis1 8 3 7" xfId="20490"/>
    <cellStyle name="20% - Énfasis1 8 3_IAS" xfId="20491"/>
    <cellStyle name="20% - Énfasis1 8 4" xfId="20492"/>
    <cellStyle name="20% - Énfasis1 8 4 2" xfId="20493"/>
    <cellStyle name="20% - Énfasis1 8 4 2 2" xfId="20494"/>
    <cellStyle name="20% - Énfasis1 8 4 2 2 2" xfId="20495"/>
    <cellStyle name="20% - Énfasis1 8 4 2 2 2 2" xfId="20496"/>
    <cellStyle name="20% - Énfasis1 8 4 2 2 2 2 2" xfId="20497"/>
    <cellStyle name="20% - Énfasis1 8 4 2 2 2 3" xfId="20498"/>
    <cellStyle name="20% - Énfasis1 8 4 2 2 2 3 2" xfId="20499"/>
    <cellStyle name="20% - Énfasis1 8 4 2 2 2 4" xfId="20500"/>
    <cellStyle name="20% - Énfasis1 8 4 2 2 3" xfId="20501"/>
    <cellStyle name="20% - Énfasis1 8 4 2 2 4" xfId="20502"/>
    <cellStyle name="20% - Énfasis1 8 4 2 2 4 2" xfId="20503"/>
    <cellStyle name="20% - Énfasis1 8 4 2 2 5" xfId="20504"/>
    <cellStyle name="20% - Énfasis1 8 4 2 2_IAS" xfId="20505"/>
    <cellStyle name="20% - Énfasis1 8 4 2 3" xfId="20506"/>
    <cellStyle name="20% - Énfasis1 8 4 2 3 2" xfId="20507"/>
    <cellStyle name="20% - Énfasis1 8 4 2 3 2 2" xfId="20508"/>
    <cellStyle name="20% - Énfasis1 8 4 2 3 3" xfId="20509"/>
    <cellStyle name="20% - Énfasis1 8 4 2 3 3 2" xfId="20510"/>
    <cellStyle name="20% - Énfasis1 8 4 2 3 4" xfId="20511"/>
    <cellStyle name="20% - Énfasis1 8 4 2 4" xfId="20512"/>
    <cellStyle name="20% - Énfasis1 8 4 2 5" xfId="20513"/>
    <cellStyle name="20% - Énfasis1 8 4 2 5 2" xfId="20514"/>
    <cellStyle name="20% - Énfasis1 8 4 2 6" xfId="20515"/>
    <cellStyle name="20% - Énfasis1 8 4 2_IAS" xfId="20516"/>
    <cellStyle name="20% - Énfasis1 8 4 3" xfId="20517"/>
    <cellStyle name="20% - Énfasis1 8 4 3 2" xfId="20518"/>
    <cellStyle name="20% - Énfasis1 8 4 3 2 2" xfId="20519"/>
    <cellStyle name="20% - Énfasis1 8 4 3 2 2 2" xfId="20520"/>
    <cellStyle name="20% - Énfasis1 8 4 3 2 3" xfId="20521"/>
    <cellStyle name="20% - Énfasis1 8 4 3 2 3 2" xfId="20522"/>
    <cellStyle name="20% - Énfasis1 8 4 3 2 4" xfId="20523"/>
    <cellStyle name="20% - Énfasis1 8 4 3 3" xfId="20524"/>
    <cellStyle name="20% - Énfasis1 8 4 3 4" xfId="20525"/>
    <cellStyle name="20% - Énfasis1 8 4 3 4 2" xfId="20526"/>
    <cellStyle name="20% - Énfasis1 8 4 3 5" xfId="20527"/>
    <cellStyle name="20% - Énfasis1 8 4 3_IAS" xfId="20528"/>
    <cellStyle name="20% - Énfasis1 8 4 4" xfId="20529"/>
    <cellStyle name="20% - Énfasis1 8 4 4 2" xfId="20530"/>
    <cellStyle name="20% - Énfasis1 8 4 4 2 2" xfId="20531"/>
    <cellStyle name="20% - Énfasis1 8 4 4 3" xfId="20532"/>
    <cellStyle name="20% - Énfasis1 8 4 4 3 2" xfId="20533"/>
    <cellStyle name="20% - Énfasis1 8 4 4 4" xfId="20534"/>
    <cellStyle name="20% - Énfasis1 8 4 5" xfId="20535"/>
    <cellStyle name="20% - Énfasis1 8 4 6" xfId="20536"/>
    <cellStyle name="20% - Énfasis1 8 4 6 2" xfId="20537"/>
    <cellStyle name="20% - Énfasis1 8 4 7" xfId="20538"/>
    <cellStyle name="20% - Énfasis1 8 4_IAS" xfId="20539"/>
    <cellStyle name="20% - Énfasis1 8 5" xfId="20540"/>
    <cellStyle name="20% - Énfasis1 8 6" xfId="20541"/>
    <cellStyle name="20% - Énfasis1 8 6 2" xfId="20542"/>
    <cellStyle name="20% - Énfasis1 8 6 2 2" xfId="20543"/>
    <cellStyle name="20% - Énfasis1 8 6 2 2 2" xfId="20544"/>
    <cellStyle name="20% - Énfasis1 8 6 2 2 2 2" xfId="20545"/>
    <cellStyle name="20% - Énfasis1 8 6 2 2 3" xfId="20546"/>
    <cellStyle name="20% - Énfasis1 8 6 2 2 3 2" xfId="20547"/>
    <cellStyle name="20% - Énfasis1 8 6 2 2 4" xfId="20548"/>
    <cellStyle name="20% - Énfasis1 8 6 2 3" xfId="20549"/>
    <cellStyle name="20% - Énfasis1 8 6 2 4" xfId="20550"/>
    <cellStyle name="20% - Énfasis1 8 6 2 4 2" xfId="20551"/>
    <cellStyle name="20% - Énfasis1 8 6 2 5" xfId="20552"/>
    <cellStyle name="20% - Énfasis1 8 6 2_IAS" xfId="20553"/>
    <cellStyle name="20% - Énfasis1 8 6 3" xfId="20554"/>
    <cellStyle name="20% - Énfasis1 8 6 3 2" xfId="20555"/>
    <cellStyle name="20% - Énfasis1 8 6 3 2 2" xfId="20556"/>
    <cellStyle name="20% - Énfasis1 8 6 3 3" xfId="20557"/>
    <cellStyle name="20% - Énfasis1 8 6 3 3 2" xfId="20558"/>
    <cellStyle name="20% - Énfasis1 8 6 3 4" xfId="20559"/>
    <cellStyle name="20% - Énfasis1 8 6 4" xfId="20560"/>
    <cellStyle name="20% - Énfasis1 8 6 5" xfId="20561"/>
    <cellStyle name="20% - Énfasis1 8 6 5 2" xfId="20562"/>
    <cellStyle name="20% - Énfasis1 8 6 6" xfId="20563"/>
    <cellStyle name="20% - Énfasis1 8 6_IAS" xfId="20564"/>
    <cellStyle name="20% - Énfasis1 8 7" xfId="20565"/>
    <cellStyle name="20% - Énfasis1 8 7 2" xfId="20566"/>
    <cellStyle name="20% - Énfasis1 8 7 2 2" xfId="20567"/>
    <cellStyle name="20% - Énfasis1 8 7 2 2 2" xfId="20568"/>
    <cellStyle name="20% - Énfasis1 8 7 2 3" xfId="20569"/>
    <cellStyle name="20% - Énfasis1 8 7 2 3 2" xfId="20570"/>
    <cellStyle name="20% - Énfasis1 8 7 2 4" xfId="20571"/>
    <cellStyle name="20% - Énfasis1 8 7 3" xfId="20572"/>
    <cellStyle name="20% - Énfasis1 8 7 4" xfId="20573"/>
    <cellStyle name="20% - Énfasis1 8 7 4 2" xfId="20574"/>
    <cellStyle name="20% - Énfasis1 8 7 5" xfId="20575"/>
    <cellStyle name="20% - Énfasis1 8 7_IAS" xfId="20576"/>
    <cellStyle name="20% - Énfasis1 8 8" xfId="20577"/>
    <cellStyle name="20% - Énfasis1 8 8 2" xfId="20578"/>
    <cellStyle name="20% - Énfasis1 8 8 2 2" xfId="20579"/>
    <cellStyle name="20% - Énfasis1 8 8 3" xfId="20580"/>
    <cellStyle name="20% - Énfasis1 8 8 3 2" xfId="20581"/>
    <cellStyle name="20% - Énfasis1 8 8 4" xfId="20582"/>
    <cellStyle name="20% - Énfasis1 8 9" xfId="20583"/>
    <cellStyle name="20% - Énfasis1 8 9 2" xfId="20584"/>
    <cellStyle name="20% - Énfasis1 8 9 2 2" xfId="20585"/>
    <cellStyle name="20% - Énfasis1 8 9 3" xfId="20586"/>
    <cellStyle name="20% - Énfasis1 8_AGF" xfId="20587"/>
    <cellStyle name="20% - Énfasis1 9" xfId="20588"/>
    <cellStyle name="20% - Énfasis1 9 10" xfId="20589"/>
    <cellStyle name="20% - Énfasis1 9 10 2" xfId="20590"/>
    <cellStyle name="20% - Énfasis1 9 10 2 2" xfId="20591"/>
    <cellStyle name="20% - Énfasis1 9 10 3" xfId="20592"/>
    <cellStyle name="20% - Énfasis1 9 11" xfId="20593"/>
    <cellStyle name="20% - Énfasis1 9 11 2" xfId="20594"/>
    <cellStyle name="20% - Énfasis1 9 12" xfId="20595"/>
    <cellStyle name="20% - Énfasis1 9 12 2" xfId="20596"/>
    <cellStyle name="20% - Énfasis1 9 13" xfId="20597"/>
    <cellStyle name="20% - Énfasis1 9 14" xfId="20598"/>
    <cellStyle name="20% - Énfasis1 9 2" xfId="20599"/>
    <cellStyle name="20% - Énfasis1 9 2 2" xfId="20600"/>
    <cellStyle name="20% - Énfasis1 9 2 2 2" xfId="20601"/>
    <cellStyle name="20% - Énfasis1 9 2 2 2 2" xfId="20602"/>
    <cellStyle name="20% - Énfasis1 9 2 2 2 2 2" xfId="20603"/>
    <cellStyle name="20% - Énfasis1 9 2 2 2 2 2 2" xfId="20604"/>
    <cellStyle name="20% - Énfasis1 9 2 2 2 2 3" xfId="20605"/>
    <cellStyle name="20% - Énfasis1 9 2 2 2 2 3 2" xfId="20606"/>
    <cellStyle name="20% - Énfasis1 9 2 2 2 2 4" xfId="20607"/>
    <cellStyle name="20% - Énfasis1 9 2 2 2 3" xfId="20608"/>
    <cellStyle name="20% - Énfasis1 9 2 2 2 4" xfId="20609"/>
    <cellStyle name="20% - Énfasis1 9 2 2 2 4 2" xfId="20610"/>
    <cellStyle name="20% - Énfasis1 9 2 2 2 5" xfId="20611"/>
    <cellStyle name="20% - Énfasis1 9 2 2 2_IAS" xfId="20612"/>
    <cellStyle name="20% - Énfasis1 9 2 2 3" xfId="20613"/>
    <cellStyle name="20% - Énfasis1 9 2 2 3 2" xfId="20614"/>
    <cellStyle name="20% - Énfasis1 9 2 2 3 2 2" xfId="20615"/>
    <cellStyle name="20% - Énfasis1 9 2 2 3 3" xfId="20616"/>
    <cellStyle name="20% - Énfasis1 9 2 2 3 3 2" xfId="20617"/>
    <cellStyle name="20% - Énfasis1 9 2 2 3 4" xfId="20618"/>
    <cellStyle name="20% - Énfasis1 9 2 2 4" xfId="20619"/>
    <cellStyle name="20% - Énfasis1 9 2 2 5" xfId="20620"/>
    <cellStyle name="20% - Énfasis1 9 2 2 5 2" xfId="20621"/>
    <cellStyle name="20% - Énfasis1 9 2 2 6" xfId="20622"/>
    <cellStyle name="20% - Énfasis1 9 2 2_IAS" xfId="20623"/>
    <cellStyle name="20% - Énfasis1 9 2 3" xfId="20624"/>
    <cellStyle name="20% - Énfasis1 9 2 3 2" xfId="20625"/>
    <cellStyle name="20% - Énfasis1 9 2 3 2 2" xfId="20626"/>
    <cellStyle name="20% - Énfasis1 9 2 3 2 2 2" xfId="20627"/>
    <cellStyle name="20% - Énfasis1 9 2 3 2 3" xfId="20628"/>
    <cellStyle name="20% - Énfasis1 9 2 3 2 3 2" xfId="20629"/>
    <cellStyle name="20% - Énfasis1 9 2 3 2 4" xfId="20630"/>
    <cellStyle name="20% - Énfasis1 9 2 3 3" xfId="20631"/>
    <cellStyle name="20% - Énfasis1 9 2 3 4" xfId="20632"/>
    <cellStyle name="20% - Énfasis1 9 2 3 4 2" xfId="20633"/>
    <cellStyle name="20% - Énfasis1 9 2 3 5" xfId="20634"/>
    <cellStyle name="20% - Énfasis1 9 2 3_IAS" xfId="20635"/>
    <cellStyle name="20% - Énfasis1 9 2 4" xfId="20636"/>
    <cellStyle name="20% - Énfasis1 9 2 4 2" xfId="20637"/>
    <cellStyle name="20% - Énfasis1 9 2 4 2 2" xfId="20638"/>
    <cellStyle name="20% - Énfasis1 9 2 4 3" xfId="20639"/>
    <cellStyle name="20% - Énfasis1 9 2 4 3 2" xfId="20640"/>
    <cellStyle name="20% - Énfasis1 9 2 4 4" xfId="20641"/>
    <cellStyle name="20% - Énfasis1 9 2 5" xfId="20642"/>
    <cellStyle name="20% - Énfasis1 9 2 6" xfId="20643"/>
    <cellStyle name="20% - Énfasis1 9 2 6 2" xfId="20644"/>
    <cellStyle name="20% - Énfasis1 9 2 7" xfId="20645"/>
    <cellStyle name="20% - Énfasis1 9 2_IAS" xfId="20646"/>
    <cellStyle name="20% - Énfasis1 9 3" xfId="20647"/>
    <cellStyle name="20% - Énfasis1 9 3 2" xfId="20648"/>
    <cellStyle name="20% - Énfasis1 9 3 2 2" xfId="20649"/>
    <cellStyle name="20% - Énfasis1 9 3 2 2 2" xfId="20650"/>
    <cellStyle name="20% - Énfasis1 9 3 2 2 2 2" xfId="20651"/>
    <cellStyle name="20% - Énfasis1 9 3 2 2 2 2 2" xfId="20652"/>
    <cellStyle name="20% - Énfasis1 9 3 2 2 2 3" xfId="20653"/>
    <cellStyle name="20% - Énfasis1 9 3 2 2 2 3 2" xfId="20654"/>
    <cellStyle name="20% - Énfasis1 9 3 2 2 2 4" xfId="20655"/>
    <cellStyle name="20% - Énfasis1 9 3 2 2 3" xfId="20656"/>
    <cellStyle name="20% - Énfasis1 9 3 2 2 4" xfId="20657"/>
    <cellStyle name="20% - Énfasis1 9 3 2 2 4 2" xfId="20658"/>
    <cellStyle name="20% - Énfasis1 9 3 2 2 5" xfId="20659"/>
    <cellStyle name="20% - Énfasis1 9 3 2 2_IAS" xfId="20660"/>
    <cellStyle name="20% - Énfasis1 9 3 2 3" xfId="20661"/>
    <cellStyle name="20% - Énfasis1 9 3 2 3 2" xfId="20662"/>
    <cellStyle name="20% - Énfasis1 9 3 2 3 2 2" xfId="20663"/>
    <cellStyle name="20% - Énfasis1 9 3 2 3 3" xfId="20664"/>
    <cellStyle name="20% - Énfasis1 9 3 2 3 3 2" xfId="20665"/>
    <cellStyle name="20% - Énfasis1 9 3 2 3 4" xfId="20666"/>
    <cellStyle name="20% - Énfasis1 9 3 2 4" xfId="20667"/>
    <cellStyle name="20% - Énfasis1 9 3 2 5" xfId="20668"/>
    <cellStyle name="20% - Énfasis1 9 3 2 5 2" xfId="20669"/>
    <cellStyle name="20% - Énfasis1 9 3 2 6" xfId="20670"/>
    <cellStyle name="20% - Énfasis1 9 3 2_IAS" xfId="20671"/>
    <cellStyle name="20% - Énfasis1 9 3 3" xfId="20672"/>
    <cellStyle name="20% - Énfasis1 9 3 3 2" xfId="20673"/>
    <cellStyle name="20% - Énfasis1 9 3 3 2 2" xfId="20674"/>
    <cellStyle name="20% - Énfasis1 9 3 3 2 2 2" xfId="20675"/>
    <cellStyle name="20% - Énfasis1 9 3 3 2 3" xfId="20676"/>
    <cellStyle name="20% - Énfasis1 9 3 3 2 3 2" xfId="20677"/>
    <cellStyle name="20% - Énfasis1 9 3 3 2 4" xfId="20678"/>
    <cellStyle name="20% - Énfasis1 9 3 3 3" xfId="20679"/>
    <cellStyle name="20% - Énfasis1 9 3 3 4" xfId="20680"/>
    <cellStyle name="20% - Énfasis1 9 3 3 4 2" xfId="20681"/>
    <cellStyle name="20% - Énfasis1 9 3 3 5" xfId="20682"/>
    <cellStyle name="20% - Énfasis1 9 3 3_IAS" xfId="20683"/>
    <cellStyle name="20% - Énfasis1 9 3 4" xfId="20684"/>
    <cellStyle name="20% - Énfasis1 9 3 4 2" xfId="20685"/>
    <cellStyle name="20% - Énfasis1 9 3 4 2 2" xfId="20686"/>
    <cellStyle name="20% - Énfasis1 9 3 4 3" xfId="20687"/>
    <cellStyle name="20% - Énfasis1 9 3 4 3 2" xfId="20688"/>
    <cellStyle name="20% - Énfasis1 9 3 4 4" xfId="20689"/>
    <cellStyle name="20% - Énfasis1 9 3 5" xfId="20690"/>
    <cellStyle name="20% - Énfasis1 9 3 6" xfId="20691"/>
    <cellStyle name="20% - Énfasis1 9 3 6 2" xfId="20692"/>
    <cellStyle name="20% - Énfasis1 9 3 7" xfId="20693"/>
    <cellStyle name="20% - Énfasis1 9 3_IAS" xfId="20694"/>
    <cellStyle name="20% - Énfasis1 9 4" xfId="20695"/>
    <cellStyle name="20% - Énfasis1 9 5" xfId="20696"/>
    <cellStyle name="20% - Énfasis1 9 5 2" xfId="20697"/>
    <cellStyle name="20% - Énfasis1 9 5 2 2" xfId="20698"/>
    <cellStyle name="20% - Énfasis1 9 5 2 2 2" xfId="20699"/>
    <cellStyle name="20% - Énfasis1 9 5 2 2 2 2" xfId="20700"/>
    <cellStyle name="20% - Énfasis1 9 5 2 2 3" xfId="20701"/>
    <cellStyle name="20% - Énfasis1 9 5 2 2 3 2" xfId="20702"/>
    <cellStyle name="20% - Énfasis1 9 5 2 2 4" xfId="20703"/>
    <cellStyle name="20% - Énfasis1 9 5 2 3" xfId="20704"/>
    <cellStyle name="20% - Énfasis1 9 5 2 4" xfId="20705"/>
    <cellStyle name="20% - Énfasis1 9 5 2 4 2" xfId="20706"/>
    <cellStyle name="20% - Énfasis1 9 5 2 5" xfId="20707"/>
    <cellStyle name="20% - Énfasis1 9 5 2_IAS" xfId="20708"/>
    <cellStyle name="20% - Énfasis1 9 5 3" xfId="20709"/>
    <cellStyle name="20% - Énfasis1 9 5 3 2" xfId="20710"/>
    <cellStyle name="20% - Énfasis1 9 5 3 2 2" xfId="20711"/>
    <cellStyle name="20% - Énfasis1 9 5 3 3" xfId="20712"/>
    <cellStyle name="20% - Énfasis1 9 5 3 3 2" xfId="20713"/>
    <cellStyle name="20% - Énfasis1 9 5 3 4" xfId="20714"/>
    <cellStyle name="20% - Énfasis1 9 5 4" xfId="20715"/>
    <cellStyle name="20% - Énfasis1 9 5 5" xfId="20716"/>
    <cellStyle name="20% - Énfasis1 9 5 5 2" xfId="20717"/>
    <cellStyle name="20% - Énfasis1 9 5 6" xfId="20718"/>
    <cellStyle name="20% - Énfasis1 9 5_IAS" xfId="20719"/>
    <cellStyle name="20% - Énfasis1 9 6" xfId="20720"/>
    <cellStyle name="20% - Énfasis1 9 6 2" xfId="20721"/>
    <cellStyle name="20% - Énfasis1 9 6 2 2" xfId="20722"/>
    <cellStyle name="20% - Énfasis1 9 6 2 2 2" xfId="20723"/>
    <cellStyle name="20% - Énfasis1 9 6 2 3" xfId="20724"/>
    <cellStyle name="20% - Énfasis1 9 6 2 3 2" xfId="20725"/>
    <cellStyle name="20% - Énfasis1 9 6 2 4" xfId="20726"/>
    <cellStyle name="20% - Énfasis1 9 6 3" xfId="20727"/>
    <cellStyle name="20% - Énfasis1 9 6 4" xfId="20728"/>
    <cellStyle name="20% - Énfasis1 9 6 4 2" xfId="20729"/>
    <cellStyle name="20% - Énfasis1 9 6 5" xfId="20730"/>
    <cellStyle name="20% - Énfasis1 9 6_IAS" xfId="20731"/>
    <cellStyle name="20% - Énfasis1 9 7" xfId="20732"/>
    <cellStyle name="20% - Énfasis1 9 7 2" xfId="20733"/>
    <cellStyle name="20% - Énfasis1 9 7 2 2" xfId="20734"/>
    <cellStyle name="20% - Énfasis1 9 7 3" xfId="20735"/>
    <cellStyle name="20% - Énfasis1 9 7 3 2" xfId="20736"/>
    <cellStyle name="20% - Énfasis1 9 7 4" xfId="20737"/>
    <cellStyle name="20% - Énfasis1 9 8" xfId="20738"/>
    <cellStyle name="20% - Énfasis1 9 8 2" xfId="20739"/>
    <cellStyle name="20% - Énfasis1 9 8 2 2" xfId="20740"/>
    <cellStyle name="20% - Énfasis1 9 8 3" xfId="20741"/>
    <cellStyle name="20% - Énfasis1 9 9" xfId="20742"/>
    <cellStyle name="20% - Énfasis1 9 9 2" xfId="20743"/>
    <cellStyle name="20% - Énfasis1 9 9 2 2" xfId="20744"/>
    <cellStyle name="20% - Énfasis1 9 9 3" xfId="20745"/>
    <cellStyle name="20% - Énfasis1 9_IAS" xfId="20746"/>
    <cellStyle name="20% - Énfasis2 10" xfId="20747"/>
    <cellStyle name="20% - Énfasis2 10 2" xfId="20748"/>
    <cellStyle name="20% - Énfasis2 10 2 2" xfId="20749"/>
    <cellStyle name="20% - Énfasis2 10 2 2 2" xfId="20750"/>
    <cellStyle name="20% - Énfasis2 10 2 3" xfId="20751"/>
    <cellStyle name="20% - Énfasis2 10 2 3 2" xfId="20752"/>
    <cellStyle name="20% - Énfasis2 10 2 4" xfId="20753"/>
    <cellStyle name="20% - Énfasis2 10 3" xfId="20754"/>
    <cellStyle name="20% - Énfasis2 10 4" xfId="20755"/>
    <cellStyle name="20% - Énfasis2 10 4 2" xfId="20756"/>
    <cellStyle name="20% - Énfasis2 10 5" xfId="20757"/>
    <cellStyle name="20% - Énfasis2 10_IAS" xfId="20758"/>
    <cellStyle name="20% - Énfasis2 11" xfId="20759"/>
    <cellStyle name="20% - Énfasis2 11 2" xfId="20760"/>
    <cellStyle name="20% - Énfasis2 11 2 2" xfId="20761"/>
    <cellStyle name="20% - Énfasis2 11 3" xfId="20762"/>
    <cellStyle name="20% - Énfasis2 11 3 2" xfId="20763"/>
    <cellStyle name="20% - Énfasis2 11 4" xfId="20764"/>
    <cellStyle name="20% - Énfasis2 11_IAS" xfId="20765"/>
    <cellStyle name="20% - Énfasis2 12" xfId="20766"/>
    <cellStyle name="20% - Énfasis2 12 2" xfId="20767"/>
    <cellStyle name="20% - Énfasis2 13" xfId="20768"/>
    <cellStyle name="20% - Énfasis2 13 2" xfId="20769"/>
    <cellStyle name="20% - Énfasis2 14" xfId="20770"/>
    <cellStyle name="20% - Énfasis2 14 2" xfId="20771"/>
    <cellStyle name="20% - Énfasis2 15" xfId="20772"/>
    <cellStyle name="20% - Énfasis2 16" xfId="19901"/>
    <cellStyle name="20% - Énfasis2 2" xfId="59"/>
    <cellStyle name="20% - Énfasis2 2 10" xfId="12687"/>
    <cellStyle name="20% - Énfasis2 2 11" xfId="20773"/>
    <cellStyle name="20% - Énfasis2 2 2" xfId="60"/>
    <cellStyle name="20% - Énfasis2 2 2 10" xfId="20774"/>
    <cellStyle name="20% - Énfasis2 2 2 2" xfId="61"/>
    <cellStyle name="20% - Énfasis2 2 2 2 2" xfId="62"/>
    <cellStyle name="20% - Énfasis2 2 2 2 2 2" xfId="63"/>
    <cellStyle name="20% - Énfasis2 2 2 2 2 2 2" xfId="2261"/>
    <cellStyle name="20% - Énfasis2 2 2 2 2 2 2 2" xfId="5386"/>
    <cellStyle name="20% - Énfasis2 2 2 2 2 2 2 2 2" xfId="11589"/>
    <cellStyle name="20% - Énfasis2 2 2 2 2 2 2 2 3" xfId="17791"/>
    <cellStyle name="20% - Énfasis2 2 2 2 2 2 2 2 4" xfId="56622"/>
    <cellStyle name="20% - Énfasis2 2 2 2 2 2 2 3" xfId="8489"/>
    <cellStyle name="20% - Énfasis2 2 2 2 2 2 2 4" xfId="14691"/>
    <cellStyle name="20% - Énfasis2 2 2 2 2 2 2 5" xfId="53726"/>
    <cellStyle name="20% - Énfasis2 2 2 2 2 2 3" xfId="2334"/>
    <cellStyle name="20% - Énfasis2 2 2 2 2 2 3 2" xfId="5458"/>
    <cellStyle name="20% - Énfasis2 2 2 2 2 2 3 2 2" xfId="11661"/>
    <cellStyle name="20% - Énfasis2 2 2 2 2 2 3 2 3" xfId="17863"/>
    <cellStyle name="20% - Énfasis2 2 2 2 2 2 3 2 4" xfId="56691"/>
    <cellStyle name="20% - Énfasis2 2 2 2 2 2 3 3" xfId="8561"/>
    <cellStyle name="20% - Énfasis2 2 2 2 2 2 3 4" xfId="14763"/>
    <cellStyle name="20% - Énfasis2 2 2 2 2 2 3 5" xfId="53796"/>
    <cellStyle name="20% - Énfasis2 2 2 2 2 2 4" xfId="3386"/>
    <cellStyle name="20% - Énfasis2 2 2 2 2 2 4 2" xfId="9590"/>
    <cellStyle name="20% - Énfasis2 2 2 2 2 2 4 3" xfId="15792"/>
    <cellStyle name="20% - Énfasis2 2 2 2 2 2 4 4" xfId="54763"/>
    <cellStyle name="20% - Énfasis2 2 2 2 2 2 5" xfId="6489"/>
    <cellStyle name="20% - Énfasis2 2 2 2 2 2 5 2" xfId="19862"/>
    <cellStyle name="20% - Énfasis2 2 2 2 2 2 6" xfId="12691"/>
    <cellStyle name="20% - Énfasis2 2 2 2 2 2 7" xfId="52188"/>
    <cellStyle name="20% - Énfasis2 2 2 2 2 3" xfId="1737"/>
    <cellStyle name="20% - Énfasis2 2 2 2 2 3 2" xfId="4862"/>
    <cellStyle name="20% - Énfasis2 2 2 2 2 3 2 2" xfId="11065"/>
    <cellStyle name="20% - Énfasis2 2 2 2 2 3 2 3" xfId="17267"/>
    <cellStyle name="20% - Énfasis2 2 2 2 2 3 2 4" xfId="56133"/>
    <cellStyle name="20% - Énfasis2 2 2 2 2 3 3" xfId="7965"/>
    <cellStyle name="20% - Énfasis2 2 2 2 2 3 4" xfId="14167"/>
    <cellStyle name="20% - Énfasis2 2 2 2 2 3 5" xfId="53241"/>
    <cellStyle name="20% - Énfasis2 2 2 2 2 4" xfId="2333"/>
    <cellStyle name="20% - Énfasis2 2 2 2 2 4 2" xfId="5457"/>
    <cellStyle name="20% - Énfasis2 2 2 2 2 4 2 2" xfId="11660"/>
    <cellStyle name="20% - Énfasis2 2 2 2 2 4 2 3" xfId="17862"/>
    <cellStyle name="20% - Énfasis2 2 2 2 2 4 2 4" xfId="56690"/>
    <cellStyle name="20% - Énfasis2 2 2 2 2 4 3" xfId="8560"/>
    <cellStyle name="20% - Énfasis2 2 2 2 2 4 4" xfId="14762"/>
    <cellStyle name="20% - Énfasis2 2 2 2 2 4 5" xfId="53795"/>
    <cellStyle name="20% - Énfasis2 2 2 2 2 5" xfId="3385"/>
    <cellStyle name="20% - Énfasis2 2 2 2 2 5 2" xfId="9589"/>
    <cellStyle name="20% - Énfasis2 2 2 2 2 5 3" xfId="15791"/>
    <cellStyle name="20% - Énfasis2 2 2 2 2 5 4" xfId="54762"/>
    <cellStyle name="20% - Énfasis2 2 2 2 2 6" xfId="6488"/>
    <cellStyle name="20% - Énfasis2 2 2 2 2 6 2" xfId="19338"/>
    <cellStyle name="20% - Énfasis2 2 2 2 2 7" xfId="12690"/>
    <cellStyle name="20% - Énfasis2 2 2 2 2 8" xfId="52187"/>
    <cellStyle name="20% - Énfasis2 2 2 2 3" xfId="64"/>
    <cellStyle name="20% - Énfasis2 2 2 2 3 2" xfId="2016"/>
    <cellStyle name="20% - Énfasis2 2 2 2 3 2 2" xfId="5141"/>
    <cellStyle name="20% - Énfasis2 2 2 2 3 2 2 2" xfId="11344"/>
    <cellStyle name="20% - Énfasis2 2 2 2 3 2 2 3" xfId="17546"/>
    <cellStyle name="20% - Énfasis2 2 2 2 3 2 2 4" xfId="56395"/>
    <cellStyle name="20% - Énfasis2 2 2 2 3 2 3" xfId="8244"/>
    <cellStyle name="20% - Énfasis2 2 2 2 3 2 4" xfId="14446"/>
    <cellStyle name="20% - Énfasis2 2 2 2 3 2 5" xfId="53500"/>
    <cellStyle name="20% - Énfasis2 2 2 2 3 3" xfId="2335"/>
    <cellStyle name="20% - Énfasis2 2 2 2 3 3 2" xfId="5459"/>
    <cellStyle name="20% - Énfasis2 2 2 2 3 3 2 2" xfId="11662"/>
    <cellStyle name="20% - Énfasis2 2 2 2 3 3 2 3" xfId="17864"/>
    <cellStyle name="20% - Énfasis2 2 2 2 3 3 2 4" xfId="56692"/>
    <cellStyle name="20% - Énfasis2 2 2 2 3 3 3" xfId="8562"/>
    <cellStyle name="20% - Énfasis2 2 2 2 3 3 4" xfId="14764"/>
    <cellStyle name="20% - Énfasis2 2 2 2 3 3 5" xfId="53797"/>
    <cellStyle name="20% - Énfasis2 2 2 2 3 4" xfId="3387"/>
    <cellStyle name="20% - Énfasis2 2 2 2 3 4 2" xfId="9591"/>
    <cellStyle name="20% - Énfasis2 2 2 2 3 4 3" xfId="15793"/>
    <cellStyle name="20% - Énfasis2 2 2 2 3 4 4" xfId="54764"/>
    <cellStyle name="20% - Énfasis2 2 2 2 3 5" xfId="6490"/>
    <cellStyle name="20% - Énfasis2 2 2 2 3 5 2" xfId="19617"/>
    <cellStyle name="20% - Énfasis2 2 2 2 3 6" xfId="12692"/>
    <cellStyle name="20% - Énfasis2 2 2 2 3 7" xfId="52189"/>
    <cellStyle name="20% - Énfasis2 2 2 2 4" xfId="1492"/>
    <cellStyle name="20% - Énfasis2 2 2 2 4 2" xfId="4617"/>
    <cellStyle name="20% - Énfasis2 2 2 2 4 2 2" xfId="10820"/>
    <cellStyle name="20% - Énfasis2 2 2 2 4 2 3" xfId="17022"/>
    <cellStyle name="20% - Énfasis2 2 2 2 4 2 4" xfId="55900"/>
    <cellStyle name="20% - Énfasis2 2 2 2 4 3" xfId="7720"/>
    <cellStyle name="20% - Énfasis2 2 2 2 4 4" xfId="13922"/>
    <cellStyle name="20% - Énfasis2 2 2 2 4 5" xfId="53016"/>
    <cellStyle name="20% - Énfasis2 2 2 2 5" xfId="2332"/>
    <cellStyle name="20% - Énfasis2 2 2 2 5 2" xfId="5456"/>
    <cellStyle name="20% - Énfasis2 2 2 2 5 2 2" xfId="11659"/>
    <cellStyle name="20% - Énfasis2 2 2 2 5 2 3" xfId="17861"/>
    <cellStyle name="20% - Énfasis2 2 2 2 5 2 4" xfId="56689"/>
    <cellStyle name="20% - Énfasis2 2 2 2 5 3" xfId="8559"/>
    <cellStyle name="20% - Énfasis2 2 2 2 5 4" xfId="14761"/>
    <cellStyle name="20% - Énfasis2 2 2 2 5 5" xfId="53794"/>
    <cellStyle name="20% - Énfasis2 2 2 2 6" xfId="3384"/>
    <cellStyle name="20% - Énfasis2 2 2 2 6 2" xfId="9588"/>
    <cellStyle name="20% - Énfasis2 2 2 2 6 3" xfId="15790"/>
    <cellStyle name="20% - Énfasis2 2 2 2 6 4" xfId="54761"/>
    <cellStyle name="20% - Énfasis2 2 2 2 7" xfId="6487"/>
    <cellStyle name="20% - Énfasis2 2 2 2 7 2" xfId="19093"/>
    <cellStyle name="20% - Énfasis2 2 2 2 8" xfId="12689"/>
    <cellStyle name="20% - Énfasis2 2 2 2 9" xfId="52134"/>
    <cellStyle name="20% - Énfasis2 2 2 3" xfId="65"/>
    <cellStyle name="20% - Énfasis2 2 2 3 2" xfId="66"/>
    <cellStyle name="20% - Énfasis2 2 2 3 2 2" xfId="2133"/>
    <cellStyle name="20% - Énfasis2 2 2 3 2 2 2" xfId="5258"/>
    <cellStyle name="20% - Énfasis2 2 2 3 2 2 2 2" xfId="11461"/>
    <cellStyle name="20% - Énfasis2 2 2 3 2 2 2 3" xfId="17663"/>
    <cellStyle name="20% - Énfasis2 2 2 3 2 2 2 4" xfId="56503"/>
    <cellStyle name="20% - Énfasis2 2 2 3 2 2 3" xfId="8361"/>
    <cellStyle name="20% - Énfasis2 2 2 3 2 2 4" xfId="14563"/>
    <cellStyle name="20% - Énfasis2 2 2 3 2 2 5" xfId="53607"/>
    <cellStyle name="20% - Énfasis2 2 2 3 2 3" xfId="2337"/>
    <cellStyle name="20% - Énfasis2 2 2 3 2 3 2" xfId="5461"/>
    <cellStyle name="20% - Énfasis2 2 2 3 2 3 2 2" xfId="11664"/>
    <cellStyle name="20% - Énfasis2 2 2 3 2 3 2 3" xfId="17866"/>
    <cellStyle name="20% - Énfasis2 2 2 3 2 3 2 4" xfId="56694"/>
    <cellStyle name="20% - Énfasis2 2 2 3 2 3 3" xfId="8564"/>
    <cellStyle name="20% - Énfasis2 2 2 3 2 3 4" xfId="14766"/>
    <cellStyle name="20% - Énfasis2 2 2 3 2 3 5" xfId="53799"/>
    <cellStyle name="20% - Énfasis2 2 2 3 2 4" xfId="3389"/>
    <cellStyle name="20% - Énfasis2 2 2 3 2 4 2" xfId="9593"/>
    <cellStyle name="20% - Énfasis2 2 2 3 2 4 3" xfId="15795"/>
    <cellStyle name="20% - Énfasis2 2 2 3 2 4 4" xfId="54766"/>
    <cellStyle name="20% - Énfasis2 2 2 3 2 5" xfId="6492"/>
    <cellStyle name="20% - Énfasis2 2 2 3 2 5 2" xfId="19734"/>
    <cellStyle name="20% - Énfasis2 2 2 3 2 6" xfId="12694"/>
    <cellStyle name="20% - Énfasis2 2 2 3 2 7" xfId="52190"/>
    <cellStyle name="20% - Énfasis2 2 2 3 3" xfId="1609"/>
    <cellStyle name="20% - Énfasis2 2 2 3 3 2" xfId="4734"/>
    <cellStyle name="20% - Énfasis2 2 2 3 3 2 2" xfId="10937"/>
    <cellStyle name="20% - Énfasis2 2 2 3 3 2 3" xfId="17139"/>
    <cellStyle name="20% - Énfasis2 2 2 3 3 2 4" xfId="56011"/>
    <cellStyle name="20% - Énfasis2 2 2 3 3 3" xfId="7837"/>
    <cellStyle name="20% - Énfasis2 2 2 3 3 4" xfId="14039"/>
    <cellStyle name="20% - Énfasis2 2 2 3 3 5" xfId="53122"/>
    <cellStyle name="20% - Énfasis2 2 2 3 4" xfId="2336"/>
    <cellStyle name="20% - Énfasis2 2 2 3 4 2" xfId="5460"/>
    <cellStyle name="20% - Énfasis2 2 2 3 4 2 2" xfId="11663"/>
    <cellStyle name="20% - Énfasis2 2 2 3 4 2 3" xfId="17865"/>
    <cellStyle name="20% - Énfasis2 2 2 3 4 2 4" xfId="56693"/>
    <cellStyle name="20% - Énfasis2 2 2 3 4 3" xfId="8563"/>
    <cellStyle name="20% - Énfasis2 2 2 3 4 4" xfId="14765"/>
    <cellStyle name="20% - Énfasis2 2 2 3 4 5" xfId="53798"/>
    <cellStyle name="20% - Énfasis2 2 2 3 5" xfId="3388"/>
    <cellStyle name="20% - Énfasis2 2 2 3 5 2" xfId="9592"/>
    <cellStyle name="20% - Énfasis2 2 2 3 5 3" xfId="15794"/>
    <cellStyle name="20% - Énfasis2 2 2 3 5 4" xfId="54765"/>
    <cellStyle name="20% - Énfasis2 2 2 3 6" xfId="6491"/>
    <cellStyle name="20% - Énfasis2 2 2 3 6 2" xfId="19210"/>
    <cellStyle name="20% - Énfasis2 2 2 3 7" xfId="12693"/>
    <cellStyle name="20% - Énfasis2 2 2 3 8" xfId="52002"/>
    <cellStyle name="20% - Énfasis2 2 2 4" xfId="67"/>
    <cellStyle name="20% - Énfasis2 2 2 4 2" xfId="1874"/>
    <cellStyle name="20% - Énfasis2 2 2 4 2 2" xfId="4999"/>
    <cellStyle name="20% - Énfasis2 2 2 4 2 2 2" xfId="11202"/>
    <cellStyle name="20% - Énfasis2 2 2 4 2 2 3" xfId="17404"/>
    <cellStyle name="20% - Énfasis2 2 2 4 2 2 4" xfId="56261"/>
    <cellStyle name="20% - Énfasis2 2 2 4 2 3" xfId="8102"/>
    <cellStyle name="20% - Énfasis2 2 2 4 2 4" xfId="14304"/>
    <cellStyle name="20% - Énfasis2 2 2 4 2 5" xfId="53367"/>
    <cellStyle name="20% - Énfasis2 2 2 4 3" xfId="2338"/>
    <cellStyle name="20% - Énfasis2 2 2 4 3 2" xfId="5462"/>
    <cellStyle name="20% - Énfasis2 2 2 4 3 2 2" xfId="11665"/>
    <cellStyle name="20% - Énfasis2 2 2 4 3 2 3" xfId="17867"/>
    <cellStyle name="20% - Énfasis2 2 2 4 3 2 4" xfId="56695"/>
    <cellStyle name="20% - Énfasis2 2 2 4 3 3" xfId="8565"/>
    <cellStyle name="20% - Énfasis2 2 2 4 3 4" xfId="14767"/>
    <cellStyle name="20% - Énfasis2 2 2 4 3 5" xfId="53800"/>
    <cellStyle name="20% - Énfasis2 2 2 4 4" xfId="3390"/>
    <cellStyle name="20% - Énfasis2 2 2 4 4 2" xfId="9594"/>
    <cellStyle name="20% - Énfasis2 2 2 4 4 3" xfId="15796"/>
    <cellStyle name="20% - Énfasis2 2 2 4 4 4" xfId="54767"/>
    <cellStyle name="20% - Énfasis2 2 2 4 5" xfId="6493"/>
    <cellStyle name="20% - Énfasis2 2 2 4 5 2" xfId="19475"/>
    <cellStyle name="20% - Énfasis2 2 2 4 6" xfId="12695"/>
    <cellStyle name="20% - Énfasis2 2 2 4 7" xfId="52191"/>
    <cellStyle name="20% - Énfasis2 2 2 5" xfId="1350"/>
    <cellStyle name="20% - Énfasis2 2 2 5 2" xfId="4475"/>
    <cellStyle name="20% - Énfasis2 2 2 5 2 2" xfId="10678"/>
    <cellStyle name="20% - Énfasis2 2 2 5 2 3" xfId="16880"/>
    <cellStyle name="20% - Énfasis2 2 2 5 2 4" xfId="55765"/>
    <cellStyle name="20% - Énfasis2 2 2 5 3" xfId="7578"/>
    <cellStyle name="20% - Énfasis2 2 2 5 4" xfId="13780"/>
    <cellStyle name="20% - Énfasis2 2 2 5 5" xfId="52890"/>
    <cellStyle name="20% - Énfasis2 2 2 6" xfId="2331"/>
    <cellStyle name="20% - Énfasis2 2 2 6 2" xfId="5455"/>
    <cellStyle name="20% - Énfasis2 2 2 6 2 2" xfId="11658"/>
    <cellStyle name="20% - Énfasis2 2 2 6 2 3" xfId="17860"/>
    <cellStyle name="20% - Énfasis2 2 2 6 2 4" xfId="56688"/>
    <cellStyle name="20% - Énfasis2 2 2 6 3" xfId="8558"/>
    <cellStyle name="20% - Énfasis2 2 2 6 4" xfId="14760"/>
    <cellStyle name="20% - Énfasis2 2 2 6 5" xfId="53793"/>
    <cellStyle name="20% - Énfasis2 2 2 7" xfId="3383"/>
    <cellStyle name="20% - Énfasis2 2 2 7 2" xfId="9587"/>
    <cellStyle name="20% - Énfasis2 2 2 7 3" xfId="15789"/>
    <cellStyle name="20% - Énfasis2 2 2 7 4" xfId="54760"/>
    <cellStyle name="20% - Énfasis2 2 2 8" xfId="6486"/>
    <cellStyle name="20% - Énfasis2 2 2 8 2" xfId="18951"/>
    <cellStyle name="20% - Énfasis2 2 2 9" xfId="12688"/>
    <cellStyle name="20% - Énfasis2 2 3" xfId="68"/>
    <cellStyle name="20% - Énfasis2 2 3 2" xfId="69"/>
    <cellStyle name="20% - Énfasis2 2 3 2 2" xfId="70"/>
    <cellStyle name="20% - Énfasis2 2 3 2 2 2" xfId="2193"/>
    <cellStyle name="20% - Énfasis2 2 3 2 2 2 2" xfId="5318"/>
    <cellStyle name="20% - Énfasis2 2 3 2 2 2 2 2" xfId="11521"/>
    <cellStyle name="20% - Énfasis2 2 3 2 2 2 2 3" xfId="17723"/>
    <cellStyle name="20% - Énfasis2 2 3 2 2 2 2 4" xfId="56559"/>
    <cellStyle name="20% - Énfasis2 2 3 2 2 2 3" xfId="8421"/>
    <cellStyle name="20% - Énfasis2 2 3 2 2 2 4" xfId="14623"/>
    <cellStyle name="20% - Énfasis2 2 3 2 2 2 5" xfId="53663"/>
    <cellStyle name="20% - Énfasis2 2 3 2 2 3" xfId="2341"/>
    <cellStyle name="20% - Énfasis2 2 3 2 2 3 2" xfId="5465"/>
    <cellStyle name="20% - Énfasis2 2 3 2 2 3 2 2" xfId="11668"/>
    <cellStyle name="20% - Énfasis2 2 3 2 2 3 2 3" xfId="17870"/>
    <cellStyle name="20% - Énfasis2 2 3 2 2 3 2 4" xfId="56698"/>
    <cellStyle name="20% - Énfasis2 2 3 2 2 3 3" xfId="8568"/>
    <cellStyle name="20% - Énfasis2 2 3 2 2 3 4" xfId="14770"/>
    <cellStyle name="20% - Énfasis2 2 3 2 2 3 5" xfId="53803"/>
    <cellStyle name="20% - Énfasis2 2 3 2 2 4" xfId="3393"/>
    <cellStyle name="20% - Énfasis2 2 3 2 2 4 2" xfId="9597"/>
    <cellStyle name="20% - Énfasis2 2 3 2 2 4 3" xfId="15799"/>
    <cellStyle name="20% - Énfasis2 2 3 2 2 4 4" xfId="54770"/>
    <cellStyle name="20% - Énfasis2 2 3 2 2 5" xfId="6496"/>
    <cellStyle name="20% - Énfasis2 2 3 2 2 5 2" xfId="19794"/>
    <cellStyle name="20% - Énfasis2 2 3 2 2 6" xfId="12698"/>
    <cellStyle name="20% - Énfasis2 2 3 2 2 7" xfId="52193"/>
    <cellStyle name="20% - Énfasis2 2 3 2 3" xfId="1669"/>
    <cellStyle name="20% - Énfasis2 2 3 2 3 2" xfId="4794"/>
    <cellStyle name="20% - Énfasis2 2 3 2 3 2 2" xfId="10997"/>
    <cellStyle name="20% - Énfasis2 2 3 2 3 2 3" xfId="17199"/>
    <cellStyle name="20% - Énfasis2 2 3 2 3 2 4" xfId="56068"/>
    <cellStyle name="20% - Énfasis2 2 3 2 3 3" xfId="7897"/>
    <cellStyle name="20% - Énfasis2 2 3 2 3 4" xfId="14099"/>
    <cellStyle name="20% - Énfasis2 2 3 2 3 5" xfId="53178"/>
    <cellStyle name="20% - Énfasis2 2 3 2 4" xfId="2340"/>
    <cellStyle name="20% - Énfasis2 2 3 2 4 2" xfId="5464"/>
    <cellStyle name="20% - Énfasis2 2 3 2 4 2 2" xfId="11667"/>
    <cellStyle name="20% - Énfasis2 2 3 2 4 2 3" xfId="17869"/>
    <cellStyle name="20% - Énfasis2 2 3 2 4 2 4" xfId="56697"/>
    <cellStyle name="20% - Énfasis2 2 3 2 4 3" xfId="8567"/>
    <cellStyle name="20% - Énfasis2 2 3 2 4 4" xfId="14769"/>
    <cellStyle name="20% - Énfasis2 2 3 2 4 5" xfId="53802"/>
    <cellStyle name="20% - Énfasis2 2 3 2 5" xfId="3392"/>
    <cellStyle name="20% - Énfasis2 2 3 2 5 2" xfId="9596"/>
    <cellStyle name="20% - Énfasis2 2 3 2 5 3" xfId="15798"/>
    <cellStyle name="20% - Énfasis2 2 3 2 5 4" xfId="54769"/>
    <cellStyle name="20% - Énfasis2 2 3 2 6" xfId="6495"/>
    <cellStyle name="20% - Énfasis2 2 3 2 6 2" xfId="19270"/>
    <cellStyle name="20% - Énfasis2 2 3 2 7" xfId="12697"/>
    <cellStyle name="20% - Énfasis2 2 3 2 8" xfId="52192"/>
    <cellStyle name="20% - Énfasis2 2 3 3" xfId="71"/>
    <cellStyle name="20% - Énfasis2 2 3 3 2" xfId="1948"/>
    <cellStyle name="20% - Énfasis2 2 3 3 2 2" xfId="5073"/>
    <cellStyle name="20% - Énfasis2 2 3 3 2 2 2" xfId="11276"/>
    <cellStyle name="20% - Énfasis2 2 3 3 2 2 3" xfId="17478"/>
    <cellStyle name="20% - Énfasis2 2 3 3 2 2 4" xfId="56332"/>
    <cellStyle name="20% - Énfasis2 2 3 3 2 3" xfId="8176"/>
    <cellStyle name="20% - Énfasis2 2 3 3 2 4" xfId="14378"/>
    <cellStyle name="20% - Énfasis2 2 3 3 2 5" xfId="53438"/>
    <cellStyle name="20% - Énfasis2 2 3 3 3" xfId="2342"/>
    <cellStyle name="20% - Énfasis2 2 3 3 3 2" xfId="5466"/>
    <cellStyle name="20% - Énfasis2 2 3 3 3 2 2" xfId="11669"/>
    <cellStyle name="20% - Énfasis2 2 3 3 3 2 3" xfId="17871"/>
    <cellStyle name="20% - Énfasis2 2 3 3 3 2 4" xfId="56699"/>
    <cellStyle name="20% - Énfasis2 2 3 3 3 3" xfId="8569"/>
    <cellStyle name="20% - Énfasis2 2 3 3 3 4" xfId="14771"/>
    <cellStyle name="20% - Énfasis2 2 3 3 3 5" xfId="53804"/>
    <cellStyle name="20% - Énfasis2 2 3 3 4" xfId="3394"/>
    <cellStyle name="20% - Énfasis2 2 3 3 4 2" xfId="9598"/>
    <cellStyle name="20% - Énfasis2 2 3 3 4 3" xfId="15800"/>
    <cellStyle name="20% - Énfasis2 2 3 3 4 4" xfId="54771"/>
    <cellStyle name="20% - Énfasis2 2 3 3 5" xfId="6497"/>
    <cellStyle name="20% - Énfasis2 2 3 3 5 2" xfId="19549"/>
    <cellStyle name="20% - Énfasis2 2 3 3 6" xfId="12699"/>
    <cellStyle name="20% - Énfasis2 2 3 3 7" xfId="52194"/>
    <cellStyle name="20% - Énfasis2 2 3 4" xfId="1424"/>
    <cellStyle name="20% - Énfasis2 2 3 4 2" xfId="4549"/>
    <cellStyle name="20% - Énfasis2 2 3 4 2 2" xfId="10752"/>
    <cellStyle name="20% - Énfasis2 2 3 4 2 3" xfId="16954"/>
    <cellStyle name="20% - Énfasis2 2 3 4 2 4" xfId="55836"/>
    <cellStyle name="20% - Énfasis2 2 3 4 3" xfId="7652"/>
    <cellStyle name="20% - Énfasis2 2 3 4 4" xfId="13854"/>
    <cellStyle name="20% - Énfasis2 2 3 4 5" xfId="52954"/>
    <cellStyle name="20% - Énfasis2 2 3 5" xfId="2339"/>
    <cellStyle name="20% - Énfasis2 2 3 5 2" xfId="5463"/>
    <cellStyle name="20% - Énfasis2 2 3 5 2 2" xfId="11666"/>
    <cellStyle name="20% - Énfasis2 2 3 5 2 3" xfId="17868"/>
    <cellStyle name="20% - Énfasis2 2 3 5 2 4" xfId="56696"/>
    <cellStyle name="20% - Énfasis2 2 3 5 3" xfId="8566"/>
    <cellStyle name="20% - Énfasis2 2 3 5 4" xfId="14768"/>
    <cellStyle name="20% - Énfasis2 2 3 5 5" xfId="53801"/>
    <cellStyle name="20% - Énfasis2 2 3 6" xfId="3391"/>
    <cellStyle name="20% - Énfasis2 2 3 6 2" xfId="9595"/>
    <cellStyle name="20% - Énfasis2 2 3 6 3" xfId="15797"/>
    <cellStyle name="20% - Énfasis2 2 3 6 4" xfId="54768"/>
    <cellStyle name="20% - Énfasis2 2 3 7" xfId="6494"/>
    <cellStyle name="20% - Énfasis2 2 3 7 2" xfId="19025"/>
    <cellStyle name="20% - Énfasis2 2 3 8" xfId="12696"/>
    <cellStyle name="20% - Énfasis2 2 3 9" xfId="52071"/>
    <cellStyle name="20% - Énfasis2 2 4" xfId="72"/>
    <cellStyle name="20% - Énfasis2 2 4 2" xfId="73"/>
    <cellStyle name="20% - Énfasis2 2 4 2 2" xfId="2047"/>
    <cellStyle name="20% - Énfasis2 2 4 2 2 2" xfId="5172"/>
    <cellStyle name="20% - Énfasis2 2 4 2 2 2 2" xfId="11375"/>
    <cellStyle name="20% - Énfasis2 2 4 2 2 2 3" xfId="17577"/>
    <cellStyle name="20% - Énfasis2 2 4 2 2 2 4" xfId="56424"/>
    <cellStyle name="20% - Énfasis2 2 4 2 2 3" xfId="8275"/>
    <cellStyle name="20% - Énfasis2 2 4 2 2 4" xfId="14477"/>
    <cellStyle name="20% - Énfasis2 2 4 2 2 5" xfId="53528"/>
    <cellStyle name="20% - Énfasis2 2 4 2 3" xfId="2344"/>
    <cellStyle name="20% - Énfasis2 2 4 2 3 2" xfId="5468"/>
    <cellStyle name="20% - Énfasis2 2 4 2 3 2 2" xfId="11671"/>
    <cellStyle name="20% - Énfasis2 2 4 2 3 2 3" xfId="17873"/>
    <cellStyle name="20% - Énfasis2 2 4 2 3 2 4" xfId="56701"/>
    <cellStyle name="20% - Énfasis2 2 4 2 3 3" xfId="8571"/>
    <cellStyle name="20% - Énfasis2 2 4 2 3 4" xfId="14773"/>
    <cellStyle name="20% - Énfasis2 2 4 2 3 5" xfId="53806"/>
    <cellStyle name="20% - Énfasis2 2 4 2 4" xfId="3396"/>
    <cellStyle name="20% - Énfasis2 2 4 2 4 2" xfId="9600"/>
    <cellStyle name="20% - Énfasis2 2 4 2 4 3" xfId="15802"/>
    <cellStyle name="20% - Énfasis2 2 4 2 4 4" xfId="54773"/>
    <cellStyle name="20% - Énfasis2 2 4 2 5" xfId="6499"/>
    <cellStyle name="20% - Énfasis2 2 4 2 5 2" xfId="19648"/>
    <cellStyle name="20% - Énfasis2 2 4 2 6" xfId="12701"/>
    <cellStyle name="20% - Énfasis2 2 4 2 7" xfId="52195"/>
    <cellStyle name="20% - Énfasis2 2 4 3" xfId="1523"/>
    <cellStyle name="20% - Énfasis2 2 4 3 2" xfId="4648"/>
    <cellStyle name="20% - Énfasis2 2 4 3 2 2" xfId="10851"/>
    <cellStyle name="20% - Énfasis2 2 4 3 2 3" xfId="17053"/>
    <cellStyle name="20% - Énfasis2 2 4 3 2 4" xfId="55929"/>
    <cellStyle name="20% - Énfasis2 2 4 3 3" xfId="7751"/>
    <cellStyle name="20% - Énfasis2 2 4 3 4" xfId="13953"/>
    <cellStyle name="20% - Énfasis2 2 4 3 5" xfId="53044"/>
    <cellStyle name="20% - Énfasis2 2 4 4" xfId="2343"/>
    <cellStyle name="20% - Énfasis2 2 4 4 2" xfId="5467"/>
    <cellStyle name="20% - Énfasis2 2 4 4 2 2" xfId="11670"/>
    <cellStyle name="20% - Énfasis2 2 4 4 2 3" xfId="17872"/>
    <cellStyle name="20% - Énfasis2 2 4 4 2 4" xfId="56700"/>
    <cellStyle name="20% - Énfasis2 2 4 4 3" xfId="8570"/>
    <cellStyle name="20% - Énfasis2 2 4 4 4" xfId="14772"/>
    <cellStyle name="20% - Énfasis2 2 4 4 5" xfId="53805"/>
    <cellStyle name="20% - Énfasis2 2 4 5" xfId="3395"/>
    <cellStyle name="20% - Énfasis2 2 4 5 2" xfId="9599"/>
    <cellStyle name="20% - Énfasis2 2 4 5 3" xfId="15801"/>
    <cellStyle name="20% - Énfasis2 2 4 5 4" xfId="54772"/>
    <cellStyle name="20% - Énfasis2 2 4 6" xfId="6498"/>
    <cellStyle name="20% - Énfasis2 2 4 6 2" xfId="19124"/>
    <cellStyle name="20% - Énfasis2 2 4 7" xfId="12700"/>
    <cellStyle name="20% - Énfasis2 2 4 8" xfId="51933"/>
    <cellStyle name="20% - Énfasis2 2 5" xfId="74"/>
    <cellStyle name="20% - Énfasis2 2 5 2" xfId="1776"/>
    <cellStyle name="20% - Énfasis2 2 5 2 2" xfId="4901"/>
    <cellStyle name="20% - Énfasis2 2 5 2 2 2" xfId="11104"/>
    <cellStyle name="20% - Énfasis2 2 5 2 2 3" xfId="17306"/>
    <cellStyle name="20% - Énfasis2 2 5 2 2 4" xfId="56170"/>
    <cellStyle name="20% - Énfasis2 2 5 2 3" xfId="8004"/>
    <cellStyle name="20% - Énfasis2 2 5 2 4" xfId="14206"/>
    <cellStyle name="20% - Énfasis2 2 5 2 5" xfId="53277"/>
    <cellStyle name="20% - Énfasis2 2 5 3" xfId="2345"/>
    <cellStyle name="20% - Énfasis2 2 5 3 2" xfId="5469"/>
    <cellStyle name="20% - Énfasis2 2 5 3 2 2" xfId="11672"/>
    <cellStyle name="20% - Énfasis2 2 5 3 2 3" xfId="17874"/>
    <cellStyle name="20% - Énfasis2 2 5 3 2 4" xfId="56702"/>
    <cellStyle name="20% - Énfasis2 2 5 3 3" xfId="8572"/>
    <cellStyle name="20% - Énfasis2 2 5 3 4" xfId="14774"/>
    <cellStyle name="20% - Énfasis2 2 5 3 5" xfId="53807"/>
    <cellStyle name="20% - Énfasis2 2 5 4" xfId="3397"/>
    <cellStyle name="20% - Énfasis2 2 5 4 2" xfId="9601"/>
    <cellStyle name="20% - Énfasis2 2 5 4 3" xfId="15803"/>
    <cellStyle name="20% - Énfasis2 2 5 4 4" xfId="54774"/>
    <cellStyle name="20% - Énfasis2 2 5 5" xfId="6500"/>
    <cellStyle name="20% - Énfasis2 2 5 5 2" xfId="19377"/>
    <cellStyle name="20% - Énfasis2 2 5 6" xfId="12702"/>
    <cellStyle name="20% - Énfasis2 2 5 7" xfId="52196"/>
    <cellStyle name="20% - Énfasis2 2 6" xfId="1282"/>
    <cellStyle name="20% - Énfasis2 2 6 2" xfId="4407"/>
    <cellStyle name="20% - Énfasis2 2 6 2 2" xfId="10610"/>
    <cellStyle name="20% - Énfasis2 2 6 2 3" xfId="16812"/>
    <cellStyle name="20% - Énfasis2 2 6 2 4" xfId="55700"/>
    <cellStyle name="20% - Énfasis2 2 6 3" xfId="7510"/>
    <cellStyle name="20% - Énfasis2 2 6 4" xfId="13712"/>
    <cellStyle name="20% - Énfasis2 2 6 5" xfId="52829"/>
    <cellStyle name="20% - Énfasis2 2 7" xfId="2330"/>
    <cellStyle name="20% - Énfasis2 2 7 2" xfId="5454"/>
    <cellStyle name="20% - Énfasis2 2 7 2 2" xfId="11657"/>
    <cellStyle name="20% - Énfasis2 2 7 2 3" xfId="17859"/>
    <cellStyle name="20% - Énfasis2 2 7 2 4" xfId="56687"/>
    <cellStyle name="20% - Énfasis2 2 7 3" xfId="8557"/>
    <cellStyle name="20% - Énfasis2 2 7 4" xfId="14759"/>
    <cellStyle name="20% - Énfasis2 2 7 5" xfId="53792"/>
    <cellStyle name="20% - Énfasis2 2 8" xfId="3382"/>
    <cellStyle name="20% - Énfasis2 2 8 2" xfId="9586"/>
    <cellStyle name="20% - Énfasis2 2 8 3" xfId="15788"/>
    <cellStyle name="20% - Énfasis2 2 8 4" xfId="54759"/>
    <cellStyle name="20% - Énfasis2 2 9" xfId="6485"/>
    <cellStyle name="20% - Énfasis2 2 9 2" xfId="18883"/>
    <cellStyle name="20% - Énfasis2 3" xfId="75"/>
    <cellStyle name="20% - Énfasis2 3 10" xfId="20775"/>
    <cellStyle name="20% - Énfasis2 3 2" xfId="76"/>
    <cellStyle name="20% - Énfasis2 3 2 2" xfId="77"/>
    <cellStyle name="20% - Énfasis2 3 2 2 2" xfId="78"/>
    <cellStyle name="20% - Énfasis2 3 2 2 2 2" xfId="2233"/>
    <cellStyle name="20% - Énfasis2 3 2 2 2 2 2" xfId="5358"/>
    <cellStyle name="20% - Énfasis2 3 2 2 2 2 2 2" xfId="11561"/>
    <cellStyle name="20% - Énfasis2 3 2 2 2 2 2 3" xfId="17763"/>
    <cellStyle name="20% - Énfasis2 3 2 2 2 2 2 4" xfId="56597"/>
    <cellStyle name="20% - Énfasis2 3 2 2 2 2 3" xfId="8461"/>
    <cellStyle name="20% - Énfasis2 3 2 2 2 2 4" xfId="14663"/>
    <cellStyle name="20% - Énfasis2 3 2 2 2 2 5" xfId="53701"/>
    <cellStyle name="20% - Énfasis2 3 2 2 2 3" xfId="2349"/>
    <cellStyle name="20% - Énfasis2 3 2 2 2 3 2" xfId="5473"/>
    <cellStyle name="20% - Énfasis2 3 2 2 2 3 2 2" xfId="11676"/>
    <cellStyle name="20% - Énfasis2 3 2 2 2 3 2 3" xfId="17878"/>
    <cellStyle name="20% - Énfasis2 3 2 2 2 3 2 4" xfId="56706"/>
    <cellStyle name="20% - Énfasis2 3 2 2 2 3 3" xfId="8576"/>
    <cellStyle name="20% - Énfasis2 3 2 2 2 3 4" xfId="14778"/>
    <cellStyle name="20% - Énfasis2 3 2 2 2 3 5" xfId="53811"/>
    <cellStyle name="20% - Énfasis2 3 2 2 2 4" xfId="3401"/>
    <cellStyle name="20% - Énfasis2 3 2 2 2 4 2" xfId="9605"/>
    <cellStyle name="20% - Énfasis2 3 2 2 2 4 3" xfId="15807"/>
    <cellStyle name="20% - Énfasis2 3 2 2 2 4 4" xfId="54778"/>
    <cellStyle name="20% - Énfasis2 3 2 2 2 5" xfId="6504"/>
    <cellStyle name="20% - Énfasis2 3 2 2 2 5 2" xfId="19834"/>
    <cellStyle name="20% - Énfasis2 3 2 2 2 6" xfId="12706"/>
    <cellStyle name="20% - Énfasis2 3 2 2 2 7" xfId="52197"/>
    <cellStyle name="20% - Énfasis2 3 2 2 3" xfId="1709"/>
    <cellStyle name="20% - Énfasis2 3 2 2 3 2" xfId="4834"/>
    <cellStyle name="20% - Énfasis2 3 2 2 3 2 2" xfId="11037"/>
    <cellStyle name="20% - Énfasis2 3 2 2 3 2 3" xfId="17239"/>
    <cellStyle name="20% - Énfasis2 3 2 2 3 2 4" xfId="56106"/>
    <cellStyle name="20% - Énfasis2 3 2 2 3 3" xfId="7937"/>
    <cellStyle name="20% - Énfasis2 3 2 2 3 4" xfId="14139"/>
    <cellStyle name="20% - Énfasis2 3 2 2 3 5" xfId="53216"/>
    <cellStyle name="20% - Énfasis2 3 2 2 4" xfId="2348"/>
    <cellStyle name="20% - Énfasis2 3 2 2 4 2" xfId="5472"/>
    <cellStyle name="20% - Énfasis2 3 2 2 4 2 2" xfId="11675"/>
    <cellStyle name="20% - Énfasis2 3 2 2 4 2 3" xfId="17877"/>
    <cellStyle name="20% - Énfasis2 3 2 2 4 2 4" xfId="56705"/>
    <cellStyle name="20% - Énfasis2 3 2 2 4 3" xfId="8575"/>
    <cellStyle name="20% - Énfasis2 3 2 2 4 4" xfId="14777"/>
    <cellStyle name="20% - Énfasis2 3 2 2 4 5" xfId="53810"/>
    <cellStyle name="20% - Énfasis2 3 2 2 5" xfId="3400"/>
    <cellStyle name="20% - Énfasis2 3 2 2 5 2" xfId="9604"/>
    <cellStyle name="20% - Énfasis2 3 2 2 5 3" xfId="15806"/>
    <cellStyle name="20% - Énfasis2 3 2 2 5 4" xfId="54777"/>
    <cellStyle name="20% - Énfasis2 3 2 2 6" xfId="6503"/>
    <cellStyle name="20% - Énfasis2 3 2 2 6 2" xfId="19310"/>
    <cellStyle name="20% - Énfasis2 3 2 2 7" xfId="12705"/>
    <cellStyle name="20% - Énfasis2 3 2 2 8" xfId="52111"/>
    <cellStyle name="20% - Énfasis2 3 2 3" xfId="79"/>
    <cellStyle name="20% - Énfasis2 3 2 3 2" xfId="1988"/>
    <cellStyle name="20% - Énfasis2 3 2 3 2 2" xfId="5113"/>
    <cellStyle name="20% - Énfasis2 3 2 3 2 2 2" xfId="11316"/>
    <cellStyle name="20% - Énfasis2 3 2 3 2 2 3" xfId="17518"/>
    <cellStyle name="20% - Énfasis2 3 2 3 2 2 4" xfId="56370"/>
    <cellStyle name="20% - Énfasis2 3 2 3 2 3" xfId="8216"/>
    <cellStyle name="20% - Énfasis2 3 2 3 2 4" xfId="14418"/>
    <cellStyle name="20% - Énfasis2 3 2 3 2 5" xfId="53476"/>
    <cellStyle name="20% - Énfasis2 3 2 3 3" xfId="2350"/>
    <cellStyle name="20% - Énfasis2 3 2 3 3 2" xfId="5474"/>
    <cellStyle name="20% - Énfasis2 3 2 3 3 2 2" xfId="11677"/>
    <cellStyle name="20% - Énfasis2 3 2 3 3 2 3" xfId="17879"/>
    <cellStyle name="20% - Énfasis2 3 2 3 3 2 4" xfId="56707"/>
    <cellStyle name="20% - Énfasis2 3 2 3 3 3" xfId="8577"/>
    <cellStyle name="20% - Énfasis2 3 2 3 3 4" xfId="14779"/>
    <cellStyle name="20% - Énfasis2 3 2 3 3 5" xfId="53812"/>
    <cellStyle name="20% - Énfasis2 3 2 3 4" xfId="3402"/>
    <cellStyle name="20% - Énfasis2 3 2 3 4 2" xfId="9606"/>
    <cellStyle name="20% - Énfasis2 3 2 3 4 3" xfId="15808"/>
    <cellStyle name="20% - Énfasis2 3 2 3 4 4" xfId="54779"/>
    <cellStyle name="20% - Énfasis2 3 2 3 5" xfId="6505"/>
    <cellStyle name="20% - Énfasis2 3 2 3 5 2" xfId="19589"/>
    <cellStyle name="20% - Énfasis2 3 2 3 6" xfId="12707"/>
    <cellStyle name="20% - Énfasis2 3 2 3 7" xfId="52198"/>
    <cellStyle name="20% - Énfasis2 3 2 4" xfId="1464"/>
    <cellStyle name="20% - Énfasis2 3 2 4 2" xfId="4589"/>
    <cellStyle name="20% - Énfasis2 3 2 4 2 2" xfId="10792"/>
    <cellStyle name="20% - Énfasis2 3 2 4 2 3" xfId="16994"/>
    <cellStyle name="20% - Énfasis2 3 2 4 2 4" xfId="55874"/>
    <cellStyle name="20% - Énfasis2 3 2 4 3" xfId="7692"/>
    <cellStyle name="20% - Énfasis2 3 2 4 4" xfId="13894"/>
    <cellStyle name="20% - Énfasis2 3 2 4 5" xfId="52992"/>
    <cellStyle name="20% - Énfasis2 3 2 5" xfId="2347"/>
    <cellStyle name="20% - Énfasis2 3 2 5 2" xfId="5471"/>
    <cellStyle name="20% - Énfasis2 3 2 5 2 2" xfId="11674"/>
    <cellStyle name="20% - Énfasis2 3 2 5 2 3" xfId="17876"/>
    <cellStyle name="20% - Énfasis2 3 2 5 2 4" xfId="56704"/>
    <cellStyle name="20% - Énfasis2 3 2 5 3" xfId="8574"/>
    <cellStyle name="20% - Énfasis2 3 2 5 4" xfId="14776"/>
    <cellStyle name="20% - Énfasis2 3 2 5 5" xfId="53809"/>
    <cellStyle name="20% - Énfasis2 3 2 6" xfId="3399"/>
    <cellStyle name="20% - Énfasis2 3 2 6 2" xfId="9603"/>
    <cellStyle name="20% - Énfasis2 3 2 6 3" xfId="15805"/>
    <cellStyle name="20% - Énfasis2 3 2 6 4" xfId="54776"/>
    <cellStyle name="20% - Énfasis2 3 2 7" xfId="6502"/>
    <cellStyle name="20% - Énfasis2 3 2 7 2" xfId="19065"/>
    <cellStyle name="20% - Énfasis2 3 2 8" xfId="12704"/>
    <cellStyle name="20% - Énfasis2 3 2 9" xfId="20776"/>
    <cellStyle name="20% - Énfasis2 3 3" xfId="80"/>
    <cellStyle name="20% - Énfasis2 3 3 2" xfId="81"/>
    <cellStyle name="20% - Énfasis2 3 3 2 2" xfId="2105"/>
    <cellStyle name="20% - Énfasis2 3 3 2 2 2" xfId="5230"/>
    <cellStyle name="20% - Énfasis2 3 3 2 2 2 2" xfId="11433"/>
    <cellStyle name="20% - Énfasis2 3 3 2 2 2 3" xfId="17635"/>
    <cellStyle name="20% - Énfasis2 3 3 2 2 2 4" xfId="56478"/>
    <cellStyle name="20% - Énfasis2 3 3 2 2 3" xfId="8333"/>
    <cellStyle name="20% - Énfasis2 3 3 2 2 4" xfId="14535"/>
    <cellStyle name="20% - Énfasis2 3 3 2 2 5" xfId="53582"/>
    <cellStyle name="20% - Énfasis2 3 3 2 3" xfId="2352"/>
    <cellStyle name="20% - Énfasis2 3 3 2 3 2" xfId="5476"/>
    <cellStyle name="20% - Énfasis2 3 3 2 3 2 2" xfId="11679"/>
    <cellStyle name="20% - Énfasis2 3 3 2 3 2 3" xfId="17881"/>
    <cellStyle name="20% - Énfasis2 3 3 2 3 2 4" xfId="56709"/>
    <cellStyle name="20% - Énfasis2 3 3 2 3 3" xfId="8579"/>
    <cellStyle name="20% - Énfasis2 3 3 2 3 4" xfId="14781"/>
    <cellStyle name="20% - Énfasis2 3 3 2 3 5" xfId="53814"/>
    <cellStyle name="20% - Énfasis2 3 3 2 4" xfId="3404"/>
    <cellStyle name="20% - Énfasis2 3 3 2 4 2" xfId="9608"/>
    <cellStyle name="20% - Énfasis2 3 3 2 4 3" xfId="15810"/>
    <cellStyle name="20% - Énfasis2 3 3 2 4 4" xfId="54781"/>
    <cellStyle name="20% - Énfasis2 3 3 2 5" xfId="6507"/>
    <cellStyle name="20% - Énfasis2 3 3 2 5 2" xfId="19706"/>
    <cellStyle name="20% - Énfasis2 3 3 2 6" xfId="12709"/>
    <cellStyle name="20% - Énfasis2 3 3 2 7" xfId="52199"/>
    <cellStyle name="20% - Énfasis2 3 3 3" xfId="1581"/>
    <cellStyle name="20% - Énfasis2 3 3 3 2" xfId="4706"/>
    <cellStyle name="20% - Énfasis2 3 3 3 2 2" xfId="10909"/>
    <cellStyle name="20% - Énfasis2 3 3 3 2 3" xfId="17111"/>
    <cellStyle name="20% - Énfasis2 3 3 3 2 4" xfId="55984"/>
    <cellStyle name="20% - Énfasis2 3 3 3 3" xfId="7809"/>
    <cellStyle name="20% - Énfasis2 3 3 3 4" xfId="14011"/>
    <cellStyle name="20% - Énfasis2 3 3 3 5" xfId="53097"/>
    <cellStyle name="20% - Énfasis2 3 3 4" xfId="2351"/>
    <cellStyle name="20% - Énfasis2 3 3 4 2" xfId="5475"/>
    <cellStyle name="20% - Énfasis2 3 3 4 2 2" xfId="11678"/>
    <cellStyle name="20% - Énfasis2 3 3 4 2 3" xfId="17880"/>
    <cellStyle name="20% - Énfasis2 3 3 4 2 4" xfId="56708"/>
    <cellStyle name="20% - Énfasis2 3 3 4 3" xfId="8578"/>
    <cellStyle name="20% - Énfasis2 3 3 4 4" xfId="14780"/>
    <cellStyle name="20% - Énfasis2 3 3 4 5" xfId="53813"/>
    <cellStyle name="20% - Énfasis2 3 3 5" xfId="3403"/>
    <cellStyle name="20% - Énfasis2 3 3 5 2" xfId="9607"/>
    <cellStyle name="20% - Énfasis2 3 3 5 3" xfId="15809"/>
    <cellStyle name="20% - Énfasis2 3 3 5 4" xfId="54780"/>
    <cellStyle name="20% - Énfasis2 3 3 6" xfId="6506"/>
    <cellStyle name="20% - Énfasis2 3 3 6 2" xfId="19182"/>
    <cellStyle name="20% - Énfasis2 3 3 7" xfId="12708"/>
    <cellStyle name="20% - Énfasis2 3 3 8" xfId="51980"/>
    <cellStyle name="20% - Énfasis2 3 4" xfId="82"/>
    <cellStyle name="20% - Énfasis2 3 4 2" xfId="1846"/>
    <cellStyle name="20% - Énfasis2 3 4 2 2" xfId="4971"/>
    <cellStyle name="20% - Énfasis2 3 4 2 2 2" xfId="11174"/>
    <cellStyle name="20% - Énfasis2 3 4 2 2 3" xfId="17376"/>
    <cellStyle name="20% - Énfasis2 3 4 2 2 4" xfId="56235"/>
    <cellStyle name="20% - Énfasis2 3 4 2 3" xfId="8074"/>
    <cellStyle name="20% - Énfasis2 3 4 2 4" xfId="14276"/>
    <cellStyle name="20% - Énfasis2 3 4 2 5" xfId="53341"/>
    <cellStyle name="20% - Énfasis2 3 4 3" xfId="2353"/>
    <cellStyle name="20% - Énfasis2 3 4 3 2" xfId="5477"/>
    <cellStyle name="20% - Énfasis2 3 4 3 2 2" xfId="11680"/>
    <cellStyle name="20% - Énfasis2 3 4 3 2 3" xfId="17882"/>
    <cellStyle name="20% - Énfasis2 3 4 3 2 4" xfId="56710"/>
    <cellStyle name="20% - Énfasis2 3 4 3 3" xfId="8580"/>
    <cellStyle name="20% - Énfasis2 3 4 3 4" xfId="14782"/>
    <cellStyle name="20% - Énfasis2 3 4 3 5" xfId="53815"/>
    <cellStyle name="20% - Énfasis2 3 4 4" xfId="3405"/>
    <cellStyle name="20% - Énfasis2 3 4 4 2" xfId="9609"/>
    <cellStyle name="20% - Énfasis2 3 4 4 3" xfId="15811"/>
    <cellStyle name="20% - Énfasis2 3 4 4 4" xfId="54782"/>
    <cellStyle name="20% - Énfasis2 3 4 5" xfId="6508"/>
    <cellStyle name="20% - Énfasis2 3 4 5 2" xfId="19447"/>
    <cellStyle name="20% - Énfasis2 3 4 6" xfId="12710"/>
    <cellStyle name="20% - Énfasis2 3 4 7" xfId="52200"/>
    <cellStyle name="20% - Énfasis2 3 5" xfId="1322"/>
    <cellStyle name="20% - Énfasis2 3 5 2" xfId="4447"/>
    <cellStyle name="20% - Énfasis2 3 5 2 2" xfId="10650"/>
    <cellStyle name="20% - Énfasis2 3 5 2 3" xfId="16852"/>
    <cellStyle name="20% - Énfasis2 3 5 2 4" xfId="55738"/>
    <cellStyle name="20% - Énfasis2 3 5 3" xfId="7550"/>
    <cellStyle name="20% - Énfasis2 3 5 4" xfId="13752"/>
    <cellStyle name="20% - Énfasis2 3 5 5" xfId="52866"/>
    <cellStyle name="20% - Énfasis2 3 6" xfId="2346"/>
    <cellStyle name="20% - Énfasis2 3 6 2" xfId="5470"/>
    <cellStyle name="20% - Énfasis2 3 6 2 2" xfId="11673"/>
    <cellStyle name="20% - Énfasis2 3 6 2 3" xfId="17875"/>
    <cellStyle name="20% - Énfasis2 3 6 2 4" xfId="56703"/>
    <cellStyle name="20% - Énfasis2 3 6 3" xfId="8573"/>
    <cellStyle name="20% - Énfasis2 3 6 4" xfId="14775"/>
    <cellStyle name="20% - Énfasis2 3 6 5" xfId="53808"/>
    <cellStyle name="20% - Énfasis2 3 7" xfId="3398"/>
    <cellStyle name="20% - Énfasis2 3 7 2" xfId="9602"/>
    <cellStyle name="20% - Énfasis2 3 7 3" xfId="15804"/>
    <cellStyle name="20% - Énfasis2 3 7 4" xfId="54775"/>
    <cellStyle name="20% - Énfasis2 3 8" xfId="6501"/>
    <cellStyle name="20% - Énfasis2 3 8 2" xfId="18923"/>
    <cellStyle name="20% - Énfasis2 3 9" xfId="12703"/>
    <cellStyle name="20% - Énfasis2 4" xfId="83"/>
    <cellStyle name="20% - Énfasis2 4 2" xfId="84"/>
    <cellStyle name="20% - Énfasis2 4 2 2" xfId="85"/>
    <cellStyle name="20% - Énfasis2 4 2 2 2" xfId="2165"/>
    <cellStyle name="20% - Énfasis2 4 2 2 2 2" xfId="5290"/>
    <cellStyle name="20% - Énfasis2 4 2 2 2 2 2" xfId="11493"/>
    <cellStyle name="20% - Énfasis2 4 2 2 2 2 3" xfId="17695"/>
    <cellStyle name="20% - Énfasis2 4 2 2 2 2 4" xfId="56533"/>
    <cellStyle name="20% - Énfasis2 4 2 2 2 3" xfId="8393"/>
    <cellStyle name="20% - Énfasis2 4 2 2 2 4" xfId="14595"/>
    <cellStyle name="20% - Énfasis2 4 2 2 2 5" xfId="53637"/>
    <cellStyle name="20% - Énfasis2 4 2 2 3" xfId="2356"/>
    <cellStyle name="20% - Énfasis2 4 2 2 3 2" xfId="5480"/>
    <cellStyle name="20% - Énfasis2 4 2 2 3 2 2" xfId="11683"/>
    <cellStyle name="20% - Énfasis2 4 2 2 3 2 3" xfId="17885"/>
    <cellStyle name="20% - Énfasis2 4 2 2 3 2 4" xfId="56713"/>
    <cellStyle name="20% - Énfasis2 4 2 2 3 3" xfId="8583"/>
    <cellStyle name="20% - Énfasis2 4 2 2 3 4" xfId="14785"/>
    <cellStyle name="20% - Énfasis2 4 2 2 3 5" xfId="53818"/>
    <cellStyle name="20% - Énfasis2 4 2 2 4" xfId="3408"/>
    <cellStyle name="20% - Énfasis2 4 2 2 4 2" xfId="9612"/>
    <cellStyle name="20% - Énfasis2 4 2 2 4 3" xfId="15814"/>
    <cellStyle name="20% - Énfasis2 4 2 2 4 4" xfId="54785"/>
    <cellStyle name="20% - Énfasis2 4 2 2 5" xfId="6511"/>
    <cellStyle name="20% - Énfasis2 4 2 2 5 2" xfId="19766"/>
    <cellStyle name="20% - Énfasis2 4 2 2 6" xfId="12713"/>
    <cellStyle name="20% - Énfasis2 4 2 2 7" xfId="52202"/>
    <cellStyle name="20% - Énfasis2 4 2 3" xfId="1641"/>
    <cellStyle name="20% - Énfasis2 4 2 3 2" xfId="4766"/>
    <cellStyle name="20% - Énfasis2 4 2 3 2 2" xfId="10969"/>
    <cellStyle name="20% - Énfasis2 4 2 3 2 3" xfId="17171"/>
    <cellStyle name="20% - Énfasis2 4 2 3 2 4" xfId="56042"/>
    <cellStyle name="20% - Énfasis2 4 2 3 3" xfId="7869"/>
    <cellStyle name="20% - Énfasis2 4 2 3 4" xfId="14071"/>
    <cellStyle name="20% - Énfasis2 4 2 3 5" xfId="53152"/>
    <cellStyle name="20% - Énfasis2 4 2 4" xfId="2355"/>
    <cellStyle name="20% - Énfasis2 4 2 4 2" xfId="5479"/>
    <cellStyle name="20% - Énfasis2 4 2 4 2 2" xfId="11682"/>
    <cellStyle name="20% - Énfasis2 4 2 4 2 3" xfId="17884"/>
    <cellStyle name="20% - Énfasis2 4 2 4 2 4" xfId="56712"/>
    <cellStyle name="20% - Énfasis2 4 2 4 3" xfId="8582"/>
    <cellStyle name="20% - Énfasis2 4 2 4 4" xfId="14784"/>
    <cellStyle name="20% - Énfasis2 4 2 4 5" xfId="53817"/>
    <cellStyle name="20% - Énfasis2 4 2 5" xfId="3407"/>
    <cellStyle name="20% - Énfasis2 4 2 5 2" xfId="9611"/>
    <cellStyle name="20% - Énfasis2 4 2 5 3" xfId="15813"/>
    <cellStyle name="20% - Énfasis2 4 2 5 4" xfId="54784"/>
    <cellStyle name="20% - Énfasis2 4 2 6" xfId="6510"/>
    <cellStyle name="20% - Énfasis2 4 2 6 2" xfId="19242"/>
    <cellStyle name="20% - Énfasis2 4 2 6 3" xfId="52201"/>
    <cellStyle name="20% - Énfasis2 4 2 7" xfId="12712"/>
    <cellStyle name="20% - Énfasis2 4 2 8" xfId="20778"/>
    <cellStyle name="20% - Énfasis2 4 3" xfId="86"/>
    <cellStyle name="20% - Énfasis2 4 3 2" xfId="1919"/>
    <cellStyle name="20% - Énfasis2 4 3 2 2" xfId="5044"/>
    <cellStyle name="20% - Énfasis2 4 3 2 2 2" xfId="11247"/>
    <cellStyle name="20% - Énfasis2 4 3 2 2 3" xfId="17449"/>
    <cellStyle name="20% - Énfasis2 4 3 2 2 4" xfId="56305"/>
    <cellStyle name="20% - Énfasis2 4 3 2 3" xfId="8147"/>
    <cellStyle name="20% - Énfasis2 4 3 2 4" xfId="14349"/>
    <cellStyle name="20% - Énfasis2 4 3 2 5" xfId="53411"/>
    <cellStyle name="20% - Énfasis2 4 3 3" xfId="2357"/>
    <cellStyle name="20% - Énfasis2 4 3 3 2" xfId="5481"/>
    <cellStyle name="20% - Énfasis2 4 3 3 2 2" xfId="11684"/>
    <cellStyle name="20% - Énfasis2 4 3 3 2 3" xfId="17886"/>
    <cellStyle name="20% - Énfasis2 4 3 3 2 4" xfId="56714"/>
    <cellStyle name="20% - Énfasis2 4 3 3 3" xfId="8584"/>
    <cellStyle name="20% - Énfasis2 4 3 3 4" xfId="14786"/>
    <cellStyle name="20% - Énfasis2 4 3 3 5" xfId="53819"/>
    <cellStyle name="20% - Énfasis2 4 3 4" xfId="3409"/>
    <cellStyle name="20% - Énfasis2 4 3 4 2" xfId="9613"/>
    <cellStyle name="20% - Énfasis2 4 3 4 3" xfId="15815"/>
    <cellStyle name="20% - Énfasis2 4 3 4 4" xfId="54786"/>
    <cellStyle name="20% - Énfasis2 4 3 5" xfId="6512"/>
    <cellStyle name="20% - Énfasis2 4 3 5 2" xfId="19520"/>
    <cellStyle name="20% - Énfasis2 4 3 6" xfId="12714"/>
    <cellStyle name="20% - Énfasis2 4 3 7" xfId="52048"/>
    <cellStyle name="20% - Énfasis2 4 4" xfId="1395"/>
    <cellStyle name="20% - Énfasis2 4 4 2" xfId="4520"/>
    <cellStyle name="20% - Énfasis2 4 4 2 2" xfId="10723"/>
    <cellStyle name="20% - Énfasis2 4 4 2 3" xfId="16925"/>
    <cellStyle name="20% - Énfasis2 4 4 2 4" xfId="55809"/>
    <cellStyle name="20% - Énfasis2 4 4 3" xfId="7623"/>
    <cellStyle name="20% - Énfasis2 4 4 4" xfId="13825"/>
    <cellStyle name="20% - Énfasis2 4 4 5" xfId="52932"/>
    <cellStyle name="20% - Énfasis2 4 5" xfId="2354"/>
    <cellStyle name="20% - Énfasis2 4 5 2" xfId="5478"/>
    <cellStyle name="20% - Énfasis2 4 5 2 2" xfId="11681"/>
    <cellStyle name="20% - Énfasis2 4 5 2 3" xfId="17883"/>
    <cellStyle name="20% - Énfasis2 4 5 2 4" xfId="56711"/>
    <cellStyle name="20% - Énfasis2 4 5 3" xfId="8581"/>
    <cellStyle name="20% - Énfasis2 4 5 4" xfId="14783"/>
    <cellStyle name="20% - Énfasis2 4 5 5" xfId="53816"/>
    <cellStyle name="20% - Énfasis2 4 6" xfId="3406"/>
    <cellStyle name="20% - Énfasis2 4 6 2" xfId="9610"/>
    <cellStyle name="20% - Énfasis2 4 6 3" xfId="15812"/>
    <cellStyle name="20% - Énfasis2 4 6 4" xfId="54783"/>
    <cellStyle name="20% - Énfasis2 4 7" xfId="6509"/>
    <cellStyle name="20% - Énfasis2 4 7 2" xfId="18996"/>
    <cellStyle name="20% - Énfasis2 4 8" xfId="12711"/>
    <cellStyle name="20% - Énfasis2 4 9" xfId="20777"/>
    <cellStyle name="20% - Énfasis2 5" xfId="87"/>
    <cellStyle name="20% - Énfasis2 5 2" xfId="88"/>
    <cellStyle name="20% - Énfasis2 5 2 2" xfId="2046"/>
    <cellStyle name="20% - Énfasis2 5 2 2 2" xfId="5171"/>
    <cellStyle name="20% - Énfasis2 5 2 2 2 2" xfId="11374"/>
    <cellStyle name="20% - Énfasis2 5 2 2 2 3" xfId="17576"/>
    <cellStyle name="20% - Énfasis2 5 2 2 2 4" xfId="56423"/>
    <cellStyle name="20% - Énfasis2 5 2 2 3" xfId="8274"/>
    <cellStyle name="20% - Énfasis2 5 2 2 4" xfId="14476"/>
    <cellStyle name="20% - Énfasis2 5 2 2 5" xfId="53527"/>
    <cellStyle name="20% - Énfasis2 5 2 3" xfId="2359"/>
    <cellStyle name="20% - Énfasis2 5 2 3 2" xfId="5483"/>
    <cellStyle name="20% - Énfasis2 5 2 3 2 2" xfId="11686"/>
    <cellStyle name="20% - Énfasis2 5 2 3 2 3" xfId="17888"/>
    <cellStyle name="20% - Énfasis2 5 2 3 2 4" xfId="56716"/>
    <cellStyle name="20% - Énfasis2 5 2 3 3" xfId="8586"/>
    <cellStyle name="20% - Énfasis2 5 2 3 4" xfId="14788"/>
    <cellStyle name="20% - Énfasis2 5 2 3 5" xfId="53821"/>
    <cellStyle name="20% - Énfasis2 5 2 4" xfId="3411"/>
    <cellStyle name="20% - Énfasis2 5 2 4 2" xfId="9615"/>
    <cellStyle name="20% - Énfasis2 5 2 4 3" xfId="15817"/>
    <cellStyle name="20% - Énfasis2 5 2 4 4" xfId="54788"/>
    <cellStyle name="20% - Énfasis2 5 2 5" xfId="6514"/>
    <cellStyle name="20% - Énfasis2 5 2 5 2" xfId="19647"/>
    <cellStyle name="20% - Énfasis2 5 2 5 3" xfId="52204"/>
    <cellStyle name="20% - Énfasis2 5 2 6" xfId="12716"/>
    <cellStyle name="20% - Énfasis2 5 2 7" xfId="20780"/>
    <cellStyle name="20% - Énfasis2 5 3" xfId="1522"/>
    <cellStyle name="20% - Énfasis2 5 3 2" xfId="4647"/>
    <cellStyle name="20% - Énfasis2 5 3 2 2" xfId="10850"/>
    <cellStyle name="20% - Énfasis2 5 3 2 3" xfId="17052"/>
    <cellStyle name="20% - Énfasis2 5 3 2 4" xfId="55928"/>
    <cellStyle name="20% - Énfasis2 5 3 3" xfId="7750"/>
    <cellStyle name="20% - Énfasis2 5 3 4" xfId="13952"/>
    <cellStyle name="20% - Énfasis2 5 3 5" xfId="53043"/>
    <cellStyle name="20% - Énfasis2 5 4" xfId="2358"/>
    <cellStyle name="20% - Énfasis2 5 4 2" xfId="5482"/>
    <cellStyle name="20% - Énfasis2 5 4 2 2" xfId="11685"/>
    <cellStyle name="20% - Énfasis2 5 4 2 3" xfId="17887"/>
    <cellStyle name="20% - Énfasis2 5 4 2 4" xfId="56715"/>
    <cellStyle name="20% - Énfasis2 5 4 3" xfId="8585"/>
    <cellStyle name="20% - Énfasis2 5 4 4" xfId="14787"/>
    <cellStyle name="20% - Énfasis2 5 4 5" xfId="53820"/>
    <cellStyle name="20% - Énfasis2 5 5" xfId="3410"/>
    <cellStyle name="20% - Énfasis2 5 5 2" xfId="9614"/>
    <cellStyle name="20% - Énfasis2 5 5 3" xfId="15816"/>
    <cellStyle name="20% - Énfasis2 5 5 4" xfId="54787"/>
    <cellStyle name="20% - Énfasis2 5 6" xfId="6513"/>
    <cellStyle name="20% - Énfasis2 5 6 2" xfId="19123"/>
    <cellStyle name="20% - Énfasis2 5 6 3" xfId="52203"/>
    <cellStyle name="20% - Énfasis2 5 7" xfId="12715"/>
    <cellStyle name="20% - Énfasis2 5 8" xfId="20779"/>
    <cellStyle name="20% - Énfasis2 6" xfId="89"/>
    <cellStyle name="20% - Énfasis2 6 2" xfId="1775"/>
    <cellStyle name="20% - Énfasis2 6 2 2" xfId="4900"/>
    <cellStyle name="20% - Énfasis2 6 2 2 2" xfId="11103"/>
    <cellStyle name="20% - Énfasis2 6 2 2 3" xfId="17305"/>
    <cellStyle name="20% - Énfasis2 6 2 2 4" xfId="56169"/>
    <cellStyle name="20% - Énfasis2 6 2 3" xfId="8003"/>
    <cellStyle name="20% - Énfasis2 6 2 4" xfId="14205"/>
    <cellStyle name="20% - Énfasis2 6 2 5" xfId="53276"/>
    <cellStyle name="20% - Énfasis2 6 3" xfId="2360"/>
    <cellStyle name="20% - Énfasis2 6 3 2" xfId="5484"/>
    <cellStyle name="20% - Énfasis2 6 3 2 2" xfId="11687"/>
    <cellStyle name="20% - Énfasis2 6 3 2 3" xfId="17889"/>
    <cellStyle name="20% - Énfasis2 6 3 2 4" xfId="56717"/>
    <cellStyle name="20% - Énfasis2 6 3 3" xfId="8587"/>
    <cellStyle name="20% - Énfasis2 6 3 4" xfId="14789"/>
    <cellStyle name="20% - Énfasis2 6 3 5" xfId="53822"/>
    <cellStyle name="20% - Énfasis2 6 4" xfId="3412"/>
    <cellStyle name="20% - Énfasis2 6 4 2" xfId="9616"/>
    <cellStyle name="20% - Énfasis2 6 4 3" xfId="15818"/>
    <cellStyle name="20% - Énfasis2 6 4 4" xfId="54789"/>
    <cellStyle name="20% - Énfasis2 6 5" xfId="6515"/>
    <cellStyle name="20% - Énfasis2 6 5 2" xfId="19376"/>
    <cellStyle name="20% - Énfasis2 6 5 3" xfId="52205"/>
    <cellStyle name="20% - Énfasis2 6 6" xfId="12717"/>
    <cellStyle name="20% - Énfasis2 6 7" xfId="20781"/>
    <cellStyle name="20% - Énfasis2 7" xfId="1254"/>
    <cellStyle name="20% - Énfasis2 7 2" xfId="4379"/>
    <cellStyle name="20% - Énfasis2 7 2 2" xfId="10582"/>
    <cellStyle name="20% - Énfasis2 7 2 3" xfId="16784"/>
    <cellStyle name="20% - Énfasis2 7 2 4" xfId="55675"/>
    <cellStyle name="20% - Énfasis2 7 3" xfId="7482"/>
    <cellStyle name="20% - Énfasis2 7 3 2" xfId="52806"/>
    <cellStyle name="20% - Énfasis2 7 4" xfId="13684"/>
    <cellStyle name="20% - Énfasis2 7 5" xfId="20782"/>
    <cellStyle name="20% - Énfasis2 8" xfId="18855"/>
    <cellStyle name="20% - Énfasis2 8 10" xfId="20784"/>
    <cellStyle name="20% - Énfasis2 8 10 2" xfId="20785"/>
    <cellStyle name="20% - Énfasis2 8 10 2 2" xfId="20786"/>
    <cellStyle name="20% - Énfasis2 8 10 3" xfId="20787"/>
    <cellStyle name="20% - Énfasis2 8 11" xfId="20788"/>
    <cellStyle name="20% - Énfasis2 8 11 2" xfId="20789"/>
    <cellStyle name="20% - Énfasis2 8 11 2 2" xfId="20790"/>
    <cellStyle name="20% - Énfasis2 8 11 3" xfId="20791"/>
    <cellStyle name="20% - Énfasis2 8 12" xfId="20792"/>
    <cellStyle name="20% - Énfasis2 8 12 2" xfId="20793"/>
    <cellStyle name="20% - Énfasis2 8 13" xfId="20794"/>
    <cellStyle name="20% - Énfasis2 8 13 2" xfId="20795"/>
    <cellStyle name="20% - Énfasis2 8 14" xfId="20796"/>
    <cellStyle name="20% - Énfasis2 8 15" xfId="20797"/>
    <cellStyle name="20% - Énfasis2 8 16" xfId="20783"/>
    <cellStyle name="20% - Énfasis2 8 2" xfId="20798"/>
    <cellStyle name="20% - Énfasis2 8 2 10" xfId="20799"/>
    <cellStyle name="20% - Énfasis2 8 2 10 2" xfId="20800"/>
    <cellStyle name="20% - Énfasis2 8 2 10 2 2" xfId="20801"/>
    <cellStyle name="20% - Énfasis2 8 2 10 3" xfId="20802"/>
    <cellStyle name="20% - Énfasis2 8 2 11" xfId="20803"/>
    <cellStyle name="20% - Énfasis2 8 2 11 2" xfId="20804"/>
    <cellStyle name="20% - Énfasis2 8 2 12" xfId="20805"/>
    <cellStyle name="20% - Énfasis2 8 2 12 2" xfId="20806"/>
    <cellStyle name="20% - Énfasis2 8 2 13" xfId="20807"/>
    <cellStyle name="20% - Énfasis2 8 2 14" xfId="20808"/>
    <cellStyle name="20% - Énfasis2 8 2 2" xfId="20809"/>
    <cellStyle name="20% - Énfasis2 8 2 2 2" xfId="20810"/>
    <cellStyle name="20% - Énfasis2 8 2 2 2 2" xfId="20811"/>
    <cellStyle name="20% - Énfasis2 8 2 2 2 2 2" xfId="20812"/>
    <cellStyle name="20% - Énfasis2 8 2 2 2 2 2 2" xfId="20813"/>
    <cellStyle name="20% - Énfasis2 8 2 2 2 2 2 2 2" xfId="20814"/>
    <cellStyle name="20% - Énfasis2 8 2 2 2 2 2 3" xfId="20815"/>
    <cellStyle name="20% - Énfasis2 8 2 2 2 2 2 3 2" xfId="20816"/>
    <cellStyle name="20% - Énfasis2 8 2 2 2 2 2 4" xfId="20817"/>
    <cellStyle name="20% - Énfasis2 8 2 2 2 2 3" xfId="20818"/>
    <cellStyle name="20% - Énfasis2 8 2 2 2 2 4" xfId="20819"/>
    <cellStyle name="20% - Énfasis2 8 2 2 2 2 4 2" xfId="20820"/>
    <cellStyle name="20% - Énfasis2 8 2 2 2 2 5" xfId="20821"/>
    <cellStyle name="20% - Énfasis2 8 2 2 2 2_IAS" xfId="20822"/>
    <cellStyle name="20% - Énfasis2 8 2 2 2 3" xfId="20823"/>
    <cellStyle name="20% - Énfasis2 8 2 2 2 3 2" xfId="20824"/>
    <cellStyle name="20% - Énfasis2 8 2 2 2 3 2 2" xfId="20825"/>
    <cellStyle name="20% - Énfasis2 8 2 2 2 3 3" xfId="20826"/>
    <cellStyle name="20% - Énfasis2 8 2 2 2 3 3 2" xfId="20827"/>
    <cellStyle name="20% - Énfasis2 8 2 2 2 3 4" xfId="20828"/>
    <cellStyle name="20% - Énfasis2 8 2 2 2 4" xfId="20829"/>
    <cellStyle name="20% - Énfasis2 8 2 2 2 5" xfId="20830"/>
    <cellStyle name="20% - Énfasis2 8 2 2 2 5 2" xfId="20831"/>
    <cellStyle name="20% - Énfasis2 8 2 2 2 6" xfId="20832"/>
    <cellStyle name="20% - Énfasis2 8 2 2 2_IAS" xfId="20833"/>
    <cellStyle name="20% - Énfasis2 8 2 2 3" xfId="20834"/>
    <cellStyle name="20% - Énfasis2 8 2 2 3 2" xfId="20835"/>
    <cellStyle name="20% - Énfasis2 8 2 2 3 2 2" xfId="20836"/>
    <cellStyle name="20% - Énfasis2 8 2 2 3 2 2 2" xfId="20837"/>
    <cellStyle name="20% - Énfasis2 8 2 2 3 2 3" xfId="20838"/>
    <cellStyle name="20% - Énfasis2 8 2 2 3 2 3 2" xfId="20839"/>
    <cellStyle name="20% - Énfasis2 8 2 2 3 2 4" xfId="20840"/>
    <cellStyle name="20% - Énfasis2 8 2 2 3 3" xfId="20841"/>
    <cellStyle name="20% - Énfasis2 8 2 2 3 4" xfId="20842"/>
    <cellStyle name="20% - Énfasis2 8 2 2 3 4 2" xfId="20843"/>
    <cellStyle name="20% - Énfasis2 8 2 2 3 5" xfId="20844"/>
    <cellStyle name="20% - Énfasis2 8 2 2 3_IAS" xfId="20845"/>
    <cellStyle name="20% - Énfasis2 8 2 2 4" xfId="20846"/>
    <cellStyle name="20% - Énfasis2 8 2 2 4 2" xfId="20847"/>
    <cellStyle name="20% - Énfasis2 8 2 2 4 2 2" xfId="20848"/>
    <cellStyle name="20% - Énfasis2 8 2 2 4 3" xfId="20849"/>
    <cellStyle name="20% - Énfasis2 8 2 2 4 3 2" xfId="20850"/>
    <cellStyle name="20% - Énfasis2 8 2 2 4 4" xfId="20851"/>
    <cellStyle name="20% - Énfasis2 8 2 2 5" xfId="20852"/>
    <cellStyle name="20% - Énfasis2 8 2 2 6" xfId="20853"/>
    <cellStyle name="20% - Énfasis2 8 2 2 6 2" xfId="20854"/>
    <cellStyle name="20% - Énfasis2 8 2 2 7" xfId="20855"/>
    <cellStyle name="20% - Énfasis2 8 2 2_IAS" xfId="20856"/>
    <cellStyle name="20% - Énfasis2 8 2 3" xfId="20857"/>
    <cellStyle name="20% - Énfasis2 8 2 3 2" xfId="20858"/>
    <cellStyle name="20% - Énfasis2 8 2 3 2 2" xfId="20859"/>
    <cellStyle name="20% - Énfasis2 8 2 3 2 2 2" xfId="20860"/>
    <cellStyle name="20% - Énfasis2 8 2 3 2 2 2 2" xfId="20861"/>
    <cellStyle name="20% - Énfasis2 8 2 3 2 2 2 2 2" xfId="20862"/>
    <cellStyle name="20% - Énfasis2 8 2 3 2 2 2 3" xfId="20863"/>
    <cellStyle name="20% - Énfasis2 8 2 3 2 2 2 3 2" xfId="20864"/>
    <cellStyle name="20% - Énfasis2 8 2 3 2 2 2 4" xfId="20865"/>
    <cellStyle name="20% - Énfasis2 8 2 3 2 2 3" xfId="20866"/>
    <cellStyle name="20% - Énfasis2 8 2 3 2 2 4" xfId="20867"/>
    <cellStyle name="20% - Énfasis2 8 2 3 2 2 4 2" xfId="20868"/>
    <cellStyle name="20% - Énfasis2 8 2 3 2 2 5" xfId="20869"/>
    <cellStyle name="20% - Énfasis2 8 2 3 2 2_IAS" xfId="20870"/>
    <cellStyle name="20% - Énfasis2 8 2 3 2 3" xfId="20871"/>
    <cellStyle name="20% - Énfasis2 8 2 3 2 3 2" xfId="20872"/>
    <cellStyle name="20% - Énfasis2 8 2 3 2 3 2 2" xfId="20873"/>
    <cellStyle name="20% - Énfasis2 8 2 3 2 3 3" xfId="20874"/>
    <cellStyle name="20% - Énfasis2 8 2 3 2 3 3 2" xfId="20875"/>
    <cellStyle name="20% - Énfasis2 8 2 3 2 3 4" xfId="20876"/>
    <cellStyle name="20% - Énfasis2 8 2 3 2 4" xfId="20877"/>
    <cellStyle name="20% - Énfasis2 8 2 3 2 5" xfId="20878"/>
    <cellStyle name="20% - Énfasis2 8 2 3 2 5 2" xfId="20879"/>
    <cellStyle name="20% - Énfasis2 8 2 3 2 6" xfId="20880"/>
    <cellStyle name="20% - Énfasis2 8 2 3 2_IAS" xfId="20881"/>
    <cellStyle name="20% - Énfasis2 8 2 3 3" xfId="20882"/>
    <cellStyle name="20% - Énfasis2 8 2 3 3 2" xfId="20883"/>
    <cellStyle name="20% - Énfasis2 8 2 3 3 2 2" xfId="20884"/>
    <cellStyle name="20% - Énfasis2 8 2 3 3 2 2 2" xfId="20885"/>
    <cellStyle name="20% - Énfasis2 8 2 3 3 2 3" xfId="20886"/>
    <cellStyle name="20% - Énfasis2 8 2 3 3 2 3 2" xfId="20887"/>
    <cellStyle name="20% - Énfasis2 8 2 3 3 2 4" xfId="20888"/>
    <cellStyle name="20% - Énfasis2 8 2 3 3 3" xfId="20889"/>
    <cellStyle name="20% - Énfasis2 8 2 3 3 4" xfId="20890"/>
    <cellStyle name="20% - Énfasis2 8 2 3 3 4 2" xfId="20891"/>
    <cellStyle name="20% - Énfasis2 8 2 3 3 5" xfId="20892"/>
    <cellStyle name="20% - Énfasis2 8 2 3 3_IAS" xfId="20893"/>
    <cellStyle name="20% - Énfasis2 8 2 3 4" xfId="20894"/>
    <cellStyle name="20% - Énfasis2 8 2 3 4 2" xfId="20895"/>
    <cellStyle name="20% - Énfasis2 8 2 3 4 2 2" xfId="20896"/>
    <cellStyle name="20% - Énfasis2 8 2 3 4 3" xfId="20897"/>
    <cellStyle name="20% - Énfasis2 8 2 3 4 3 2" xfId="20898"/>
    <cellStyle name="20% - Énfasis2 8 2 3 4 4" xfId="20899"/>
    <cellStyle name="20% - Énfasis2 8 2 3 5" xfId="20900"/>
    <cellStyle name="20% - Énfasis2 8 2 3 6" xfId="20901"/>
    <cellStyle name="20% - Énfasis2 8 2 3 6 2" xfId="20902"/>
    <cellStyle name="20% - Énfasis2 8 2 3 7" xfId="20903"/>
    <cellStyle name="20% - Énfasis2 8 2 3_IAS" xfId="20904"/>
    <cellStyle name="20% - Énfasis2 8 2 4" xfId="20905"/>
    <cellStyle name="20% - Énfasis2 8 2 5" xfId="20906"/>
    <cellStyle name="20% - Énfasis2 8 2 5 2" xfId="20907"/>
    <cellStyle name="20% - Énfasis2 8 2 5 2 2" xfId="20908"/>
    <cellStyle name="20% - Énfasis2 8 2 5 2 2 2" xfId="20909"/>
    <cellStyle name="20% - Énfasis2 8 2 5 2 2 2 2" xfId="20910"/>
    <cellStyle name="20% - Énfasis2 8 2 5 2 2 3" xfId="20911"/>
    <cellStyle name="20% - Énfasis2 8 2 5 2 2 3 2" xfId="20912"/>
    <cellStyle name="20% - Énfasis2 8 2 5 2 2 4" xfId="20913"/>
    <cellStyle name="20% - Énfasis2 8 2 5 2 3" xfId="20914"/>
    <cellStyle name="20% - Énfasis2 8 2 5 2 4" xfId="20915"/>
    <cellStyle name="20% - Énfasis2 8 2 5 2 4 2" xfId="20916"/>
    <cellStyle name="20% - Énfasis2 8 2 5 2 5" xfId="20917"/>
    <cellStyle name="20% - Énfasis2 8 2 5 2_IAS" xfId="20918"/>
    <cellStyle name="20% - Énfasis2 8 2 5 3" xfId="20919"/>
    <cellStyle name="20% - Énfasis2 8 2 5 3 2" xfId="20920"/>
    <cellStyle name="20% - Énfasis2 8 2 5 3 2 2" xfId="20921"/>
    <cellStyle name="20% - Énfasis2 8 2 5 3 3" xfId="20922"/>
    <cellStyle name="20% - Énfasis2 8 2 5 3 3 2" xfId="20923"/>
    <cellStyle name="20% - Énfasis2 8 2 5 3 4" xfId="20924"/>
    <cellStyle name="20% - Énfasis2 8 2 5 4" xfId="20925"/>
    <cellStyle name="20% - Énfasis2 8 2 5 5" xfId="20926"/>
    <cellStyle name="20% - Énfasis2 8 2 5 5 2" xfId="20927"/>
    <cellStyle name="20% - Énfasis2 8 2 5 6" xfId="20928"/>
    <cellStyle name="20% - Énfasis2 8 2 5_IAS" xfId="20929"/>
    <cellStyle name="20% - Énfasis2 8 2 6" xfId="20930"/>
    <cellStyle name="20% - Énfasis2 8 2 6 2" xfId="20931"/>
    <cellStyle name="20% - Énfasis2 8 2 6 2 2" xfId="20932"/>
    <cellStyle name="20% - Énfasis2 8 2 6 2 2 2" xfId="20933"/>
    <cellStyle name="20% - Énfasis2 8 2 6 2 3" xfId="20934"/>
    <cellStyle name="20% - Énfasis2 8 2 6 2 3 2" xfId="20935"/>
    <cellStyle name="20% - Énfasis2 8 2 6 2 4" xfId="20936"/>
    <cellStyle name="20% - Énfasis2 8 2 6 3" xfId="20937"/>
    <cellStyle name="20% - Énfasis2 8 2 6 4" xfId="20938"/>
    <cellStyle name="20% - Énfasis2 8 2 6 4 2" xfId="20939"/>
    <cellStyle name="20% - Énfasis2 8 2 6 5" xfId="20940"/>
    <cellStyle name="20% - Énfasis2 8 2 6_IAS" xfId="20941"/>
    <cellStyle name="20% - Énfasis2 8 2 7" xfId="20942"/>
    <cellStyle name="20% - Énfasis2 8 2 7 2" xfId="20943"/>
    <cellStyle name="20% - Énfasis2 8 2 7 2 2" xfId="20944"/>
    <cellStyle name="20% - Énfasis2 8 2 7 3" xfId="20945"/>
    <cellStyle name="20% - Énfasis2 8 2 7 3 2" xfId="20946"/>
    <cellStyle name="20% - Énfasis2 8 2 7 4" xfId="20947"/>
    <cellStyle name="20% - Énfasis2 8 2 8" xfId="20948"/>
    <cellStyle name="20% - Énfasis2 8 2 8 2" xfId="20949"/>
    <cellStyle name="20% - Énfasis2 8 2 8 2 2" xfId="20950"/>
    <cellStyle name="20% - Énfasis2 8 2 8 3" xfId="20951"/>
    <cellStyle name="20% - Énfasis2 8 2 9" xfId="20952"/>
    <cellStyle name="20% - Énfasis2 8 2 9 2" xfId="20953"/>
    <cellStyle name="20% - Énfasis2 8 2 9 2 2" xfId="20954"/>
    <cellStyle name="20% - Énfasis2 8 2 9 3" xfId="20955"/>
    <cellStyle name="20% - Énfasis2 8 2_IAS" xfId="20956"/>
    <cellStyle name="20% - Énfasis2 8 3" xfId="20957"/>
    <cellStyle name="20% - Énfasis2 8 3 2" xfId="20958"/>
    <cellStyle name="20% - Énfasis2 8 3 2 2" xfId="20959"/>
    <cellStyle name="20% - Énfasis2 8 3 2 2 2" xfId="20960"/>
    <cellStyle name="20% - Énfasis2 8 3 2 2 2 2" xfId="20961"/>
    <cellStyle name="20% - Énfasis2 8 3 2 2 2 2 2" xfId="20962"/>
    <cellStyle name="20% - Énfasis2 8 3 2 2 2 3" xfId="20963"/>
    <cellStyle name="20% - Énfasis2 8 3 2 2 2 3 2" xfId="20964"/>
    <cellStyle name="20% - Énfasis2 8 3 2 2 2 4" xfId="20965"/>
    <cellStyle name="20% - Énfasis2 8 3 2 2 3" xfId="20966"/>
    <cellStyle name="20% - Énfasis2 8 3 2 2 4" xfId="20967"/>
    <cellStyle name="20% - Énfasis2 8 3 2 2 4 2" xfId="20968"/>
    <cellStyle name="20% - Énfasis2 8 3 2 2 5" xfId="20969"/>
    <cellStyle name="20% - Énfasis2 8 3 2 2_IAS" xfId="20970"/>
    <cellStyle name="20% - Énfasis2 8 3 2 3" xfId="20971"/>
    <cellStyle name="20% - Énfasis2 8 3 2 3 2" xfId="20972"/>
    <cellStyle name="20% - Énfasis2 8 3 2 3 2 2" xfId="20973"/>
    <cellStyle name="20% - Énfasis2 8 3 2 3 3" xfId="20974"/>
    <cellStyle name="20% - Énfasis2 8 3 2 3 3 2" xfId="20975"/>
    <cellStyle name="20% - Énfasis2 8 3 2 3 4" xfId="20976"/>
    <cellStyle name="20% - Énfasis2 8 3 2 4" xfId="20977"/>
    <cellStyle name="20% - Énfasis2 8 3 2 5" xfId="20978"/>
    <cellStyle name="20% - Énfasis2 8 3 2 5 2" xfId="20979"/>
    <cellStyle name="20% - Énfasis2 8 3 2 6" xfId="20980"/>
    <cellStyle name="20% - Énfasis2 8 3 2_IAS" xfId="20981"/>
    <cellStyle name="20% - Énfasis2 8 3 3" xfId="20982"/>
    <cellStyle name="20% - Énfasis2 8 3 3 2" xfId="20983"/>
    <cellStyle name="20% - Énfasis2 8 3 3 2 2" xfId="20984"/>
    <cellStyle name="20% - Énfasis2 8 3 3 2 2 2" xfId="20985"/>
    <cellStyle name="20% - Énfasis2 8 3 3 2 3" xfId="20986"/>
    <cellStyle name="20% - Énfasis2 8 3 3 2 3 2" xfId="20987"/>
    <cellStyle name="20% - Énfasis2 8 3 3 2 4" xfId="20988"/>
    <cellStyle name="20% - Énfasis2 8 3 3 3" xfId="20989"/>
    <cellStyle name="20% - Énfasis2 8 3 3 4" xfId="20990"/>
    <cellStyle name="20% - Énfasis2 8 3 3 4 2" xfId="20991"/>
    <cellStyle name="20% - Énfasis2 8 3 3 5" xfId="20992"/>
    <cellStyle name="20% - Énfasis2 8 3 3_IAS" xfId="20993"/>
    <cellStyle name="20% - Énfasis2 8 3 4" xfId="20994"/>
    <cellStyle name="20% - Énfasis2 8 3 4 2" xfId="20995"/>
    <cellStyle name="20% - Énfasis2 8 3 4 2 2" xfId="20996"/>
    <cellStyle name="20% - Énfasis2 8 3 4 3" xfId="20997"/>
    <cellStyle name="20% - Énfasis2 8 3 4 3 2" xfId="20998"/>
    <cellStyle name="20% - Énfasis2 8 3 4 4" xfId="20999"/>
    <cellStyle name="20% - Énfasis2 8 3 5" xfId="21000"/>
    <cellStyle name="20% - Énfasis2 8 3 6" xfId="21001"/>
    <cellStyle name="20% - Énfasis2 8 3 6 2" xfId="21002"/>
    <cellStyle name="20% - Énfasis2 8 3 7" xfId="21003"/>
    <cellStyle name="20% - Énfasis2 8 3_IAS" xfId="21004"/>
    <cellStyle name="20% - Énfasis2 8 4" xfId="21005"/>
    <cellStyle name="20% - Énfasis2 8 4 2" xfId="21006"/>
    <cellStyle name="20% - Énfasis2 8 4 2 2" xfId="21007"/>
    <cellStyle name="20% - Énfasis2 8 4 2 2 2" xfId="21008"/>
    <cellStyle name="20% - Énfasis2 8 4 2 2 2 2" xfId="21009"/>
    <cellStyle name="20% - Énfasis2 8 4 2 2 2 2 2" xfId="21010"/>
    <cellStyle name="20% - Énfasis2 8 4 2 2 2 3" xfId="21011"/>
    <cellStyle name="20% - Énfasis2 8 4 2 2 2 3 2" xfId="21012"/>
    <cellStyle name="20% - Énfasis2 8 4 2 2 2 4" xfId="21013"/>
    <cellStyle name="20% - Énfasis2 8 4 2 2 3" xfId="21014"/>
    <cellStyle name="20% - Énfasis2 8 4 2 2 4" xfId="21015"/>
    <cellStyle name="20% - Énfasis2 8 4 2 2 4 2" xfId="21016"/>
    <cellStyle name="20% - Énfasis2 8 4 2 2 5" xfId="21017"/>
    <cellStyle name="20% - Énfasis2 8 4 2 2_IAS" xfId="21018"/>
    <cellStyle name="20% - Énfasis2 8 4 2 3" xfId="21019"/>
    <cellStyle name="20% - Énfasis2 8 4 2 3 2" xfId="21020"/>
    <cellStyle name="20% - Énfasis2 8 4 2 3 2 2" xfId="21021"/>
    <cellStyle name="20% - Énfasis2 8 4 2 3 3" xfId="21022"/>
    <cellStyle name="20% - Énfasis2 8 4 2 3 3 2" xfId="21023"/>
    <cellStyle name="20% - Énfasis2 8 4 2 3 4" xfId="21024"/>
    <cellStyle name="20% - Énfasis2 8 4 2 4" xfId="21025"/>
    <cellStyle name="20% - Énfasis2 8 4 2 5" xfId="21026"/>
    <cellStyle name="20% - Énfasis2 8 4 2 5 2" xfId="21027"/>
    <cellStyle name="20% - Énfasis2 8 4 2 6" xfId="21028"/>
    <cellStyle name="20% - Énfasis2 8 4 2_IAS" xfId="21029"/>
    <cellStyle name="20% - Énfasis2 8 4 3" xfId="21030"/>
    <cellStyle name="20% - Énfasis2 8 4 3 2" xfId="21031"/>
    <cellStyle name="20% - Énfasis2 8 4 3 2 2" xfId="21032"/>
    <cellStyle name="20% - Énfasis2 8 4 3 2 2 2" xfId="21033"/>
    <cellStyle name="20% - Énfasis2 8 4 3 2 3" xfId="21034"/>
    <cellStyle name="20% - Énfasis2 8 4 3 2 3 2" xfId="21035"/>
    <cellStyle name="20% - Énfasis2 8 4 3 2 4" xfId="21036"/>
    <cellStyle name="20% - Énfasis2 8 4 3 3" xfId="21037"/>
    <cellStyle name="20% - Énfasis2 8 4 3 4" xfId="21038"/>
    <cellStyle name="20% - Énfasis2 8 4 3 4 2" xfId="21039"/>
    <cellStyle name="20% - Énfasis2 8 4 3 5" xfId="21040"/>
    <cellStyle name="20% - Énfasis2 8 4 3_IAS" xfId="21041"/>
    <cellStyle name="20% - Énfasis2 8 4 4" xfId="21042"/>
    <cellStyle name="20% - Énfasis2 8 4 4 2" xfId="21043"/>
    <cellStyle name="20% - Énfasis2 8 4 4 2 2" xfId="21044"/>
    <cellStyle name="20% - Énfasis2 8 4 4 3" xfId="21045"/>
    <cellStyle name="20% - Énfasis2 8 4 4 3 2" xfId="21046"/>
    <cellStyle name="20% - Énfasis2 8 4 4 4" xfId="21047"/>
    <cellStyle name="20% - Énfasis2 8 4 5" xfId="21048"/>
    <cellStyle name="20% - Énfasis2 8 4 6" xfId="21049"/>
    <cellStyle name="20% - Énfasis2 8 4 6 2" xfId="21050"/>
    <cellStyle name="20% - Énfasis2 8 4 7" xfId="21051"/>
    <cellStyle name="20% - Énfasis2 8 4_IAS" xfId="21052"/>
    <cellStyle name="20% - Énfasis2 8 5" xfId="21053"/>
    <cellStyle name="20% - Énfasis2 8 6" xfId="21054"/>
    <cellStyle name="20% - Énfasis2 8 6 2" xfId="21055"/>
    <cellStyle name="20% - Énfasis2 8 6 2 2" xfId="21056"/>
    <cellStyle name="20% - Énfasis2 8 6 2 2 2" xfId="21057"/>
    <cellStyle name="20% - Énfasis2 8 6 2 2 2 2" xfId="21058"/>
    <cellStyle name="20% - Énfasis2 8 6 2 2 3" xfId="21059"/>
    <cellStyle name="20% - Énfasis2 8 6 2 2 3 2" xfId="21060"/>
    <cellStyle name="20% - Énfasis2 8 6 2 2 4" xfId="21061"/>
    <cellStyle name="20% - Énfasis2 8 6 2 3" xfId="21062"/>
    <cellStyle name="20% - Énfasis2 8 6 2 4" xfId="21063"/>
    <cellStyle name="20% - Énfasis2 8 6 2 4 2" xfId="21064"/>
    <cellStyle name="20% - Énfasis2 8 6 2 5" xfId="21065"/>
    <cellStyle name="20% - Énfasis2 8 6 2_IAS" xfId="21066"/>
    <cellStyle name="20% - Énfasis2 8 6 3" xfId="21067"/>
    <cellStyle name="20% - Énfasis2 8 6 3 2" xfId="21068"/>
    <cellStyle name="20% - Énfasis2 8 6 3 2 2" xfId="21069"/>
    <cellStyle name="20% - Énfasis2 8 6 3 3" xfId="21070"/>
    <cellStyle name="20% - Énfasis2 8 6 3 3 2" xfId="21071"/>
    <cellStyle name="20% - Énfasis2 8 6 3 4" xfId="21072"/>
    <cellStyle name="20% - Énfasis2 8 6 4" xfId="21073"/>
    <cellStyle name="20% - Énfasis2 8 6 5" xfId="21074"/>
    <cellStyle name="20% - Énfasis2 8 6 5 2" xfId="21075"/>
    <cellStyle name="20% - Énfasis2 8 6 6" xfId="21076"/>
    <cellStyle name="20% - Énfasis2 8 6_IAS" xfId="21077"/>
    <cellStyle name="20% - Énfasis2 8 7" xfId="21078"/>
    <cellStyle name="20% - Énfasis2 8 7 2" xfId="21079"/>
    <cellStyle name="20% - Énfasis2 8 7 2 2" xfId="21080"/>
    <cellStyle name="20% - Énfasis2 8 7 2 2 2" xfId="21081"/>
    <cellStyle name="20% - Énfasis2 8 7 2 3" xfId="21082"/>
    <cellStyle name="20% - Énfasis2 8 7 2 3 2" xfId="21083"/>
    <cellStyle name="20% - Énfasis2 8 7 2 4" xfId="21084"/>
    <cellStyle name="20% - Énfasis2 8 7 3" xfId="21085"/>
    <cellStyle name="20% - Énfasis2 8 7 4" xfId="21086"/>
    <cellStyle name="20% - Énfasis2 8 7 4 2" xfId="21087"/>
    <cellStyle name="20% - Énfasis2 8 7 5" xfId="21088"/>
    <cellStyle name="20% - Énfasis2 8 7_IAS" xfId="21089"/>
    <cellStyle name="20% - Énfasis2 8 8" xfId="21090"/>
    <cellStyle name="20% - Énfasis2 8 8 2" xfId="21091"/>
    <cellStyle name="20% - Énfasis2 8 8 2 2" xfId="21092"/>
    <cellStyle name="20% - Énfasis2 8 8 3" xfId="21093"/>
    <cellStyle name="20% - Énfasis2 8 8 3 2" xfId="21094"/>
    <cellStyle name="20% - Énfasis2 8 8 4" xfId="21095"/>
    <cellStyle name="20% - Énfasis2 8 9" xfId="21096"/>
    <cellStyle name="20% - Énfasis2 8 9 2" xfId="21097"/>
    <cellStyle name="20% - Énfasis2 8 9 2 2" xfId="21098"/>
    <cellStyle name="20% - Énfasis2 8 9 3" xfId="21099"/>
    <cellStyle name="20% - Énfasis2 8_AGF" xfId="21100"/>
    <cellStyle name="20% - Énfasis2 9" xfId="21101"/>
    <cellStyle name="20% - Énfasis2 9 10" xfId="21102"/>
    <cellStyle name="20% - Énfasis2 9 10 2" xfId="21103"/>
    <cellStyle name="20% - Énfasis2 9 10 2 2" xfId="21104"/>
    <cellStyle name="20% - Énfasis2 9 10 3" xfId="21105"/>
    <cellStyle name="20% - Énfasis2 9 11" xfId="21106"/>
    <cellStyle name="20% - Énfasis2 9 11 2" xfId="21107"/>
    <cellStyle name="20% - Énfasis2 9 12" xfId="21108"/>
    <cellStyle name="20% - Énfasis2 9 12 2" xfId="21109"/>
    <cellStyle name="20% - Énfasis2 9 13" xfId="21110"/>
    <cellStyle name="20% - Énfasis2 9 14" xfId="21111"/>
    <cellStyle name="20% - Énfasis2 9 2" xfId="21112"/>
    <cellStyle name="20% - Énfasis2 9 2 2" xfId="21113"/>
    <cellStyle name="20% - Énfasis2 9 2 2 2" xfId="21114"/>
    <cellStyle name="20% - Énfasis2 9 2 2 2 2" xfId="21115"/>
    <cellStyle name="20% - Énfasis2 9 2 2 2 2 2" xfId="21116"/>
    <cellStyle name="20% - Énfasis2 9 2 2 2 2 2 2" xfId="21117"/>
    <cellStyle name="20% - Énfasis2 9 2 2 2 2 3" xfId="21118"/>
    <cellStyle name="20% - Énfasis2 9 2 2 2 2 3 2" xfId="21119"/>
    <cellStyle name="20% - Énfasis2 9 2 2 2 2 4" xfId="21120"/>
    <cellStyle name="20% - Énfasis2 9 2 2 2 3" xfId="21121"/>
    <cellStyle name="20% - Énfasis2 9 2 2 2 4" xfId="21122"/>
    <cellStyle name="20% - Énfasis2 9 2 2 2 4 2" xfId="21123"/>
    <cellStyle name="20% - Énfasis2 9 2 2 2 5" xfId="21124"/>
    <cellStyle name="20% - Énfasis2 9 2 2 2_IAS" xfId="21125"/>
    <cellStyle name="20% - Énfasis2 9 2 2 3" xfId="21126"/>
    <cellStyle name="20% - Énfasis2 9 2 2 3 2" xfId="21127"/>
    <cellStyle name="20% - Énfasis2 9 2 2 3 2 2" xfId="21128"/>
    <cellStyle name="20% - Énfasis2 9 2 2 3 3" xfId="21129"/>
    <cellStyle name="20% - Énfasis2 9 2 2 3 3 2" xfId="21130"/>
    <cellStyle name="20% - Énfasis2 9 2 2 3 4" xfId="21131"/>
    <cellStyle name="20% - Énfasis2 9 2 2 4" xfId="21132"/>
    <cellStyle name="20% - Énfasis2 9 2 2 5" xfId="21133"/>
    <cellStyle name="20% - Énfasis2 9 2 2 5 2" xfId="21134"/>
    <cellStyle name="20% - Énfasis2 9 2 2 6" xfId="21135"/>
    <cellStyle name="20% - Énfasis2 9 2 2_IAS" xfId="21136"/>
    <cellStyle name="20% - Énfasis2 9 2 3" xfId="21137"/>
    <cellStyle name="20% - Énfasis2 9 2 3 2" xfId="21138"/>
    <cellStyle name="20% - Énfasis2 9 2 3 2 2" xfId="21139"/>
    <cellStyle name="20% - Énfasis2 9 2 3 2 2 2" xfId="21140"/>
    <cellStyle name="20% - Énfasis2 9 2 3 2 3" xfId="21141"/>
    <cellStyle name="20% - Énfasis2 9 2 3 2 3 2" xfId="21142"/>
    <cellStyle name="20% - Énfasis2 9 2 3 2 4" xfId="21143"/>
    <cellStyle name="20% - Énfasis2 9 2 3 3" xfId="21144"/>
    <cellStyle name="20% - Énfasis2 9 2 3 4" xfId="21145"/>
    <cellStyle name="20% - Énfasis2 9 2 3 4 2" xfId="21146"/>
    <cellStyle name="20% - Énfasis2 9 2 3 5" xfId="21147"/>
    <cellStyle name="20% - Énfasis2 9 2 3_IAS" xfId="21148"/>
    <cellStyle name="20% - Énfasis2 9 2 4" xfId="21149"/>
    <cellStyle name="20% - Énfasis2 9 2 4 2" xfId="21150"/>
    <cellStyle name="20% - Énfasis2 9 2 4 2 2" xfId="21151"/>
    <cellStyle name="20% - Énfasis2 9 2 4 3" xfId="21152"/>
    <cellStyle name="20% - Énfasis2 9 2 4 3 2" xfId="21153"/>
    <cellStyle name="20% - Énfasis2 9 2 4 4" xfId="21154"/>
    <cellStyle name="20% - Énfasis2 9 2 5" xfId="21155"/>
    <cellStyle name="20% - Énfasis2 9 2 6" xfId="21156"/>
    <cellStyle name="20% - Énfasis2 9 2 6 2" xfId="21157"/>
    <cellStyle name="20% - Énfasis2 9 2 7" xfId="21158"/>
    <cellStyle name="20% - Énfasis2 9 2_IAS" xfId="21159"/>
    <cellStyle name="20% - Énfasis2 9 3" xfId="21160"/>
    <cellStyle name="20% - Énfasis2 9 3 2" xfId="21161"/>
    <cellStyle name="20% - Énfasis2 9 3 2 2" xfId="21162"/>
    <cellStyle name="20% - Énfasis2 9 3 2 2 2" xfId="21163"/>
    <cellStyle name="20% - Énfasis2 9 3 2 2 2 2" xfId="21164"/>
    <cellStyle name="20% - Énfasis2 9 3 2 2 2 2 2" xfId="21165"/>
    <cellStyle name="20% - Énfasis2 9 3 2 2 2 3" xfId="21166"/>
    <cellStyle name="20% - Énfasis2 9 3 2 2 2 3 2" xfId="21167"/>
    <cellStyle name="20% - Énfasis2 9 3 2 2 2 4" xfId="21168"/>
    <cellStyle name="20% - Énfasis2 9 3 2 2 3" xfId="21169"/>
    <cellStyle name="20% - Énfasis2 9 3 2 2 4" xfId="21170"/>
    <cellStyle name="20% - Énfasis2 9 3 2 2 4 2" xfId="21171"/>
    <cellStyle name="20% - Énfasis2 9 3 2 2 5" xfId="21172"/>
    <cellStyle name="20% - Énfasis2 9 3 2 2_IAS" xfId="21173"/>
    <cellStyle name="20% - Énfasis2 9 3 2 3" xfId="21174"/>
    <cellStyle name="20% - Énfasis2 9 3 2 3 2" xfId="21175"/>
    <cellStyle name="20% - Énfasis2 9 3 2 3 2 2" xfId="21176"/>
    <cellStyle name="20% - Énfasis2 9 3 2 3 3" xfId="21177"/>
    <cellStyle name="20% - Énfasis2 9 3 2 3 3 2" xfId="21178"/>
    <cellStyle name="20% - Énfasis2 9 3 2 3 4" xfId="21179"/>
    <cellStyle name="20% - Énfasis2 9 3 2 4" xfId="21180"/>
    <cellStyle name="20% - Énfasis2 9 3 2 5" xfId="21181"/>
    <cellStyle name="20% - Énfasis2 9 3 2 5 2" xfId="21182"/>
    <cellStyle name="20% - Énfasis2 9 3 2 6" xfId="21183"/>
    <cellStyle name="20% - Énfasis2 9 3 2_IAS" xfId="21184"/>
    <cellStyle name="20% - Énfasis2 9 3 3" xfId="21185"/>
    <cellStyle name="20% - Énfasis2 9 3 3 2" xfId="21186"/>
    <cellStyle name="20% - Énfasis2 9 3 3 2 2" xfId="21187"/>
    <cellStyle name="20% - Énfasis2 9 3 3 2 2 2" xfId="21188"/>
    <cellStyle name="20% - Énfasis2 9 3 3 2 3" xfId="21189"/>
    <cellStyle name="20% - Énfasis2 9 3 3 2 3 2" xfId="21190"/>
    <cellStyle name="20% - Énfasis2 9 3 3 2 4" xfId="21191"/>
    <cellStyle name="20% - Énfasis2 9 3 3 3" xfId="21192"/>
    <cellStyle name="20% - Énfasis2 9 3 3 4" xfId="21193"/>
    <cellStyle name="20% - Énfasis2 9 3 3 4 2" xfId="21194"/>
    <cellStyle name="20% - Énfasis2 9 3 3 5" xfId="21195"/>
    <cellStyle name="20% - Énfasis2 9 3 3_IAS" xfId="21196"/>
    <cellStyle name="20% - Énfasis2 9 3 4" xfId="21197"/>
    <cellStyle name="20% - Énfasis2 9 3 4 2" xfId="21198"/>
    <cellStyle name="20% - Énfasis2 9 3 4 2 2" xfId="21199"/>
    <cellStyle name="20% - Énfasis2 9 3 4 3" xfId="21200"/>
    <cellStyle name="20% - Énfasis2 9 3 4 3 2" xfId="21201"/>
    <cellStyle name="20% - Énfasis2 9 3 4 4" xfId="21202"/>
    <cellStyle name="20% - Énfasis2 9 3 5" xfId="21203"/>
    <cellStyle name="20% - Énfasis2 9 3 6" xfId="21204"/>
    <cellStyle name="20% - Énfasis2 9 3 6 2" xfId="21205"/>
    <cellStyle name="20% - Énfasis2 9 3 7" xfId="21206"/>
    <cellStyle name="20% - Énfasis2 9 3_IAS" xfId="21207"/>
    <cellStyle name="20% - Énfasis2 9 4" xfId="21208"/>
    <cellStyle name="20% - Énfasis2 9 5" xfId="21209"/>
    <cellStyle name="20% - Énfasis2 9 5 2" xfId="21210"/>
    <cellStyle name="20% - Énfasis2 9 5 2 2" xfId="21211"/>
    <cellStyle name="20% - Énfasis2 9 5 2 2 2" xfId="21212"/>
    <cellStyle name="20% - Énfasis2 9 5 2 2 2 2" xfId="21213"/>
    <cellStyle name="20% - Énfasis2 9 5 2 2 3" xfId="21214"/>
    <cellStyle name="20% - Énfasis2 9 5 2 2 3 2" xfId="21215"/>
    <cellStyle name="20% - Énfasis2 9 5 2 2 4" xfId="21216"/>
    <cellStyle name="20% - Énfasis2 9 5 2 3" xfId="21217"/>
    <cellStyle name="20% - Énfasis2 9 5 2 4" xfId="21218"/>
    <cellStyle name="20% - Énfasis2 9 5 2 4 2" xfId="21219"/>
    <cellStyle name="20% - Énfasis2 9 5 2 5" xfId="21220"/>
    <cellStyle name="20% - Énfasis2 9 5 2_IAS" xfId="21221"/>
    <cellStyle name="20% - Énfasis2 9 5 3" xfId="21222"/>
    <cellStyle name="20% - Énfasis2 9 5 3 2" xfId="21223"/>
    <cellStyle name="20% - Énfasis2 9 5 3 2 2" xfId="21224"/>
    <cellStyle name="20% - Énfasis2 9 5 3 3" xfId="21225"/>
    <cellStyle name="20% - Énfasis2 9 5 3 3 2" xfId="21226"/>
    <cellStyle name="20% - Énfasis2 9 5 3 4" xfId="21227"/>
    <cellStyle name="20% - Énfasis2 9 5 4" xfId="21228"/>
    <cellStyle name="20% - Énfasis2 9 5 5" xfId="21229"/>
    <cellStyle name="20% - Énfasis2 9 5 5 2" xfId="21230"/>
    <cellStyle name="20% - Énfasis2 9 5 6" xfId="21231"/>
    <cellStyle name="20% - Énfasis2 9 5_IAS" xfId="21232"/>
    <cellStyle name="20% - Énfasis2 9 6" xfId="21233"/>
    <cellStyle name="20% - Énfasis2 9 6 2" xfId="21234"/>
    <cellStyle name="20% - Énfasis2 9 6 2 2" xfId="21235"/>
    <cellStyle name="20% - Énfasis2 9 6 2 2 2" xfId="21236"/>
    <cellStyle name="20% - Énfasis2 9 6 2 3" xfId="21237"/>
    <cellStyle name="20% - Énfasis2 9 6 2 3 2" xfId="21238"/>
    <cellStyle name="20% - Énfasis2 9 6 2 4" xfId="21239"/>
    <cellStyle name="20% - Énfasis2 9 6 3" xfId="21240"/>
    <cellStyle name="20% - Énfasis2 9 6 4" xfId="21241"/>
    <cellStyle name="20% - Énfasis2 9 6 4 2" xfId="21242"/>
    <cellStyle name="20% - Énfasis2 9 6 5" xfId="21243"/>
    <cellStyle name="20% - Énfasis2 9 6_IAS" xfId="21244"/>
    <cellStyle name="20% - Énfasis2 9 7" xfId="21245"/>
    <cellStyle name="20% - Énfasis2 9 7 2" xfId="21246"/>
    <cellStyle name="20% - Énfasis2 9 7 2 2" xfId="21247"/>
    <cellStyle name="20% - Énfasis2 9 7 3" xfId="21248"/>
    <cellStyle name="20% - Énfasis2 9 7 3 2" xfId="21249"/>
    <cellStyle name="20% - Énfasis2 9 7 4" xfId="21250"/>
    <cellStyle name="20% - Énfasis2 9 8" xfId="21251"/>
    <cellStyle name="20% - Énfasis2 9 8 2" xfId="21252"/>
    <cellStyle name="20% - Énfasis2 9 8 2 2" xfId="21253"/>
    <cellStyle name="20% - Énfasis2 9 8 3" xfId="21254"/>
    <cellStyle name="20% - Énfasis2 9 9" xfId="21255"/>
    <cellStyle name="20% - Énfasis2 9 9 2" xfId="21256"/>
    <cellStyle name="20% - Énfasis2 9 9 2 2" xfId="21257"/>
    <cellStyle name="20% - Énfasis2 9 9 3" xfId="21258"/>
    <cellStyle name="20% - Énfasis2 9_IAS" xfId="21259"/>
    <cellStyle name="20% - Énfasis3 10" xfId="21260"/>
    <cellStyle name="20% - Énfasis3 10 2" xfId="21261"/>
    <cellStyle name="20% - Énfasis3 10 2 2" xfId="21262"/>
    <cellStyle name="20% - Énfasis3 10 2 2 2" xfId="21263"/>
    <cellStyle name="20% - Énfasis3 10 2 3" xfId="21264"/>
    <cellStyle name="20% - Énfasis3 10 2 3 2" xfId="21265"/>
    <cellStyle name="20% - Énfasis3 10 2 4" xfId="21266"/>
    <cellStyle name="20% - Énfasis3 10 3" xfId="21267"/>
    <cellStyle name="20% - Énfasis3 10 4" xfId="21268"/>
    <cellStyle name="20% - Énfasis3 10 4 2" xfId="21269"/>
    <cellStyle name="20% - Énfasis3 10 5" xfId="21270"/>
    <cellStyle name="20% - Énfasis3 10_IAS" xfId="21271"/>
    <cellStyle name="20% - Énfasis3 11" xfId="21272"/>
    <cellStyle name="20% - Énfasis3 11 2" xfId="21273"/>
    <cellStyle name="20% - Énfasis3 11 2 2" xfId="21274"/>
    <cellStyle name="20% - Énfasis3 11 3" xfId="21275"/>
    <cellStyle name="20% - Énfasis3 11 3 2" xfId="21276"/>
    <cellStyle name="20% - Énfasis3 11 4" xfId="21277"/>
    <cellStyle name="20% - Énfasis3 11_IAS" xfId="21278"/>
    <cellStyle name="20% - Énfasis3 12" xfId="21279"/>
    <cellStyle name="20% - Énfasis3 12 2" xfId="21280"/>
    <cellStyle name="20% - Énfasis3 13" xfId="21281"/>
    <cellStyle name="20% - Énfasis3 13 2" xfId="21282"/>
    <cellStyle name="20% - Énfasis3 14" xfId="21283"/>
    <cellStyle name="20% - Énfasis3 14 2" xfId="21284"/>
    <cellStyle name="20% - Énfasis3 15" xfId="21285"/>
    <cellStyle name="20% - Énfasis3 16" xfId="19902"/>
    <cellStyle name="20% - Énfasis3 2" xfId="90"/>
    <cellStyle name="20% - Énfasis3 2 10" xfId="12718"/>
    <cellStyle name="20% - Énfasis3 2 11" xfId="21286"/>
    <cellStyle name="20% - Énfasis3 2 2" xfId="91"/>
    <cellStyle name="20% - Énfasis3 2 2 10" xfId="21287"/>
    <cellStyle name="20% - Énfasis3 2 2 2" xfId="92"/>
    <cellStyle name="20% - Énfasis3 2 2 2 2" xfId="93"/>
    <cellStyle name="20% - Énfasis3 2 2 2 2 2" xfId="94"/>
    <cellStyle name="20% - Énfasis3 2 2 2 2 2 2" xfId="2262"/>
    <cellStyle name="20% - Énfasis3 2 2 2 2 2 2 2" xfId="5387"/>
    <cellStyle name="20% - Énfasis3 2 2 2 2 2 2 2 2" xfId="11590"/>
    <cellStyle name="20% - Énfasis3 2 2 2 2 2 2 2 3" xfId="17792"/>
    <cellStyle name="20% - Énfasis3 2 2 2 2 2 2 2 4" xfId="56623"/>
    <cellStyle name="20% - Énfasis3 2 2 2 2 2 2 3" xfId="8490"/>
    <cellStyle name="20% - Énfasis3 2 2 2 2 2 2 4" xfId="14692"/>
    <cellStyle name="20% - Énfasis3 2 2 2 2 2 2 5" xfId="53727"/>
    <cellStyle name="20% - Énfasis3 2 2 2 2 2 3" xfId="2365"/>
    <cellStyle name="20% - Énfasis3 2 2 2 2 2 3 2" xfId="5489"/>
    <cellStyle name="20% - Énfasis3 2 2 2 2 2 3 2 2" xfId="11692"/>
    <cellStyle name="20% - Énfasis3 2 2 2 2 2 3 2 3" xfId="17894"/>
    <cellStyle name="20% - Énfasis3 2 2 2 2 2 3 2 4" xfId="56722"/>
    <cellStyle name="20% - Énfasis3 2 2 2 2 2 3 3" xfId="8592"/>
    <cellStyle name="20% - Énfasis3 2 2 2 2 2 3 4" xfId="14794"/>
    <cellStyle name="20% - Énfasis3 2 2 2 2 2 3 5" xfId="53827"/>
    <cellStyle name="20% - Énfasis3 2 2 2 2 2 4" xfId="3417"/>
    <cellStyle name="20% - Énfasis3 2 2 2 2 2 4 2" xfId="9621"/>
    <cellStyle name="20% - Énfasis3 2 2 2 2 2 4 3" xfId="15823"/>
    <cellStyle name="20% - Énfasis3 2 2 2 2 2 4 4" xfId="54794"/>
    <cellStyle name="20% - Énfasis3 2 2 2 2 2 5" xfId="6520"/>
    <cellStyle name="20% - Énfasis3 2 2 2 2 2 5 2" xfId="19863"/>
    <cellStyle name="20% - Énfasis3 2 2 2 2 2 6" xfId="12722"/>
    <cellStyle name="20% - Énfasis3 2 2 2 2 2 7" xfId="52207"/>
    <cellStyle name="20% - Énfasis3 2 2 2 2 3" xfId="1738"/>
    <cellStyle name="20% - Énfasis3 2 2 2 2 3 2" xfId="4863"/>
    <cellStyle name="20% - Énfasis3 2 2 2 2 3 2 2" xfId="11066"/>
    <cellStyle name="20% - Énfasis3 2 2 2 2 3 2 3" xfId="17268"/>
    <cellStyle name="20% - Énfasis3 2 2 2 2 3 2 4" xfId="56134"/>
    <cellStyle name="20% - Énfasis3 2 2 2 2 3 3" xfId="7966"/>
    <cellStyle name="20% - Énfasis3 2 2 2 2 3 4" xfId="14168"/>
    <cellStyle name="20% - Énfasis3 2 2 2 2 3 5" xfId="53242"/>
    <cellStyle name="20% - Énfasis3 2 2 2 2 4" xfId="2364"/>
    <cellStyle name="20% - Énfasis3 2 2 2 2 4 2" xfId="5488"/>
    <cellStyle name="20% - Énfasis3 2 2 2 2 4 2 2" xfId="11691"/>
    <cellStyle name="20% - Énfasis3 2 2 2 2 4 2 3" xfId="17893"/>
    <cellStyle name="20% - Énfasis3 2 2 2 2 4 2 4" xfId="56721"/>
    <cellStyle name="20% - Énfasis3 2 2 2 2 4 3" xfId="8591"/>
    <cellStyle name="20% - Énfasis3 2 2 2 2 4 4" xfId="14793"/>
    <cellStyle name="20% - Énfasis3 2 2 2 2 4 5" xfId="53826"/>
    <cellStyle name="20% - Énfasis3 2 2 2 2 5" xfId="3416"/>
    <cellStyle name="20% - Énfasis3 2 2 2 2 5 2" xfId="9620"/>
    <cellStyle name="20% - Énfasis3 2 2 2 2 5 3" xfId="15822"/>
    <cellStyle name="20% - Énfasis3 2 2 2 2 5 4" xfId="54793"/>
    <cellStyle name="20% - Énfasis3 2 2 2 2 6" xfId="6519"/>
    <cellStyle name="20% - Énfasis3 2 2 2 2 6 2" xfId="19339"/>
    <cellStyle name="20% - Énfasis3 2 2 2 2 7" xfId="12721"/>
    <cellStyle name="20% - Énfasis3 2 2 2 2 8" xfId="52206"/>
    <cellStyle name="20% - Énfasis3 2 2 2 3" xfId="95"/>
    <cellStyle name="20% - Énfasis3 2 2 2 3 2" xfId="2017"/>
    <cellStyle name="20% - Énfasis3 2 2 2 3 2 2" xfId="5142"/>
    <cellStyle name="20% - Énfasis3 2 2 2 3 2 2 2" xfId="11345"/>
    <cellStyle name="20% - Énfasis3 2 2 2 3 2 2 3" xfId="17547"/>
    <cellStyle name="20% - Énfasis3 2 2 2 3 2 2 4" xfId="56396"/>
    <cellStyle name="20% - Énfasis3 2 2 2 3 2 3" xfId="8245"/>
    <cellStyle name="20% - Énfasis3 2 2 2 3 2 4" xfId="14447"/>
    <cellStyle name="20% - Énfasis3 2 2 2 3 2 5" xfId="53501"/>
    <cellStyle name="20% - Énfasis3 2 2 2 3 3" xfId="2366"/>
    <cellStyle name="20% - Énfasis3 2 2 2 3 3 2" xfId="5490"/>
    <cellStyle name="20% - Énfasis3 2 2 2 3 3 2 2" xfId="11693"/>
    <cellStyle name="20% - Énfasis3 2 2 2 3 3 2 3" xfId="17895"/>
    <cellStyle name="20% - Énfasis3 2 2 2 3 3 2 4" xfId="56723"/>
    <cellStyle name="20% - Énfasis3 2 2 2 3 3 3" xfId="8593"/>
    <cellStyle name="20% - Énfasis3 2 2 2 3 3 4" xfId="14795"/>
    <cellStyle name="20% - Énfasis3 2 2 2 3 3 5" xfId="53828"/>
    <cellStyle name="20% - Énfasis3 2 2 2 3 4" xfId="3418"/>
    <cellStyle name="20% - Énfasis3 2 2 2 3 4 2" xfId="9622"/>
    <cellStyle name="20% - Énfasis3 2 2 2 3 4 3" xfId="15824"/>
    <cellStyle name="20% - Énfasis3 2 2 2 3 4 4" xfId="54795"/>
    <cellStyle name="20% - Énfasis3 2 2 2 3 5" xfId="6521"/>
    <cellStyle name="20% - Énfasis3 2 2 2 3 5 2" xfId="19618"/>
    <cellStyle name="20% - Énfasis3 2 2 2 3 6" xfId="12723"/>
    <cellStyle name="20% - Énfasis3 2 2 2 3 7" xfId="52208"/>
    <cellStyle name="20% - Énfasis3 2 2 2 4" xfId="1493"/>
    <cellStyle name="20% - Énfasis3 2 2 2 4 2" xfId="4618"/>
    <cellStyle name="20% - Énfasis3 2 2 2 4 2 2" xfId="10821"/>
    <cellStyle name="20% - Énfasis3 2 2 2 4 2 3" xfId="17023"/>
    <cellStyle name="20% - Énfasis3 2 2 2 4 2 4" xfId="55901"/>
    <cellStyle name="20% - Énfasis3 2 2 2 4 3" xfId="7721"/>
    <cellStyle name="20% - Énfasis3 2 2 2 4 4" xfId="13923"/>
    <cellStyle name="20% - Énfasis3 2 2 2 4 5" xfId="53017"/>
    <cellStyle name="20% - Énfasis3 2 2 2 5" xfId="2363"/>
    <cellStyle name="20% - Énfasis3 2 2 2 5 2" xfId="5487"/>
    <cellStyle name="20% - Énfasis3 2 2 2 5 2 2" xfId="11690"/>
    <cellStyle name="20% - Énfasis3 2 2 2 5 2 3" xfId="17892"/>
    <cellStyle name="20% - Énfasis3 2 2 2 5 2 4" xfId="56720"/>
    <cellStyle name="20% - Énfasis3 2 2 2 5 3" xfId="8590"/>
    <cellStyle name="20% - Énfasis3 2 2 2 5 4" xfId="14792"/>
    <cellStyle name="20% - Énfasis3 2 2 2 5 5" xfId="53825"/>
    <cellStyle name="20% - Énfasis3 2 2 2 6" xfId="3415"/>
    <cellStyle name="20% - Énfasis3 2 2 2 6 2" xfId="9619"/>
    <cellStyle name="20% - Énfasis3 2 2 2 6 3" xfId="15821"/>
    <cellStyle name="20% - Énfasis3 2 2 2 6 4" xfId="54792"/>
    <cellStyle name="20% - Énfasis3 2 2 2 7" xfId="6518"/>
    <cellStyle name="20% - Énfasis3 2 2 2 7 2" xfId="19094"/>
    <cellStyle name="20% - Énfasis3 2 2 2 8" xfId="12720"/>
    <cellStyle name="20% - Énfasis3 2 2 2 9" xfId="52135"/>
    <cellStyle name="20% - Énfasis3 2 2 3" xfId="96"/>
    <cellStyle name="20% - Énfasis3 2 2 3 2" xfId="97"/>
    <cellStyle name="20% - Énfasis3 2 2 3 2 2" xfId="2134"/>
    <cellStyle name="20% - Énfasis3 2 2 3 2 2 2" xfId="5259"/>
    <cellStyle name="20% - Énfasis3 2 2 3 2 2 2 2" xfId="11462"/>
    <cellStyle name="20% - Énfasis3 2 2 3 2 2 2 3" xfId="17664"/>
    <cellStyle name="20% - Énfasis3 2 2 3 2 2 2 4" xfId="56504"/>
    <cellStyle name="20% - Énfasis3 2 2 3 2 2 3" xfId="8362"/>
    <cellStyle name="20% - Énfasis3 2 2 3 2 2 4" xfId="14564"/>
    <cellStyle name="20% - Énfasis3 2 2 3 2 2 5" xfId="53608"/>
    <cellStyle name="20% - Énfasis3 2 2 3 2 3" xfId="2368"/>
    <cellStyle name="20% - Énfasis3 2 2 3 2 3 2" xfId="5492"/>
    <cellStyle name="20% - Énfasis3 2 2 3 2 3 2 2" xfId="11695"/>
    <cellStyle name="20% - Énfasis3 2 2 3 2 3 2 3" xfId="17897"/>
    <cellStyle name="20% - Énfasis3 2 2 3 2 3 2 4" xfId="56725"/>
    <cellStyle name="20% - Énfasis3 2 2 3 2 3 3" xfId="8595"/>
    <cellStyle name="20% - Énfasis3 2 2 3 2 3 4" xfId="14797"/>
    <cellStyle name="20% - Énfasis3 2 2 3 2 3 5" xfId="53830"/>
    <cellStyle name="20% - Énfasis3 2 2 3 2 4" xfId="3420"/>
    <cellStyle name="20% - Énfasis3 2 2 3 2 4 2" xfId="9624"/>
    <cellStyle name="20% - Énfasis3 2 2 3 2 4 3" xfId="15826"/>
    <cellStyle name="20% - Énfasis3 2 2 3 2 4 4" xfId="54797"/>
    <cellStyle name="20% - Énfasis3 2 2 3 2 5" xfId="6523"/>
    <cellStyle name="20% - Énfasis3 2 2 3 2 5 2" xfId="19735"/>
    <cellStyle name="20% - Énfasis3 2 2 3 2 6" xfId="12725"/>
    <cellStyle name="20% - Énfasis3 2 2 3 2 7" xfId="52209"/>
    <cellStyle name="20% - Énfasis3 2 2 3 3" xfId="1610"/>
    <cellStyle name="20% - Énfasis3 2 2 3 3 2" xfId="4735"/>
    <cellStyle name="20% - Énfasis3 2 2 3 3 2 2" xfId="10938"/>
    <cellStyle name="20% - Énfasis3 2 2 3 3 2 3" xfId="17140"/>
    <cellStyle name="20% - Énfasis3 2 2 3 3 2 4" xfId="56012"/>
    <cellStyle name="20% - Énfasis3 2 2 3 3 3" xfId="7838"/>
    <cellStyle name="20% - Énfasis3 2 2 3 3 4" xfId="14040"/>
    <cellStyle name="20% - Énfasis3 2 2 3 3 5" xfId="53123"/>
    <cellStyle name="20% - Énfasis3 2 2 3 4" xfId="2367"/>
    <cellStyle name="20% - Énfasis3 2 2 3 4 2" xfId="5491"/>
    <cellStyle name="20% - Énfasis3 2 2 3 4 2 2" xfId="11694"/>
    <cellStyle name="20% - Énfasis3 2 2 3 4 2 3" xfId="17896"/>
    <cellStyle name="20% - Énfasis3 2 2 3 4 2 4" xfId="56724"/>
    <cellStyle name="20% - Énfasis3 2 2 3 4 3" xfId="8594"/>
    <cellStyle name="20% - Énfasis3 2 2 3 4 4" xfId="14796"/>
    <cellStyle name="20% - Énfasis3 2 2 3 4 5" xfId="53829"/>
    <cellStyle name="20% - Énfasis3 2 2 3 5" xfId="3419"/>
    <cellStyle name="20% - Énfasis3 2 2 3 5 2" xfId="9623"/>
    <cellStyle name="20% - Énfasis3 2 2 3 5 3" xfId="15825"/>
    <cellStyle name="20% - Énfasis3 2 2 3 5 4" xfId="54796"/>
    <cellStyle name="20% - Énfasis3 2 2 3 6" xfId="6522"/>
    <cellStyle name="20% - Énfasis3 2 2 3 6 2" xfId="19211"/>
    <cellStyle name="20% - Énfasis3 2 2 3 7" xfId="12724"/>
    <cellStyle name="20% - Énfasis3 2 2 3 8" xfId="52003"/>
    <cellStyle name="20% - Énfasis3 2 2 4" xfId="98"/>
    <cellStyle name="20% - Énfasis3 2 2 4 2" xfId="1875"/>
    <cellStyle name="20% - Énfasis3 2 2 4 2 2" xfId="5000"/>
    <cellStyle name="20% - Énfasis3 2 2 4 2 2 2" xfId="11203"/>
    <cellStyle name="20% - Énfasis3 2 2 4 2 2 3" xfId="17405"/>
    <cellStyle name="20% - Énfasis3 2 2 4 2 2 4" xfId="56262"/>
    <cellStyle name="20% - Énfasis3 2 2 4 2 3" xfId="8103"/>
    <cellStyle name="20% - Énfasis3 2 2 4 2 4" xfId="14305"/>
    <cellStyle name="20% - Énfasis3 2 2 4 2 5" xfId="53368"/>
    <cellStyle name="20% - Énfasis3 2 2 4 3" xfId="2369"/>
    <cellStyle name="20% - Énfasis3 2 2 4 3 2" xfId="5493"/>
    <cellStyle name="20% - Énfasis3 2 2 4 3 2 2" xfId="11696"/>
    <cellStyle name="20% - Énfasis3 2 2 4 3 2 3" xfId="17898"/>
    <cellStyle name="20% - Énfasis3 2 2 4 3 2 4" xfId="56726"/>
    <cellStyle name="20% - Énfasis3 2 2 4 3 3" xfId="8596"/>
    <cellStyle name="20% - Énfasis3 2 2 4 3 4" xfId="14798"/>
    <cellStyle name="20% - Énfasis3 2 2 4 3 5" xfId="53831"/>
    <cellStyle name="20% - Énfasis3 2 2 4 4" xfId="3421"/>
    <cellStyle name="20% - Énfasis3 2 2 4 4 2" xfId="9625"/>
    <cellStyle name="20% - Énfasis3 2 2 4 4 3" xfId="15827"/>
    <cellStyle name="20% - Énfasis3 2 2 4 4 4" xfId="54798"/>
    <cellStyle name="20% - Énfasis3 2 2 4 5" xfId="6524"/>
    <cellStyle name="20% - Énfasis3 2 2 4 5 2" xfId="19476"/>
    <cellStyle name="20% - Énfasis3 2 2 4 6" xfId="12726"/>
    <cellStyle name="20% - Énfasis3 2 2 4 7" xfId="52210"/>
    <cellStyle name="20% - Énfasis3 2 2 5" xfId="1351"/>
    <cellStyle name="20% - Énfasis3 2 2 5 2" xfId="4476"/>
    <cellStyle name="20% - Énfasis3 2 2 5 2 2" xfId="10679"/>
    <cellStyle name="20% - Énfasis3 2 2 5 2 3" xfId="16881"/>
    <cellStyle name="20% - Énfasis3 2 2 5 2 4" xfId="55766"/>
    <cellStyle name="20% - Énfasis3 2 2 5 3" xfId="7579"/>
    <cellStyle name="20% - Énfasis3 2 2 5 4" xfId="13781"/>
    <cellStyle name="20% - Énfasis3 2 2 5 5" xfId="52891"/>
    <cellStyle name="20% - Énfasis3 2 2 6" xfId="2362"/>
    <cellStyle name="20% - Énfasis3 2 2 6 2" xfId="5486"/>
    <cellStyle name="20% - Énfasis3 2 2 6 2 2" xfId="11689"/>
    <cellStyle name="20% - Énfasis3 2 2 6 2 3" xfId="17891"/>
    <cellStyle name="20% - Énfasis3 2 2 6 2 4" xfId="56719"/>
    <cellStyle name="20% - Énfasis3 2 2 6 3" xfId="8589"/>
    <cellStyle name="20% - Énfasis3 2 2 6 4" xfId="14791"/>
    <cellStyle name="20% - Énfasis3 2 2 6 5" xfId="53824"/>
    <cellStyle name="20% - Énfasis3 2 2 7" xfId="3414"/>
    <cellStyle name="20% - Énfasis3 2 2 7 2" xfId="9618"/>
    <cellStyle name="20% - Énfasis3 2 2 7 3" xfId="15820"/>
    <cellStyle name="20% - Énfasis3 2 2 7 4" xfId="54791"/>
    <cellStyle name="20% - Énfasis3 2 2 8" xfId="6517"/>
    <cellStyle name="20% - Énfasis3 2 2 8 2" xfId="18952"/>
    <cellStyle name="20% - Énfasis3 2 2 9" xfId="12719"/>
    <cellStyle name="20% - Énfasis3 2 3" xfId="99"/>
    <cellStyle name="20% - Énfasis3 2 3 2" xfId="100"/>
    <cellStyle name="20% - Énfasis3 2 3 2 2" xfId="101"/>
    <cellStyle name="20% - Énfasis3 2 3 2 2 2" xfId="2194"/>
    <cellStyle name="20% - Énfasis3 2 3 2 2 2 2" xfId="5319"/>
    <cellStyle name="20% - Énfasis3 2 3 2 2 2 2 2" xfId="11522"/>
    <cellStyle name="20% - Énfasis3 2 3 2 2 2 2 3" xfId="17724"/>
    <cellStyle name="20% - Énfasis3 2 3 2 2 2 2 4" xfId="56560"/>
    <cellStyle name="20% - Énfasis3 2 3 2 2 2 3" xfId="8422"/>
    <cellStyle name="20% - Énfasis3 2 3 2 2 2 4" xfId="14624"/>
    <cellStyle name="20% - Énfasis3 2 3 2 2 2 5" xfId="53664"/>
    <cellStyle name="20% - Énfasis3 2 3 2 2 3" xfId="2372"/>
    <cellStyle name="20% - Énfasis3 2 3 2 2 3 2" xfId="5496"/>
    <cellStyle name="20% - Énfasis3 2 3 2 2 3 2 2" xfId="11699"/>
    <cellStyle name="20% - Énfasis3 2 3 2 2 3 2 3" xfId="17901"/>
    <cellStyle name="20% - Énfasis3 2 3 2 2 3 2 4" xfId="56729"/>
    <cellStyle name="20% - Énfasis3 2 3 2 2 3 3" xfId="8599"/>
    <cellStyle name="20% - Énfasis3 2 3 2 2 3 4" xfId="14801"/>
    <cellStyle name="20% - Énfasis3 2 3 2 2 3 5" xfId="53834"/>
    <cellStyle name="20% - Énfasis3 2 3 2 2 4" xfId="3424"/>
    <cellStyle name="20% - Énfasis3 2 3 2 2 4 2" xfId="9628"/>
    <cellStyle name="20% - Énfasis3 2 3 2 2 4 3" xfId="15830"/>
    <cellStyle name="20% - Énfasis3 2 3 2 2 4 4" xfId="54801"/>
    <cellStyle name="20% - Énfasis3 2 3 2 2 5" xfId="6527"/>
    <cellStyle name="20% - Énfasis3 2 3 2 2 5 2" xfId="19795"/>
    <cellStyle name="20% - Énfasis3 2 3 2 2 6" xfId="12729"/>
    <cellStyle name="20% - Énfasis3 2 3 2 2 7" xfId="52212"/>
    <cellStyle name="20% - Énfasis3 2 3 2 3" xfId="1670"/>
    <cellStyle name="20% - Énfasis3 2 3 2 3 2" xfId="4795"/>
    <cellStyle name="20% - Énfasis3 2 3 2 3 2 2" xfId="10998"/>
    <cellStyle name="20% - Énfasis3 2 3 2 3 2 3" xfId="17200"/>
    <cellStyle name="20% - Énfasis3 2 3 2 3 2 4" xfId="56069"/>
    <cellStyle name="20% - Énfasis3 2 3 2 3 3" xfId="7898"/>
    <cellStyle name="20% - Énfasis3 2 3 2 3 4" xfId="14100"/>
    <cellStyle name="20% - Énfasis3 2 3 2 3 5" xfId="53179"/>
    <cellStyle name="20% - Énfasis3 2 3 2 4" xfId="2371"/>
    <cellStyle name="20% - Énfasis3 2 3 2 4 2" xfId="5495"/>
    <cellStyle name="20% - Énfasis3 2 3 2 4 2 2" xfId="11698"/>
    <cellStyle name="20% - Énfasis3 2 3 2 4 2 3" xfId="17900"/>
    <cellStyle name="20% - Énfasis3 2 3 2 4 2 4" xfId="56728"/>
    <cellStyle name="20% - Énfasis3 2 3 2 4 3" xfId="8598"/>
    <cellStyle name="20% - Énfasis3 2 3 2 4 4" xfId="14800"/>
    <cellStyle name="20% - Énfasis3 2 3 2 4 5" xfId="53833"/>
    <cellStyle name="20% - Énfasis3 2 3 2 5" xfId="3423"/>
    <cellStyle name="20% - Énfasis3 2 3 2 5 2" xfId="9627"/>
    <cellStyle name="20% - Énfasis3 2 3 2 5 3" xfId="15829"/>
    <cellStyle name="20% - Énfasis3 2 3 2 5 4" xfId="54800"/>
    <cellStyle name="20% - Énfasis3 2 3 2 6" xfId="6526"/>
    <cellStyle name="20% - Énfasis3 2 3 2 6 2" xfId="19271"/>
    <cellStyle name="20% - Énfasis3 2 3 2 7" xfId="12728"/>
    <cellStyle name="20% - Énfasis3 2 3 2 8" xfId="52211"/>
    <cellStyle name="20% - Énfasis3 2 3 3" xfId="102"/>
    <cellStyle name="20% - Énfasis3 2 3 3 2" xfId="1949"/>
    <cellStyle name="20% - Énfasis3 2 3 3 2 2" xfId="5074"/>
    <cellStyle name="20% - Énfasis3 2 3 3 2 2 2" xfId="11277"/>
    <cellStyle name="20% - Énfasis3 2 3 3 2 2 3" xfId="17479"/>
    <cellStyle name="20% - Énfasis3 2 3 3 2 2 4" xfId="56333"/>
    <cellStyle name="20% - Énfasis3 2 3 3 2 3" xfId="8177"/>
    <cellStyle name="20% - Énfasis3 2 3 3 2 4" xfId="14379"/>
    <cellStyle name="20% - Énfasis3 2 3 3 2 5" xfId="53439"/>
    <cellStyle name="20% - Énfasis3 2 3 3 3" xfId="2373"/>
    <cellStyle name="20% - Énfasis3 2 3 3 3 2" xfId="5497"/>
    <cellStyle name="20% - Énfasis3 2 3 3 3 2 2" xfId="11700"/>
    <cellStyle name="20% - Énfasis3 2 3 3 3 2 3" xfId="17902"/>
    <cellStyle name="20% - Énfasis3 2 3 3 3 2 4" xfId="56730"/>
    <cellStyle name="20% - Énfasis3 2 3 3 3 3" xfId="8600"/>
    <cellStyle name="20% - Énfasis3 2 3 3 3 4" xfId="14802"/>
    <cellStyle name="20% - Énfasis3 2 3 3 3 5" xfId="53835"/>
    <cellStyle name="20% - Énfasis3 2 3 3 4" xfId="3425"/>
    <cellStyle name="20% - Énfasis3 2 3 3 4 2" xfId="9629"/>
    <cellStyle name="20% - Énfasis3 2 3 3 4 3" xfId="15831"/>
    <cellStyle name="20% - Énfasis3 2 3 3 4 4" xfId="54802"/>
    <cellStyle name="20% - Énfasis3 2 3 3 5" xfId="6528"/>
    <cellStyle name="20% - Énfasis3 2 3 3 5 2" xfId="19550"/>
    <cellStyle name="20% - Énfasis3 2 3 3 6" xfId="12730"/>
    <cellStyle name="20% - Énfasis3 2 3 3 7" xfId="52213"/>
    <cellStyle name="20% - Énfasis3 2 3 4" xfId="1425"/>
    <cellStyle name="20% - Énfasis3 2 3 4 2" xfId="4550"/>
    <cellStyle name="20% - Énfasis3 2 3 4 2 2" xfId="10753"/>
    <cellStyle name="20% - Énfasis3 2 3 4 2 3" xfId="16955"/>
    <cellStyle name="20% - Énfasis3 2 3 4 2 4" xfId="55837"/>
    <cellStyle name="20% - Énfasis3 2 3 4 3" xfId="7653"/>
    <cellStyle name="20% - Énfasis3 2 3 4 4" xfId="13855"/>
    <cellStyle name="20% - Énfasis3 2 3 4 5" xfId="52955"/>
    <cellStyle name="20% - Énfasis3 2 3 5" xfId="2370"/>
    <cellStyle name="20% - Énfasis3 2 3 5 2" xfId="5494"/>
    <cellStyle name="20% - Énfasis3 2 3 5 2 2" xfId="11697"/>
    <cellStyle name="20% - Énfasis3 2 3 5 2 3" xfId="17899"/>
    <cellStyle name="20% - Énfasis3 2 3 5 2 4" xfId="56727"/>
    <cellStyle name="20% - Énfasis3 2 3 5 3" xfId="8597"/>
    <cellStyle name="20% - Énfasis3 2 3 5 4" xfId="14799"/>
    <cellStyle name="20% - Énfasis3 2 3 5 5" xfId="53832"/>
    <cellStyle name="20% - Énfasis3 2 3 6" xfId="3422"/>
    <cellStyle name="20% - Énfasis3 2 3 6 2" xfId="9626"/>
    <cellStyle name="20% - Énfasis3 2 3 6 3" xfId="15828"/>
    <cellStyle name="20% - Énfasis3 2 3 6 4" xfId="54799"/>
    <cellStyle name="20% - Énfasis3 2 3 7" xfId="6525"/>
    <cellStyle name="20% - Énfasis3 2 3 7 2" xfId="19026"/>
    <cellStyle name="20% - Énfasis3 2 3 8" xfId="12727"/>
    <cellStyle name="20% - Énfasis3 2 3 9" xfId="52072"/>
    <cellStyle name="20% - Énfasis3 2 4" xfId="103"/>
    <cellStyle name="20% - Énfasis3 2 4 2" xfId="104"/>
    <cellStyle name="20% - Énfasis3 2 4 2 2" xfId="2049"/>
    <cellStyle name="20% - Énfasis3 2 4 2 2 2" xfId="5174"/>
    <cellStyle name="20% - Énfasis3 2 4 2 2 2 2" xfId="11377"/>
    <cellStyle name="20% - Énfasis3 2 4 2 2 2 3" xfId="17579"/>
    <cellStyle name="20% - Énfasis3 2 4 2 2 2 4" xfId="56426"/>
    <cellStyle name="20% - Énfasis3 2 4 2 2 3" xfId="8277"/>
    <cellStyle name="20% - Énfasis3 2 4 2 2 4" xfId="14479"/>
    <cellStyle name="20% - Énfasis3 2 4 2 2 5" xfId="53530"/>
    <cellStyle name="20% - Énfasis3 2 4 2 3" xfId="2375"/>
    <cellStyle name="20% - Énfasis3 2 4 2 3 2" xfId="5499"/>
    <cellStyle name="20% - Énfasis3 2 4 2 3 2 2" xfId="11702"/>
    <cellStyle name="20% - Énfasis3 2 4 2 3 2 3" xfId="17904"/>
    <cellStyle name="20% - Énfasis3 2 4 2 3 2 4" xfId="56732"/>
    <cellStyle name="20% - Énfasis3 2 4 2 3 3" xfId="8602"/>
    <cellStyle name="20% - Énfasis3 2 4 2 3 4" xfId="14804"/>
    <cellStyle name="20% - Énfasis3 2 4 2 3 5" xfId="53837"/>
    <cellStyle name="20% - Énfasis3 2 4 2 4" xfId="3427"/>
    <cellStyle name="20% - Énfasis3 2 4 2 4 2" xfId="9631"/>
    <cellStyle name="20% - Énfasis3 2 4 2 4 3" xfId="15833"/>
    <cellStyle name="20% - Énfasis3 2 4 2 4 4" xfId="54804"/>
    <cellStyle name="20% - Énfasis3 2 4 2 5" xfId="6530"/>
    <cellStyle name="20% - Énfasis3 2 4 2 5 2" xfId="19650"/>
    <cellStyle name="20% - Énfasis3 2 4 2 6" xfId="12732"/>
    <cellStyle name="20% - Énfasis3 2 4 2 7" xfId="52214"/>
    <cellStyle name="20% - Énfasis3 2 4 3" xfId="1525"/>
    <cellStyle name="20% - Énfasis3 2 4 3 2" xfId="4650"/>
    <cellStyle name="20% - Énfasis3 2 4 3 2 2" xfId="10853"/>
    <cellStyle name="20% - Énfasis3 2 4 3 2 3" xfId="17055"/>
    <cellStyle name="20% - Énfasis3 2 4 3 2 4" xfId="55931"/>
    <cellStyle name="20% - Énfasis3 2 4 3 3" xfId="7753"/>
    <cellStyle name="20% - Énfasis3 2 4 3 4" xfId="13955"/>
    <cellStyle name="20% - Énfasis3 2 4 3 5" xfId="53046"/>
    <cellStyle name="20% - Énfasis3 2 4 4" xfId="2374"/>
    <cellStyle name="20% - Énfasis3 2 4 4 2" xfId="5498"/>
    <cellStyle name="20% - Énfasis3 2 4 4 2 2" xfId="11701"/>
    <cellStyle name="20% - Énfasis3 2 4 4 2 3" xfId="17903"/>
    <cellStyle name="20% - Énfasis3 2 4 4 2 4" xfId="56731"/>
    <cellStyle name="20% - Énfasis3 2 4 4 3" xfId="8601"/>
    <cellStyle name="20% - Énfasis3 2 4 4 4" xfId="14803"/>
    <cellStyle name="20% - Énfasis3 2 4 4 5" xfId="53836"/>
    <cellStyle name="20% - Énfasis3 2 4 5" xfId="3426"/>
    <cellStyle name="20% - Énfasis3 2 4 5 2" xfId="9630"/>
    <cellStyle name="20% - Énfasis3 2 4 5 3" xfId="15832"/>
    <cellStyle name="20% - Énfasis3 2 4 5 4" xfId="54803"/>
    <cellStyle name="20% - Énfasis3 2 4 6" xfId="6529"/>
    <cellStyle name="20% - Énfasis3 2 4 6 2" xfId="19126"/>
    <cellStyle name="20% - Énfasis3 2 4 7" xfId="12731"/>
    <cellStyle name="20% - Énfasis3 2 4 8" xfId="51934"/>
    <cellStyle name="20% - Énfasis3 2 5" xfId="105"/>
    <cellStyle name="20% - Énfasis3 2 5 2" xfId="1778"/>
    <cellStyle name="20% - Énfasis3 2 5 2 2" xfId="4903"/>
    <cellStyle name="20% - Énfasis3 2 5 2 2 2" xfId="11106"/>
    <cellStyle name="20% - Énfasis3 2 5 2 2 3" xfId="17308"/>
    <cellStyle name="20% - Énfasis3 2 5 2 2 4" xfId="56172"/>
    <cellStyle name="20% - Énfasis3 2 5 2 3" xfId="8006"/>
    <cellStyle name="20% - Énfasis3 2 5 2 4" xfId="14208"/>
    <cellStyle name="20% - Énfasis3 2 5 2 5" xfId="53279"/>
    <cellStyle name="20% - Énfasis3 2 5 3" xfId="2376"/>
    <cellStyle name="20% - Énfasis3 2 5 3 2" xfId="5500"/>
    <cellStyle name="20% - Énfasis3 2 5 3 2 2" xfId="11703"/>
    <cellStyle name="20% - Énfasis3 2 5 3 2 3" xfId="17905"/>
    <cellStyle name="20% - Énfasis3 2 5 3 2 4" xfId="56733"/>
    <cellStyle name="20% - Énfasis3 2 5 3 3" xfId="8603"/>
    <cellStyle name="20% - Énfasis3 2 5 3 4" xfId="14805"/>
    <cellStyle name="20% - Énfasis3 2 5 3 5" xfId="53838"/>
    <cellStyle name="20% - Énfasis3 2 5 4" xfId="3428"/>
    <cellStyle name="20% - Énfasis3 2 5 4 2" xfId="9632"/>
    <cellStyle name="20% - Énfasis3 2 5 4 3" xfId="15834"/>
    <cellStyle name="20% - Énfasis3 2 5 4 4" xfId="54805"/>
    <cellStyle name="20% - Énfasis3 2 5 5" xfId="6531"/>
    <cellStyle name="20% - Énfasis3 2 5 5 2" xfId="19379"/>
    <cellStyle name="20% - Énfasis3 2 5 6" xfId="12733"/>
    <cellStyle name="20% - Énfasis3 2 5 7" xfId="52215"/>
    <cellStyle name="20% - Énfasis3 2 6" xfId="1283"/>
    <cellStyle name="20% - Énfasis3 2 6 2" xfId="4408"/>
    <cellStyle name="20% - Énfasis3 2 6 2 2" xfId="10611"/>
    <cellStyle name="20% - Énfasis3 2 6 2 3" xfId="16813"/>
    <cellStyle name="20% - Énfasis3 2 6 2 4" xfId="55701"/>
    <cellStyle name="20% - Énfasis3 2 6 3" xfId="7511"/>
    <cellStyle name="20% - Énfasis3 2 6 4" xfId="13713"/>
    <cellStyle name="20% - Énfasis3 2 6 5" xfId="52830"/>
    <cellStyle name="20% - Énfasis3 2 7" xfId="2361"/>
    <cellStyle name="20% - Énfasis3 2 7 2" xfId="5485"/>
    <cellStyle name="20% - Énfasis3 2 7 2 2" xfId="11688"/>
    <cellStyle name="20% - Énfasis3 2 7 2 3" xfId="17890"/>
    <cellStyle name="20% - Énfasis3 2 7 2 4" xfId="56718"/>
    <cellStyle name="20% - Énfasis3 2 7 3" xfId="8588"/>
    <cellStyle name="20% - Énfasis3 2 7 4" xfId="14790"/>
    <cellStyle name="20% - Énfasis3 2 7 5" xfId="53823"/>
    <cellStyle name="20% - Énfasis3 2 8" xfId="3413"/>
    <cellStyle name="20% - Énfasis3 2 8 2" xfId="9617"/>
    <cellStyle name="20% - Énfasis3 2 8 3" xfId="15819"/>
    <cellStyle name="20% - Énfasis3 2 8 4" xfId="54790"/>
    <cellStyle name="20% - Énfasis3 2 9" xfId="6516"/>
    <cellStyle name="20% - Énfasis3 2 9 2" xfId="18884"/>
    <cellStyle name="20% - Énfasis3 3" xfId="106"/>
    <cellStyle name="20% - Énfasis3 3 10" xfId="21288"/>
    <cellStyle name="20% - Énfasis3 3 2" xfId="107"/>
    <cellStyle name="20% - Énfasis3 3 2 2" xfId="108"/>
    <cellStyle name="20% - Énfasis3 3 2 2 2" xfId="109"/>
    <cellStyle name="20% - Énfasis3 3 2 2 2 2" xfId="2235"/>
    <cellStyle name="20% - Énfasis3 3 2 2 2 2 2" xfId="5360"/>
    <cellStyle name="20% - Énfasis3 3 2 2 2 2 2 2" xfId="11563"/>
    <cellStyle name="20% - Énfasis3 3 2 2 2 2 2 3" xfId="17765"/>
    <cellStyle name="20% - Énfasis3 3 2 2 2 2 2 4" xfId="56599"/>
    <cellStyle name="20% - Énfasis3 3 2 2 2 2 3" xfId="8463"/>
    <cellStyle name="20% - Énfasis3 3 2 2 2 2 4" xfId="14665"/>
    <cellStyle name="20% - Énfasis3 3 2 2 2 2 5" xfId="53703"/>
    <cellStyle name="20% - Énfasis3 3 2 2 2 3" xfId="2380"/>
    <cellStyle name="20% - Énfasis3 3 2 2 2 3 2" xfId="5504"/>
    <cellStyle name="20% - Énfasis3 3 2 2 2 3 2 2" xfId="11707"/>
    <cellStyle name="20% - Énfasis3 3 2 2 2 3 2 3" xfId="17909"/>
    <cellStyle name="20% - Énfasis3 3 2 2 2 3 2 4" xfId="56737"/>
    <cellStyle name="20% - Énfasis3 3 2 2 2 3 3" xfId="8607"/>
    <cellStyle name="20% - Énfasis3 3 2 2 2 3 4" xfId="14809"/>
    <cellStyle name="20% - Énfasis3 3 2 2 2 3 5" xfId="53842"/>
    <cellStyle name="20% - Énfasis3 3 2 2 2 4" xfId="3432"/>
    <cellStyle name="20% - Énfasis3 3 2 2 2 4 2" xfId="9636"/>
    <cellStyle name="20% - Énfasis3 3 2 2 2 4 3" xfId="15838"/>
    <cellStyle name="20% - Énfasis3 3 2 2 2 4 4" xfId="54809"/>
    <cellStyle name="20% - Énfasis3 3 2 2 2 5" xfId="6535"/>
    <cellStyle name="20% - Énfasis3 3 2 2 2 5 2" xfId="19836"/>
    <cellStyle name="20% - Énfasis3 3 2 2 2 6" xfId="12737"/>
    <cellStyle name="20% - Énfasis3 3 2 2 2 7" xfId="52216"/>
    <cellStyle name="20% - Énfasis3 3 2 2 3" xfId="1711"/>
    <cellStyle name="20% - Énfasis3 3 2 2 3 2" xfId="4836"/>
    <cellStyle name="20% - Énfasis3 3 2 2 3 2 2" xfId="11039"/>
    <cellStyle name="20% - Énfasis3 3 2 2 3 2 3" xfId="17241"/>
    <cellStyle name="20% - Énfasis3 3 2 2 3 2 4" xfId="56108"/>
    <cellStyle name="20% - Énfasis3 3 2 2 3 3" xfId="7939"/>
    <cellStyle name="20% - Énfasis3 3 2 2 3 4" xfId="14141"/>
    <cellStyle name="20% - Énfasis3 3 2 2 3 5" xfId="53218"/>
    <cellStyle name="20% - Énfasis3 3 2 2 4" xfId="2379"/>
    <cellStyle name="20% - Énfasis3 3 2 2 4 2" xfId="5503"/>
    <cellStyle name="20% - Énfasis3 3 2 2 4 2 2" xfId="11706"/>
    <cellStyle name="20% - Énfasis3 3 2 2 4 2 3" xfId="17908"/>
    <cellStyle name="20% - Énfasis3 3 2 2 4 2 4" xfId="56736"/>
    <cellStyle name="20% - Énfasis3 3 2 2 4 3" xfId="8606"/>
    <cellStyle name="20% - Énfasis3 3 2 2 4 4" xfId="14808"/>
    <cellStyle name="20% - Énfasis3 3 2 2 4 5" xfId="53841"/>
    <cellStyle name="20% - Énfasis3 3 2 2 5" xfId="3431"/>
    <cellStyle name="20% - Énfasis3 3 2 2 5 2" xfId="9635"/>
    <cellStyle name="20% - Énfasis3 3 2 2 5 3" xfId="15837"/>
    <cellStyle name="20% - Énfasis3 3 2 2 5 4" xfId="54808"/>
    <cellStyle name="20% - Énfasis3 3 2 2 6" xfId="6534"/>
    <cellStyle name="20% - Énfasis3 3 2 2 6 2" xfId="19312"/>
    <cellStyle name="20% - Énfasis3 3 2 2 7" xfId="12736"/>
    <cellStyle name="20% - Énfasis3 3 2 2 8" xfId="52113"/>
    <cellStyle name="20% - Énfasis3 3 2 3" xfId="110"/>
    <cellStyle name="20% - Énfasis3 3 2 3 2" xfId="1990"/>
    <cellStyle name="20% - Énfasis3 3 2 3 2 2" xfId="5115"/>
    <cellStyle name="20% - Énfasis3 3 2 3 2 2 2" xfId="11318"/>
    <cellStyle name="20% - Énfasis3 3 2 3 2 2 3" xfId="17520"/>
    <cellStyle name="20% - Énfasis3 3 2 3 2 2 4" xfId="56372"/>
    <cellStyle name="20% - Énfasis3 3 2 3 2 3" xfId="8218"/>
    <cellStyle name="20% - Énfasis3 3 2 3 2 4" xfId="14420"/>
    <cellStyle name="20% - Énfasis3 3 2 3 2 5" xfId="53478"/>
    <cellStyle name="20% - Énfasis3 3 2 3 3" xfId="2381"/>
    <cellStyle name="20% - Énfasis3 3 2 3 3 2" xfId="5505"/>
    <cellStyle name="20% - Énfasis3 3 2 3 3 2 2" xfId="11708"/>
    <cellStyle name="20% - Énfasis3 3 2 3 3 2 3" xfId="17910"/>
    <cellStyle name="20% - Énfasis3 3 2 3 3 2 4" xfId="56738"/>
    <cellStyle name="20% - Énfasis3 3 2 3 3 3" xfId="8608"/>
    <cellStyle name="20% - Énfasis3 3 2 3 3 4" xfId="14810"/>
    <cellStyle name="20% - Énfasis3 3 2 3 3 5" xfId="53843"/>
    <cellStyle name="20% - Énfasis3 3 2 3 4" xfId="3433"/>
    <cellStyle name="20% - Énfasis3 3 2 3 4 2" xfId="9637"/>
    <cellStyle name="20% - Énfasis3 3 2 3 4 3" xfId="15839"/>
    <cellStyle name="20% - Énfasis3 3 2 3 4 4" xfId="54810"/>
    <cellStyle name="20% - Énfasis3 3 2 3 5" xfId="6536"/>
    <cellStyle name="20% - Énfasis3 3 2 3 5 2" xfId="19591"/>
    <cellStyle name="20% - Énfasis3 3 2 3 6" xfId="12738"/>
    <cellStyle name="20% - Énfasis3 3 2 3 7" xfId="52217"/>
    <cellStyle name="20% - Énfasis3 3 2 4" xfId="1466"/>
    <cellStyle name="20% - Énfasis3 3 2 4 2" xfId="4591"/>
    <cellStyle name="20% - Énfasis3 3 2 4 2 2" xfId="10794"/>
    <cellStyle name="20% - Énfasis3 3 2 4 2 3" xfId="16996"/>
    <cellStyle name="20% - Énfasis3 3 2 4 2 4" xfId="55876"/>
    <cellStyle name="20% - Énfasis3 3 2 4 3" xfId="7694"/>
    <cellStyle name="20% - Énfasis3 3 2 4 4" xfId="13896"/>
    <cellStyle name="20% - Énfasis3 3 2 4 5" xfId="52994"/>
    <cellStyle name="20% - Énfasis3 3 2 5" xfId="2378"/>
    <cellStyle name="20% - Énfasis3 3 2 5 2" xfId="5502"/>
    <cellStyle name="20% - Énfasis3 3 2 5 2 2" xfId="11705"/>
    <cellStyle name="20% - Énfasis3 3 2 5 2 3" xfId="17907"/>
    <cellStyle name="20% - Énfasis3 3 2 5 2 4" xfId="56735"/>
    <cellStyle name="20% - Énfasis3 3 2 5 3" xfId="8605"/>
    <cellStyle name="20% - Énfasis3 3 2 5 4" xfId="14807"/>
    <cellStyle name="20% - Énfasis3 3 2 5 5" xfId="53840"/>
    <cellStyle name="20% - Énfasis3 3 2 6" xfId="3430"/>
    <cellStyle name="20% - Énfasis3 3 2 6 2" xfId="9634"/>
    <cellStyle name="20% - Énfasis3 3 2 6 3" xfId="15836"/>
    <cellStyle name="20% - Énfasis3 3 2 6 4" xfId="54807"/>
    <cellStyle name="20% - Énfasis3 3 2 7" xfId="6533"/>
    <cellStyle name="20% - Énfasis3 3 2 7 2" xfId="19067"/>
    <cellStyle name="20% - Énfasis3 3 2 8" xfId="12735"/>
    <cellStyle name="20% - Énfasis3 3 2 9" xfId="21289"/>
    <cellStyle name="20% - Énfasis3 3 3" xfId="111"/>
    <cellStyle name="20% - Énfasis3 3 3 2" xfId="112"/>
    <cellStyle name="20% - Énfasis3 3 3 2 2" xfId="2107"/>
    <cellStyle name="20% - Énfasis3 3 3 2 2 2" xfId="5232"/>
    <cellStyle name="20% - Énfasis3 3 3 2 2 2 2" xfId="11435"/>
    <cellStyle name="20% - Énfasis3 3 3 2 2 2 3" xfId="17637"/>
    <cellStyle name="20% - Énfasis3 3 3 2 2 2 4" xfId="56480"/>
    <cellStyle name="20% - Énfasis3 3 3 2 2 3" xfId="8335"/>
    <cellStyle name="20% - Énfasis3 3 3 2 2 4" xfId="14537"/>
    <cellStyle name="20% - Énfasis3 3 3 2 2 5" xfId="53584"/>
    <cellStyle name="20% - Énfasis3 3 3 2 3" xfId="2383"/>
    <cellStyle name="20% - Énfasis3 3 3 2 3 2" xfId="5507"/>
    <cellStyle name="20% - Énfasis3 3 3 2 3 2 2" xfId="11710"/>
    <cellStyle name="20% - Énfasis3 3 3 2 3 2 3" xfId="17912"/>
    <cellStyle name="20% - Énfasis3 3 3 2 3 2 4" xfId="56740"/>
    <cellStyle name="20% - Énfasis3 3 3 2 3 3" xfId="8610"/>
    <cellStyle name="20% - Énfasis3 3 3 2 3 4" xfId="14812"/>
    <cellStyle name="20% - Énfasis3 3 3 2 3 5" xfId="53845"/>
    <cellStyle name="20% - Énfasis3 3 3 2 4" xfId="3435"/>
    <cellStyle name="20% - Énfasis3 3 3 2 4 2" xfId="9639"/>
    <cellStyle name="20% - Énfasis3 3 3 2 4 3" xfId="15841"/>
    <cellStyle name="20% - Énfasis3 3 3 2 4 4" xfId="54812"/>
    <cellStyle name="20% - Énfasis3 3 3 2 5" xfId="6538"/>
    <cellStyle name="20% - Énfasis3 3 3 2 5 2" xfId="19708"/>
    <cellStyle name="20% - Énfasis3 3 3 2 6" xfId="12740"/>
    <cellStyle name="20% - Énfasis3 3 3 2 7" xfId="52218"/>
    <cellStyle name="20% - Énfasis3 3 3 3" xfId="1583"/>
    <cellStyle name="20% - Énfasis3 3 3 3 2" xfId="4708"/>
    <cellStyle name="20% - Énfasis3 3 3 3 2 2" xfId="10911"/>
    <cellStyle name="20% - Énfasis3 3 3 3 2 3" xfId="17113"/>
    <cellStyle name="20% - Énfasis3 3 3 3 2 4" xfId="55986"/>
    <cellStyle name="20% - Énfasis3 3 3 3 3" xfId="7811"/>
    <cellStyle name="20% - Énfasis3 3 3 3 4" xfId="14013"/>
    <cellStyle name="20% - Énfasis3 3 3 3 5" xfId="53099"/>
    <cellStyle name="20% - Énfasis3 3 3 4" xfId="2382"/>
    <cellStyle name="20% - Énfasis3 3 3 4 2" xfId="5506"/>
    <cellStyle name="20% - Énfasis3 3 3 4 2 2" xfId="11709"/>
    <cellStyle name="20% - Énfasis3 3 3 4 2 3" xfId="17911"/>
    <cellStyle name="20% - Énfasis3 3 3 4 2 4" xfId="56739"/>
    <cellStyle name="20% - Énfasis3 3 3 4 3" xfId="8609"/>
    <cellStyle name="20% - Énfasis3 3 3 4 4" xfId="14811"/>
    <cellStyle name="20% - Énfasis3 3 3 4 5" xfId="53844"/>
    <cellStyle name="20% - Énfasis3 3 3 5" xfId="3434"/>
    <cellStyle name="20% - Énfasis3 3 3 5 2" xfId="9638"/>
    <cellStyle name="20% - Énfasis3 3 3 5 3" xfId="15840"/>
    <cellStyle name="20% - Énfasis3 3 3 5 4" xfId="54811"/>
    <cellStyle name="20% - Énfasis3 3 3 6" xfId="6537"/>
    <cellStyle name="20% - Énfasis3 3 3 6 2" xfId="19184"/>
    <cellStyle name="20% - Énfasis3 3 3 7" xfId="12739"/>
    <cellStyle name="20% - Énfasis3 3 3 8" xfId="51982"/>
    <cellStyle name="20% - Énfasis3 3 4" xfId="113"/>
    <cellStyle name="20% - Énfasis3 3 4 2" xfId="1848"/>
    <cellStyle name="20% - Énfasis3 3 4 2 2" xfId="4973"/>
    <cellStyle name="20% - Énfasis3 3 4 2 2 2" xfId="11176"/>
    <cellStyle name="20% - Énfasis3 3 4 2 2 3" xfId="17378"/>
    <cellStyle name="20% - Énfasis3 3 4 2 2 4" xfId="56237"/>
    <cellStyle name="20% - Énfasis3 3 4 2 3" xfId="8076"/>
    <cellStyle name="20% - Énfasis3 3 4 2 4" xfId="14278"/>
    <cellStyle name="20% - Énfasis3 3 4 2 5" xfId="53343"/>
    <cellStyle name="20% - Énfasis3 3 4 3" xfId="2384"/>
    <cellStyle name="20% - Énfasis3 3 4 3 2" xfId="5508"/>
    <cellStyle name="20% - Énfasis3 3 4 3 2 2" xfId="11711"/>
    <cellStyle name="20% - Énfasis3 3 4 3 2 3" xfId="17913"/>
    <cellStyle name="20% - Énfasis3 3 4 3 2 4" xfId="56741"/>
    <cellStyle name="20% - Énfasis3 3 4 3 3" xfId="8611"/>
    <cellStyle name="20% - Énfasis3 3 4 3 4" xfId="14813"/>
    <cellStyle name="20% - Énfasis3 3 4 3 5" xfId="53846"/>
    <cellStyle name="20% - Énfasis3 3 4 4" xfId="3436"/>
    <cellStyle name="20% - Énfasis3 3 4 4 2" xfId="9640"/>
    <cellStyle name="20% - Énfasis3 3 4 4 3" xfId="15842"/>
    <cellStyle name="20% - Énfasis3 3 4 4 4" xfId="54813"/>
    <cellStyle name="20% - Énfasis3 3 4 5" xfId="6539"/>
    <cellStyle name="20% - Énfasis3 3 4 5 2" xfId="19449"/>
    <cellStyle name="20% - Énfasis3 3 4 6" xfId="12741"/>
    <cellStyle name="20% - Énfasis3 3 4 7" xfId="52219"/>
    <cellStyle name="20% - Énfasis3 3 5" xfId="1324"/>
    <cellStyle name="20% - Énfasis3 3 5 2" xfId="4449"/>
    <cellStyle name="20% - Énfasis3 3 5 2 2" xfId="10652"/>
    <cellStyle name="20% - Énfasis3 3 5 2 3" xfId="16854"/>
    <cellStyle name="20% - Énfasis3 3 5 2 4" xfId="55740"/>
    <cellStyle name="20% - Énfasis3 3 5 3" xfId="7552"/>
    <cellStyle name="20% - Énfasis3 3 5 4" xfId="13754"/>
    <cellStyle name="20% - Énfasis3 3 5 5" xfId="52868"/>
    <cellStyle name="20% - Énfasis3 3 6" xfId="2377"/>
    <cellStyle name="20% - Énfasis3 3 6 2" xfId="5501"/>
    <cellStyle name="20% - Énfasis3 3 6 2 2" xfId="11704"/>
    <cellStyle name="20% - Énfasis3 3 6 2 3" xfId="17906"/>
    <cellStyle name="20% - Énfasis3 3 6 2 4" xfId="56734"/>
    <cellStyle name="20% - Énfasis3 3 6 3" xfId="8604"/>
    <cellStyle name="20% - Énfasis3 3 6 4" xfId="14806"/>
    <cellStyle name="20% - Énfasis3 3 6 5" xfId="53839"/>
    <cellStyle name="20% - Énfasis3 3 7" xfId="3429"/>
    <cellStyle name="20% - Énfasis3 3 7 2" xfId="9633"/>
    <cellStyle name="20% - Énfasis3 3 7 3" xfId="15835"/>
    <cellStyle name="20% - Énfasis3 3 7 4" xfId="54806"/>
    <cellStyle name="20% - Énfasis3 3 8" xfId="6532"/>
    <cellStyle name="20% - Énfasis3 3 8 2" xfId="18925"/>
    <cellStyle name="20% - Énfasis3 3 9" xfId="12734"/>
    <cellStyle name="20% - Énfasis3 4" xfId="114"/>
    <cellStyle name="20% - Énfasis3 4 2" xfId="115"/>
    <cellStyle name="20% - Énfasis3 4 2 2" xfId="116"/>
    <cellStyle name="20% - Énfasis3 4 2 2 2" xfId="2167"/>
    <cellStyle name="20% - Énfasis3 4 2 2 2 2" xfId="5292"/>
    <cellStyle name="20% - Énfasis3 4 2 2 2 2 2" xfId="11495"/>
    <cellStyle name="20% - Énfasis3 4 2 2 2 2 3" xfId="17697"/>
    <cellStyle name="20% - Énfasis3 4 2 2 2 2 4" xfId="56535"/>
    <cellStyle name="20% - Énfasis3 4 2 2 2 3" xfId="8395"/>
    <cellStyle name="20% - Énfasis3 4 2 2 2 4" xfId="14597"/>
    <cellStyle name="20% - Énfasis3 4 2 2 2 5" xfId="53639"/>
    <cellStyle name="20% - Énfasis3 4 2 2 3" xfId="2387"/>
    <cellStyle name="20% - Énfasis3 4 2 2 3 2" xfId="5511"/>
    <cellStyle name="20% - Énfasis3 4 2 2 3 2 2" xfId="11714"/>
    <cellStyle name="20% - Énfasis3 4 2 2 3 2 3" xfId="17916"/>
    <cellStyle name="20% - Énfasis3 4 2 2 3 2 4" xfId="56744"/>
    <cellStyle name="20% - Énfasis3 4 2 2 3 3" xfId="8614"/>
    <cellStyle name="20% - Énfasis3 4 2 2 3 4" xfId="14816"/>
    <cellStyle name="20% - Énfasis3 4 2 2 3 5" xfId="53849"/>
    <cellStyle name="20% - Énfasis3 4 2 2 4" xfId="3439"/>
    <cellStyle name="20% - Énfasis3 4 2 2 4 2" xfId="9643"/>
    <cellStyle name="20% - Énfasis3 4 2 2 4 3" xfId="15845"/>
    <cellStyle name="20% - Énfasis3 4 2 2 4 4" xfId="54816"/>
    <cellStyle name="20% - Énfasis3 4 2 2 5" xfId="6542"/>
    <cellStyle name="20% - Énfasis3 4 2 2 5 2" xfId="19768"/>
    <cellStyle name="20% - Énfasis3 4 2 2 6" xfId="12744"/>
    <cellStyle name="20% - Énfasis3 4 2 2 7" xfId="52221"/>
    <cellStyle name="20% - Énfasis3 4 2 3" xfId="1643"/>
    <cellStyle name="20% - Énfasis3 4 2 3 2" xfId="4768"/>
    <cellStyle name="20% - Énfasis3 4 2 3 2 2" xfId="10971"/>
    <cellStyle name="20% - Énfasis3 4 2 3 2 3" xfId="17173"/>
    <cellStyle name="20% - Énfasis3 4 2 3 2 4" xfId="56044"/>
    <cellStyle name="20% - Énfasis3 4 2 3 3" xfId="7871"/>
    <cellStyle name="20% - Énfasis3 4 2 3 4" xfId="14073"/>
    <cellStyle name="20% - Énfasis3 4 2 3 5" xfId="53154"/>
    <cellStyle name="20% - Énfasis3 4 2 4" xfId="2386"/>
    <cellStyle name="20% - Énfasis3 4 2 4 2" xfId="5510"/>
    <cellStyle name="20% - Énfasis3 4 2 4 2 2" xfId="11713"/>
    <cellStyle name="20% - Énfasis3 4 2 4 2 3" xfId="17915"/>
    <cellStyle name="20% - Énfasis3 4 2 4 2 4" xfId="56743"/>
    <cellStyle name="20% - Énfasis3 4 2 4 3" xfId="8613"/>
    <cellStyle name="20% - Énfasis3 4 2 4 4" xfId="14815"/>
    <cellStyle name="20% - Énfasis3 4 2 4 5" xfId="53848"/>
    <cellStyle name="20% - Énfasis3 4 2 5" xfId="3438"/>
    <cellStyle name="20% - Énfasis3 4 2 5 2" xfId="9642"/>
    <cellStyle name="20% - Énfasis3 4 2 5 3" xfId="15844"/>
    <cellStyle name="20% - Énfasis3 4 2 5 4" xfId="54815"/>
    <cellStyle name="20% - Énfasis3 4 2 6" xfId="6541"/>
    <cellStyle name="20% - Énfasis3 4 2 6 2" xfId="19244"/>
    <cellStyle name="20% - Énfasis3 4 2 6 3" xfId="52220"/>
    <cellStyle name="20% - Énfasis3 4 2 7" xfId="12743"/>
    <cellStyle name="20% - Énfasis3 4 2 8" xfId="21291"/>
    <cellStyle name="20% - Énfasis3 4 3" xfId="117"/>
    <cellStyle name="20% - Énfasis3 4 3 2" xfId="1921"/>
    <cellStyle name="20% - Énfasis3 4 3 2 2" xfId="5046"/>
    <cellStyle name="20% - Énfasis3 4 3 2 2 2" xfId="11249"/>
    <cellStyle name="20% - Énfasis3 4 3 2 2 3" xfId="17451"/>
    <cellStyle name="20% - Énfasis3 4 3 2 2 4" xfId="56307"/>
    <cellStyle name="20% - Énfasis3 4 3 2 3" xfId="8149"/>
    <cellStyle name="20% - Énfasis3 4 3 2 4" xfId="14351"/>
    <cellStyle name="20% - Énfasis3 4 3 2 5" xfId="53413"/>
    <cellStyle name="20% - Énfasis3 4 3 3" xfId="2388"/>
    <cellStyle name="20% - Énfasis3 4 3 3 2" xfId="5512"/>
    <cellStyle name="20% - Énfasis3 4 3 3 2 2" xfId="11715"/>
    <cellStyle name="20% - Énfasis3 4 3 3 2 3" xfId="17917"/>
    <cellStyle name="20% - Énfasis3 4 3 3 2 4" xfId="56745"/>
    <cellStyle name="20% - Énfasis3 4 3 3 3" xfId="8615"/>
    <cellStyle name="20% - Énfasis3 4 3 3 4" xfId="14817"/>
    <cellStyle name="20% - Énfasis3 4 3 3 5" xfId="53850"/>
    <cellStyle name="20% - Énfasis3 4 3 4" xfId="3440"/>
    <cellStyle name="20% - Énfasis3 4 3 4 2" xfId="9644"/>
    <cellStyle name="20% - Énfasis3 4 3 4 3" xfId="15846"/>
    <cellStyle name="20% - Énfasis3 4 3 4 4" xfId="54817"/>
    <cellStyle name="20% - Énfasis3 4 3 5" xfId="6543"/>
    <cellStyle name="20% - Énfasis3 4 3 5 2" xfId="19522"/>
    <cellStyle name="20% - Énfasis3 4 3 6" xfId="12745"/>
    <cellStyle name="20% - Énfasis3 4 3 7" xfId="52050"/>
    <cellStyle name="20% - Énfasis3 4 4" xfId="1397"/>
    <cellStyle name="20% - Énfasis3 4 4 2" xfId="4522"/>
    <cellStyle name="20% - Énfasis3 4 4 2 2" xfId="10725"/>
    <cellStyle name="20% - Énfasis3 4 4 2 3" xfId="16927"/>
    <cellStyle name="20% - Énfasis3 4 4 2 4" xfId="55811"/>
    <cellStyle name="20% - Énfasis3 4 4 3" xfId="7625"/>
    <cellStyle name="20% - Énfasis3 4 4 4" xfId="13827"/>
    <cellStyle name="20% - Énfasis3 4 4 5" xfId="52934"/>
    <cellStyle name="20% - Énfasis3 4 5" xfId="2385"/>
    <cellStyle name="20% - Énfasis3 4 5 2" xfId="5509"/>
    <cellStyle name="20% - Énfasis3 4 5 2 2" xfId="11712"/>
    <cellStyle name="20% - Énfasis3 4 5 2 3" xfId="17914"/>
    <cellStyle name="20% - Énfasis3 4 5 2 4" xfId="56742"/>
    <cellStyle name="20% - Énfasis3 4 5 3" xfId="8612"/>
    <cellStyle name="20% - Énfasis3 4 5 4" xfId="14814"/>
    <cellStyle name="20% - Énfasis3 4 5 5" xfId="53847"/>
    <cellStyle name="20% - Énfasis3 4 6" xfId="3437"/>
    <cellStyle name="20% - Énfasis3 4 6 2" xfId="9641"/>
    <cellStyle name="20% - Énfasis3 4 6 3" xfId="15843"/>
    <cellStyle name="20% - Énfasis3 4 6 4" xfId="54814"/>
    <cellStyle name="20% - Énfasis3 4 7" xfId="6540"/>
    <cellStyle name="20% - Énfasis3 4 7 2" xfId="18998"/>
    <cellStyle name="20% - Énfasis3 4 8" xfId="12742"/>
    <cellStyle name="20% - Énfasis3 4 9" xfId="21290"/>
    <cellStyle name="20% - Énfasis3 5" xfId="118"/>
    <cellStyle name="20% - Énfasis3 5 2" xfId="119"/>
    <cellStyle name="20% - Énfasis3 5 2 2" xfId="2048"/>
    <cellStyle name="20% - Énfasis3 5 2 2 2" xfId="5173"/>
    <cellStyle name="20% - Énfasis3 5 2 2 2 2" xfId="11376"/>
    <cellStyle name="20% - Énfasis3 5 2 2 2 3" xfId="17578"/>
    <cellStyle name="20% - Énfasis3 5 2 2 2 4" xfId="56425"/>
    <cellStyle name="20% - Énfasis3 5 2 2 3" xfId="8276"/>
    <cellStyle name="20% - Énfasis3 5 2 2 4" xfId="14478"/>
    <cellStyle name="20% - Énfasis3 5 2 2 5" xfId="53529"/>
    <cellStyle name="20% - Énfasis3 5 2 3" xfId="2390"/>
    <cellStyle name="20% - Énfasis3 5 2 3 2" xfId="5514"/>
    <cellStyle name="20% - Énfasis3 5 2 3 2 2" xfId="11717"/>
    <cellStyle name="20% - Énfasis3 5 2 3 2 3" xfId="17919"/>
    <cellStyle name="20% - Énfasis3 5 2 3 2 4" xfId="56747"/>
    <cellStyle name="20% - Énfasis3 5 2 3 3" xfId="8617"/>
    <cellStyle name="20% - Énfasis3 5 2 3 4" xfId="14819"/>
    <cellStyle name="20% - Énfasis3 5 2 3 5" xfId="53852"/>
    <cellStyle name="20% - Énfasis3 5 2 4" xfId="3442"/>
    <cellStyle name="20% - Énfasis3 5 2 4 2" xfId="9646"/>
    <cellStyle name="20% - Énfasis3 5 2 4 3" xfId="15848"/>
    <cellStyle name="20% - Énfasis3 5 2 4 4" xfId="54819"/>
    <cellStyle name="20% - Énfasis3 5 2 5" xfId="6545"/>
    <cellStyle name="20% - Énfasis3 5 2 5 2" xfId="19649"/>
    <cellStyle name="20% - Énfasis3 5 2 5 3" xfId="52223"/>
    <cellStyle name="20% - Énfasis3 5 2 6" xfId="12747"/>
    <cellStyle name="20% - Énfasis3 5 2 7" xfId="21293"/>
    <cellStyle name="20% - Énfasis3 5 3" xfId="1524"/>
    <cellStyle name="20% - Énfasis3 5 3 2" xfId="4649"/>
    <cellStyle name="20% - Énfasis3 5 3 2 2" xfId="10852"/>
    <cellStyle name="20% - Énfasis3 5 3 2 3" xfId="17054"/>
    <cellStyle name="20% - Énfasis3 5 3 2 4" xfId="55930"/>
    <cellStyle name="20% - Énfasis3 5 3 3" xfId="7752"/>
    <cellStyle name="20% - Énfasis3 5 3 4" xfId="13954"/>
    <cellStyle name="20% - Énfasis3 5 3 5" xfId="53045"/>
    <cellStyle name="20% - Énfasis3 5 4" xfId="2389"/>
    <cellStyle name="20% - Énfasis3 5 4 2" xfId="5513"/>
    <cellStyle name="20% - Énfasis3 5 4 2 2" xfId="11716"/>
    <cellStyle name="20% - Énfasis3 5 4 2 3" xfId="17918"/>
    <cellStyle name="20% - Énfasis3 5 4 2 4" xfId="56746"/>
    <cellStyle name="20% - Énfasis3 5 4 3" xfId="8616"/>
    <cellStyle name="20% - Énfasis3 5 4 4" xfId="14818"/>
    <cellStyle name="20% - Énfasis3 5 4 5" xfId="53851"/>
    <cellStyle name="20% - Énfasis3 5 5" xfId="3441"/>
    <cellStyle name="20% - Énfasis3 5 5 2" xfId="9645"/>
    <cellStyle name="20% - Énfasis3 5 5 3" xfId="15847"/>
    <cellStyle name="20% - Énfasis3 5 5 4" xfId="54818"/>
    <cellStyle name="20% - Énfasis3 5 6" xfId="6544"/>
    <cellStyle name="20% - Énfasis3 5 6 2" xfId="19125"/>
    <cellStyle name="20% - Énfasis3 5 6 3" xfId="52222"/>
    <cellStyle name="20% - Énfasis3 5 7" xfId="12746"/>
    <cellStyle name="20% - Énfasis3 5 8" xfId="21292"/>
    <cellStyle name="20% - Énfasis3 6" xfId="120"/>
    <cellStyle name="20% - Énfasis3 6 2" xfId="1777"/>
    <cellStyle name="20% - Énfasis3 6 2 2" xfId="4902"/>
    <cellStyle name="20% - Énfasis3 6 2 2 2" xfId="11105"/>
    <cellStyle name="20% - Énfasis3 6 2 2 3" xfId="17307"/>
    <cellStyle name="20% - Énfasis3 6 2 2 4" xfId="56171"/>
    <cellStyle name="20% - Énfasis3 6 2 3" xfId="8005"/>
    <cellStyle name="20% - Énfasis3 6 2 4" xfId="14207"/>
    <cellStyle name="20% - Énfasis3 6 2 5" xfId="53278"/>
    <cellStyle name="20% - Énfasis3 6 3" xfId="2391"/>
    <cellStyle name="20% - Énfasis3 6 3 2" xfId="5515"/>
    <cellStyle name="20% - Énfasis3 6 3 2 2" xfId="11718"/>
    <cellStyle name="20% - Énfasis3 6 3 2 3" xfId="17920"/>
    <cellStyle name="20% - Énfasis3 6 3 2 4" xfId="56748"/>
    <cellStyle name="20% - Énfasis3 6 3 3" xfId="8618"/>
    <cellStyle name="20% - Énfasis3 6 3 4" xfId="14820"/>
    <cellStyle name="20% - Énfasis3 6 3 5" xfId="53853"/>
    <cellStyle name="20% - Énfasis3 6 4" xfId="3443"/>
    <cellStyle name="20% - Énfasis3 6 4 2" xfId="9647"/>
    <cellStyle name="20% - Énfasis3 6 4 3" xfId="15849"/>
    <cellStyle name="20% - Énfasis3 6 4 4" xfId="54820"/>
    <cellStyle name="20% - Énfasis3 6 5" xfId="6546"/>
    <cellStyle name="20% - Énfasis3 6 5 2" xfId="19378"/>
    <cellStyle name="20% - Énfasis3 6 5 3" xfId="52224"/>
    <cellStyle name="20% - Énfasis3 6 6" xfId="12748"/>
    <cellStyle name="20% - Énfasis3 6 7" xfId="21294"/>
    <cellStyle name="20% - Énfasis3 7" xfId="1255"/>
    <cellStyle name="20% - Énfasis3 7 2" xfId="4380"/>
    <cellStyle name="20% - Énfasis3 7 2 2" xfId="10583"/>
    <cellStyle name="20% - Énfasis3 7 2 3" xfId="16785"/>
    <cellStyle name="20% - Énfasis3 7 2 4" xfId="55676"/>
    <cellStyle name="20% - Énfasis3 7 3" xfId="7483"/>
    <cellStyle name="20% - Énfasis3 7 3 2" xfId="52807"/>
    <cellStyle name="20% - Énfasis3 7 4" xfId="13685"/>
    <cellStyle name="20% - Énfasis3 7 5" xfId="21295"/>
    <cellStyle name="20% - Énfasis3 8" xfId="18856"/>
    <cellStyle name="20% - Énfasis3 8 10" xfId="21297"/>
    <cellStyle name="20% - Énfasis3 8 10 2" xfId="21298"/>
    <cellStyle name="20% - Énfasis3 8 10 2 2" xfId="21299"/>
    <cellStyle name="20% - Énfasis3 8 10 3" xfId="21300"/>
    <cellStyle name="20% - Énfasis3 8 11" xfId="21301"/>
    <cellStyle name="20% - Énfasis3 8 11 2" xfId="21302"/>
    <cellStyle name="20% - Énfasis3 8 11 2 2" xfId="21303"/>
    <cellStyle name="20% - Énfasis3 8 11 3" xfId="21304"/>
    <cellStyle name="20% - Énfasis3 8 12" xfId="21305"/>
    <cellStyle name="20% - Énfasis3 8 12 2" xfId="21306"/>
    <cellStyle name="20% - Énfasis3 8 13" xfId="21307"/>
    <cellStyle name="20% - Énfasis3 8 13 2" xfId="21308"/>
    <cellStyle name="20% - Énfasis3 8 14" xfId="21309"/>
    <cellStyle name="20% - Énfasis3 8 15" xfId="21310"/>
    <cellStyle name="20% - Énfasis3 8 16" xfId="21296"/>
    <cellStyle name="20% - Énfasis3 8 2" xfId="21311"/>
    <cellStyle name="20% - Énfasis3 8 2 10" xfId="21312"/>
    <cellStyle name="20% - Énfasis3 8 2 10 2" xfId="21313"/>
    <cellStyle name="20% - Énfasis3 8 2 10 2 2" xfId="21314"/>
    <cellStyle name="20% - Énfasis3 8 2 10 3" xfId="21315"/>
    <cellStyle name="20% - Énfasis3 8 2 11" xfId="21316"/>
    <cellStyle name="20% - Énfasis3 8 2 11 2" xfId="21317"/>
    <cellStyle name="20% - Énfasis3 8 2 12" xfId="21318"/>
    <cellStyle name="20% - Énfasis3 8 2 12 2" xfId="21319"/>
    <cellStyle name="20% - Énfasis3 8 2 13" xfId="21320"/>
    <cellStyle name="20% - Énfasis3 8 2 14" xfId="21321"/>
    <cellStyle name="20% - Énfasis3 8 2 2" xfId="21322"/>
    <cellStyle name="20% - Énfasis3 8 2 2 2" xfId="21323"/>
    <cellStyle name="20% - Énfasis3 8 2 2 2 2" xfId="21324"/>
    <cellStyle name="20% - Énfasis3 8 2 2 2 2 2" xfId="21325"/>
    <cellStyle name="20% - Énfasis3 8 2 2 2 2 2 2" xfId="21326"/>
    <cellStyle name="20% - Énfasis3 8 2 2 2 2 2 2 2" xfId="21327"/>
    <cellStyle name="20% - Énfasis3 8 2 2 2 2 2 3" xfId="21328"/>
    <cellStyle name="20% - Énfasis3 8 2 2 2 2 2 3 2" xfId="21329"/>
    <cellStyle name="20% - Énfasis3 8 2 2 2 2 2 4" xfId="21330"/>
    <cellStyle name="20% - Énfasis3 8 2 2 2 2 3" xfId="21331"/>
    <cellStyle name="20% - Énfasis3 8 2 2 2 2 4" xfId="21332"/>
    <cellStyle name="20% - Énfasis3 8 2 2 2 2 4 2" xfId="21333"/>
    <cellStyle name="20% - Énfasis3 8 2 2 2 2 5" xfId="21334"/>
    <cellStyle name="20% - Énfasis3 8 2 2 2 2_IAS" xfId="21335"/>
    <cellStyle name="20% - Énfasis3 8 2 2 2 3" xfId="21336"/>
    <cellStyle name="20% - Énfasis3 8 2 2 2 3 2" xfId="21337"/>
    <cellStyle name="20% - Énfasis3 8 2 2 2 3 2 2" xfId="21338"/>
    <cellStyle name="20% - Énfasis3 8 2 2 2 3 3" xfId="21339"/>
    <cellStyle name="20% - Énfasis3 8 2 2 2 3 3 2" xfId="21340"/>
    <cellStyle name="20% - Énfasis3 8 2 2 2 3 4" xfId="21341"/>
    <cellStyle name="20% - Énfasis3 8 2 2 2 4" xfId="21342"/>
    <cellStyle name="20% - Énfasis3 8 2 2 2 5" xfId="21343"/>
    <cellStyle name="20% - Énfasis3 8 2 2 2 5 2" xfId="21344"/>
    <cellStyle name="20% - Énfasis3 8 2 2 2 6" xfId="21345"/>
    <cellStyle name="20% - Énfasis3 8 2 2 2_IAS" xfId="21346"/>
    <cellStyle name="20% - Énfasis3 8 2 2 3" xfId="21347"/>
    <cellStyle name="20% - Énfasis3 8 2 2 3 2" xfId="21348"/>
    <cellStyle name="20% - Énfasis3 8 2 2 3 2 2" xfId="21349"/>
    <cellStyle name="20% - Énfasis3 8 2 2 3 2 2 2" xfId="21350"/>
    <cellStyle name="20% - Énfasis3 8 2 2 3 2 3" xfId="21351"/>
    <cellStyle name="20% - Énfasis3 8 2 2 3 2 3 2" xfId="21352"/>
    <cellStyle name="20% - Énfasis3 8 2 2 3 2 4" xfId="21353"/>
    <cellStyle name="20% - Énfasis3 8 2 2 3 3" xfId="21354"/>
    <cellStyle name="20% - Énfasis3 8 2 2 3 4" xfId="21355"/>
    <cellStyle name="20% - Énfasis3 8 2 2 3 4 2" xfId="21356"/>
    <cellStyle name="20% - Énfasis3 8 2 2 3 5" xfId="21357"/>
    <cellStyle name="20% - Énfasis3 8 2 2 3_IAS" xfId="21358"/>
    <cellStyle name="20% - Énfasis3 8 2 2 4" xfId="21359"/>
    <cellStyle name="20% - Énfasis3 8 2 2 4 2" xfId="21360"/>
    <cellStyle name="20% - Énfasis3 8 2 2 4 2 2" xfId="21361"/>
    <cellStyle name="20% - Énfasis3 8 2 2 4 3" xfId="21362"/>
    <cellStyle name="20% - Énfasis3 8 2 2 4 3 2" xfId="21363"/>
    <cellStyle name="20% - Énfasis3 8 2 2 4 4" xfId="21364"/>
    <cellStyle name="20% - Énfasis3 8 2 2 5" xfId="21365"/>
    <cellStyle name="20% - Énfasis3 8 2 2 6" xfId="21366"/>
    <cellStyle name="20% - Énfasis3 8 2 2 6 2" xfId="21367"/>
    <cellStyle name="20% - Énfasis3 8 2 2 7" xfId="21368"/>
    <cellStyle name="20% - Énfasis3 8 2 2_IAS" xfId="21369"/>
    <cellStyle name="20% - Énfasis3 8 2 3" xfId="21370"/>
    <cellStyle name="20% - Énfasis3 8 2 3 2" xfId="21371"/>
    <cellStyle name="20% - Énfasis3 8 2 3 2 2" xfId="21372"/>
    <cellStyle name="20% - Énfasis3 8 2 3 2 2 2" xfId="21373"/>
    <cellStyle name="20% - Énfasis3 8 2 3 2 2 2 2" xfId="21374"/>
    <cellStyle name="20% - Énfasis3 8 2 3 2 2 2 2 2" xfId="21375"/>
    <cellStyle name="20% - Énfasis3 8 2 3 2 2 2 3" xfId="21376"/>
    <cellStyle name="20% - Énfasis3 8 2 3 2 2 2 3 2" xfId="21377"/>
    <cellStyle name="20% - Énfasis3 8 2 3 2 2 2 4" xfId="21378"/>
    <cellStyle name="20% - Énfasis3 8 2 3 2 2 3" xfId="21379"/>
    <cellStyle name="20% - Énfasis3 8 2 3 2 2 4" xfId="21380"/>
    <cellStyle name="20% - Énfasis3 8 2 3 2 2 4 2" xfId="21381"/>
    <cellStyle name="20% - Énfasis3 8 2 3 2 2 5" xfId="21382"/>
    <cellStyle name="20% - Énfasis3 8 2 3 2 2_IAS" xfId="21383"/>
    <cellStyle name="20% - Énfasis3 8 2 3 2 3" xfId="21384"/>
    <cellStyle name="20% - Énfasis3 8 2 3 2 3 2" xfId="21385"/>
    <cellStyle name="20% - Énfasis3 8 2 3 2 3 2 2" xfId="21386"/>
    <cellStyle name="20% - Énfasis3 8 2 3 2 3 3" xfId="21387"/>
    <cellStyle name="20% - Énfasis3 8 2 3 2 3 3 2" xfId="21388"/>
    <cellStyle name="20% - Énfasis3 8 2 3 2 3 4" xfId="21389"/>
    <cellStyle name="20% - Énfasis3 8 2 3 2 4" xfId="21390"/>
    <cellStyle name="20% - Énfasis3 8 2 3 2 5" xfId="21391"/>
    <cellStyle name="20% - Énfasis3 8 2 3 2 5 2" xfId="21392"/>
    <cellStyle name="20% - Énfasis3 8 2 3 2 6" xfId="21393"/>
    <cellStyle name="20% - Énfasis3 8 2 3 2_IAS" xfId="21394"/>
    <cellStyle name="20% - Énfasis3 8 2 3 3" xfId="21395"/>
    <cellStyle name="20% - Énfasis3 8 2 3 3 2" xfId="21396"/>
    <cellStyle name="20% - Énfasis3 8 2 3 3 2 2" xfId="21397"/>
    <cellStyle name="20% - Énfasis3 8 2 3 3 2 2 2" xfId="21398"/>
    <cellStyle name="20% - Énfasis3 8 2 3 3 2 3" xfId="21399"/>
    <cellStyle name="20% - Énfasis3 8 2 3 3 2 3 2" xfId="21400"/>
    <cellStyle name="20% - Énfasis3 8 2 3 3 2 4" xfId="21401"/>
    <cellStyle name="20% - Énfasis3 8 2 3 3 3" xfId="21402"/>
    <cellStyle name="20% - Énfasis3 8 2 3 3 4" xfId="21403"/>
    <cellStyle name="20% - Énfasis3 8 2 3 3 4 2" xfId="21404"/>
    <cellStyle name="20% - Énfasis3 8 2 3 3 5" xfId="21405"/>
    <cellStyle name="20% - Énfasis3 8 2 3 3_IAS" xfId="21406"/>
    <cellStyle name="20% - Énfasis3 8 2 3 4" xfId="21407"/>
    <cellStyle name="20% - Énfasis3 8 2 3 4 2" xfId="21408"/>
    <cellStyle name="20% - Énfasis3 8 2 3 4 2 2" xfId="21409"/>
    <cellStyle name="20% - Énfasis3 8 2 3 4 3" xfId="21410"/>
    <cellStyle name="20% - Énfasis3 8 2 3 4 3 2" xfId="21411"/>
    <cellStyle name="20% - Énfasis3 8 2 3 4 4" xfId="21412"/>
    <cellStyle name="20% - Énfasis3 8 2 3 5" xfId="21413"/>
    <cellStyle name="20% - Énfasis3 8 2 3 6" xfId="21414"/>
    <cellStyle name="20% - Énfasis3 8 2 3 6 2" xfId="21415"/>
    <cellStyle name="20% - Énfasis3 8 2 3 7" xfId="21416"/>
    <cellStyle name="20% - Énfasis3 8 2 3_IAS" xfId="21417"/>
    <cellStyle name="20% - Énfasis3 8 2 4" xfId="21418"/>
    <cellStyle name="20% - Énfasis3 8 2 5" xfId="21419"/>
    <cellStyle name="20% - Énfasis3 8 2 5 2" xfId="21420"/>
    <cellStyle name="20% - Énfasis3 8 2 5 2 2" xfId="21421"/>
    <cellStyle name="20% - Énfasis3 8 2 5 2 2 2" xfId="21422"/>
    <cellStyle name="20% - Énfasis3 8 2 5 2 2 2 2" xfId="21423"/>
    <cellStyle name="20% - Énfasis3 8 2 5 2 2 3" xfId="21424"/>
    <cellStyle name="20% - Énfasis3 8 2 5 2 2 3 2" xfId="21425"/>
    <cellStyle name="20% - Énfasis3 8 2 5 2 2 4" xfId="21426"/>
    <cellStyle name="20% - Énfasis3 8 2 5 2 3" xfId="21427"/>
    <cellStyle name="20% - Énfasis3 8 2 5 2 4" xfId="21428"/>
    <cellStyle name="20% - Énfasis3 8 2 5 2 4 2" xfId="21429"/>
    <cellStyle name="20% - Énfasis3 8 2 5 2 5" xfId="21430"/>
    <cellStyle name="20% - Énfasis3 8 2 5 2_IAS" xfId="21431"/>
    <cellStyle name="20% - Énfasis3 8 2 5 3" xfId="21432"/>
    <cellStyle name="20% - Énfasis3 8 2 5 3 2" xfId="21433"/>
    <cellStyle name="20% - Énfasis3 8 2 5 3 2 2" xfId="21434"/>
    <cellStyle name="20% - Énfasis3 8 2 5 3 3" xfId="21435"/>
    <cellStyle name="20% - Énfasis3 8 2 5 3 3 2" xfId="21436"/>
    <cellStyle name="20% - Énfasis3 8 2 5 3 4" xfId="21437"/>
    <cellStyle name="20% - Énfasis3 8 2 5 4" xfId="21438"/>
    <cellStyle name="20% - Énfasis3 8 2 5 5" xfId="21439"/>
    <cellStyle name="20% - Énfasis3 8 2 5 5 2" xfId="21440"/>
    <cellStyle name="20% - Énfasis3 8 2 5 6" xfId="21441"/>
    <cellStyle name="20% - Énfasis3 8 2 5_IAS" xfId="21442"/>
    <cellStyle name="20% - Énfasis3 8 2 6" xfId="21443"/>
    <cellStyle name="20% - Énfasis3 8 2 6 2" xfId="21444"/>
    <cellStyle name="20% - Énfasis3 8 2 6 2 2" xfId="21445"/>
    <cellStyle name="20% - Énfasis3 8 2 6 2 2 2" xfId="21446"/>
    <cellStyle name="20% - Énfasis3 8 2 6 2 3" xfId="21447"/>
    <cellStyle name="20% - Énfasis3 8 2 6 2 3 2" xfId="21448"/>
    <cellStyle name="20% - Énfasis3 8 2 6 2 4" xfId="21449"/>
    <cellStyle name="20% - Énfasis3 8 2 6 3" xfId="21450"/>
    <cellStyle name="20% - Énfasis3 8 2 6 4" xfId="21451"/>
    <cellStyle name="20% - Énfasis3 8 2 6 4 2" xfId="21452"/>
    <cellStyle name="20% - Énfasis3 8 2 6 5" xfId="21453"/>
    <cellStyle name="20% - Énfasis3 8 2 6_IAS" xfId="21454"/>
    <cellStyle name="20% - Énfasis3 8 2 7" xfId="21455"/>
    <cellStyle name="20% - Énfasis3 8 2 7 2" xfId="21456"/>
    <cellStyle name="20% - Énfasis3 8 2 7 2 2" xfId="21457"/>
    <cellStyle name="20% - Énfasis3 8 2 7 3" xfId="21458"/>
    <cellStyle name="20% - Énfasis3 8 2 7 3 2" xfId="21459"/>
    <cellStyle name="20% - Énfasis3 8 2 7 4" xfId="21460"/>
    <cellStyle name="20% - Énfasis3 8 2 8" xfId="21461"/>
    <cellStyle name="20% - Énfasis3 8 2 8 2" xfId="21462"/>
    <cellStyle name="20% - Énfasis3 8 2 8 2 2" xfId="21463"/>
    <cellStyle name="20% - Énfasis3 8 2 8 3" xfId="21464"/>
    <cellStyle name="20% - Énfasis3 8 2 9" xfId="21465"/>
    <cellStyle name="20% - Énfasis3 8 2 9 2" xfId="21466"/>
    <cellStyle name="20% - Énfasis3 8 2 9 2 2" xfId="21467"/>
    <cellStyle name="20% - Énfasis3 8 2 9 3" xfId="21468"/>
    <cellStyle name="20% - Énfasis3 8 2_IAS" xfId="21469"/>
    <cellStyle name="20% - Énfasis3 8 3" xfId="21470"/>
    <cellStyle name="20% - Énfasis3 8 3 2" xfId="21471"/>
    <cellStyle name="20% - Énfasis3 8 3 2 2" xfId="21472"/>
    <cellStyle name="20% - Énfasis3 8 3 2 2 2" xfId="21473"/>
    <cellStyle name="20% - Énfasis3 8 3 2 2 2 2" xfId="21474"/>
    <cellStyle name="20% - Énfasis3 8 3 2 2 2 2 2" xfId="21475"/>
    <cellStyle name="20% - Énfasis3 8 3 2 2 2 3" xfId="21476"/>
    <cellStyle name="20% - Énfasis3 8 3 2 2 2 3 2" xfId="21477"/>
    <cellStyle name="20% - Énfasis3 8 3 2 2 2 4" xfId="21478"/>
    <cellStyle name="20% - Énfasis3 8 3 2 2 3" xfId="21479"/>
    <cellStyle name="20% - Énfasis3 8 3 2 2 4" xfId="21480"/>
    <cellStyle name="20% - Énfasis3 8 3 2 2 4 2" xfId="21481"/>
    <cellStyle name="20% - Énfasis3 8 3 2 2 5" xfId="21482"/>
    <cellStyle name="20% - Énfasis3 8 3 2 2_IAS" xfId="21483"/>
    <cellStyle name="20% - Énfasis3 8 3 2 3" xfId="21484"/>
    <cellStyle name="20% - Énfasis3 8 3 2 3 2" xfId="21485"/>
    <cellStyle name="20% - Énfasis3 8 3 2 3 2 2" xfId="21486"/>
    <cellStyle name="20% - Énfasis3 8 3 2 3 3" xfId="21487"/>
    <cellStyle name="20% - Énfasis3 8 3 2 3 3 2" xfId="21488"/>
    <cellStyle name="20% - Énfasis3 8 3 2 3 4" xfId="21489"/>
    <cellStyle name="20% - Énfasis3 8 3 2 4" xfId="21490"/>
    <cellStyle name="20% - Énfasis3 8 3 2 5" xfId="21491"/>
    <cellStyle name="20% - Énfasis3 8 3 2 5 2" xfId="21492"/>
    <cellStyle name="20% - Énfasis3 8 3 2 6" xfId="21493"/>
    <cellStyle name="20% - Énfasis3 8 3 2_IAS" xfId="21494"/>
    <cellStyle name="20% - Énfasis3 8 3 3" xfId="21495"/>
    <cellStyle name="20% - Énfasis3 8 3 3 2" xfId="21496"/>
    <cellStyle name="20% - Énfasis3 8 3 3 2 2" xfId="21497"/>
    <cellStyle name="20% - Énfasis3 8 3 3 2 2 2" xfId="21498"/>
    <cellStyle name="20% - Énfasis3 8 3 3 2 3" xfId="21499"/>
    <cellStyle name="20% - Énfasis3 8 3 3 2 3 2" xfId="21500"/>
    <cellStyle name="20% - Énfasis3 8 3 3 2 4" xfId="21501"/>
    <cellStyle name="20% - Énfasis3 8 3 3 3" xfId="21502"/>
    <cellStyle name="20% - Énfasis3 8 3 3 4" xfId="21503"/>
    <cellStyle name="20% - Énfasis3 8 3 3 4 2" xfId="21504"/>
    <cellStyle name="20% - Énfasis3 8 3 3 5" xfId="21505"/>
    <cellStyle name="20% - Énfasis3 8 3 3_IAS" xfId="21506"/>
    <cellStyle name="20% - Énfasis3 8 3 4" xfId="21507"/>
    <cellStyle name="20% - Énfasis3 8 3 4 2" xfId="21508"/>
    <cellStyle name="20% - Énfasis3 8 3 4 2 2" xfId="21509"/>
    <cellStyle name="20% - Énfasis3 8 3 4 3" xfId="21510"/>
    <cellStyle name="20% - Énfasis3 8 3 4 3 2" xfId="21511"/>
    <cellStyle name="20% - Énfasis3 8 3 4 4" xfId="21512"/>
    <cellStyle name="20% - Énfasis3 8 3 5" xfId="21513"/>
    <cellStyle name="20% - Énfasis3 8 3 6" xfId="21514"/>
    <cellStyle name="20% - Énfasis3 8 3 6 2" xfId="21515"/>
    <cellStyle name="20% - Énfasis3 8 3 7" xfId="21516"/>
    <cellStyle name="20% - Énfasis3 8 3_IAS" xfId="21517"/>
    <cellStyle name="20% - Énfasis3 8 4" xfId="21518"/>
    <cellStyle name="20% - Énfasis3 8 4 2" xfId="21519"/>
    <cellStyle name="20% - Énfasis3 8 4 2 2" xfId="21520"/>
    <cellStyle name="20% - Énfasis3 8 4 2 2 2" xfId="21521"/>
    <cellStyle name="20% - Énfasis3 8 4 2 2 2 2" xfId="21522"/>
    <cellStyle name="20% - Énfasis3 8 4 2 2 2 2 2" xfId="21523"/>
    <cellStyle name="20% - Énfasis3 8 4 2 2 2 3" xfId="21524"/>
    <cellStyle name="20% - Énfasis3 8 4 2 2 2 3 2" xfId="21525"/>
    <cellStyle name="20% - Énfasis3 8 4 2 2 2 4" xfId="21526"/>
    <cellStyle name="20% - Énfasis3 8 4 2 2 3" xfId="21527"/>
    <cellStyle name="20% - Énfasis3 8 4 2 2 4" xfId="21528"/>
    <cellStyle name="20% - Énfasis3 8 4 2 2 4 2" xfId="21529"/>
    <cellStyle name="20% - Énfasis3 8 4 2 2 5" xfId="21530"/>
    <cellStyle name="20% - Énfasis3 8 4 2 2_IAS" xfId="21531"/>
    <cellStyle name="20% - Énfasis3 8 4 2 3" xfId="21532"/>
    <cellStyle name="20% - Énfasis3 8 4 2 3 2" xfId="21533"/>
    <cellStyle name="20% - Énfasis3 8 4 2 3 2 2" xfId="21534"/>
    <cellStyle name="20% - Énfasis3 8 4 2 3 3" xfId="21535"/>
    <cellStyle name="20% - Énfasis3 8 4 2 3 3 2" xfId="21536"/>
    <cellStyle name="20% - Énfasis3 8 4 2 3 4" xfId="21537"/>
    <cellStyle name="20% - Énfasis3 8 4 2 4" xfId="21538"/>
    <cellStyle name="20% - Énfasis3 8 4 2 5" xfId="21539"/>
    <cellStyle name="20% - Énfasis3 8 4 2 5 2" xfId="21540"/>
    <cellStyle name="20% - Énfasis3 8 4 2 6" xfId="21541"/>
    <cellStyle name="20% - Énfasis3 8 4 2_IAS" xfId="21542"/>
    <cellStyle name="20% - Énfasis3 8 4 3" xfId="21543"/>
    <cellStyle name="20% - Énfasis3 8 4 3 2" xfId="21544"/>
    <cellStyle name="20% - Énfasis3 8 4 3 2 2" xfId="21545"/>
    <cellStyle name="20% - Énfasis3 8 4 3 2 2 2" xfId="21546"/>
    <cellStyle name="20% - Énfasis3 8 4 3 2 3" xfId="21547"/>
    <cellStyle name="20% - Énfasis3 8 4 3 2 3 2" xfId="21548"/>
    <cellStyle name="20% - Énfasis3 8 4 3 2 4" xfId="21549"/>
    <cellStyle name="20% - Énfasis3 8 4 3 3" xfId="21550"/>
    <cellStyle name="20% - Énfasis3 8 4 3 4" xfId="21551"/>
    <cellStyle name="20% - Énfasis3 8 4 3 4 2" xfId="21552"/>
    <cellStyle name="20% - Énfasis3 8 4 3 5" xfId="21553"/>
    <cellStyle name="20% - Énfasis3 8 4 3_IAS" xfId="21554"/>
    <cellStyle name="20% - Énfasis3 8 4 4" xfId="21555"/>
    <cellStyle name="20% - Énfasis3 8 4 4 2" xfId="21556"/>
    <cellStyle name="20% - Énfasis3 8 4 4 2 2" xfId="21557"/>
    <cellStyle name="20% - Énfasis3 8 4 4 3" xfId="21558"/>
    <cellStyle name="20% - Énfasis3 8 4 4 3 2" xfId="21559"/>
    <cellStyle name="20% - Énfasis3 8 4 4 4" xfId="21560"/>
    <cellStyle name="20% - Énfasis3 8 4 5" xfId="21561"/>
    <cellStyle name="20% - Énfasis3 8 4 6" xfId="21562"/>
    <cellStyle name="20% - Énfasis3 8 4 6 2" xfId="21563"/>
    <cellStyle name="20% - Énfasis3 8 4 7" xfId="21564"/>
    <cellStyle name="20% - Énfasis3 8 4_IAS" xfId="21565"/>
    <cellStyle name="20% - Énfasis3 8 5" xfId="21566"/>
    <cellStyle name="20% - Énfasis3 8 6" xfId="21567"/>
    <cellStyle name="20% - Énfasis3 8 6 2" xfId="21568"/>
    <cellStyle name="20% - Énfasis3 8 6 2 2" xfId="21569"/>
    <cellStyle name="20% - Énfasis3 8 6 2 2 2" xfId="21570"/>
    <cellStyle name="20% - Énfasis3 8 6 2 2 2 2" xfId="21571"/>
    <cellStyle name="20% - Énfasis3 8 6 2 2 3" xfId="21572"/>
    <cellStyle name="20% - Énfasis3 8 6 2 2 3 2" xfId="21573"/>
    <cellStyle name="20% - Énfasis3 8 6 2 2 4" xfId="21574"/>
    <cellStyle name="20% - Énfasis3 8 6 2 3" xfId="21575"/>
    <cellStyle name="20% - Énfasis3 8 6 2 4" xfId="21576"/>
    <cellStyle name="20% - Énfasis3 8 6 2 4 2" xfId="21577"/>
    <cellStyle name="20% - Énfasis3 8 6 2 5" xfId="21578"/>
    <cellStyle name="20% - Énfasis3 8 6 2_IAS" xfId="21579"/>
    <cellStyle name="20% - Énfasis3 8 6 3" xfId="21580"/>
    <cellStyle name="20% - Énfasis3 8 6 3 2" xfId="21581"/>
    <cellStyle name="20% - Énfasis3 8 6 3 2 2" xfId="21582"/>
    <cellStyle name="20% - Énfasis3 8 6 3 3" xfId="21583"/>
    <cellStyle name="20% - Énfasis3 8 6 3 3 2" xfId="21584"/>
    <cellStyle name="20% - Énfasis3 8 6 3 4" xfId="21585"/>
    <cellStyle name="20% - Énfasis3 8 6 4" xfId="21586"/>
    <cellStyle name="20% - Énfasis3 8 6 5" xfId="21587"/>
    <cellStyle name="20% - Énfasis3 8 6 5 2" xfId="21588"/>
    <cellStyle name="20% - Énfasis3 8 6 6" xfId="21589"/>
    <cellStyle name="20% - Énfasis3 8 6_IAS" xfId="21590"/>
    <cellStyle name="20% - Énfasis3 8 7" xfId="21591"/>
    <cellStyle name="20% - Énfasis3 8 7 2" xfId="21592"/>
    <cellStyle name="20% - Énfasis3 8 7 2 2" xfId="21593"/>
    <cellStyle name="20% - Énfasis3 8 7 2 2 2" xfId="21594"/>
    <cellStyle name="20% - Énfasis3 8 7 2 3" xfId="21595"/>
    <cellStyle name="20% - Énfasis3 8 7 2 3 2" xfId="21596"/>
    <cellStyle name="20% - Énfasis3 8 7 2 4" xfId="21597"/>
    <cellStyle name="20% - Énfasis3 8 7 3" xfId="21598"/>
    <cellStyle name="20% - Énfasis3 8 7 4" xfId="21599"/>
    <cellStyle name="20% - Énfasis3 8 7 4 2" xfId="21600"/>
    <cellStyle name="20% - Énfasis3 8 7 5" xfId="21601"/>
    <cellStyle name="20% - Énfasis3 8 7_IAS" xfId="21602"/>
    <cellStyle name="20% - Énfasis3 8 8" xfId="21603"/>
    <cellStyle name="20% - Énfasis3 8 8 2" xfId="21604"/>
    <cellStyle name="20% - Énfasis3 8 8 2 2" xfId="21605"/>
    <cellStyle name="20% - Énfasis3 8 8 3" xfId="21606"/>
    <cellStyle name="20% - Énfasis3 8 8 3 2" xfId="21607"/>
    <cellStyle name="20% - Énfasis3 8 8 4" xfId="21608"/>
    <cellStyle name="20% - Énfasis3 8 9" xfId="21609"/>
    <cellStyle name="20% - Énfasis3 8 9 2" xfId="21610"/>
    <cellStyle name="20% - Énfasis3 8 9 2 2" xfId="21611"/>
    <cellStyle name="20% - Énfasis3 8 9 3" xfId="21612"/>
    <cellStyle name="20% - Énfasis3 8_AGF" xfId="21613"/>
    <cellStyle name="20% - Énfasis3 9" xfId="21614"/>
    <cellStyle name="20% - Énfasis3 9 10" xfId="21615"/>
    <cellStyle name="20% - Énfasis3 9 10 2" xfId="21616"/>
    <cellStyle name="20% - Énfasis3 9 10 2 2" xfId="21617"/>
    <cellStyle name="20% - Énfasis3 9 10 3" xfId="21618"/>
    <cellStyle name="20% - Énfasis3 9 11" xfId="21619"/>
    <cellStyle name="20% - Énfasis3 9 11 2" xfId="21620"/>
    <cellStyle name="20% - Énfasis3 9 12" xfId="21621"/>
    <cellStyle name="20% - Énfasis3 9 12 2" xfId="21622"/>
    <cellStyle name="20% - Énfasis3 9 13" xfId="21623"/>
    <cellStyle name="20% - Énfasis3 9 14" xfId="21624"/>
    <cellStyle name="20% - Énfasis3 9 2" xfId="21625"/>
    <cellStyle name="20% - Énfasis3 9 2 2" xfId="21626"/>
    <cellStyle name="20% - Énfasis3 9 2 2 2" xfId="21627"/>
    <cellStyle name="20% - Énfasis3 9 2 2 2 2" xfId="21628"/>
    <cellStyle name="20% - Énfasis3 9 2 2 2 2 2" xfId="21629"/>
    <cellStyle name="20% - Énfasis3 9 2 2 2 2 2 2" xfId="21630"/>
    <cellStyle name="20% - Énfasis3 9 2 2 2 2 3" xfId="21631"/>
    <cellStyle name="20% - Énfasis3 9 2 2 2 2 3 2" xfId="21632"/>
    <cellStyle name="20% - Énfasis3 9 2 2 2 2 4" xfId="21633"/>
    <cellStyle name="20% - Énfasis3 9 2 2 2 3" xfId="21634"/>
    <cellStyle name="20% - Énfasis3 9 2 2 2 4" xfId="21635"/>
    <cellStyle name="20% - Énfasis3 9 2 2 2 4 2" xfId="21636"/>
    <cellStyle name="20% - Énfasis3 9 2 2 2 5" xfId="21637"/>
    <cellStyle name="20% - Énfasis3 9 2 2 2_IAS" xfId="21638"/>
    <cellStyle name="20% - Énfasis3 9 2 2 3" xfId="21639"/>
    <cellStyle name="20% - Énfasis3 9 2 2 3 2" xfId="21640"/>
    <cellStyle name="20% - Énfasis3 9 2 2 3 2 2" xfId="21641"/>
    <cellStyle name="20% - Énfasis3 9 2 2 3 3" xfId="21642"/>
    <cellStyle name="20% - Énfasis3 9 2 2 3 3 2" xfId="21643"/>
    <cellStyle name="20% - Énfasis3 9 2 2 3 4" xfId="21644"/>
    <cellStyle name="20% - Énfasis3 9 2 2 4" xfId="21645"/>
    <cellStyle name="20% - Énfasis3 9 2 2 5" xfId="21646"/>
    <cellStyle name="20% - Énfasis3 9 2 2 5 2" xfId="21647"/>
    <cellStyle name="20% - Énfasis3 9 2 2 6" xfId="21648"/>
    <cellStyle name="20% - Énfasis3 9 2 2_IAS" xfId="21649"/>
    <cellStyle name="20% - Énfasis3 9 2 3" xfId="21650"/>
    <cellStyle name="20% - Énfasis3 9 2 3 2" xfId="21651"/>
    <cellStyle name="20% - Énfasis3 9 2 3 2 2" xfId="21652"/>
    <cellStyle name="20% - Énfasis3 9 2 3 2 2 2" xfId="21653"/>
    <cellStyle name="20% - Énfasis3 9 2 3 2 3" xfId="21654"/>
    <cellStyle name="20% - Énfasis3 9 2 3 2 3 2" xfId="21655"/>
    <cellStyle name="20% - Énfasis3 9 2 3 2 4" xfId="21656"/>
    <cellStyle name="20% - Énfasis3 9 2 3 3" xfId="21657"/>
    <cellStyle name="20% - Énfasis3 9 2 3 4" xfId="21658"/>
    <cellStyle name="20% - Énfasis3 9 2 3 4 2" xfId="21659"/>
    <cellStyle name="20% - Énfasis3 9 2 3 5" xfId="21660"/>
    <cellStyle name="20% - Énfasis3 9 2 3_IAS" xfId="21661"/>
    <cellStyle name="20% - Énfasis3 9 2 4" xfId="21662"/>
    <cellStyle name="20% - Énfasis3 9 2 4 2" xfId="21663"/>
    <cellStyle name="20% - Énfasis3 9 2 4 2 2" xfId="21664"/>
    <cellStyle name="20% - Énfasis3 9 2 4 3" xfId="21665"/>
    <cellStyle name="20% - Énfasis3 9 2 4 3 2" xfId="21666"/>
    <cellStyle name="20% - Énfasis3 9 2 4 4" xfId="21667"/>
    <cellStyle name="20% - Énfasis3 9 2 5" xfId="21668"/>
    <cellStyle name="20% - Énfasis3 9 2 6" xfId="21669"/>
    <cellStyle name="20% - Énfasis3 9 2 6 2" xfId="21670"/>
    <cellStyle name="20% - Énfasis3 9 2 7" xfId="21671"/>
    <cellStyle name="20% - Énfasis3 9 2_IAS" xfId="21672"/>
    <cellStyle name="20% - Énfasis3 9 3" xfId="21673"/>
    <cellStyle name="20% - Énfasis3 9 3 2" xfId="21674"/>
    <cellStyle name="20% - Énfasis3 9 3 2 2" xfId="21675"/>
    <cellStyle name="20% - Énfasis3 9 3 2 2 2" xfId="21676"/>
    <cellStyle name="20% - Énfasis3 9 3 2 2 2 2" xfId="21677"/>
    <cellStyle name="20% - Énfasis3 9 3 2 2 2 2 2" xfId="21678"/>
    <cellStyle name="20% - Énfasis3 9 3 2 2 2 3" xfId="21679"/>
    <cellStyle name="20% - Énfasis3 9 3 2 2 2 3 2" xfId="21680"/>
    <cellStyle name="20% - Énfasis3 9 3 2 2 2 4" xfId="21681"/>
    <cellStyle name="20% - Énfasis3 9 3 2 2 3" xfId="21682"/>
    <cellStyle name="20% - Énfasis3 9 3 2 2 4" xfId="21683"/>
    <cellStyle name="20% - Énfasis3 9 3 2 2 4 2" xfId="21684"/>
    <cellStyle name="20% - Énfasis3 9 3 2 2 5" xfId="21685"/>
    <cellStyle name="20% - Énfasis3 9 3 2 2_IAS" xfId="21686"/>
    <cellStyle name="20% - Énfasis3 9 3 2 3" xfId="21687"/>
    <cellStyle name="20% - Énfasis3 9 3 2 3 2" xfId="21688"/>
    <cellStyle name="20% - Énfasis3 9 3 2 3 2 2" xfId="21689"/>
    <cellStyle name="20% - Énfasis3 9 3 2 3 3" xfId="21690"/>
    <cellStyle name="20% - Énfasis3 9 3 2 3 3 2" xfId="21691"/>
    <cellStyle name="20% - Énfasis3 9 3 2 3 4" xfId="21692"/>
    <cellStyle name="20% - Énfasis3 9 3 2 4" xfId="21693"/>
    <cellStyle name="20% - Énfasis3 9 3 2 5" xfId="21694"/>
    <cellStyle name="20% - Énfasis3 9 3 2 5 2" xfId="21695"/>
    <cellStyle name="20% - Énfasis3 9 3 2 6" xfId="21696"/>
    <cellStyle name="20% - Énfasis3 9 3 2_IAS" xfId="21697"/>
    <cellStyle name="20% - Énfasis3 9 3 3" xfId="21698"/>
    <cellStyle name="20% - Énfasis3 9 3 3 2" xfId="21699"/>
    <cellStyle name="20% - Énfasis3 9 3 3 2 2" xfId="21700"/>
    <cellStyle name="20% - Énfasis3 9 3 3 2 2 2" xfId="21701"/>
    <cellStyle name="20% - Énfasis3 9 3 3 2 3" xfId="21702"/>
    <cellStyle name="20% - Énfasis3 9 3 3 2 3 2" xfId="21703"/>
    <cellStyle name="20% - Énfasis3 9 3 3 2 4" xfId="21704"/>
    <cellStyle name="20% - Énfasis3 9 3 3 3" xfId="21705"/>
    <cellStyle name="20% - Énfasis3 9 3 3 4" xfId="21706"/>
    <cellStyle name="20% - Énfasis3 9 3 3 4 2" xfId="21707"/>
    <cellStyle name="20% - Énfasis3 9 3 3 5" xfId="21708"/>
    <cellStyle name="20% - Énfasis3 9 3 3_IAS" xfId="21709"/>
    <cellStyle name="20% - Énfasis3 9 3 4" xfId="21710"/>
    <cellStyle name="20% - Énfasis3 9 3 4 2" xfId="21711"/>
    <cellStyle name="20% - Énfasis3 9 3 4 2 2" xfId="21712"/>
    <cellStyle name="20% - Énfasis3 9 3 4 3" xfId="21713"/>
    <cellStyle name="20% - Énfasis3 9 3 4 3 2" xfId="21714"/>
    <cellStyle name="20% - Énfasis3 9 3 4 4" xfId="21715"/>
    <cellStyle name="20% - Énfasis3 9 3 5" xfId="21716"/>
    <cellStyle name="20% - Énfasis3 9 3 6" xfId="21717"/>
    <cellStyle name="20% - Énfasis3 9 3 6 2" xfId="21718"/>
    <cellStyle name="20% - Énfasis3 9 3 7" xfId="21719"/>
    <cellStyle name="20% - Énfasis3 9 3_IAS" xfId="21720"/>
    <cellStyle name="20% - Énfasis3 9 4" xfId="21721"/>
    <cellStyle name="20% - Énfasis3 9 5" xfId="21722"/>
    <cellStyle name="20% - Énfasis3 9 5 2" xfId="21723"/>
    <cellStyle name="20% - Énfasis3 9 5 2 2" xfId="21724"/>
    <cellStyle name="20% - Énfasis3 9 5 2 2 2" xfId="21725"/>
    <cellStyle name="20% - Énfasis3 9 5 2 2 2 2" xfId="21726"/>
    <cellStyle name="20% - Énfasis3 9 5 2 2 3" xfId="21727"/>
    <cellStyle name="20% - Énfasis3 9 5 2 2 3 2" xfId="21728"/>
    <cellStyle name="20% - Énfasis3 9 5 2 2 4" xfId="21729"/>
    <cellStyle name="20% - Énfasis3 9 5 2 3" xfId="21730"/>
    <cellStyle name="20% - Énfasis3 9 5 2 4" xfId="21731"/>
    <cellStyle name="20% - Énfasis3 9 5 2 4 2" xfId="21732"/>
    <cellStyle name="20% - Énfasis3 9 5 2 5" xfId="21733"/>
    <cellStyle name="20% - Énfasis3 9 5 2_IAS" xfId="21734"/>
    <cellStyle name="20% - Énfasis3 9 5 3" xfId="21735"/>
    <cellStyle name="20% - Énfasis3 9 5 3 2" xfId="21736"/>
    <cellStyle name="20% - Énfasis3 9 5 3 2 2" xfId="21737"/>
    <cellStyle name="20% - Énfasis3 9 5 3 3" xfId="21738"/>
    <cellStyle name="20% - Énfasis3 9 5 3 3 2" xfId="21739"/>
    <cellStyle name="20% - Énfasis3 9 5 3 4" xfId="21740"/>
    <cellStyle name="20% - Énfasis3 9 5 4" xfId="21741"/>
    <cellStyle name="20% - Énfasis3 9 5 5" xfId="21742"/>
    <cellStyle name="20% - Énfasis3 9 5 5 2" xfId="21743"/>
    <cellStyle name="20% - Énfasis3 9 5 6" xfId="21744"/>
    <cellStyle name="20% - Énfasis3 9 5_IAS" xfId="21745"/>
    <cellStyle name="20% - Énfasis3 9 6" xfId="21746"/>
    <cellStyle name="20% - Énfasis3 9 6 2" xfId="21747"/>
    <cellStyle name="20% - Énfasis3 9 6 2 2" xfId="21748"/>
    <cellStyle name="20% - Énfasis3 9 6 2 2 2" xfId="21749"/>
    <cellStyle name="20% - Énfasis3 9 6 2 3" xfId="21750"/>
    <cellStyle name="20% - Énfasis3 9 6 2 3 2" xfId="21751"/>
    <cellStyle name="20% - Énfasis3 9 6 2 4" xfId="21752"/>
    <cellStyle name="20% - Énfasis3 9 6 3" xfId="21753"/>
    <cellStyle name="20% - Énfasis3 9 6 4" xfId="21754"/>
    <cellStyle name="20% - Énfasis3 9 6 4 2" xfId="21755"/>
    <cellStyle name="20% - Énfasis3 9 6 5" xfId="21756"/>
    <cellStyle name="20% - Énfasis3 9 6_IAS" xfId="21757"/>
    <cellStyle name="20% - Énfasis3 9 7" xfId="21758"/>
    <cellStyle name="20% - Énfasis3 9 7 2" xfId="21759"/>
    <cellStyle name="20% - Énfasis3 9 7 2 2" xfId="21760"/>
    <cellStyle name="20% - Énfasis3 9 7 3" xfId="21761"/>
    <cellStyle name="20% - Énfasis3 9 7 3 2" xfId="21762"/>
    <cellStyle name="20% - Énfasis3 9 7 4" xfId="21763"/>
    <cellStyle name="20% - Énfasis3 9 8" xfId="21764"/>
    <cellStyle name="20% - Énfasis3 9 8 2" xfId="21765"/>
    <cellStyle name="20% - Énfasis3 9 8 2 2" xfId="21766"/>
    <cellStyle name="20% - Énfasis3 9 8 3" xfId="21767"/>
    <cellStyle name="20% - Énfasis3 9 9" xfId="21768"/>
    <cellStyle name="20% - Énfasis3 9 9 2" xfId="21769"/>
    <cellStyle name="20% - Énfasis3 9 9 2 2" xfId="21770"/>
    <cellStyle name="20% - Énfasis3 9 9 3" xfId="21771"/>
    <cellStyle name="20% - Énfasis3 9_IAS" xfId="21772"/>
    <cellStyle name="20% - Énfasis4 10" xfId="21773"/>
    <cellStyle name="20% - Énfasis4 10 2" xfId="21774"/>
    <cellStyle name="20% - Énfasis4 10 2 2" xfId="21775"/>
    <cellStyle name="20% - Énfasis4 10 2 2 2" xfId="21776"/>
    <cellStyle name="20% - Énfasis4 10 2 3" xfId="21777"/>
    <cellStyle name="20% - Énfasis4 10 2 3 2" xfId="21778"/>
    <cellStyle name="20% - Énfasis4 10 2 4" xfId="21779"/>
    <cellStyle name="20% - Énfasis4 10 3" xfId="21780"/>
    <cellStyle name="20% - Énfasis4 10 4" xfId="21781"/>
    <cellStyle name="20% - Énfasis4 10 4 2" xfId="21782"/>
    <cellStyle name="20% - Énfasis4 10 5" xfId="21783"/>
    <cellStyle name="20% - Énfasis4 10_IAS" xfId="21784"/>
    <cellStyle name="20% - Énfasis4 11" xfId="21785"/>
    <cellStyle name="20% - Énfasis4 11 2" xfId="21786"/>
    <cellStyle name="20% - Énfasis4 11 2 2" xfId="21787"/>
    <cellStyle name="20% - Énfasis4 11 3" xfId="21788"/>
    <cellStyle name="20% - Énfasis4 11 3 2" xfId="21789"/>
    <cellStyle name="20% - Énfasis4 11 4" xfId="21790"/>
    <cellStyle name="20% - Énfasis4 11_IAS" xfId="21791"/>
    <cellStyle name="20% - Énfasis4 12" xfId="21792"/>
    <cellStyle name="20% - Énfasis4 12 2" xfId="21793"/>
    <cellStyle name="20% - Énfasis4 13" xfId="21794"/>
    <cellStyle name="20% - Énfasis4 13 2" xfId="21795"/>
    <cellStyle name="20% - Énfasis4 14" xfId="21796"/>
    <cellStyle name="20% - Énfasis4 14 2" xfId="21797"/>
    <cellStyle name="20% - Énfasis4 15" xfId="21798"/>
    <cellStyle name="20% - Énfasis4 16" xfId="19903"/>
    <cellStyle name="20% - Énfasis4 2" xfId="121"/>
    <cellStyle name="20% - Énfasis4 2 10" xfId="12749"/>
    <cellStyle name="20% - Énfasis4 2 11" xfId="21799"/>
    <cellStyle name="20% - Énfasis4 2 2" xfId="122"/>
    <cellStyle name="20% - Énfasis4 2 2 10" xfId="21800"/>
    <cellStyle name="20% - Énfasis4 2 2 2" xfId="123"/>
    <cellStyle name="20% - Énfasis4 2 2 2 2" xfId="124"/>
    <cellStyle name="20% - Énfasis4 2 2 2 2 2" xfId="125"/>
    <cellStyle name="20% - Énfasis4 2 2 2 2 2 2" xfId="2263"/>
    <cellStyle name="20% - Énfasis4 2 2 2 2 2 2 2" xfId="5388"/>
    <cellStyle name="20% - Énfasis4 2 2 2 2 2 2 2 2" xfId="11591"/>
    <cellStyle name="20% - Énfasis4 2 2 2 2 2 2 2 3" xfId="17793"/>
    <cellStyle name="20% - Énfasis4 2 2 2 2 2 2 2 4" xfId="56624"/>
    <cellStyle name="20% - Énfasis4 2 2 2 2 2 2 3" xfId="8491"/>
    <cellStyle name="20% - Énfasis4 2 2 2 2 2 2 4" xfId="14693"/>
    <cellStyle name="20% - Énfasis4 2 2 2 2 2 2 5" xfId="53728"/>
    <cellStyle name="20% - Énfasis4 2 2 2 2 2 3" xfId="2396"/>
    <cellStyle name="20% - Énfasis4 2 2 2 2 2 3 2" xfId="5520"/>
    <cellStyle name="20% - Énfasis4 2 2 2 2 2 3 2 2" xfId="11723"/>
    <cellStyle name="20% - Énfasis4 2 2 2 2 2 3 2 3" xfId="17925"/>
    <cellStyle name="20% - Énfasis4 2 2 2 2 2 3 2 4" xfId="56753"/>
    <cellStyle name="20% - Énfasis4 2 2 2 2 2 3 3" xfId="8623"/>
    <cellStyle name="20% - Énfasis4 2 2 2 2 2 3 4" xfId="14825"/>
    <cellStyle name="20% - Énfasis4 2 2 2 2 2 3 5" xfId="53858"/>
    <cellStyle name="20% - Énfasis4 2 2 2 2 2 4" xfId="3448"/>
    <cellStyle name="20% - Énfasis4 2 2 2 2 2 4 2" xfId="9652"/>
    <cellStyle name="20% - Énfasis4 2 2 2 2 2 4 3" xfId="15854"/>
    <cellStyle name="20% - Énfasis4 2 2 2 2 2 4 4" xfId="54825"/>
    <cellStyle name="20% - Énfasis4 2 2 2 2 2 5" xfId="6551"/>
    <cellStyle name="20% - Énfasis4 2 2 2 2 2 5 2" xfId="19864"/>
    <cellStyle name="20% - Énfasis4 2 2 2 2 2 6" xfId="12753"/>
    <cellStyle name="20% - Énfasis4 2 2 2 2 2 7" xfId="52226"/>
    <cellStyle name="20% - Énfasis4 2 2 2 2 3" xfId="1739"/>
    <cellStyle name="20% - Énfasis4 2 2 2 2 3 2" xfId="4864"/>
    <cellStyle name="20% - Énfasis4 2 2 2 2 3 2 2" xfId="11067"/>
    <cellStyle name="20% - Énfasis4 2 2 2 2 3 2 3" xfId="17269"/>
    <cellStyle name="20% - Énfasis4 2 2 2 2 3 2 4" xfId="56135"/>
    <cellStyle name="20% - Énfasis4 2 2 2 2 3 3" xfId="7967"/>
    <cellStyle name="20% - Énfasis4 2 2 2 2 3 4" xfId="14169"/>
    <cellStyle name="20% - Énfasis4 2 2 2 2 3 5" xfId="53243"/>
    <cellStyle name="20% - Énfasis4 2 2 2 2 4" xfId="2395"/>
    <cellStyle name="20% - Énfasis4 2 2 2 2 4 2" xfId="5519"/>
    <cellStyle name="20% - Énfasis4 2 2 2 2 4 2 2" xfId="11722"/>
    <cellStyle name="20% - Énfasis4 2 2 2 2 4 2 3" xfId="17924"/>
    <cellStyle name="20% - Énfasis4 2 2 2 2 4 2 4" xfId="56752"/>
    <cellStyle name="20% - Énfasis4 2 2 2 2 4 3" xfId="8622"/>
    <cellStyle name="20% - Énfasis4 2 2 2 2 4 4" xfId="14824"/>
    <cellStyle name="20% - Énfasis4 2 2 2 2 4 5" xfId="53857"/>
    <cellStyle name="20% - Énfasis4 2 2 2 2 5" xfId="3447"/>
    <cellStyle name="20% - Énfasis4 2 2 2 2 5 2" xfId="9651"/>
    <cellStyle name="20% - Énfasis4 2 2 2 2 5 3" xfId="15853"/>
    <cellStyle name="20% - Énfasis4 2 2 2 2 5 4" xfId="54824"/>
    <cellStyle name="20% - Énfasis4 2 2 2 2 6" xfId="6550"/>
    <cellStyle name="20% - Énfasis4 2 2 2 2 6 2" xfId="19340"/>
    <cellStyle name="20% - Énfasis4 2 2 2 2 7" xfId="12752"/>
    <cellStyle name="20% - Énfasis4 2 2 2 2 8" xfId="52225"/>
    <cellStyle name="20% - Énfasis4 2 2 2 3" xfId="126"/>
    <cellStyle name="20% - Énfasis4 2 2 2 3 2" xfId="2018"/>
    <cellStyle name="20% - Énfasis4 2 2 2 3 2 2" xfId="5143"/>
    <cellStyle name="20% - Énfasis4 2 2 2 3 2 2 2" xfId="11346"/>
    <cellStyle name="20% - Énfasis4 2 2 2 3 2 2 3" xfId="17548"/>
    <cellStyle name="20% - Énfasis4 2 2 2 3 2 2 4" xfId="56397"/>
    <cellStyle name="20% - Énfasis4 2 2 2 3 2 3" xfId="8246"/>
    <cellStyle name="20% - Énfasis4 2 2 2 3 2 4" xfId="14448"/>
    <cellStyle name="20% - Énfasis4 2 2 2 3 2 5" xfId="53502"/>
    <cellStyle name="20% - Énfasis4 2 2 2 3 3" xfId="2397"/>
    <cellStyle name="20% - Énfasis4 2 2 2 3 3 2" xfId="5521"/>
    <cellStyle name="20% - Énfasis4 2 2 2 3 3 2 2" xfId="11724"/>
    <cellStyle name="20% - Énfasis4 2 2 2 3 3 2 3" xfId="17926"/>
    <cellStyle name="20% - Énfasis4 2 2 2 3 3 2 4" xfId="56754"/>
    <cellStyle name="20% - Énfasis4 2 2 2 3 3 3" xfId="8624"/>
    <cellStyle name="20% - Énfasis4 2 2 2 3 3 4" xfId="14826"/>
    <cellStyle name="20% - Énfasis4 2 2 2 3 3 5" xfId="53859"/>
    <cellStyle name="20% - Énfasis4 2 2 2 3 4" xfId="3449"/>
    <cellStyle name="20% - Énfasis4 2 2 2 3 4 2" xfId="9653"/>
    <cellStyle name="20% - Énfasis4 2 2 2 3 4 3" xfId="15855"/>
    <cellStyle name="20% - Énfasis4 2 2 2 3 4 4" xfId="54826"/>
    <cellStyle name="20% - Énfasis4 2 2 2 3 5" xfId="6552"/>
    <cellStyle name="20% - Énfasis4 2 2 2 3 5 2" xfId="19619"/>
    <cellStyle name="20% - Énfasis4 2 2 2 3 6" xfId="12754"/>
    <cellStyle name="20% - Énfasis4 2 2 2 3 7" xfId="52227"/>
    <cellStyle name="20% - Énfasis4 2 2 2 4" xfId="1494"/>
    <cellStyle name="20% - Énfasis4 2 2 2 4 2" xfId="4619"/>
    <cellStyle name="20% - Énfasis4 2 2 2 4 2 2" xfId="10822"/>
    <cellStyle name="20% - Énfasis4 2 2 2 4 2 3" xfId="17024"/>
    <cellStyle name="20% - Énfasis4 2 2 2 4 2 4" xfId="55902"/>
    <cellStyle name="20% - Énfasis4 2 2 2 4 3" xfId="7722"/>
    <cellStyle name="20% - Énfasis4 2 2 2 4 4" xfId="13924"/>
    <cellStyle name="20% - Énfasis4 2 2 2 4 5" xfId="53018"/>
    <cellStyle name="20% - Énfasis4 2 2 2 5" xfId="2394"/>
    <cellStyle name="20% - Énfasis4 2 2 2 5 2" xfId="5518"/>
    <cellStyle name="20% - Énfasis4 2 2 2 5 2 2" xfId="11721"/>
    <cellStyle name="20% - Énfasis4 2 2 2 5 2 3" xfId="17923"/>
    <cellStyle name="20% - Énfasis4 2 2 2 5 2 4" xfId="56751"/>
    <cellStyle name="20% - Énfasis4 2 2 2 5 3" xfId="8621"/>
    <cellStyle name="20% - Énfasis4 2 2 2 5 4" xfId="14823"/>
    <cellStyle name="20% - Énfasis4 2 2 2 5 5" xfId="53856"/>
    <cellStyle name="20% - Énfasis4 2 2 2 6" xfId="3446"/>
    <cellStyle name="20% - Énfasis4 2 2 2 6 2" xfId="9650"/>
    <cellStyle name="20% - Énfasis4 2 2 2 6 3" xfId="15852"/>
    <cellStyle name="20% - Énfasis4 2 2 2 6 4" xfId="54823"/>
    <cellStyle name="20% - Énfasis4 2 2 2 7" xfId="6549"/>
    <cellStyle name="20% - Énfasis4 2 2 2 7 2" xfId="19095"/>
    <cellStyle name="20% - Énfasis4 2 2 2 8" xfId="12751"/>
    <cellStyle name="20% - Énfasis4 2 2 2 9" xfId="52136"/>
    <cellStyle name="20% - Énfasis4 2 2 3" xfId="127"/>
    <cellStyle name="20% - Énfasis4 2 2 3 2" xfId="128"/>
    <cellStyle name="20% - Énfasis4 2 2 3 2 2" xfId="2135"/>
    <cellStyle name="20% - Énfasis4 2 2 3 2 2 2" xfId="5260"/>
    <cellStyle name="20% - Énfasis4 2 2 3 2 2 2 2" xfId="11463"/>
    <cellStyle name="20% - Énfasis4 2 2 3 2 2 2 3" xfId="17665"/>
    <cellStyle name="20% - Énfasis4 2 2 3 2 2 2 4" xfId="56505"/>
    <cellStyle name="20% - Énfasis4 2 2 3 2 2 3" xfId="8363"/>
    <cellStyle name="20% - Énfasis4 2 2 3 2 2 4" xfId="14565"/>
    <cellStyle name="20% - Énfasis4 2 2 3 2 2 5" xfId="53609"/>
    <cellStyle name="20% - Énfasis4 2 2 3 2 3" xfId="2399"/>
    <cellStyle name="20% - Énfasis4 2 2 3 2 3 2" xfId="5523"/>
    <cellStyle name="20% - Énfasis4 2 2 3 2 3 2 2" xfId="11726"/>
    <cellStyle name="20% - Énfasis4 2 2 3 2 3 2 3" xfId="17928"/>
    <cellStyle name="20% - Énfasis4 2 2 3 2 3 2 4" xfId="56756"/>
    <cellStyle name="20% - Énfasis4 2 2 3 2 3 3" xfId="8626"/>
    <cellStyle name="20% - Énfasis4 2 2 3 2 3 4" xfId="14828"/>
    <cellStyle name="20% - Énfasis4 2 2 3 2 3 5" xfId="53861"/>
    <cellStyle name="20% - Énfasis4 2 2 3 2 4" xfId="3451"/>
    <cellStyle name="20% - Énfasis4 2 2 3 2 4 2" xfId="9655"/>
    <cellStyle name="20% - Énfasis4 2 2 3 2 4 3" xfId="15857"/>
    <cellStyle name="20% - Énfasis4 2 2 3 2 4 4" xfId="54828"/>
    <cellStyle name="20% - Énfasis4 2 2 3 2 5" xfId="6554"/>
    <cellStyle name="20% - Énfasis4 2 2 3 2 5 2" xfId="19736"/>
    <cellStyle name="20% - Énfasis4 2 2 3 2 6" xfId="12756"/>
    <cellStyle name="20% - Énfasis4 2 2 3 2 7" xfId="52228"/>
    <cellStyle name="20% - Énfasis4 2 2 3 3" xfId="1611"/>
    <cellStyle name="20% - Énfasis4 2 2 3 3 2" xfId="4736"/>
    <cellStyle name="20% - Énfasis4 2 2 3 3 2 2" xfId="10939"/>
    <cellStyle name="20% - Énfasis4 2 2 3 3 2 3" xfId="17141"/>
    <cellStyle name="20% - Énfasis4 2 2 3 3 2 4" xfId="56013"/>
    <cellStyle name="20% - Énfasis4 2 2 3 3 3" xfId="7839"/>
    <cellStyle name="20% - Énfasis4 2 2 3 3 4" xfId="14041"/>
    <cellStyle name="20% - Énfasis4 2 2 3 3 5" xfId="53124"/>
    <cellStyle name="20% - Énfasis4 2 2 3 4" xfId="2398"/>
    <cellStyle name="20% - Énfasis4 2 2 3 4 2" xfId="5522"/>
    <cellStyle name="20% - Énfasis4 2 2 3 4 2 2" xfId="11725"/>
    <cellStyle name="20% - Énfasis4 2 2 3 4 2 3" xfId="17927"/>
    <cellStyle name="20% - Énfasis4 2 2 3 4 2 4" xfId="56755"/>
    <cellStyle name="20% - Énfasis4 2 2 3 4 3" xfId="8625"/>
    <cellStyle name="20% - Énfasis4 2 2 3 4 4" xfId="14827"/>
    <cellStyle name="20% - Énfasis4 2 2 3 4 5" xfId="53860"/>
    <cellStyle name="20% - Énfasis4 2 2 3 5" xfId="3450"/>
    <cellStyle name="20% - Énfasis4 2 2 3 5 2" xfId="9654"/>
    <cellStyle name="20% - Énfasis4 2 2 3 5 3" xfId="15856"/>
    <cellStyle name="20% - Énfasis4 2 2 3 5 4" xfId="54827"/>
    <cellStyle name="20% - Énfasis4 2 2 3 6" xfId="6553"/>
    <cellStyle name="20% - Énfasis4 2 2 3 6 2" xfId="19212"/>
    <cellStyle name="20% - Énfasis4 2 2 3 7" xfId="12755"/>
    <cellStyle name="20% - Énfasis4 2 2 3 8" xfId="52004"/>
    <cellStyle name="20% - Énfasis4 2 2 4" xfId="129"/>
    <cellStyle name="20% - Énfasis4 2 2 4 2" xfId="1876"/>
    <cellStyle name="20% - Énfasis4 2 2 4 2 2" xfId="5001"/>
    <cellStyle name="20% - Énfasis4 2 2 4 2 2 2" xfId="11204"/>
    <cellStyle name="20% - Énfasis4 2 2 4 2 2 3" xfId="17406"/>
    <cellStyle name="20% - Énfasis4 2 2 4 2 2 4" xfId="56263"/>
    <cellStyle name="20% - Énfasis4 2 2 4 2 3" xfId="8104"/>
    <cellStyle name="20% - Énfasis4 2 2 4 2 4" xfId="14306"/>
    <cellStyle name="20% - Énfasis4 2 2 4 2 5" xfId="53369"/>
    <cellStyle name="20% - Énfasis4 2 2 4 3" xfId="2400"/>
    <cellStyle name="20% - Énfasis4 2 2 4 3 2" xfId="5524"/>
    <cellStyle name="20% - Énfasis4 2 2 4 3 2 2" xfId="11727"/>
    <cellStyle name="20% - Énfasis4 2 2 4 3 2 3" xfId="17929"/>
    <cellStyle name="20% - Énfasis4 2 2 4 3 2 4" xfId="56757"/>
    <cellStyle name="20% - Énfasis4 2 2 4 3 3" xfId="8627"/>
    <cellStyle name="20% - Énfasis4 2 2 4 3 4" xfId="14829"/>
    <cellStyle name="20% - Énfasis4 2 2 4 3 5" xfId="53862"/>
    <cellStyle name="20% - Énfasis4 2 2 4 4" xfId="3452"/>
    <cellStyle name="20% - Énfasis4 2 2 4 4 2" xfId="9656"/>
    <cellStyle name="20% - Énfasis4 2 2 4 4 3" xfId="15858"/>
    <cellStyle name="20% - Énfasis4 2 2 4 4 4" xfId="54829"/>
    <cellStyle name="20% - Énfasis4 2 2 4 5" xfId="6555"/>
    <cellStyle name="20% - Énfasis4 2 2 4 5 2" xfId="19477"/>
    <cellStyle name="20% - Énfasis4 2 2 4 6" xfId="12757"/>
    <cellStyle name="20% - Énfasis4 2 2 4 7" xfId="52229"/>
    <cellStyle name="20% - Énfasis4 2 2 5" xfId="1352"/>
    <cellStyle name="20% - Énfasis4 2 2 5 2" xfId="4477"/>
    <cellStyle name="20% - Énfasis4 2 2 5 2 2" xfId="10680"/>
    <cellStyle name="20% - Énfasis4 2 2 5 2 3" xfId="16882"/>
    <cellStyle name="20% - Énfasis4 2 2 5 2 4" xfId="55767"/>
    <cellStyle name="20% - Énfasis4 2 2 5 3" xfId="7580"/>
    <cellStyle name="20% - Énfasis4 2 2 5 4" xfId="13782"/>
    <cellStyle name="20% - Énfasis4 2 2 5 5" xfId="52892"/>
    <cellStyle name="20% - Énfasis4 2 2 6" xfId="2393"/>
    <cellStyle name="20% - Énfasis4 2 2 6 2" xfId="5517"/>
    <cellStyle name="20% - Énfasis4 2 2 6 2 2" xfId="11720"/>
    <cellStyle name="20% - Énfasis4 2 2 6 2 3" xfId="17922"/>
    <cellStyle name="20% - Énfasis4 2 2 6 2 4" xfId="56750"/>
    <cellStyle name="20% - Énfasis4 2 2 6 3" xfId="8620"/>
    <cellStyle name="20% - Énfasis4 2 2 6 4" xfId="14822"/>
    <cellStyle name="20% - Énfasis4 2 2 6 5" xfId="53855"/>
    <cellStyle name="20% - Énfasis4 2 2 7" xfId="3445"/>
    <cellStyle name="20% - Énfasis4 2 2 7 2" xfId="9649"/>
    <cellStyle name="20% - Énfasis4 2 2 7 3" xfId="15851"/>
    <cellStyle name="20% - Énfasis4 2 2 7 4" xfId="54822"/>
    <cellStyle name="20% - Énfasis4 2 2 8" xfId="6548"/>
    <cellStyle name="20% - Énfasis4 2 2 8 2" xfId="18953"/>
    <cellStyle name="20% - Énfasis4 2 2 9" xfId="12750"/>
    <cellStyle name="20% - Énfasis4 2 3" xfId="130"/>
    <cellStyle name="20% - Énfasis4 2 3 2" xfId="131"/>
    <cellStyle name="20% - Énfasis4 2 3 2 2" xfId="132"/>
    <cellStyle name="20% - Énfasis4 2 3 2 2 2" xfId="2195"/>
    <cellStyle name="20% - Énfasis4 2 3 2 2 2 2" xfId="5320"/>
    <cellStyle name="20% - Énfasis4 2 3 2 2 2 2 2" xfId="11523"/>
    <cellStyle name="20% - Énfasis4 2 3 2 2 2 2 3" xfId="17725"/>
    <cellStyle name="20% - Énfasis4 2 3 2 2 2 2 4" xfId="56561"/>
    <cellStyle name="20% - Énfasis4 2 3 2 2 2 3" xfId="8423"/>
    <cellStyle name="20% - Énfasis4 2 3 2 2 2 4" xfId="14625"/>
    <cellStyle name="20% - Énfasis4 2 3 2 2 2 5" xfId="53665"/>
    <cellStyle name="20% - Énfasis4 2 3 2 2 3" xfId="2403"/>
    <cellStyle name="20% - Énfasis4 2 3 2 2 3 2" xfId="5527"/>
    <cellStyle name="20% - Énfasis4 2 3 2 2 3 2 2" xfId="11730"/>
    <cellStyle name="20% - Énfasis4 2 3 2 2 3 2 3" xfId="17932"/>
    <cellStyle name="20% - Énfasis4 2 3 2 2 3 2 4" xfId="56760"/>
    <cellStyle name="20% - Énfasis4 2 3 2 2 3 3" xfId="8630"/>
    <cellStyle name="20% - Énfasis4 2 3 2 2 3 4" xfId="14832"/>
    <cellStyle name="20% - Énfasis4 2 3 2 2 3 5" xfId="53865"/>
    <cellStyle name="20% - Énfasis4 2 3 2 2 4" xfId="3455"/>
    <cellStyle name="20% - Énfasis4 2 3 2 2 4 2" xfId="9659"/>
    <cellStyle name="20% - Énfasis4 2 3 2 2 4 3" xfId="15861"/>
    <cellStyle name="20% - Énfasis4 2 3 2 2 4 4" xfId="54832"/>
    <cellStyle name="20% - Énfasis4 2 3 2 2 5" xfId="6558"/>
    <cellStyle name="20% - Énfasis4 2 3 2 2 5 2" xfId="19796"/>
    <cellStyle name="20% - Énfasis4 2 3 2 2 6" xfId="12760"/>
    <cellStyle name="20% - Énfasis4 2 3 2 2 7" xfId="52231"/>
    <cellStyle name="20% - Énfasis4 2 3 2 3" xfId="1671"/>
    <cellStyle name="20% - Énfasis4 2 3 2 3 2" xfId="4796"/>
    <cellStyle name="20% - Énfasis4 2 3 2 3 2 2" xfId="10999"/>
    <cellStyle name="20% - Énfasis4 2 3 2 3 2 3" xfId="17201"/>
    <cellStyle name="20% - Énfasis4 2 3 2 3 2 4" xfId="56070"/>
    <cellStyle name="20% - Énfasis4 2 3 2 3 3" xfId="7899"/>
    <cellStyle name="20% - Énfasis4 2 3 2 3 4" xfId="14101"/>
    <cellStyle name="20% - Énfasis4 2 3 2 3 5" xfId="53180"/>
    <cellStyle name="20% - Énfasis4 2 3 2 4" xfId="2402"/>
    <cellStyle name="20% - Énfasis4 2 3 2 4 2" xfId="5526"/>
    <cellStyle name="20% - Énfasis4 2 3 2 4 2 2" xfId="11729"/>
    <cellStyle name="20% - Énfasis4 2 3 2 4 2 3" xfId="17931"/>
    <cellStyle name="20% - Énfasis4 2 3 2 4 2 4" xfId="56759"/>
    <cellStyle name="20% - Énfasis4 2 3 2 4 3" xfId="8629"/>
    <cellStyle name="20% - Énfasis4 2 3 2 4 4" xfId="14831"/>
    <cellStyle name="20% - Énfasis4 2 3 2 4 5" xfId="53864"/>
    <cellStyle name="20% - Énfasis4 2 3 2 5" xfId="3454"/>
    <cellStyle name="20% - Énfasis4 2 3 2 5 2" xfId="9658"/>
    <cellStyle name="20% - Énfasis4 2 3 2 5 3" xfId="15860"/>
    <cellStyle name="20% - Énfasis4 2 3 2 5 4" xfId="54831"/>
    <cellStyle name="20% - Énfasis4 2 3 2 6" xfId="6557"/>
    <cellStyle name="20% - Énfasis4 2 3 2 6 2" xfId="19272"/>
    <cellStyle name="20% - Énfasis4 2 3 2 7" xfId="12759"/>
    <cellStyle name="20% - Énfasis4 2 3 2 8" xfId="52230"/>
    <cellStyle name="20% - Énfasis4 2 3 3" xfId="133"/>
    <cellStyle name="20% - Énfasis4 2 3 3 2" xfId="1950"/>
    <cellStyle name="20% - Énfasis4 2 3 3 2 2" xfId="5075"/>
    <cellStyle name="20% - Énfasis4 2 3 3 2 2 2" xfId="11278"/>
    <cellStyle name="20% - Énfasis4 2 3 3 2 2 3" xfId="17480"/>
    <cellStyle name="20% - Énfasis4 2 3 3 2 2 4" xfId="56334"/>
    <cellStyle name="20% - Énfasis4 2 3 3 2 3" xfId="8178"/>
    <cellStyle name="20% - Énfasis4 2 3 3 2 4" xfId="14380"/>
    <cellStyle name="20% - Énfasis4 2 3 3 2 5" xfId="53440"/>
    <cellStyle name="20% - Énfasis4 2 3 3 3" xfId="2404"/>
    <cellStyle name="20% - Énfasis4 2 3 3 3 2" xfId="5528"/>
    <cellStyle name="20% - Énfasis4 2 3 3 3 2 2" xfId="11731"/>
    <cellStyle name="20% - Énfasis4 2 3 3 3 2 3" xfId="17933"/>
    <cellStyle name="20% - Énfasis4 2 3 3 3 2 4" xfId="56761"/>
    <cellStyle name="20% - Énfasis4 2 3 3 3 3" xfId="8631"/>
    <cellStyle name="20% - Énfasis4 2 3 3 3 4" xfId="14833"/>
    <cellStyle name="20% - Énfasis4 2 3 3 3 5" xfId="53866"/>
    <cellStyle name="20% - Énfasis4 2 3 3 4" xfId="3456"/>
    <cellStyle name="20% - Énfasis4 2 3 3 4 2" xfId="9660"/>
    <cellStyle name="20% - Énfasis4 2 3 3 4 3" xfId="15862"/>
    <cellStyle name="20% - Énfasis4 2 3 3 4 4" xfId="54833"/>
    <cellStyle name="20% - Énfasis4 2 3 3 5" xfId="6559"/>
    <cellStyle name="20% - Énfasis4 2 3 3 5 2" xfId="19551"/>
    <cellStyle name="20% - Énfasis4 2 3 3 6" xfId="12761"/>
    <cellStyle name="20% - Énfasis4 2 3 3 7" xfId="52232"/>
    <cellStyle name="20% - Énfasis4 2 3 4" xfId="1426"/>
    <cellStyle name="20% - Énfasis4 2 3 4 2" xfId="4551"/>
    <cellStyle name="20% - Énfasis4 2 3 4 2 2" xfId="10754"/>
    <cellStyle name="20% - Énfasis4 2 3 4 2 3" xfId="16956"/>
    <cellStyle name="20% - Énfasis4 2 3 4 2 4" xfId="55838"/>
    <cellStyle name="20% - Énfasis4 2 3 4 3" xfId="7654"/>
    <cellStyle name="20% - Énfasis4 2 3 4 4" xfId="13856"/>
    <cellStyle name="20% - Énfasis4 2 3 4 5" xfId="52956"/>
    <cellStyle name="20% - Énfasis4 2 3 5" xfId="2401"/>
    <cellStyle name="20% - Énfasis4 2 3 5 2" xfId="5525"/>
    <cellStyle name="20% - Énfasis4 2 3 5 2 2" xfId="11728"/>
    <cellStyle name="20% - Énfasis4 2 3 5 2 3" xfId="17930"/>
    <cellStyle name="20% - Énfasis4 2 3 5 2 4" xfId="56758"/>
    <cellStyle name="20% - Énfasis4 2 3 5 3" xfId="8628"/>
    <cellStyle name="20% - Énfasis4 2 3 5 4" xfId="14830"/>
    <cellStyle name="20% - Énfasis4 2 3 5 5" xfId="53863"/>
    <cellStyle name="20% - Énfasis4 2 3 6" xfId="3453"/>
    <cellStyle name="20% - Énfasis4 2 3 6 2" xfId="9657"/>
    <cellStyle name="20% - Énfasis4 2 3 6 3" xfId="15859"/>
    <cellStyle name="20% - Énfasis4 2 3 6 4" xfId="54830"/>
    <cellStyle name="20% - Énfasis4 2 3 7" xfId="6556"/>
    <cellStyle name="20% - Énfasis4 2 3 7 2" xfId="19027"/>
    <cellStyle name="20% - Énfasis4 2 3 8" xfId="12758"/>
    <cellStyle name="20% - Énfasis4 2 3 9" xfId="52073"/>
    <cellStyle name="20% - Énfasis4 2 4" xfId="134"/>
    <cellStyle name="20% - Énfasis4 2 4 2" xfId="135"/>
    <cellStyle name="20% - Énfasis4 2 4 2 2" xfId="2051"/>
    <cellStyle name="20% - Énfasis4 2 4 2 2 2" xfId="5176"/>
    <cellStyle name="20% - Énfasis4 2 4 2 2 2 2" xfId="11379"/>
    <cellStyle name="20% - Énfasis4 2 4 2 2 2 3" xfId="17581"/>
    <cellStyle name="20% - Énfasis4 2 4 2 2 2 4" xfId="56428"/>
    <cellStyle name="20% - Énfasis4 2 4 2 2 3" xfId="8279"/>
    <cellStyle name="20% - Énfasis4 2 4 2 2 4" xfId="14481"/>
    <cellStyle name="20% - Énfasis4 2 4 2 2 5" xfId="53532"/>
    <cellStyle name="20% - Énfasis4 2 4 2 3" xfId="2406"/>
    <cellStyle name="20% - Énfasis4 2 4 2 3 2" xfId="5530"/>
    <cellStyle name="20% - Énfasis4 2 4 2 3 2 2" xfId="11733"/>
    <cellStyle name="20% - Énfasis4 2 4 2 3 2 3" xfId="17935"/>
    <cellStyle name="20% - Énfasis4 2 4 2 3 2 4" xfId="56763"/>
    <cellStyle name="20% - Énfasis4 2 4 2 3 3" xfId="8633"/>
    <cellStyle name="20% - Énfasis4 2 4 2 3 4" xfId="14835"/>
    <cellStyle name="20% - Énfasis4 2 4 2 3 5" xfId="53868"/>
    <cellStyle name="20% - Énfasis4 2 4 2 4" xfId="3458"/>
    <cellStyle name="20% - Énfasis4 2 4 2 4 2" xfId="9662"/>
    <cellStyle name="20% - Énfasis4 2 4 2 4 3" xfId="15864"/>
    <cellStyle name="20% - Énfasis4 2 4 2 4 4" xfId="54835"/>
    <cellStyle name="20% - Énfasis4 2 4 2 5" xfId="6561"/>
    <cellStyle name="20% - Énfasis4 2 4 2 5 2" xfId="19652"/>
    <cellStyle name="20% - Énfasis4 2 4 2 6" xfId="12763"/>
    <cellStyle name="20% - Énfasis4 2 4 2 7" xfId="52233"/>
    <cellStyle name="20% - Énfasis4 2 4 3" xfId="1527"/>
    <cellStyle name="20% - Énfasis4 2 4 3 2" xfId="4652"/>
    <cellStyle name="20% - Énfasis4 2 4 3 2 2" xfId="10855"/>
    <cellStyle name="20% - Énfasis4 2 4 3 2 3" xfId="17057"/>
    <cellStyle name="20% - Énfasis4 2 4 3 2 4" xfId="55933"/>
    <cellStyle name="20% - Énfasis4 2 4 3 3" xfId="7755"/>
    <cellStyle name="20% - Énfasis4 2 4 3 4" xfId="13957"/>
    <cellStyle name="20% - Énfasis4 2 4 3 5" xfId="53048"/>
    <cellStyle name="20% - Énfasis4 2 4 4" xfId="2405"/>
    <cellStyle name="20% - Énfasis4 2 4 4 2" xfId="5529"/>
    <cellStyle name="20% - Énfasis4 2 4 4 2 2" xfId="11732"/>
    <cellStyle name="20% - Énfasis4 2 4 4 2 3" xfId="17934"/>
    <cellStyle name="20% - Énfasis4 2 4 4 2 4" xfId="56762"/>
    <cellStyle name="20% - Énfasis4 2 4 4 3" xfId="8632"/>
    <cellStyle name="20% - Énfasis4 2 4 4 4" xfId="14834"/>
    <cellStyle name="20% - Énfasis4 2 4 4 5" xfId="53867"/>
    <cellStyle name="20% - Énfasis4 2 4 5" xfId="3457"/>
    <cellStyle name="20% - Énfasis4 2 4 5 2" xfId="9661"/>
    <cellStyle name="20% - Énfasis4 2 4 5 3" xfId="15863"/>
    <cellStyle name="20% - Énfasis4 2 4 5 4" xfId="54834"/>
    <cellStyle name="20% - Énfasis4 2 4 6" xfId="6560"/>
    <cellStyle name="20% - Énfasis4 2 4 6 2" xfId="19128"/>
    <cellStyle name="20% - Énfasis4 2 4 7" xfId="12762"/>
    <cellStyle name="20% - Énfasis4 2 4 8" xfId="51935"/>
    <cellStyle name="20% - Énfasis4 2 5" xfId="136"/>
    <cellStyle name="20% - Énfasis4 2 5 2" xfId="1780"/>
    <cellStyle name="20% - Énfasis4 2 5 2 2" xfId="4905"/>
    <cellStyle name="20% - Énfasis4 2 5 2 2 2" xfId="11108"/>
    <cellStyle name="20% - Énfasis4 2 5 2 2 3" xfId="17310"/>
    <cellStyle name="20% - Énfasis4 2 5 2 2 4" xfId="56174"/>
    <cellStyle name="20% - Énfasis4 2 5 2 3" xfId="8008"/>
    <cellStyle name="20% - Énfasis4 2 5 2 4" xfId="14210"/>
    <cellStyle name="20% - Énfasis4 2 5 2 5" xfId="53281"/>
    <cellStyle name="20% - Énfasis4 2 5 3" xfId="2407"/>
    <cellStyle name="20% - Énfasis4 2 5 3 2" xfId="5531"/>
    <cellStyle name="20% - Énfasis4 2 5 3 2 2" xfId="11734"/>
    <cellStyle name="20% - Énfasis4 2 5 3 2 3" xfId="17936"/>
    <cellStyle name="20% - Énfasis4 2 5 3 2 4" xfId="56764"/>
    <cellStyle name="20% - Énfasis4 2 5 3 3" xfId="8634"/>
    <cellStyle name="20% - Énfasis4 2 5 3 4" xfId="14836"/>
    <cellStyle name="20% - Énfasis4 2 5 3 5" xfId="53869"/>
    <cellStyle name="20% - Énfasis4 2 5 4" xfId="3459"/>
    <cellStyle name="20% - Énfasis4 2 5 4 2" xfId="9663"/>
    <cellStyle name="20% - Énfasis4 2 5 4 3" xfId="15865"/>
    <cellStyle name="20% - Énfasis4 2 5 4 4" xfId="54836"/>
    <cellStyle name="20% - Énfasis4 2 5 5" xfId="6562"/>
    <cellStyle name="20% - Énfasis4 2 5 5 2" xfId="19381"/>
    <cellStyle name="20% - Énfasis4 2 5 6" xfId="12764"/>
    <cellStyle name="20% - Énfasis4 2 5 7" xfId="52234"/>
    <cellStyle name="20% - Énfasis4 2 6" xfId="1284"/>
    <cellStyle name="20% - Énfasis4 2 6 2" xfId="4409"/>
    <cellStyle name="20% - Énfasis4 2 6 2 2" xfId="10612"/>
    <cellStyle name="20% - Énfasis4 2 6 2 3" xfId="16814"/>
    <cellStyle name="20% - Énfasis4 2 6 2 4" xfId="55702"/>
    <cellStyle name="20% - Énfasis4 2 6 3" xfId="7512"/>
    <cellStyle name="20% - Énfasis4 2 6 4" xfId="13714"/>
    <cellStyle name="20% - Énfasis4 2 6 5" xfId="52831"/>
    <cellStyle name="20% - Énfasis4 2 7" xfId="2392"/>
    <cellStyle name="20% - Énfasis4 2 7 2" xfId="5516"/>
    <cellStyle name="20% - Énfasis4 2 7 2 2" xfId="11719"/>
    <cellStyle name="20% - Énfasis4 2 7 2 3" xfId="17921"/>
    <cellStyle name="20% - Énfasis4 2 7 2 4" xfId="56749"/>
    <cellStyle name="20% - Énfasis4 2 7 3" xfId="8619"/>
    <cellStyle name="20% - Énfasis4 2 7 4" xfId="14821"/>
    <cellStyle name="20% - Énfasis4 2 7 5" xfId="53854"/>
    <cellStyle name="20% - Énfasis4 2 8" xfId="3444"/>
    <cellStyle name="20% - Énfasis4 2 8 2" xfId="9648"/>
    <cellStyle name="20% - Énfasis4 2 8 3" xfId="15850"/>
    <cellStyle name="20% - Énfasis4 2 8 4" xfId="54821"/>
    <cellStyle name="20% - Énfasis4 2 9" xfId="6547"/>
    <cellStyle name="20% - Énfasis4 2 9 2" xfId="18885"/>
    <cellStyle name="20% - Énfasis4 3" xfId="137"/>
    <cellStyle name="20% - Énfasis4 3 10" xfId="21801"/>
    <cellStyle name="20% - Énfasis4 3 2" xfId="138"/>
    <cellStyle name="20% - Énfasis4 3 2 2" xfId="139"/>
    <cellStyle name="20% - Énfasis4 3 2 2 2" xfId="140"/>
    <cellStyle name="20% - Énfasis4 3 2 2 2 2" xfId="2237"/>
    <cellStyle name="20% - Énfasis4 3 2 2 2 2 2" xfId="5362"/>
    <cellStyle name="20% - Énfasis4 3 2 2 2 2 2 2" xfId="11565"/>
    <cellStyle name="20% - Énfasis4 3 2 2 2 2 2 3" xfId="17767"/>
    <cellStyle name="20% - Énfasis4 3 2 2 2 2 2 4" xfId="56601"/>
    <cellStyle name="20% - Énfasis4 3 2 2 2 2 3" xfId="8465"/>
    <cellStyle name="20% - Énfasis4 3 2 2 2 2 4" xfId="14667"/>
    <cellStyle name="20% - Énfasis4 3 2 2 2 2 5" xfId="53705"/>
    <cellStyle name="20% - Énfasis4 3 2 2 2 3" xfId="2411"/>
    <cellStyle name="20% - Énfasis4 3 2 2 2 3 2" xfId="5535"/>
    <cellStyle name="20% - Énfasis4 3 2 2 2 3 2 2" xfId="11738"/>
    <cellStyle name="20% - Énfasis4 3 2 2 2 3 2 3" xfId="17940"/>
    <cellStyle name="20% - Énfasis4 3 2 2 2 3 2 4" xfId="56768"/>
    <cellStyle name="20% - Énfasis4 3 2 2 2 3 3" xfId="8638"/>
    <cellStyle name="20% - Énfasis4 3 2 2 2 3 4" xfId="14840"/>
    <cellStyle name="20% - Énfasis4 3 2 2 2 3 5" xfId="53873"/>
    <cellStyle name="20% - Énfasis4 3 2 2 2 4" xfId="3463"/>
    <cellStyle name="20% - Énfasis4 3 2 2 2 4 2" xfId="9667"/>
    <cellStyle name="20% - Énfasis4 3 2 2 2 4 3" xfId="15869"/>
    <cellStyle name="20% - Énfasis4 3 2 2 2 4 4" xfId="54840"/>
    <cellStyle name="20% - Énfasis4 3 2 2 2 5" xfId="6566"/>
    <cellStyle name="20% - Énfasis4 3 2 2 2 5 2" xfId="19838"/>
    <cellStyle name="20% - Énfasis4 3 2 2 2 6" xfId="12768"/>
    <cellStyle name="20% - Énfasis4 3 2 2 2 7" xfId="52235"/>
    <cellStyle name="20% - Énfasis4 3 2 2 3" xfId="1713"/>
    <cellStyle name="20% - Énfasis4 3 2 2 3 2" xfId="4838"/>
    <cellStyle name="20% - Énfasis4 3 2 2 3 2 2" xfId="11041"/>
    <cellStyle name="20% - Énfasis4 3 2 2 3 2 3" xfId="17243"/>
    <cellStyle name="20% - Énfasis4 3 2 2 3 2 4" xfId="56110"/>
    <cellStyle name="20% - Énfasis4 3 2 2 3 3" xfId="7941"/>
    <cellStyle name="20% - Énfasis4 3 2 2 3 4" xfId="14143"/>
    <cellStyle name="20% - Énfasis4 3 2 2 3 5" xfId="53220"/>
    <cellStyle name="20% - Énfasis4 3 2 2 4" xfId="2410"/>
    <cellStyle name="20% - Énfasis4 3 2 2 4 2" xfId="5534"/>
    <cellStyle name="20% - Énfasis4 3 2 2 4 2 2" xfId="11737"/>
    <cellStyle name="20% - Énfasis4 3 2 2 4 2 3" xfId="17939"/>
    <cellStyle name="20% - Énfasis4 3 2 2 4 2 4" xfId="56767"/>
    <cellStyle name="20% - Énfasis4 3 2 2 4 3" xfId="8637"/>
    <cellStyle name="20% - Énfasis4 3 2 2 4 4" xfId="14839"/>
    <cellStyle name="20% - Énfasis4 3 2 2 4 5" xfId="53872"/>
    <cellStyle name="20% - Énfasis4 3 2 2 5" xfId="3462"/>
    <cellStyle name="20% - Énfasis4 3 2 2 5 2" xfId="9666"/>
    <cellStyle name="20% - Énfasis4 3 2 2 5 3" xfId="15868"/>
    <cellStyle name="20% - Énfasis4 3 2 2 5 4" xfId="54839"/>
    <cellStyle name="20% - Énfasis4 3 2 2 6" xfId="6565"/>
    <cellStyle name="20% - Énfasis4 3 2 2 6 2" xfId="19314"/>
    <cellStyle name="20% - Énfasis4 3 2 2 7" xfId="12767"/>
    <cellStyle name="20% - Énfasis4 3 2 2 8" xfId="52115"/>
    <cellStyle name="20% - Énfasis4 3 2 3" xfId="141"/>
    <cellStyle name="20% - Énfasis4 3 2 3 2" xfId="1992"/>
    <cellStyle name="20% - Énfasis4 3 2 3 2 2" xfId="5117"/>
    <cellStyle name="20% - Énfasis4 3 2 3 2 2 2" xfId="11320"/>
    <cellStyle name="20% - Énfasis4 3 2 3 2 2 3" xfId="17522"/>
    <cellStyle name="20% - Énfasis4 3 2 3 2 2 4" xfId="56374"/>
    <cellStyle name="20% - Énfasis4 3 2 3 2 3" xfId="8220"/>
    <cellStyle name="20% - Énfasis4 3 2 3 2 4" xfId="14422"/>
    <cellStyle name="20% - Énfasis4 3 2 3 2 5" xfId="53480"/>
    <cellStyle name="20% - Énfasis4 3 2 3 3" xfId="2412"/>
    <cellStyle name="20% - Énfasis4 3 2 3 3 2" xfId="5536"/>
    <cellStyle name="20% - Énfasis4 3 2 3 3 2 2" xfId="11739"/>
    <cellStyle name="20% - Énfasis4 3 2 3 3 2 3" xfId="17941"/>
    <cellStyle name="20% - Énfasis4 3 2 3 3 2 4" xfId="56769"/>
    <cellStyle name="20% - Énfasis4 3 2 3 3 3" xfId="8639"/>
    <cellStyle name="20% - Énfasis4 3 2 3 3 4" xfId="14841"/>
    <cellStyle name="20% - Énfasis4 3 2 3 3 5" xfId="53874"/>
    <cellStyle name="20% - Énfasis4 3 2 3 4" xfId="3464"/>
    <cellStyle name="20% - Énfasis4 3 2 3 4 2" xfId="9668"/>
    <cellStyle name="20% - Énfasis4 3 2 3 4 3" xfId="15870"/>
    <cellStyle name="20% - Énfasis4 3 2 3 4 4" xfId="54841"/>
    <cellStyle name="20% - Énfasis4 3 2 3 5" xfId="6567"/>
    <cellStyle name="20% - Énfasis4 3 2 3 5 2" xfId="19593"/>
    <cellStyle name="20% - Énfasis4 3 2 3 6" xfId="12769"/>
    <cellStyle name="20% - Énfasis4 3 2 3 7" xfId="52236"/>
    <cellStyle name="20% - Énfasis4 3 2 4" xfId="1468"/>
    <cellStyle name="20% - Énfasis4 3 2 4 2" xfId="4593"/>
    <cellStyle name="20% - Énfasis4 3 2 4 2 2" xfId="10796"/>
    <cellStyle name="20% - Énfasis4 3 2 4 2 3" xfId="16998"/>
    <cellStyle name="20% - Énfasis4 3 2 4 2 4" xfId="55878"/>
    <cellStyle name="20% - Énfasis4 3 2 4 3" xfId="7696"/>
    <cellStyle name="20% - Énfasis4 3 2 4 4" xfId="13898"/>
    <cellStyle name="20% - Énfasis4 3 2 4 5" xfId="52996"/>
    <cellStyle name="20% - Énfasis4 3 2 5" xfId="2409"/>
    <cellStyle name="20% - Énfasis4 3 2 5 2" xfId="5533"/>
    <cellStyle name="20% - Énfasis4 3 2 5 2 2" xfId="11736"/>
    <cellStyle name="20% - Énfasis4 3 2 5 2 3" xfId="17938"/>
    <cellStyle name="20% - Énfasis4 3 2 5 2 4" xfId="56766"/>
    <cellStyle name="20% - Énfasis4 3 2 5 3" xfId="8636"/>
    <cellStyle name="20% - Énfasis4 3 2 5 4" xfId="14838"/>
    <cellStyle name="20% - Énfasis4 3 2 5 5" xfId="53871"/>
    <cellStyle name="20% - Énfasis4 3 2 6" xfId="3461"/>
    <cellStyle name="20% - Énfasis4 3 2 6 2" xfId="9665"/>
    <cellStyle name="20% - Énfasis4 3 2 6 3" xfId="15867"/>
    <cellStyle name="20% - Énfasis4 3 2 6 4" xfId="54838"/>
    <cellStyle name="20% - Énfasis4 3 2 7" xfId="6564"/>
    <cellStyle name="20% - Énfasis4 3 2 7 2" xfId="19069"/>
    <cellStyle name="20% - Énfasis4 3 2 8" xfId="12766"/>
    <cellStyle name="20% - Énfasis4 3 2 9" xfId="21802"/>
    <cellStyle name="20% - Énfasis4 3 3" xfId="142"/>
    <cellStyle name="20% - Énfasis4 3 3 2" xfId="143"/>
    <cellStyle name="20% - Énfasis4 3 3 2 2" xfId="2109"/>
    <cellStyle name="20% - Énfasis4 3 3 2 2 2" xfId="5234"/>
    <cellStyle name="20% - Énfasis4 3 3 2 2 2 2" xfId="11437"/>
    <cellStyle name="20% - Énfasis4 3 3 2 2 2 3" xfId="17639"/>
    <cellStyle name="20% - Énfasis4 3 3 2 2 2 4" xfId="56482"/>
    <cellStyle name="20% - Énfasis4 3 3 2 2 3" xfId="8337"/>
    <cellStyle name="20% - Énfasis4 3 3 2 2 4" xfId="14539"/>
    <cellStyle name="20% - Énfasis4 3 3 2 2 5" xfId="53586"/>
    <cellStyle name="20% - Énfasis4 3 3 2 3" xfId="2414"/>
    <cellStyle name="20% - Énfasis4 3 3 2 3 2" xfId="5538"/>
    <cellStyle name="20% - Énfasis4 3 3 2 3 2 2" xfId="11741"/>
    <cellStyle name="20% - Énfasis4 3 3 2 3 2 3" xfId="17943"/>
    <cellStyle name="20% - Énfasis4 3 3 2 3 2 4" xfId="56771"/>
    <cellStyle name="20% - Énfasis4 3 3 2 3 3" xfId="8641"/>
    <cellStyle name="20% - Énfasis4 3 3 2 3 4" xfId="14843"/>
    <cellStyle name="20% - Énfasis4 3 3 2 3 5" xfId="53876"/>
    <cellStyle name="20% - Énfasis4 3 3 2 4" xfId="3466"/>
    <cellStyle name="20% - Énfasis4 3 3 2 4 2" xfId="9670"/>
    <cellStyle name="20% - Énfasis4 3 3 2 4 3" xfId="15872"/>
    <cellStyle name="20% - Énfasis4 3 3 2 4 4" xfId="54843"/>
    <cellStyle name="20% - Énfasis4 3 3 2 5" xfId="6569"/>
    <cellStyle name="20% - Énfasis4 3 3 2 5 2" xfId="19710"/>
    <cellStyle name="20% - Énfasis4 3 3 2 6" xfId="12771"/>
    <cellStyle name="20% - Énfasis4 3 3 2 7" xfId="52237"/>
    <cellStyle name="20% - Énfasis4 3 3 3" xfId="1585"/>
    <cellStyle name="20% - Énfasis4 3 3 3 2" xfId="4710"/>
    <cellStyle name="20% - Énfasis4 3 3 3 2 2" xfId="10913"/>
    <cellStyle name="20% - Énfasis4 3 3 3 2 3" xfId="17115"/>
    <cellStyle name="20% - Énfasis4 3 3 3 2 4" xfId="55988"/>
    <cellStyle name="20% - Énfasis4 3 3 3 3" xfId="7813"/>
    <cellStyle name="20% - Énfasis4 3 3 3 4" xfId="14015"/>
    <cellStyle name="20% - Énfasis4 3 3 3 5" xfId="53101"/>
    <cellStyle name="20% - Énfasis4 3 3 4" xfId="2413"/>
    <cellStyle name="20% - Énfasis4 3 3 4 2" xfId="5537"/>
    <cellStyle name="20% - Énfasis4 3 3 4 2 2" xfId="11740"/>
    <cellStyle name="20% - Énfasis4 3 3 4 2 3" xfId="17942"/>
    <cellStyle name="20% - Énfasis4 3 3 4 2 4" xfId="56770"/>
    <cellStyle name="20% - Énfasis4 3 3 4 3" xfId="8640"/>
    <cellStyle name="20% - Énfasis4 3 3 4 4" xfId="14842"/>
    <cellStyle name="20% - Énfasis4 3 3 4 5" xfId="53875"/>
    <cellStyle name="20% - Énfasis4 3 3 5" xfId="3465"/>
    <cellStyle name="20% - Énfasis4 3 3 5 2" xfId="9669"/>
    <cellStyle name="20% - Énfasis4 3 3 5 3" xfId="15871"/>
    <cellStyle name="20% - Énfasis4 3 3 5 4" xfId="54842"/>
    <cellStyle name="20% - Énfasis4 3 3 6" xfId="6568"/>
    <cellStyle name="20% - Énfasis4 3 3 6 2" xfId="19186"/>
    <cellStyle name="20% - Énfasis4 3 3 7" xfId="12770"/>
    <cellStyle name="20% - Énfasis4 3 3 8" xfId="51984"/>
    <cellStyle name="20% - Énfasis4 3 4" xfId="144"/>
    <cellStyle name="20% - Énfasis4 3 4 2" xfId="1850"/>
    <cellStyle name="20% - Énfasis4 3 4 2 2" xfId="4975"/>
    <cellStyle name="20% - Énfasis4 3 4 2 2 2" xfId="11178"/>
    <cellStyle name="20% - Énfasis4 3 4 2 2 3" xfId="17380"/>
    <cellStyle name="20% - Énfasis4 3 4 2 2 4" xfId="56239"/>
    <cellStyle name="20% - Énfasis4 3 4 2 3" xfId="8078"/>
    <cellStyle name="20% - Énfasis4 3 4 2 4" xfId="14280"/>
    <cellStyle name="20% - Énfasis4 3 4 2 5" xfId="53345"/>
    <cellStyle name="20% - Énfasis4 3 4 3" xfId="2415"/>
    <cellStyle name="20% - Énfasis4 3 4 3 2" xfId="5539"/>
    <cellStyle name="20% - Énfasis4 3 4 3 2 2" xfId="11742"/>
    <cellStyle name="20% - Énfasis4 3 4 3 2 3" xfId="17944"/>
    <cellStyle name="20% - Énfasis4 3 4 3 2 4" xfId="56772"/>
    <cellStyle name="20% - Énfasis4 3 4 3 3" xfId="8642"/>
    <cellStyle name="20% - Énfasis4 3 4 3 4" xfId="14844"/>
    <cellStyle name="20% - Énfasis4 3 4 3 5" xfId="53877"/>
    <cellStyle name="20% - Énfasis4 3 4 4" xfId="3467"/>
    <cellStyle name="20% - Énfasis4 3 4 4 2" xfId="9671"/>
    <cellStyle name="20% - Énfasis4 3 4 4 3" xfId="15873"/>
    <cellStyle name="20% - Énfasis4 3 4 4 4" xfId="54844"/>
    <cellStyle name="20% - Énfasis4 3 4 5" xfId="6570"/>
    <cellStyle name="20% - Énfasis4 3 4 5 2" xfId="19451"/>
    <cellStyle name="20% - Énfasis4 3 4 6" xfId="12772"/>
    <cellStyle name="20% - Énfasis4 3 4 7" xfId="52238"/>
    <cellStyle name="20% - Énfasis4 3 5" xfId="1326"/>
    <cellStyle name="20% - Énfasis4 3 5 2" xfId="4451"/>
    <cellStyle name="20% - Énfasis4 3 5 2 2" xfId="10654"/>
    <cellStyle name="20% - Énfasis4 3 5 2 3" xfId="16856"/>
    <cellStyle name="20% - Énfasis4 3 5 2 4" xfId="55742"/>
    <cellStyle name="20% - Énfasis4 3 5 3" xfId="7554"/>
    <cellStyle name="20% - Énfasis4 3 5 4" xfId="13756"/>
    <cellStyle name="20% - Énfasis4 3 5 5" xfId="52870"/>
    <cellStyle name="20% - Énfasis4 3 6" xfId="2408"/>
    <cellStyle name="20% - Énfasis4 3 6 2" xfId="5532"/>
    <cellStyle name="20% - Énfasis4 3 6 2 2" xfId="11735"/>
    <cellStyle name="20% - Énfasis4 3 6 2 3" xfId="17937"/>
    <cellStyle name="20% - Énfasis4 3 6 2 4" xfId="56765"/>
    <cellStyle name="20% - Énfasis4 3 6 3" xfId="8635"/>
    <cellStyle name="20% - Énfasis4 3 6 4" xfId="14837"/>
    <cellStyle name="20% - Énfasis4 3 6 5" xfId="53870"/>
    <cellStyle name="20% - Énfasis4 3 7" xfId="3460"/>
    <cellStyle name="20% - Énfasis4 3 7 2" xfId="9664"/>
    <cellStyle name="20% - Énfasis4 3 7 3" xfId="15866"/>
    <cellStyle name="20% - Énfasis4 3 7 4" xfId="54837"/>
    <cellStyle name="20% - Énfasis4 3 8" xfId="6563"/>
    <cellStyle name="20% - Énfasis4 3 8 2" xfId="18927"/>
    <cellStyle name="20% - Énfasis4 3 9" xfId="12765"/>
    <cellStyle name="20% - Énfasis4 4" xfId="145"/>
    <cellStyle name="20% - Énfasis4 4 2" xfId="146"/>
    <cellStyle name="20% - Énfasis4 4 2 2" xfId="147"/>
    <cellStyle name="20% - Énfasis4 4 2 2 2" xfId="2169"/>
    <cellStyle name="20% - Énfasis4 4 2 2 2 2" xfId="5294"/>
    <cellStyle name="20% - Énfasis4 4 2 2 2 2 2" xfId="11497"/>
    <cellStyle name="20% - Énfasis4 4 2 2 2 2 3" xfId="17699"/>
    <cellStyle name="20% - Énfasis4 4 2 2 2 2 4" xfId="56537"/>
    <cellStyle name="20% - Énfasis4 4 2 2 2 3" xfId="8397"/>
    <cellStyle name="20% - Énfasis4 4 2 2 2 4" xfId="14599"/>
    <cellStyle name="20% - Énfasis4 4 2 2 2 5" xfId="53641"/>
    <cellStyle name="20% - Énfasis4 4 2 2 3" xfId="2418"/>
    <cellStyle name="20% - Énfasis4 4 2 2 3 2" xfId="5542"/>
    <cellStyle name="20% - Énfasis4 4 2 2 3 2 2" xfId="11745"/>
    <cellStyle name="20% - Énfasis4 4 2 2 3 2 3" xfId="17947"/>
    <cellStyle name="20% - Énfasis4 4 2 2 3 2 4" xfId="56775"/>
    <cellStyle name="20% - Énfasis4 4 2 2 3 3" xfId="8645"/>
    <cellStyle name="20% - Énfasis4 4 2 2 3 4" xfId="14847"/>
    <cellStyle name="20% - Énfasis4 4 2 2 3 5" xfId="53880"/>
    <cellStyle name="20% - Énfasis4 4 2 2 4" xfId="3470"/>
    <cellStyle name="20% - Énfasis4 4 2 2 4 2" xfId="9674"/>
    <cellStyle name="20% - Énfasis4 4 2 2 4 3" xfId="15876"/>
    <cellStyle name="20% - Énfasis4 4 2 2 4 4" xfId="54847"/>
    <cellStyle name="20% - Énfasis4 4 2 2 5" xfId="6573"/>
    <cellStyle name="20% - Énfasis4 4 2 2 5 2" xfId="19770"/>
    <cellStyle name="20% - Énfasis4 4 2 2 6" xfId="12775"/>
    <cellStyle name="20% - Énfasis4 4 2 2 7" xfId="52240"/>
    <cellStyle name="20% - Énfasis4 4 2 3" xfId="1645"/>
    <cellStyle name="20% - Énfasis4 4 2 3 2" xfId="4770"/>
    <cellStyle name="20% - Énfasis4 4 2 3 2 2" xfId="10973"/>
    <cellStyle name="20% - Énfasis4 4 2 3 2 3" xfId="17175"/>
    <cellStyle name="20% - Énfasis4 4 2 3 2 4" xfId="56046"/>
    <cellStyle name="20% - Énfasis4 4 2 3 3" xfId="7873"/>
    <cellStyle name="20% - Énfasis4 4 2 3 4" xfId="14075"/>
    <cellStyle name="20% - Énfasis4 4 2 3 5" xfId="53156"/>
    <cellStyle name="20% - Énfasis4 4 2 4" xfId="2417"/>
    <cellStyle name="20% - Énfasis4 4 2 4 2" xfId="5541"/>
    <cellStyle name="20% - Énfasis4 4 2 4 2 2" xfId="11744"/>
    <cellStyle name="20% - Énfasis4 4 2 4 2 3" xfId="17946"/>
    <cellStyle name="20% - Énfasis4 4 2 4 2 4" xfId="56774"/>
    <cellStyle name="20% - Énfasis4 4 2 4 3" xfId="8644"/>
    <cellStyle name="20% - Énfasis4 4 2 4 4" xfId="14846"/>
    <cellStyle name="20% - Énfasis4 4 2 4 5" xfId="53879"/>
    <cellStyle name="20% - Énfasis4 4 2 5" xfId="3469"/>
    <cellStyle name="20% - Énfasis4 4 2 5 2" xfId="9673"/>
    <cellStyle name="20% - Énfasis4 4 2 5 3" xfId="15875"/>
    <cellStyle name="20% - Énfasis4 4 2 5 4" xfId="54846"/>
    <cellStyle name="20% - Énfasis4 4 2 6" xfId="6572"/>
    <cellStyle name="20% - Énfasis4 4 2 6 2" xfId="19246"/>
    <cellStyle name="20% - Énfasis4 4 2 6 3" xfId="52239"/>
    <cellStyle name="20% - Énfasis4 4 2 7" xfId="12774"/>
    <cellStyle name="20% - Énfasis4 4 2 8" xfId="21804"/>
    <cellStyle name="20% - Énfasis4 4 3" xfId="148"/>
    <cellStyle name="20% - Énfasis4 4 3 2" xfId="1923"/>
    <cellStyle name="20% - Énfasis4 4 3 2 2" xfId="5048"/>
    <cellStyle name="20% - Énfasis4 4 3 2 2 2" xfId="11251"/>
    <cellStyle name="20% - Énfasis4 4 3 2 2 3" xfId="17453"/>
    <cellStyle name="20% - Énfasis4 4 3 2 2 4" xfId="56309"/>
    <cellStyle name="20% - Énfasis4 4 3 2 3" xfId="8151"/>
    <cellStyle name="20% - Énfasis4 4 3 2 4" xfId="14353"/>
    <cellStyle name="20% - Énfasis4 4 3 2 5" xfId="53415"/>
    <cellStyle name="20% - Énfasis4 4 3 3" xfId="2419"/>
    <cellStyle name="20% - Énfasis4 4 3 3 2" xfId="5543"/>
    <cellStyle name="20% - Énfasis4 4 3 3 2 2" xfId="11746"/>
    <cellStyle name="20% - Énfasis4 4 3 3 2 3" xfId="17948"/>
    <cellStyle name="20% - Énfasis4 4 3 3 2 4" xfId="56776"/>
    <cellStyle name="20% - Énfasis4 4 3 3 3" xfId="8646"/>
    <cellStyle name="20% - Énfasis4 4 3 3 4" xfId="14848"/>
    <cellStyle name="20% - Énfasis4 4 3 3 5" xfId="53881"/>
    <cellStyle name="20% - Énfasis4 4 3 4" xfId="3471"/>
    <cellStyle name="20% - Énfasis4 4 3 4 2" xfId="9675"/>
    <cellStyle name="20% - Énfasis4 4 3 4 3" xfId="15877"/>
    <cellStyle name="20% - Énfasis4 4 3 4 4" xfId="54848"/>
    <cellStyle name="20% - Énfasis4 4 3 5" xfId="6574"/>
    <cellStyle name="20% - Énfasis4 4 3 5 2" xfId="19524"/>
    <cellStyle name="20% - Énfasis4 4 3 6" xfId="12776"/>
    <cellStyle name="20% - Énfasis4 4 3 7" xfId="52052"/>
    <cellStyle name="20% - Énfasis4 4 4" xfId="1399"/>
    <cellStyle name="20% - Énfasis4 4 4 2" xfId="4524"/>
    <cellStyle name="20% - Énfasis4 4 4 2 2" xfId="10727"/>
    <cellStyle name="20% - Énfasis4 4 4 2 3" xfId="16929"/>
    <cellStyle name="20% - Énfasis4 4 4 2 4" xfId="55813"/>
    <cellStyle name="20% - Énfasis4 4 4 3" xfId="7627"/>
    <cellStyle name="20% - Énfasis4 4 4 4" xfId="13829"/>
    <cellStyle name="20% - Énfasis4 4 4 5" xfId="52935"/>
    <cellStyle name="20% - Énfasis4 4 5" xfId="2416"/>
    <cellStyle name="20% - Énfasis4 4 5 2" xfId="5540"/>
    <cellStyle name="20% - Énfasis4 4 5 2 2" xfId="11743"/>
    <cellStyle name="20% - Énfasis4 4 5 2 3" xfId="17945"/>
    <cellStyle name="20% - Énfasis4 4 5 2 4" xfId="56773"/>
    <cellStyle name="20% - Énfasis4 4 5 3" xfId="8643"/>
    <cellStyle name="20% - Énfasis4 4 5 4" xfId="14845"/>
    <cellStyle name="20% - Énfasis4 4 5 5" xfId="53878"/>
    <cellStyle name="20% - Énfasis4 4 6" xfId="3468"/>
    <cellStyle name="20% - Énfasis4 4 6 2" xfId="9672"/>
    <cellStyle name="20% - Énfasis4 4 6 3" xfId="15874"/>
    <cellStyle name="20% - Énfasis4 4 6 4" xfId="54845"/>
    <cellStyle name="20% - Énfasis4 4 7" xfId="6571"/>
    <cellStyle name="20% - Énfasis4 4 7 2" xfId="19000"/>
    <cellStyle name="20% - Énfasis4 4 8" xfId="12773"/>
    <cellStyle name="20% - Énfasis4 4 9" xfId="21803"/>
    <cellStyle name="20% - Énfasis4 5" xfId="149"/>
    <cellStyle name="20% - Énfasis4 5 2" xfId="150"/>
    <cellStyle name="20% - Énfasis4 5 2 2" xfId="2050"/>
    <cellStyle name="20% - Énfasis4 5 2 2 2" xfId="5175"/>
    <cellStyle name="20% - Énfasis4 5 2 2 2 2" xfId="11378"/>
    <cellStyle name="20% - Énfasis4 5 2 2 2 3" xfId="17580"/>
    <cellStyle name="20% - Énfasis4 5 2 2 2 4" xfId="56427"/>
    <cellStyle name="20% - Énfasis4 5 2 2 3" xfId="8278"/>
    <cellStyle name="20% - Énfasis4 5 2 2 4" xfId="14480"/>
    <cellStyle name="20% - Énfasis4 5 2 2 5" xfId="53531"/>
    <cellStyle name="20% - Énfasis4 5 2 3" xfId="2421"/>
    <cellStyle name="20% - Énfasis4 5 2 3 2" xfId="5545"/>
    <cellStyle name="20% - Énfasis4 5 2 3 2 2" xfId="11748"/>
    <cellStyle name="20% - Énfasis4 5 2 3 2 3" xfId="17950"/>
    <cellStyle name="20% - Énfasis4 5 2 3 2 4" xfId="56778"/>
    <cellStyle name="20% - Énfasis4 5 2 3 3" xfId="8648"/>
    <cellStyle name="20% - Énfasis4 5 2 3 4" xfId="14850"/>
    <cellStyle name="20% - Énfasis4 5 2 3 5" xfId="53883"/>
    <cellStyle name="20% - Énfasis4 5 2 4" xfId="3473"/>
    <cellStyle name="20% - Énfasis4 5 2 4 2" xfId="9677"/>
    <cellStyle name="20% - Énfasis4 5 2 4 3" xfId="15879"/>
    <cellStyle name="20% - Énfasis4 5 2 4 4" xfId="54850"/>
    <cellStyle name="20% - Énfasis4 5 2 5" xfId="6576"/>
    <cellStyle name="20% - Énfasis4 5 2 5 2" xfId="19651"/>
    <cellStyle name="20% - Énfasis4 5 2 5 3" xfId="52242"/>
    <cellStyle name="20% - Énfasis4 5 2 6" xfId="12778"/>
    <cellStyle name="20% - Énfasis4 5 2 7" xfId="21806"/>
    <cellStyle name="20% - Énfasis4 5 3" xfId="1526"/>
    <cellStyle name="20% - Énfasis4 5 3 2" xfId="4651"/>
    <cellStyle name="20% - Énfasis4 5 3 2 2" xfId="10854"/>
    <cellStyle name="20% - Énfasis4 5 3 2 3" xfId="17056"/>
    <cellStyle name="20% - Énfasis4 5 3 2 4" xfId="55932"/>
    <cellStyle name="20% - Énfasis4 5 3 3" xfId="7754"/>
    <cellStyle name="20% - Énfasis4 5 3 4" xfId="13956"/>
    <cellStyle name="20% - Énfasis4 5 3 5" xfId="53047"/>
    <cellStyle name="20% - Énfasis4 5 4" xfId="2420"/>
    <cellStyle name="20% - Énfasis4 5 4 2" xfId="5544"/>
    <cellStyle name="20% - Énfasis4 5 4 2 2" xfId="11747"/>
    <cellStyle name="20% - Énfasis4 5 4 2 3" xfId="17949"/>
    <cellStyle name="20% - Énfasis4 5 4 2 4" xfId="56777"/>
    <cellStyle name="20% - Énfasis4 5 4 3" xfId="8647"/>
    <cellStyle name="20% - Énfasis4 5 4 4" xfId="14849"/>
    <cellStyle name="20% - Énfasis4 5 4 5" xfId="53882"/>
    <cellStyle name="20% - Énfasis4 5 5" xfId="3472"/>
    <cellStyle name="20% - Énfasis4 5 5 2" xfId="9676"/>
    <cellStyle name="20% - Énfasis4 5 5 3" xfId="15878"/>
    <cellStyle name="20% - Énfasis4 5 5 4" xfId="54849"/>
    <cellStyle name="20% - Énfasis4 5 6" xfId="6575"/>
    <cellStyle name="20% - Énfasis4 5 6 2" xfId="19127"/>
    <cellStyle name="20% - Énfasis4 5 6 3" xfId="52241"/>
    <cellStyle name="20% - Énfasis4 5 7" xfId="12777"/>
    <cellStyle name="20% - Énfasis4 5 8" xfId="21805"/>
    <cellStyle name="20% - Énfasis4 6" xfId="151"/>
    <cellStyle name="20% - Énfasis4 6 2" xfId="1779"/>
    <cellStyle name="20% - Énfasis4 6 2 2" xfId="4904"/>
    <cellStyle name="20% - Énfasis4 6 2 2 2" xfId="11107"/>
    <cellStyle name="20% - Énfasis4 6 2 2 3" xfId="17309"/>
    <cellStyle name="20% - Énfasis4 6 2 2 4" xfId="56173"/>
    <cellStyle name="20% - Énfasis4 6 2 3" xfId="8007"/>
    <cellStyle name="20% - Énfasis4 6 2 4" xfId="14209"/>
    <cellStyle name="20% - Énfasis4 6 2 5" xfId="53280"/>
    <cellStyle name="20% - Énfasis4 6 3" xfId="2422"/>
    <cellStyle name="20% - Énfasis4 6 3 2" xfId="5546"/>
    <cellStyle name="20% - Énfasis4 6 3 2 2" xfId="11749"/>
    <cellStyle name="20% - Énfasis4 6 3 2 3" xfId="17951"/>
    <cellStyle name="20% - Énfasis4 6 3 2 4" xfId="56779"/>
    <cellStyle name="20% - Énfasis4 6 3 3" xfId="8649"/>
    <cellStyle name="20% - Énfasis4 6 3 4" xfId="14851"/>
    <cellStyle name="20% - Énfasis4 6 3 5" xfId="53884"/>
    <cellStyle name="20% - Énfasis4 6 4" xfId="3474"/>
    <cellStyle name="20% - Énfasis4 6 4 2" xfId="9678"/>
    <cellStyle name="20% - Énfasis4 6 4 3" xfId="15880"/>
    <cellStyle name="20% - Énfasis4 6 4 4" xfId="54851"/>
    <cellStyle name="20% - Énfasis4 6 5" xfId="6577"/>
    <cellStyle name="20% - Énfasis4 6 5 2" xfId="19380"/>
    <cellStyle name="20% - Énfasis4 6 5 3" xfId="52243"/>
    <cellStyle name="20% - Énfasis4 6 6" xfId="12779"/>
    <cellStyle name="20% - Énfasis4 6 7" xfId="21807"/>
    <cellStyle name="20% - Énfasis4 7" xfId="1256"/>
    <cellStyle name="20% - Énfasis4 7 2" xfId="4381"/>
    <cellStyle name="20% - Énfasis4 7 2 2" xfId="10584"/>
    <cellStyle name="20% - Énfasis4 7 2 3" xfId="16786"/>
    <cellStyle name="20% - Énfasis4 7 2 4" xfId="55677"/>
    <cellStyle name="20% - Énfasis4 7 3" xfId="7484"/>
    <cellStyle name="20% - Énfasis4 7 3 2" xfId="52808"/>
    <cellStyle name="20% - Énfasis4 7 4" xfId="13686"/>
    <cellStyle name="20% - Énfasis4 7 5" xfId="21808"/>
    <cellStyle name="20% - Énfasis4 8" xfId="18857"/>
    <cellStyle name="20% - Énfasis4 8 10" xfId="21810"/>
    <cellStyle name="20% - Énfasis4 8 10 2" xfId="21811"/>
    <cellStyle name="20% - Énfasis4 8 10 2 2" xfId="21812"/>
    <cellStyle name="20% - Énfasis4 8 10 3" xfId="21813"/>
    <cellStyle name="20% - Énfasis4 8 11" xfId="21814"/>
    <cellStyle name="20% - Énfasis4 8 11 2" xfId="21815"/>
    <cellStyle name="20% - Énfasis4 8 11 2 2" xfId="21816"/>
    <cellStyle name="20% - Énfasis4 8 11 3" xfId="21817"/>
    <cellStyle name="20% - Énfasis4 8 12" xfId="21818"/>
    <cellStyle name="20% - Énfasis4 8 12 2" xfId="21819"/>
    <cellStyle name="20% - Énfasis4 8 13" xfId="21820"/>
    <cellStyle name="20% - Énfasis4 8 13 2" xfId="21821"/>
    <cellStyle name="20% - Énfasis4 8 14" xfId="21822"/>
    <cellStyle name="20% - Énfasis4 8 15" xfId="21823"/>
    <cellStyle name="20% - Énfasis4 8 16" xfId="21809"/>
    <cellStyle name="20% - Énfasis4 8 2" xfId="21824"/>
    <cellStyle name="20% - Énfasis4 8 2 10" xfId="21825"/>
    <cellStyle name="20% - Énfasis4 8 2 10 2" xfId="21826"/>
    <cellStyle name="20% - Énfasis4 8 2 10 2 2" xfId="21827"/>
    <cellStyle name="20% - Énfasis4 8 2 10 3" xfId="21828"/>
    <cellStyle name="20% - Énfasis4 8 2 11" xfId="21829"/>
    <cellStyle name="20% - Énfasis4 8 2 11 2" xfId="21830"/>
    <cellStyle name="20% - Énfasis4 8 2 12" xfId="21831"/>
    <cellStyle name="20% - Énfasis4 8 2 12 2" xfId="21832"/>
    <cellStyle name="20% - Énfasis4 8 2 13" xfId="21833"/>
    <cellStyle name="20% - Énfasis4 8 2 14" xfId="21834"/>
    <cellStyle name="20% - Énfasis4 8 2 2" xfId="21835"/>
    <cellStyle name="20% - Énfasis4 8 2 2 2" xfId="21836"/>
    <cellStyle name="20% - Énfasis4 8 2 2 2 2" xfId="21837"/>
    <cellStyle name="20% - Énfasis4 8 2 2 2 2 2" xfId="21838"/>
    <cellStyle name="20% - Énfasis4 8 2 2 2 2 2 2" xfId="21839"/>
    <cellStyle name="20% - Énfasis4 8 2 2 2 2 2 2 2" xfId="21840"/>
    <cellStyle name="20% - Énfasis4 8 2 2 2 2 2 3" xfId="21841"/>
    <cellStyle name="20% - Énfasis4 8 2 2 2 2 2 3 2" xfId="21842"/>
    <cellStyle name="20% - Énfasis4 8 2 2 2 2 2 4" xfId="21843"/>
    <cellStyle name="20% - Énfasis4 8 2 2 2 2 3" xfId="21844"/>
    <cellStyle name="20% - Énfasis4 8 2 2 2 2 4" xfId="21845"/>
    <cellStyle name="20% - Énfasis4 8 2 2 2 2 4 2" xfId="21846"/>
    <cellStyle name="20% - Énfasis4 8 2 2 2 2 5" xfId="21847"/>
    <cellStyle name="20% - Énfasis4 8 2 2 2 2_IAS" xfId="21848"/>
    <cellStyle name="20% - Énfasis4 8 2 2 2 3" xfId="21849"/>
    <cellStyle name="20% - Énfasis4 8 2 2 2 3 2" xfId="21850"/>
    <cellStyle name="20% - Énfasis4 8 2 2 2 3 2 2" xfId="21851"/>
    <cellStyle name="20% - Énfasis4 8 2 2 2 3 3" xfId="21852"/>
    <cellStyle name="20% - Énfasis4 8 2 2 2 3 3 2" xfId="21853"/>
    <cellStyle name="20% - Énfasis4 8 2 2 2 3 4" xfId="21854"/>
    <cellStyle name="20% - Énfasis4 8 2 2 2 4" xfId="21855"/>
    <cellStyle name="20% - Énfasis4 8 2 2 2 5" xfId="21856"/>
    <cellStyle name="20% - Énfasis4 8 2 2 2 5 2" xfId="21857"/>
    <cellStyle name="20% - Énfasis4 8 2 2 2 6" xfId="21858"/>
    <cellStyle name="20% - Énfasis4 8 2 2 2_IAS" xfId="21859"/>
    <cellStyle name="20% - Énfasis4 8 2 2 3" xfId="21860"/>
    <cellStyle name="20% - Énfasis4 8 2 2 3 2" xfId="21861"/>
    <cellStyle name="20% - Énfasis4 8 2 2 3 2 2" xfId="21862"/>
    <cellStyle name="20% - Énfasis4 8 2 2 3 2 2 2" xfId="21863"/>
    <cellStyle name="20% - Énfasis4 8 2 2 3 2 3" xfId="21864"/>
    <cellStyle name="20% - Énfasis4 8 2 2 3 2 3 2" xfId="21865"/>
    <cellStyle name="20% - Énfasis4 8 2 2 3 2 4" xfId="21866"/>
    <cellStyle name="20% - Énfasis4 8 2 2 3 3" xfId="21867"/>
    <cellStyle name="20% - Énfasis4 8 2 2 3 4" xfId="21868"/>
    <cellStyle name="20% - Énfasis4 8 2 2 3 4 2" xfId="21869"/>
    <cellStyle name="20% - Énfasis4 8 2 2 3 5" xfId="21870"/>
    <cellStyle name="20% - Énfasis4 8 2 2 3_IAS" xfId="21871"/>
    <cellStyle name="20% - Énfasis4 8 2 2 4" xfId="21872"/>
    <cellStyle name="20% - Énfasis4 8 2 2 4 2" xfId="21873"/>
    <cellStyle name="20% - Énfasis4 8 2 2 4 2 2" xfId="21874"/>
    <cellStyle name="20% - Énfasis4 8 2 2 4 3" xfId="21875"/>
    <cellStyle name="20% - Énfasis4 8 2 2 4 3 2" xfId="21876"/>
    <cellStyle name="20% - Énfasis4 8 2 2 4 4" xfId="21877"/>
    <cellStyle name="20% - Énfasis4 8 2 2 5" xfId="21878"/>
    <cellStyle name="20% - Énfasis4 8 2 2 6" xfId="21879"/>
    <cellStyle name="20% - Énfasis4 8 2 2 6 2" xfId="21880"/>
    <cellStyle name="20% - Énfasis4 8 2 2 7" xfId="21881"/>
    <cellStyle name="20% - Énfasis4 8 2 2_IAS" xfId="21882"/>
    <cellStyle name="20% - Énfasis4 8 2 3" xfId="21883"/>
    <cellStyle name="20% - Énfasis4 8 2 3 2" xfId="21884"/>
    <cellStyle name="20% - Énfasis4 8 2 3 2 2" xfId="21885"/>
    <cellStyle name="20% - Énfasis4 8 2 3 2 2 2" xfId="21886"/>
    <cellStyle name="20% - Énfasis4 8 2 3 2 2 2 2" xfId="21887"/>
    <cellStyle name="20% - Énfasis4 8 2 3 2 2 2 2 2" xfId="21888"/>
    <cellStyle name="20% - Énfasis4 8 2 3 2 2 2 3" xfId="21889"/>
    <cellStyle name="20% - Énfasis4 8 2 3 2 2 2 3 2" xfId="21890"/>
    <cellStyle name="20% - Énfasis4 8 2 3 2 2 2 4" xfId="21891"/>
    <cellStyle name="20% - Énfasis4 8 2 3 2 2 3" xfId="21892"/>
    <cellStyle name="20% - Énfasis4 8 2 3 2 2 4" xfId="21893"/>
    <cellStyle name="20% - Énfasis4 8 2 3 2 2 4 2" xfId="21894"/>
    <cellStyle name="20% - Énfasis4 8 2 3 2 2 5" xfId="21895"/>
    <cellStyle name="20% - Énfasis4 8 2 3 2 2_IAS" xfId="21896"/>
    <cellStyle name="20% - Énfasis4 8 2 3 2 3" xfId="21897"/>
    <cellStyle name="20% - Énfasis4 8 2 3 2 3 2" xfId="21898"/>
    <cellStyle name="20% - Énfasis4 8 2 3 2 3 2 2" xfId="21899"/>
    <cellStyle name="20% - Énfasis4 8 2 3 2 3 3" xfId="21900"/>
    <cellStyle name="20% - Énfasis4 8 2 3 2 3 3 2" xfId="21901"/>
    <cellStyle name="20% - Énfasis4 8 2 3 2 3 4" xfId="21902"/>
    <cellStyle name="20% - Énfasis4 8 2 3 2 4" xfId="21903"/>
    <cellStyle name="20% - Énfasis4 8 2 3 2 5" xfId="21904"/>
    <cellStyle name="20% - Énfasis4 8 2 3 2 5 2" xfId="21905"/>
    <cellStyle name="20% - Énfasis4 8 2 3 2 6" xfId="21906"/>
    <cellStyle name="20% - Énfasis4 8 2 3 2_IAS" xfId="21907"/>
    <cellStyle name="20% - Énfasis4 8 2 3 3" xfId="21908"/>
    <cellStyle name="20% - Énfasis4 8 2 3 3 2" xfId="21909"/>
    <cellStyle name="20% - Énfasis4 8 2 3 3 2 2" xfId="21910"/>
    <cellStyle name="20% - Énfasis4 8 2 3 3 2 2 2" xfId="21911"/>
    <cellStyle name="20% - Énfasis4 8 2 3 3 2 3" xfId="21912"/>
    <cellStyle name="20% - Énfasis4 8 2 3 3 2 3 2" xfId="21913"/>
    <cellStyle name="20% - Énfasis4 8 2 3 3 2 4" xfId="21914"/>
    <cellStyle name="20% - Énfasis4 8 2 3 3 3" xfId="21915"/>
    <cellStyle name="20% - Énfasis4 8 2 3 3 4" xfId="21916"/>
    <cellStyle name="20% - Énfasis4 8 2 3 3 4 2" xfId="21917"/>
    <cellStyle name="20% - Énfasis4 8 2 3 3 5" xfId="21918"/>
    <cellStyle name="20% - Énfasis4 8 2 3 3_IAS" xfId="21919"/>
    <cellStyle name="20% - Énfasis4 8 2 3 4" xfId="21920"/>
    <cellStyle name="20% - Énfasis4 8 2 3 4 2" xfId="21921"/>
    <cellStyle name="20% - Énfasis4 8 2 3 4 2 2" xfId="21922"/>
    <cellStyle name="20% - Énfasis4 8 2 3 4 3" xfId="21923"/>
    <cellStyle name="20% - Énfasis4 8 2 3 4 3 2" xfId="21924"/>
    <cellStyle name="20% - Énfasis4 8 2 3 4 4" xfId="21925"/>
    <cellStyle name="20% - Énfasis4 8 2 3 5" xfId="21926"/>
    <cellStyle name="20% - Énfasis4 8 2 3 6" xfId="21927"/>
    <cellStyle name="20% - Énfasis4 8 2 3 6 2" xfId="21928"/>
    <cellStyle name="20% - Énfasis4 8 2 3 7" xfId="21929"/>
    <cellStyle name="20% - Énfasis4 8 2 3_IAS" xfId="21930"/>
    <cellStyle name="20% - Énfasis4 8 2 4" xfId="21931"/>
    <cellStyle name="20% - Énfasis4 8 2 5" xfId="21932"/>
    <cellStyle name="20% - Énfasis4 8 2 5 2" xfId="21933"/>
    <cellStyle name="20% - Énfasis4 8 2 5 2 2" xfId="21934"/>
    <cellStyle name="20% - Énfasis4 8 2 5 2 2 2" xfId="21935"/>
    <cellStyle name="20% - Énfasis4 8 2 5 2 2 2 2" xfId="21936"/>
    <cellStyle name="20% - Énfasis4 8 2 5 2 2 3" xfId="21937"/>
    <cellStyle name="20% - Énfasis4 8 2 5 2 2 3 2" xfId="21938"/>
    <cellStyle name="20% - Énfasis4 8 2 5 2 2 4" xfId="21939"/>
    <cellStyle name="20% - Énfasis4 8 2 5 2 3" xfId="21940"/>
    <cellStyle name="20% - Énfasis4 8 2 5 2 4" xfId="21941"/>
    <cellStyle name="20% - Énfasis4 8 2 5 2 4 2" xfId="21942"/>
    <cellStyle name="20% - Énfasis4 8 2 5 2 5" xfId="21943"/>
    <cellStyle name="20% - Énfasis4 8 2 5 2_IAS" xfId="21944"/>
    <cellStyle name="20% - Énfasis4 8 2 5 3" xfId="21945"/>
    <cellStyle name="20% - Énfasis4 8 2 5 3 2" xfId="21946"/>
    <cellStyle name="20% - Énfasis4 8 2 5 3 2 2" xfId="21947"/>
    <cellStyle name="20% - Énfasis4 8 2 5 3 3" xfId="21948"/>
    <cellStyle name="20% - Énfasis4 8 2 5 3 3 2" xfId="21949"/>
    <cellStyle name="20% - Énfasis4 8 2 5 3 4" xfId="21950"/>
    <cellStyle name="20% - Énfasis4 8 2 5 4" xfId="21951"/>
    <cellStyle name="20% - Énfasis4 8 2 5 5" xfId="21952"/>
    <cellStyle name="20% - Énfasis4 8 2 5 5 2" xfId="21953"/>
    <cellStyle name="20% - Énfasis4 8 2 5 6" xfId="21954"/>
    <cellStyle name="20% - Énfasis4 8 2 5_IAS" xfId="21955"/>
    <cellStyle name="20% - Énfasis4 8 2 6" xfId="21956"/>
    <cellStyle name="20% - Énfasis4 8 2 6 2" xfId="21957"/>
    <cellStyle name="20% - Énfasis4 8 2 6 2 2" xfId="21958"/>
    <cellStyle name="20% - Énfasis4 8 2 6 2 2 2" xfId="21959"/>
    <cellStyle name="20% - Énfasis4 8 2 6 2 3" xfId="21960"/>
    <cellStyle name="20% - Énfasis4 8 2 6 2 3 2" xfId="21961"/>
    <cellStyle name="20% - Énfasis4 8 2 6 2 4" xfId="21962"/>
    <cellStyle name="20% - Énfasis4 8 2 6 3" xfId="21963"/>
    <cellStyle name="20% - Énfasis4 8 2 6 4" xfId="21964"/>
    <cellStyle name="20% - Énfasis4 8 2 6 4 2" xfId="21965"/>
    <cellStyle name="20% - Énfasis4 8 2 6 5" xfId="21966"/>
    <cellStyle name="20% - Énfasis4 8 2 6_IAS" xfId="21967"/>
    <cellStyle name="20% - Énfasis4 8 2 7" xfId="21968"/>
    <cellStyle name="20% - Énfasis4 8 2 7 2" xfId="21969"/>
    <cellStyle name="20% - Énfasis4 8 2 7 2 2" xfId="21970"/>
    <cellStyle name="20% - Énfasis4 8 2 7 3" xfId="21971"/>
    <cellStyle name="20% - Énfasis4 8 2 7 3 2" xfId="21972"/>
    <cellStyle name="20% - Énfasis4 8 2 7 4" xfId="21973"/>
    <cellStyle name="20% - Énfasis4 8 2 8" xfId="21974"/>
    <cellStyle name="20% - Énfasis4 8 2 8 2" xfId="21975"/>
    <cellStyle name="20% - Énfasis4 8 2 8 2 2" xfId="21976"/>
    <cellStyle name="20% - Énfasis4 8 2 8 3" xfId="21977"/>
    <cellStyle name="20% - Énfasis4 8 2 9" xfId="21978"/>
    <cellStyle name="20% - Énfasis4 8 2 9 2" xfId="21979"/>
    <cellStyle name="20% - Énfasis4 8 2 9 2 2" xfId="21980"/>
    <cellStyle name="20% - Énfasis4 8 2 9 3" xfId="21981"/>
    <cellStyle name="20% - Énfasis4 8 2_IAS" xfId="21982"/>
    <cellStyle name="20% - Énfasis4 8 3" xfId="21983"/>
    <cellStyle name="20% - Énfasis4 8 3 2" xfId="21984"/>
    <cellStyle name="20% - Énfasis4 8 3 2 2" xfId="21985"/>
    <cellStyle name="20% - Énfasis4 8 3 2 2 2" xfId="21986"/>
    <cellStyle name="20% - Énfasis4 8 3 2 2 2 2" xfId="21987"/>
    <cellStyle name="20% - Énfasis4 8 3 2 2 2 2 2" xfId="21988"/>
    <cellStyle name="20% - Énfasis4 8 3 2 2 2 3" xfId="21989"/>
    <cellStyle name="20% - Énfasis4 8 3 2 2 2 3 2" xfId="21990"/>
    <cellStyle name="20% - Énfasis4 8 3 2 2 2 4" xfId="21991"/>
    <cellStyle name="20% - Énfasis4 8 3 2 2 3" xfId="21992"/>
    <cellStyle name="20% - Énfasis4 8 3 2 2 4" xfId="21993"/>
    <cellStyle name="20% - Énfasis4 8 3 2 2 4 2" xfId="21994"/>
    <cellStyle name="20% - Énfasis4 8 3 2 2 5" xfId="21995"/>
    <cellStyle name="20% - Énfasis4 8 3 2 2_IAS" xfId="21996"/>
    <cellStyle name="20% - Énfasis4 8 3 2 3" xfId="21997"/>
    <cellStyle name="20% - Énfasis4 8 3 2 3 2" xfId="21998"/>
    <cellStyle name="20% - Énfasis4 8 3 2 3 2 2" xfId="21999"/>
    <cellStyle name="20% - Énfasis4 8 3 2 3 3" xfId="22000"/>
    <cellStyle name="20% - Énfasis4 8 3 2 3 3 2" xfId="22001"/>
    <cellStyle name="20% - Énfasis4 8 3 2 3 4" xfId="22002"/>
    <cellStyle name="20% - Énfasis4 8 3 2 4" xfId="22003"/>
    <cellStyle name="20% - Énfasis4 8 3 2 5" xfId="22004"/>
    <cellStyle name="20% - Énfasis4 8 3 2 5 2" xfId="22005"/>
    <cellStyle name="20% - Énfasis4 8 3 2 6" xfId="22006"/>
    <cellStyle name="20% - Énfasis4 8 3 2_IAS" xfId="22007"/>
    <cellStyle name="20% - Énfasis4 8 3 3" xfId="22008"/>
    <cellStyle name="20% - Énfasis4 8 3 3 2" xfId="22009"/>
    <cellStyle name="20% - Énfasis4 8 3 3 2 2" xfId="22010"/>
    <cellStyle name="20% - Énfasis4 8 3 3 2 2 2" xfId="22011"/>
    <cellStyle name="20% - Énfasis4 8 3 3 2 3" xfId="22012"/>
    <cellStyle name="20% - Énfasis4 8 3 3 2 3 2" xfId="22013"/>
    <cellStyle name="20% - Énfasis4 8 3 3 2 4" xfId="22014"/>
    <cellStyle name="20% - Énfasis4 8 3 3 3" xfId="22015"/>
    <cellStyle name="20% - Énfasis4 8 3 3 4" xfId="22016"/>
    <cellStyle name="20% - Énfasis4 8 3 3 4 2" xfId="22017"/>
    <cellStyle name="20% - Énfasis4 8 3 3 5" xfId="22018"/>
    <cellStyle name="20% - Énfasis4 8 3 3_IAS" xfId="22019"/>
    <cellStyle name="20% - Énfasis4 8 3 4" xfId="22020"/>
    <cellStyle name="20% - Énfasis4 8 3 4 2" xfId="22021"/>
    <cellStyle name="20% - Énfasis4 8 3 4 2 2" xfId="22022"/>
    <cellStyle name="20% - Énfasis4 8 3 4 3" xfId="22023"/>
    <cellStyle name="20% - Énfasis4 8 3 4 3 2" xfId="22024"/>
    <cellStyle name="20% - Énfasis4 8 3 4 4" xfId="22025"/>
    <cellStyle name="20% - Énfasis4 8 3 5" xfId="22026"/>
    <cellStyle name="20% - Énfasis4 8 3 6" xfId="22027"/>
    <cellStyle name="20% - Énfasis4 8 3 6 2" xfId="22028"/>
    <cellStyle name="20% - Énfasis4 8 3 7" xfId="22029"/>
    <cellStyle name="20% - Énfasis4 8 3_IAS" xfId="22030"/>
    <cellStyle name="20% - Énfasis4 8 4" xfId="22031"/>
    <cellStyle name="20% - Énfasis4 8 4 2" xfId="22032"/>
    <cellStyle name="20% - Énfasis4 8 4 2 2" xfId="22033"/>
    <cellStyle name="20% - Énfasis4 8 4 2 2 2" xfId="22034"/>
    <cellStyle name="20% - Énfasis4 8 4 2 2 2 2" xfId="22035"/>
    <cellStyle name="20% - Énfasis4 8 4 2 2 2 2 2" xfId="22036"/>
    <cellStyle name="20% - Énfasis4 8 4 2 2 2 3" xfId="22037"/>
    <cellStyle name="20% - Énfasis4 8 4 2 2 2 3 2" xfId="22038"/>
    <cellStyle name="20% - Énfasis4 8 4 2 2 2 4" xfId="22039"/>
    <cellStyle name="20% - Énfasis4 8 4 2 2 3" xfId="22040"/>
    <cellStyle name="20% - Énfasis4 8 4 2 2 4" xfId="22041"/>
    <cellStyle name="20% - Énfasis4 8 4 2 2 4 2" xfId="22042"/>
    <cellStyle name="20% - Énfasis4 8 4 2 2 5" xfId="22043"/>
    <cellStyle name="20% - Énfasis4 8 4 2 2_IAS" xfId="22044"/>
    <cellStyle name="20% - Énfasis4 8 4 2 3" xfId="22045"/>
    <cellStyle name="20% - Énfasis4 8 4 2 3 2" xfId="22046"/>
    <cellStyle name="20% - Énfasis4 8 4 2 3 2 2" xfId="22047"/>
    <cellStyle name="20% - Énfasis4 8 4 2 3 3" xfId="22048"/>
    <cellStyle name="20% - Énfasis4 8 4 2 3 3 2" xfId="22049"/>
    <cellStyle name="20% - Énfasis4 8 4 2 3 4" xfId="22050"/>
    <cellStyle name="20% - Énfasis4 8 4 2 4" xfId="22051"/>
    <cellStyle name="20% - Énfasis4 8 4 2 5" xfId="22052"/>
    <cellStyle name="20% - Énfasis4 8 4 2 5 2" xfId="22053"/>
    <cellStyle name="20% - Énfasis4 8 4 2 6" xfId="22054"/>
    <cellStyle name="20% - Énfasis4 8 4 2_IAS" xfId="22055"/>
    <cellStyle name="20% - Énfasis4 8 4 3" xfId="22056"/>
    <cellStyle name="20% - Énfasis4 8 4 3 2" xfId="22057"/>
    <cellStyle name="20% - Énfasis4 8 4 3 2 2" xfId="22058"/>
    <cellStyle name="20% - Énfasis4 8 4 3 2 2 2" xfId="22059"/>
    <cellStyle name="20% - Énfasis4 8 4 3 2 3" xfId="22060"/>
    <cellStyle name="20% - Énfasis4 8 4 3 2 3 2" xfId="22061"/>
    <cellStyle name="20% - Énfasis4 8 4 3 2 4" xfId="22062"/>
    <cellStyle name="20% - Énfasis4 8 4 3 3" xfId="22063"/>
    <cellStyle name="20% - Énfasis4 8 4 3 4" xfId="22064"/>
    <cellStyle name="20% - Énfasis4 8 4 3 4 2" xfId="22065"/>
    <cellStyle name="20% - Énfasis4 8 4 3 5" xfId="22066"/>
    <cellStyle name="20% - Énfasis4 8 4 3_IAS" xfId="22067"/>
    <cellStyle name="20% - Énfasis4 8 4 4" xfId="22068"/>
    <cellStyle name="20% - Énfasis4 8 4 4 2" xfId="22069"/>
    <cellStyle name="20% - Énfasis4 8 4 4 2 2" xfId="22070"/>
    <cellStyle name="20% - Énfasis4 8 4 4 3" xfId="22071"/>
    <cellStyle name="20% - Énfasis4 8 4 4 3 2" xfId="22072"/>
    <cellStyle name="20% - Énfasis4 8 4 4 4" xfId="22073"/>
    <cellStyle name="20% - Énfasis4 8 4 5" xfId="22074"/>
    <cellStyle name="20% - Énfasis4 8 4 6" xfId="22075"/>
    <cellStyle name="20% - Énfasis4 8 4 6 2" xfId="22076"/>
    <cellStyle name="20% - Énfasis4 8 4 7" xfId="22077"/>
    <cellStyle name="20% - Énfasis4 8 4_IAS" xfId="22078"/>
    <cellStyle name="20% - Énfasis4 8 5" xfId="22079"/>
    <cellStyle name="20% - Énfasis4 8 6" xfId="22080"/>
    <cellStyle name="20% - Énfasis4 8 6 2" xfId="22081"/>
    <cellStyle name="20% - Énfasis4 8 6 2 2" xfId="22082"/>
    <cellStyle name="20% - Énfasis4 8 6 2 2 2" xfId="22083"/>
    <cellStyle name="20% - Énfasis4 8 6 2 2 2 2" xfId="22084"/>
    <cellStyle name="20% - Énfasis4 8 6 2 2 3" xfId="22085"/>
    <cellStyle name="20% - Énfasis4 8 6 2 2 3 2" xfId="22086"/>
    <cellStyle name="20% - Énfasis4 8 6 2 2 4" xfId="22087"/>
    <cellStyle name="20% - Énfasis4 8 6 2 3" xfId="22088"/>
    <cellStyle name="20% - Énfasis4 8 6 2 4" xfId="22089"/>
    <cellStyle name="20% - Énfasis4 8 6 2 4 2" xfId="22090"/>
    <cellStyle name="20% - Énfasis4 8 6 2 5" xfId="22091"/>
    <cellStyle name="20% - Énfasis4 8 6 2_IAS" xfId="22092"/>
    <cellStyle name="20% - Énfasis4 8 6 3" xfId="22093"/>
    <cellStyle name="20% - Énfasis4 8 6 3 2" xfId="22094"/>
    <cellStyle name="20% - Énfasis4 8 6 3 2 2" xfId="22095"/>
    <cellStyle name="20% - Énfasis4 8 6 3 3" xfId="22096"/>
    <cellStyle name="20% - Énfasis4 8 6 3 3 2" xfId="22097"/>
    <cellStyle name="20% - Énfasis4 8 6 3 4" xfId="22098"/>
    <cellStyle name="20% - Énfasis4 8 6 4" xfId="22099"/>
    <cellStyle name="20% - Énfasis4 8 6 5" xfId="22100"/>
    <cellStyle name="20% - Énfasis4 8 6 5 2" xfId="22101"/>
    <cellStyle name="20% - Énfasis4 8 6 6" xfId="22102"/>
    <cellStyle name="20% - Énfasis4 8 6_IAS" xfId="22103"/>
    <cellStyle name="20% - Énfasis4 8 7" xfId="22104"/>
    <cellStyle name="20% - Énfasis4 8 7 2" xfId="22105"/>
    <cellStyle name="20% - Énfasis4 8 7 2 2" xfId="22106"/>
    <cellStyle name="20% - Énfasis4 8 7 2 2 2" xfId="22107"/>
    <cellStyle name="20% - Énfasis4 8 7 2 3" xfId="22108"/>
    <cellStyle name="20% - Énfasis4 8 7 2 3 2" xfId="22109"/>
    <cellStyle name="20% - Énfasis4 8 7 2 4" xfId="22110"/>
    <cellStyle name="20% - Énfasis4 8 7 3" xfId="22111"/>
    <cellStyle name="20% - Énfasis4 8 7 4" xfId="22112"/>
    <cellStyle name="20% - Énfasis4 8 7 4 2" xfId="22113"/>
    <cellStyle name="20% - Énfasis4 8 7 5" xfId="22114"/>
    <cellStyle name="20% - Énfasis4 8 7_IAS" xfId="22115"/>
    <cellStyle name="20% - Énfasis4 8 8" xfId="22116"/>
    <cellStyle name="20% - Énfasis4 8 8 2" xfId="22117"/>
    <cellStyle name="20% - Énfasis4 8 8 2 2" xfId="22118"/>
    <cellStyle name="20% - Énfasis4 8 8 3" xfId="22119"/>
    <cellStyle name="20% - Énfasis4 8 8 3 2" xfId="22120"/>
    <cellStyle name="20% - Énfasis4 8 8 4" xfId="22121"/>
    <cellStyle name="20% - Énfasis4 8 9" xfId="22122"/>
    <cellStyle name="20% - Énfasis4 8 9 2" xfId="22123"/>
    <cellStyle name="20% - Énfasis4 8 9 2 2" xfId="22124"/>
    <cellStyle name="20% - Énfasis4 8 9 3" xfId="22125"/>
    <cellStyle name="20% - Énfasis4 8_AGF" xfId="22126"/>
    <cellStyle name="20% - Énfasis4 9" xfId="22127"/>
    <cellStyle name="20% - Énfasis4 9 10" xfId="22128"/>
    <cellStyle name="20% - Énfasis4 9 10 2" xfId="22129"/>
    <cellStyle name="20% - Énfasis4 9 10 2 2" xfId="22130"/>
    <cellStyle name="20% - Énfasis4 9 10 3" xfId="22131"/>
    <cellStyle name="20% - Énfasis4 9 11" xfId="22132"/>
    <cellStyle name="20% - Énfasis4 9 11 2" xfId="22133"/>
    <cellStyle name="20% - Énfasis4 9 12" xfId="22134"/>
    <cellStyle name="20% - Énfasis4 9 12 2" xfId="22135"/>
    <cellStyle name="20% - Énfasis4 9 13" xfId="22136"/>
    <cellStyle name="20% - Énfasis4 9 14" xfId="22137"/>
    <cellStyle name="20% - Énfasis4 9 2" xfId="22138"/>
    <cellStyle name="20% - Énfasis4 9 2 2" xfId="22139"/>
    <cellStyle name="20% - Énfasis4 9 2 2 2" xfId="22140"/>
    <cellStyle name="20% - Énfasis4 9 2 2 2 2" xfId="22141"/>
    <cellStyle name="20% - Énfasis4 9 2 2 2 2 2" xfId="22142"/>
    <cellStyle name="20% - Énfasis4 9 2 2 2 2 2 2" xfId="22143"/>
    <cellStyle name="20% - Énfasis4 9 2 2 2 2 3" xfId="22144"/>
    <cellStyle name="20% - Énfasis4 9 2 2 2 2 3 2" xfId="22145"/>
    <cellStyle name="20% - Énfasis4 9 2 2 2 2 4" xfId="22146"/>
    <cellStyle name="20% - Énfasis4 9 2 2 2 3" xfId="22147"/>
    <cellStyle name="20% - Énfasis4 9 2 2 2 4" xfId="22148"/>
    <cellStyle name="20% - Énfasis4 9 2 2 2 4 2" xfId="22149"/>
    <cellStyle name="20% - Énfasis4 9 2 2 2 5" xfId="22150"/>
    <cellStyle name="20% - Énfasis4 9 2 2 2_IAS" xfId="22151"/>
    <cellStyle name="20% - Énfasis4 9 2 2 3" xfId="22152"/>
    <cellStyle name="20% - Énfasis4 9 2 2 3 2" xfId="22153"/>
    <cellStyle name="20% - Énfasis4 9 2 2 3 2 2" xfId="22154"/>
    <cellStyle name="20% - Énfasis4 9 2 2 3 3" xfId="22155"/>
    <cellStyle name="20% - Énfasis4 9 2 2 3 3 2" xfId="22156"/>
    <cellStyle name="20% - Énfasis4 9 2 2 3 4" xfId="22157"/>
    <cellStyle name="20% - Énfasis4 9 2 2 4" xfId="22158"/>
    <cellStyle name="20% - Énfasis4 9 2 2 5" xfId="22159"/>
    <cellStyle name="20% - Énfasis4 9 2 2 5 2" xfId="22160"/>
    <cellStyle name="20% - Énfasis4 9 2 2 6" xfId="22161"/>
    <cellStyle name="20% - Énfasis4 9 2 2_IAS" xfId="22162"/>
    <cellStyle name="20% - Énfasis4 9 2 3" xfId="22163"/>
    <cellStyle name="20% - Énfasis4 9 2 3 2" xfId="22164"/>
    <cellStyle name="20% - Énfasis4 9 2 3 2 2" xfId="22165"/>
    <cellStyle name="20% - Énfasis4 9 2 3 2 2 2" xfId="22166"/>
    <cellStyle name="20% - Énfasis4 9 2 3 2 3" xfId="22167"/>
    <cellStyle name="20% - Énfasis4 9 2 3 2 3 2" xfId="22168"/>
    <cellStyle name="20% - Énfasis4 9 2 3 2 4" xfId="22169"/>
    <cellStyle name="20% - Énfasis4 9 2 3 3" xfId="22170"/>
    <cellStyle name="20% - Énfasis4 9 2 3 4" xfId="22171"/>
    <cellStyle name="20% - Énfasis4 9 2 3 4 2" xfId="22172"/>
    <cellStyle name="20% - Énfasis4 9 2 3 5" xfId="22173"/>
    <cellStyle name="20% - Énfasis4 9 2 3_IAS" xfId="22174"/>
    <cellStyle name="20% - Énfasis4 9 2 4" xfId="22175"/>
    <cellStyle name="20% - Énfasis4 9 2 4 2" xfId="22176"/>
    <cellStyle name="20% - Énfasis4 9 2 4 2 2" xfId="22177"/>
    <cellStyle name="20% - Énfasis4 9 2 4 3" xfId="22178"/>
    <cellStyle name="20% - Énfasis4 9 2 4 3 2" xfId="22179"/>
    <cellStyle name="20% - Énfasis4 9 2 4 4" xfId="22180"/>
    <cellStyle name="20% - Énfasis4 9 2 5" xfId="22181"/>
    <cellStyle name="20% - Énfasis4 9 2 6" xfId="22182"/>
    <cellStyle name="20% - Énfasis4 9 2 6 2" xfId="22183"/>
    <cellStyle name="20% - Énfasis4 9 2 7" xfId="22184"/>
    <cellStyle name="20% - Énfasis4 9 2_IAS" xfId="22185"/>
    <cellStyle name="20% - Énfasis4 9 3" xfId="22186"/>
    <cellStyle name="20% - Énfasis4 9 3 2" xfId="22187"/>
    <cellStyle name="20% - Énfasis4 9 3 2 2" xfId="22188"/>
    <cellStyle name="20% - Énfasis4 9 3 2 2 2" xfId="22189"/>
    <cellStyle name="20% - Énfasis4 9 3 2 2 2 2" xfId="22190"/>
    <cellStyle name="20% - Énfasis4 9 3 2 2 2 2 2" xfId="22191"/>
    <cellStyle name="20% - Énfasis4 9 3 2 2 2 3" xfId="22192"/>
    <cellStyle name="20% - Énfasis4 9 3 2 2 2 3 2" xfId="22193"/>
    <cellStyle name="20% - Énfasis4 9 3 2 2 2 4" xfId="22194"/>
    <cellStyle name="20% - Énfasis4 9 3 2 2 3" xfId="22195"/>
    <cellStyle name="20% - Énfasis4 9 3 2 2 4" xfId="22196"/>
    <cellStyle name="20% - Énfasis4 9 3 2 2 4 2" xfId="22197"/>
    <cellStyle name="20% - Énfasis4 9 3 2 2 5" xfId="22198"/>
    <cellStyle name="20% - Énfasis4 9 3 2 2_IAS" xfId="22199"/>
    <cellStyle name="20% - Énfasis4 9 3 2 3" xfId="22200"/>
    <cellStyle name="20% - Énfasis4 9 3 2 3 2" xfId="22201"/>
    <cellStyle name="20% - Énfasis4 9 3 2 3 2 2" xfId="22202"/>
    <cellStyle name="20% - Énfasis4 9 3 2 3 3" xfId="22203"/>
    <cellStyle name="20% - Énfasis4 9 3 2 3 3 2" xfId="22204"/>
    <cellStyle name="20% - Énfasis4 9 3 2 3 4" xfId="22205"/>
    <cellStyle name="20% - Énfasis4 9 3 2 4" xfId="22206"/>
    <cellStyle name="20% - Énfasis4 9 3 2 5" xfId="22207"/>
    <cellStyle name="20% - Énfasis4 9 3 2 5 2" xfId="22208"/>
    <cellStyle name="20% - Énfasis4 9 3 2 6" xfId="22209"/>
    <cellStyle name="20% - Énfasis4 9 3 2_IAS" xfId="22210"/>
    <cellStyle name="20% - Énfasis4 9 3 3" xfId="22211"/>
    <cellStyle name="20% - Énfasis4 9 3 3 2" xfId="22212"/>
    <cellStyle name="20% - Énfasis4 9 3 3 2 2" xfId="22213"/>
    <cellStyle name="20% - Énfasis4 9 3 3 2 2 2" xfId="22214"/>
    <cellStyle name="20% - Énfasis4 9 3 3 2 3" xfId="22215"/>
    <cellStyle name="20% - Énfasis4 9 3 3 2 3 2" xfId="22216"/>
    <cellStyle name="20% - Énfasis4 9 3 3 2 4" xfId="22217"/>
    <cellStyle name="20% - Énfasis4 9 3 3 3" xfId="22218"/>
    <cellStyle name="20% - Énfasis4 9 3 3 4" xfId="22219"/>
    <cellStyle name="20% - Énfasis4 9 3 3 4 2" xfId="22220"/>
    <cellStyle name="20% - Énfasis4 9 3 3 5" xfId="22221"/>
    <cellStyle name="20% - Énfasis4 9 3 3_IAS" xfId="22222"/>
    <cellStyle name="20% - Énfasis4 9 3 4" xfId="22223"/>
    <cellStyle name="20% - Énfasis4 9 3 4 2" xfId="22224"/>
    <cellStyle name="20% - Énfasis4 9 3 4 2 2" xfId="22225"/>
    <cellStyle name="20% - Énfasis4 9 3 4 3" xfId="22226"/>
    <cellStyle name="20% - Énfasis4 9 3 4 3 2" xfId="22227"/>
    <cellStyle name="20% - Énfasis4 9 3 4 4" xfId="22228"/>
    <cellStyle name="20% - Énfasis4 9 3 5" xfId="22229"/>
    <cellStyle name="20% - Énfasis4 9 3 6" xfId="22230"/>
    <cellStyle name="20% - Énfasis4 9 3 6 2" xfId="22231"/>
    <cellStyle name="20% - Énfasis4 9 3 7" xfId="22232"/>
    <cellStyle name="20% - Énfasis4 9 3_IAS" xfId="22233"/>
    <cellStyle name="20% - Énfasis4 9 4" xfId="22234"/>
    <cellStyle name="20% - Énfasis4 9 5" xfId="22235"/>
    <cellStyle name="20% - Énfasis4 9 5 2" xfId="22236"/>
    <cellStyle name="20% - Énfasis4 9 5 2 2" xfId="22237"/>
    <cellStyle name="20% - Énfasis4 9 5 2 2 2" xfId="22238"/>
    <cellStyle name="20% - Énfasis4 9 5 2 2 2 2" xfId="22239"/>
    <cellStyle name="20% - Énfasis4 9 5 2 2 3" xfId="22240"/>
    <cellStyle name="20% - Énfasis4 9 5 2 2 3 2" xfId="22241"/>
    <cellStyle name="20% - Énfasis4 9 5 2 2 4" xfId="22242"/>
    <cellStyle name="20% - Énfasis4 9 5 2 3" xfId="22243"/>
    <cellStyle name="20% - Énfasis4 9 5 2 4" xfId="22244"/>
    <cellStyle name="20% - Énfasis4 9 5 2 4 2" xfId="22245"/>
    <cellStyle name="20% - Énfasis4 9 5 2 5" xfId="22246"/>
    <cellStyle name="20% - Énfasis4 9 5 2_IAS" xfId="22247"/>
    <cellStyle name="20% - Énfasis4 9 5 3" xfId="22248"/>
    <cellStyle name="20% - Énfasis4 9 5 3 2" xfId="22249"/>
    <cellStyle name="20% - Énfasis4 9 5 3 2 2" xfId="22250"/>
    <cellStyle name="20% - Énfasis4 9 5 3 3" xfId="22251"/>
    <cellStyle name="20% - Énfasis4 9 5 3 3 2" xfId="22252"/>
    <cellStyle name="20% - Énfasis4 9 5 3 4" xfId="22253"/>
    <cellStyle name="20% - Énfasis4 9 5 4" xfId="22254"/>
    <cellStyle name="20% - Énfasis4 9 5 5" xfId="22255"/>
    <cellStyle name="20% - Énfasis4 9 5 5 2" xfId="22256"/>
    <cellStyle name="20% - Énfasis4 9 5 6" xfId="22257"/>
    <cellStyle name="20% - Énfasis4 9 5_IAS" xfId="22258"/>
    <cellStyle name="20% - Énfasis4 9 6" xfId="22259"/>
    <cellStyle name="20% - Énfasis4 9 6 2" xfId="22260"/>
    <cellStyle name="20% - Énfasis4 9 6 2 2" xfId="22261"/>
    <cellStyle name="20% - Énfasis4 9 6 2 2 2" xfId="22262"/>
    <cellStyle name="20% - Énfasis4 9 6 2 3" xfId="22263"/>
    <cellStyle name="20% - Énfasis4 9 6 2 3 2" xfId="22264"/>
    <cellStyle name="20% - Énfasis4 9 6 2 4" xfId="22265"/>
    <cellStyle name="20% - Énfasis4 9 6 3" xfId="22266"/>
    <cellStyle name="20% - Énfasis4 9 6 4" xfId="22267"/>
    <cellStyle name="20% - Énfasis4 9 6 4 2" xfId="22268"/>
    <cellStyle name="20% - Énfasis4 9 6 5" xfId="22269"/>
    <cellStyle name="20% - Énfasis4 9 6_IAS" xfId="22270"/>
    <cellStyle name="20% - Énfasis4 9 7" xfId="22271"/>
    <cellStyle name="20% - Énfasis4 9 7 2" xfId="22272"/>
    <cellStyle name="20% - Énfasis4 9 7 2 2" xfId="22273"/>
    <cellStyle name="20% - Énfasis4 9 7 3" xfId="22274"/>
    <cellStyle name="20% - Énfasis4 9 7 3 2" xfId="22275"/>
    <cellStyle name="20% - Énfasis4 9 7 4" xfId="22276"/>
    <cellStyle name="20% - Énfasis4 9 8" xfId="22277"/>
    <cellStyle name="20% - Énfasis4 9 8 2" xfId="22278"/>
    <cellStyle name="20% - Énfasis4 9 8 2 2" xfId="22279"/>
    <cellStyle name="20% - Énfasis4 9 8 3" xfId="22280"/>
    <cellStyle name="20% - Énfasis4 9 9" xfId="22281"/>
    <cellStyle name="20% - Énfasis4 9 9 2" xfId="22282"/>
    <cellStyle name="20% - Énfasis4 9 9 2 2" xfId="22283"/>
    <cellStyle name="20% - Énfasis4 9 9 3" xfId="22284"/>
    <cellStyle name="20% - Énfasis4 9_IAS" xfId="22285"/>
    <cellStyle name="20% - Énfasis5 10" xfId="22286"/>
    <cellStyle name="20% - Énfasis5 10 2" xfId="22287"/>
    <cellStyle name="20% - Énfasis5 10 2 2" xfId="22288"/>
    <cellStyle name="20% - Énfasis5 10 2 2 2" xfId="22289"/>
    <cellStyle name="20% - Énfasis5 10 2 3" xfId="22290"/>
    <cellStyle name="20% - Énfasis5 10 2 3 2" xfId="22291"/>
    <cellStyle name="20% - Énfasis5 10 2 4" xfId="22292"/>
    <cellStyle name="20% - Énfasis5 10 3" xfId="22293"/>
    <cellStyle name="20% - Énfasis5 10 4" xfId="22294"/>
    <cellStyle name="20% - Énfasis5 10 4 2" xfId="22295"/>
    <cellStyle name="20% - Énfasis5 10 5" xfId="22296"/>
    <cellStyle name="20% - Énfasis5 10_IAS" xfId="22297"/>
    <cellStyle name="20% - Énfasis5 11" xfId="22298"/>
    <cellStyle name="20% - Énfasis5 11 2" xfId="22299"/>
    <cellStyle name="20% - Énfasis5 11 2 2" xfId="22300"/>
    <cellStyle name="20% - Énfasis5 11 3" xfId="22301"/>
    <cellStyle name="20% - Énfasis5 11 3 2" xfId="22302"/>
    <cellStyle name="20% - Énfasis5 11 4" xfId="22303"/>
    <cellStyle name="20% - Énfasis5 11_IAS" xfId="22304"/>
    <cellStyle name="20% - Énfasis5 12" xfId="22305"/>
    <cellStyle name="20% - Énfasis5 12 2" xfId="22306"/>
    <cellStyle name="20% - Énfasis5 13" xfId="22307"/>
    <cellStyle name="20% - Énfasis5 13 2" xfId="22308"/>
    <cellStyle name="20% - Énfasis5 14" xfId="22309"/>
    <cellStyle name="20% - Énfasis5 14 2" xfId="22310"/>
    <cellStyle name="20% - Énfasis5 15" xfId="22311"/>
    <cellStyle name="20% - Énfasis5 16" xfId="19904"/>
    <cellStyle name="20% - Énfasis5 2" xfId="152"/>
    <cellStyle name="20% - Énfasis5 2 10" xfId="12780"/>
    <cellStyle name="20% - Énfasis5 2 11" xfId="22312"/>
    <cellStyle name="20% - Énfasis5 2 2" xfId="153"/>
    <cellStyle name="20% - Énfasis5 2 2 10" xfId="22313"/>
    <cellStyle name="20% - Énfasis5 2 2 2" xfId="154"/>
    <cellStyle name="20% - Énfasis5 2 2 2 2" xfId="155"/>
    <cellStyle name="20% - Énfasis5 2 2 2 2 2" xfId="156"/>
    <cellStyle name="20% - Énfasis5 2 2 2 2 2 2" xfId="2264"/>
    <cellStyle name="20% - Énfasis5 2 2 2 2 2 2 2" xfId="5389"/>
    <cellStyle name="20% - Énfasis5 2 2 2 2 2 2 2 2" xfId="11592"/>
    <cellStyle name="20% - Énfasis5 2 2 2 2 2 2 2 3" xfId="17794"/>
    <cellStyle name="20% - Énfasis5 2 2 2 2 2 2 2 4" xfId="56625"/>
    <cellStyle name="20% - Énfasis5 2 2 2 2 2 2 3" xfId="8492"/>
    <cellStyle name="20% - Énfasis5 2 2 2 2 2 2 4" xfId="14694"/>
    <cellStyle name="20% - Énfasis5 2 2 2 2 2 2 5" xfId="53729"/>
    <cellStyle name="20% - Énfasis5 2 2 2 2 2 3" xfId="2427"/>
    <cellStyle name="20% - Énfasis5 2 2 2 2 2 3 2" xfId="5551"/>
    <cellStyle name="20% - Énfasis5 2 2 2 2 2 3 2 2" xfId="11754"/>
    <cellStyle name="20% - Énfasis5 2 2 2 2 2 3 2 3" xfId="17956"/>
    <cellStyle name="20% - Énfasis5 2 2 2 2 2 3 2 4" xfId="56784"/>
    <cellStyle name="20% - Énfasis5 2 2 2 2 2 3 3" xfId="8654"/>
    <cellStyle name="20% - Énfasis5 2 2 2 2 2 3 4" xfId="14856"/>
    <cellStyle name="20% - Énfasis5 2 2 2 2 2 3 5" xfId="53889"/>
    <cellStyle name="20% - Énfasis5 2 2 2 2 2 4" xfId="3479"/>
    <cellStyle name="20% - Énfasis5 2 2 2 2 2 4 2" xfId="9683"/>
    <cellStyle name="20% - Énfasis5 2 2 2 2 2 4 3" xfId="15885"/>
    <cellStyle name="20% - Énfasis5 2 2 2 2 2 4 4" xfId="54856"/>
    <cellStyle name="20% - Énfasis5 2 2 2 2 2 5" xfId="6582"/>
    <cellStyle name="20% - Énfasis5 2 2 2 2 2 5 2" xfId="19865"/>
    <cellStyle name="20% - Énfasis5 2 2 2 2 2 6" xfId="12784"/>
    <cellStyle name="20% - Énfasis5 2 2 2 2 2 7" xfId="52245"/>
    <cellStyle name="20% - Énfasis5 2 2 2 2 3" xfId="1740"/>
    <cellStyle name="20% - Énfasis5 2 2 2 2 3 2" xfId="4865"/>
    <cellStyle name="20% - Énfasis5 2 2 2 2 3 2 2" xfId="11068"/>
    <cellStyle name="20% - Énfasis5 2 2 2 2 3 2 3" xfId="17270"/>
    <cellStyle name="20% - Énfasis5 2 2 2 2 3 2 4" xfId="56136"/>
    <cellStyle name="20% - Énfasis5 2 2 2 2 3 3" xfId="7968"/>
    <cellStyle name="20% - Énfasis5 2 2 2 2 3 4" xfId="14170"/>
    <cellStyle name="20% - Énfasis5 2 2 2 2 3 5" xfId="53244"/>
    <cellStyle name="20% - Énfasis5 2 2 2 2 4" xfId="2426"/>
    <cellStyle name="20% - Énfasis5 2 2 2 2 4 2" xfId="5550"/>
    <cellStyle name="20% - Énfasis5 2 2 2 2 4 2 2" xfId="11753"/>
    <cellStyle name="20% - Énfasis5 2 2 2 2 4 2 3" xfId="17955"/>
    <cellStyle name="20% - Énfasis5 2 2 2 2 4 2 4" xfId="56783"/>
    <cellStyle name="20% - Énfasis5 2 2 2 2 4 3" xfId="8653"/>
    <cellStyle name="20% - Énfasis5 2 2 2 2 4 4" xfId="14855"/>
    <cellStyle name="20% - Énfasis5 2 2 2 2 4 5" xfId="53888"/>
    <cellStyle name="20% - Énfasis5 2 2 2 2 5" xfId="3478"/>
    <cellStyle name="20% - Énfasis5 2 2 2 2 5 2" xfId="9682"/>
    <cellStyle name="20% - Énfasis5 2 2 2 2 5 3" xfId="15884"/>
    <cellStyle name="20% - Énfasis5 2 2 2 2 5 4" xfId="54855"/>
    <cellStyle name="20% - Énfasis5 2 2 2 2 6" xfId="6581"/>
    <cellStyle name="20% - Énfasis5 2 2 2 2 6 2" xfId="19341"/>
    <cellStyle name="20% - Énfasis5 2 2 2 2 7" xfId="12783"/>
    <cellStyle name="20% - Énfasis5 2 2 2 2 8" xfId="52244"/>
    <cellStyle name="20% - Énfasis5 2 2 2 3" xfId="157"/>
    <cellStyle name="20% - Énfasis5 2 2 2 3 2" xfId="2019"/>
    <cellStyle name="20% - Énfasis5 2 2 2 3 2 2" xfId="5144"/>
    <cellStyle name="20% - Énfasis5 2 2 2 3 2 2 2" xfId="11347"/>
    <cellStyle name="20% - Énfasis5 2 2 2 3 2 2 3" xfId="17549"/>
    <cellStyle name="20% - Énfasis5 2 2 2 3 2 2 4" xfId="56398"/>
    <cellStyle name="20% - Énfasis5 2 2 2 3 2 3" xfId="8247"/>
    <cellStyle name="20% - Énfasis5 2 2 2 3 2 4" xfId="14449"/>
    <cellStyle name="20% - Énfasis5 2 2 2 3 2 5" xfId="53503"/>
    <cellStyle name="20% - Énfasis5 2 2 2 3 3" xfId="2428"/>
    <cellStyle name="20% - Énfasis5 2 2 2 3 3 2" xfId="5552"/>
    <cellStyle name="20% - Énfasis5 2 2 2 3 3 2 2" xfId="11755"/>
    <cellStyle name="20% - Énfasis5 2 2 2 3 3 2 3" xfId="17957"/>
    <cellStyle name="20% - Énfasis5 2 2 2 3 3 2 4" xfId="56785"/>
    <cellStyle name="20% - Énfasis5 2 2 2 3 3 3" xfId="8655"/>
    <cellStyle name="20% - Énfasis5 2 2 2 3 3 4" xfId="14857"/>
    <cellStyle name="20% - Énfasis5 2 2 2 3 3 5" xfId="53890"/>
    <cellStyle name="20% - Énfasis5 2 2 2 3 4" xfId="3480"/>
    <cellStyle name="20% - Énfasis5 2 2 2 3 4 2" xfId="9684"/>
    <cellStyle name="20% - Énfasis5 2 2 2 3 4 3" xfId="15886"/>
    <cellStyle name="20% - Énfasis5 2 2 2 3 4 4" xfId="54857"/>
    <cellStyle name="20% - Énfasis5 2 2 2 3 5" xfId="6583"/>
    <cellStyle name="20% - Énfasis5 2 2 2 3 5 2" xfId="19620"/>
    <cellStyle name="20% - Énfasis5 2 2 2 3 6" xfId="12785"/>
    <cellStyle name="20% - Énfasis5 2 2 2 3 7" xfId="52246"/>
    <cellStyle name="20% - Énfasis5 2 2 2 4" xfId="1495"/>
    <cellStyle name="20% - Énfasis5 2 2 2 4 2" xfId="4620"/>
    <cellStyle name="20% - Énfasis5 2 2 2 4 2 2" xfId="10823"/>
    <cellStyle name="20% - Énfasis5 2 2 2 4 2 3" xfId="17025"/>
    <cellStyle name="20% - Énfasis5 2 2 2 4 2 4" xfId="55903"/>
    <cellStyle name="20% - Énfasis5 2 2 2 4 3" xfId="7723"/>
    <cellStyle name="20% - Énfasis5 2 2 2 4 4" xfId="13925"/>
    <cellStyle name="20% - Énfasis5 2 2 2 4 5" xfId="53019"/>
    <cellStyle name="20% - Énfasis5 2 2 2 5" xfId="2425"/>
    <cellStyle name="20% - Énfasis5 2 2 2 5 2" xfId="5549"/>
    <cellStyle name="20% - Énfasis5 2 2 2 5 2 2" xfId="11752"/>
    <cellStyle name="20% - Énfasis5 2 2 2 5 2 3" xfId="17954"/>
    <cellStyle name="20% - Énfasis5 2 2 2 5 2 4" xfId="56782"/>
    <cellStyle name="20% - Énfasis5 2 2 2 5 3" xfId="8652"/>
    <cellStyle name="20% - Énfasis5 2 2 2 5 4" xfId="14854"/>
    <cellStyle name="20% - Énfasis5 2 2 2 5 5" xfId="53887"/>
    <cellStyle name="20% - Énfasis5 2 2 2 6" xfId="3477"/>
    <cellStyle name="20% - Énfasis5 2 2 2 6 2" xfId="9681"/>
    <cellStyle name="20% - Énfasis5 2 2 2 6 3" xfId="15883"/>
    <cellStyle name="20% - Énfasis5 2 2 2 6 4" xfId="54854"/>
    <cellStyle name="20% - Énfasis5 2 2 2 7" xfId="6580"/>
    <cellStyle name="20% - Énfasis5 2 2 2 7 2" xfId="19096"/>
    <cellStyle name="20% - Énfasis5 2 2 2 8" xfId="12782"/>
    <cellStyle name="20% - Énfasis5 2 2 2 9" xfId="52137"/>
    <cellStyle name="20% - Énfasis5 2 2 3" xfId="158"/>
    <cellStyle name="20% - Énfasis5 2 2 3 2" xfId="159"/>
    <cellStyle name="20% - Énfasis5 2 2 3 2 2" xfId="2136"/>
    <cellStyle name="20% - Énfasis5 2 2 3 2 2 2" xfId="5261"/>
    <cellStyle name="20% - Énfasis5 2 2 3 2 2 2 2" xfId="11464"/>
    <cellStyle name="20% - Énfasis5 2 2 3 2 2 2 3" xfId="17666"/>
    <cellStyle name="20% - Énfasis5 2 2 3 2 2 2 4" xfId="56506"/>
    <cellStyle name="20% - Énfasis5 2 2 3 2 2 3" xfId="8364"/>
    <cellStyle name="20% - Énfasis5 2 2 3 2 2 4" xfId="14566"/>
    <cellStyle name="20% - Énfasis5 2 2 3 2 2 5" xfId="53610"/>
    <cellStyle name="20% - Énfasis5 2 2 3 2 3" xfId="2430"/>
    <cellStyle name="20% - Énfasis5 2 2 3 2 3 2" xfId="5554"/>
    <cellStyle name="20% - Énfasis5 2 2 3 2 3 2 2" xfId="11757"/>
    <cellStyle name="20% - Énfasis5 2 2 3 2 3 2 3" xfId="17959"/>
    <cellStyle name="20% - Énfasis5 2 2 3 2 3 2 4" xfId="56787"/>
    <cellStyle name="20% - Énfasis5 2 2 3 2 3 3" xfId="8657"/>
    <cellStyle name="20% - Énfasis5 2 2 3 2 3 4" xfId="14859"/>
    <cellStyle name="20% - Énfasis5 2 2 3 2 3 5" xfId="53892"/>
    <cellStyle name="20% - Énfasis5 2 2 3 2 4" xfId="3482"/>
    <cellStyle name="20% - Énfasis5 2 2 3 2 4 2" xfId="9686"/>
    <cellStyle name="20% - Énfasis5 2 2 3 2 4 3" xfId="15888"/>
    <cellStyle name="20% - Énfasis5 2 2 3 2 4 4" xfId="54859"/>
    <cellStyle name="20% - Énfasis5 2 2 3 2 5" xfId="6585"/>
    <cellStyle name="20% - Énfasis5 2 2 3 2 5 2" xfId="19737"/>
    <cellStyle name="20% - Énfasis5 2 2 3 2 6" xfId="12787"/>
    <cellStyle name="20% - Énfasis5 2 2 3 2 7" xfId="52247"/>
    <cellStyle name="20% - Énfasis5 2 2 3 3" xfId="1612"/>
    <cellStyle name="20% - Énfasis5 2 2 3 3 2" xfId="4737"/>
    <cellStyle name="20% - Énfasis5 2 2 3 3 2 2" xfId="10940"/>
    <cellStyle name="20% - Énfasis5 2 2 3 3 2 3" xfId="17142"/>
    <cellStyle name="20% - Énfasis5 2 2 3 3 2 4" xfId="56014"/>
    <cellStyle name="20% - Énfasis5 2 2 3 3 3" xfId="7840"/>
    <cellStyle name="20% - Énfasis5 2 2 3 3 4" xfId="14042"/>
    <cellStyle name="20% - Énfasis5 2 2 3 3 5" xfId="53125"/>
    <cellStyle name="20% - Énfasis5 2 2 3 4" xfId="2429"/>
    <cellStyle name="20% - Énfasis5 2 2 3 4 2" xfId="5553"/>
    <cellStyle name="20% - Énfasis5 2 2 3 4 2 2" xfId="11756"/>
    <cellStyle name="20% - Énfasis5 2 2 3 4 2 3" xfId="17958"/>
    <cellStyle name="20% - Énfasis5 2 2 3 4 2 4" xfId="56786"/>
    <cellStyle name="20% - Énfasis5 2 2 3 4 3" xfId="8656"/>
    <cellStyle name="20% - Énfasis5 2 2 3 4 4" xfId="14858"/>
    <cellStyle name="20% - Énfasis5 2 2 3 4 5" xfId="53891"/>
    <cellStyle name="20% - Énfasis5 2 2 3 5" xfId="3481"/>
    <cellStyle name="20% - Énfasis5 2 2 3 5 2" xfId="9685"/>
    <cellStyle name="20% - Énfasis5 2 2 3 5 3" xfId="15887"/>
    <cellStyle name="20% - Énfasis5 2 2 3 5 4" xfId="54858"/>
    <cellStyle name="20% - Énfasis5 2 2 3 6" xfId="6584"/>
    <cellStyle name="20% - Énfasis5 2 2 3 6 2" xfId="19213"/>
    <cellStyle name="20% - Énfasis5 2 2 3 7" xfId="12786"/>
    <cellStyle name="20% - Énfasis5 2 2 3 8" xfId="52005"/>
    <cellStyle name="20% - Énfasis5 2 2 4" xfId="160"/>
    <cellStyle name="20% - Énfasis5 2 2 4 2" xfId="1877"/>
    <cellStyle name="20% - Énfasis5 2 2 4 2 2" xfId="5002"/>
    <cellStyle name="20% - Énfasis5 2 2 4 2 2 2" xfId="11205"/>
    <cellStyle name="20% - Énfasis5 2 2 4 2 2 3" xfId="17407"/>
    <cellStyle name="20% - Énfasis5 2 2 4 2 2 4" xfId="56264"/>
    <cellStyle name="20% - Énfasis5 2 2 4 2 3" xfId="8105"/>
    <cellStyle name="20% - Énfasis5 2 2 4 2 4" xfId="14307"/>
    <cellStyle name="20% - Énfasis5 2 2 4 2 5" xfId="53370"/>
    <cellStyle name="20% - Énfasis5 2 2 4 3" xfId="2431"/>
    <cellStyle name="20% - Énfasis5 2 2 4 3 2" xfId="5555"/>
    <cellStyle name="20% - Énfasis5 2 2 4 3 2 2" xfId="11758"/>
    <cellStyle name="20% - Énfasis5 2 2 4 3 2 3" xfId="17960"/>
    <cellStyle name="20% - Énfasis5 2 2 4 3 2 4" xfId="56788"/>
    <cellStyle name="20% - Énfasis5 2 2 4 3 3" xfId="8658"/>
    <cellStyle name="20% - Énfasis5 2 2 4 3 4" xfId="14860"/>
    <cellStyle name="20% - Énfasis5 2 2 4 3 5" xfId="53893"/>
    <cellStyle name="20% - Énfasis5 2 2 4 4" xfId="3483"/>
    <cellStyle name="20% - Énfasis5 2 2 4 4 2" xfId="9687"/>
    <cellStyle name="20% - Énfasis5 2 2 4 4 3" xfId="15889"/>
    <cellStyle name="20% - Énfasis5 2 2 4 4 4" xfId="54860"/>
    <cellStyle name="20% - Énfasis5 2 2 4 5" xfId="6586"/>
    <cellStyle name="20% - Énfasis5 2 2 4 5 2" xfId="19478"/>
    <cellStyle name="20% - Énfasis5 2 2 4 6" xfId="12788"/>
    <cellStyle name="20% - Énfasis5 2 2 4 7" xfId="52248"/>
    <cellStyle name="20% - Énfasis5 2 2 5" xfId="1353"/>
    <cellStyle name="20% - Énfasis5 2 2 5 2" xfId="4478"/>
    <cellStyle name="20% - Énfasis5 2 2 5 2 2" xfId="10681"/>
    <cellStyle name="20% - Énfasis5 2 2 5 2 3" xfId="16883"/>
    <cellStyle name="20% - Énfasis5 2 2 5 2 4" xfId="55768"/>
    <cellStyle name="20% - Énfasis5 2 2 5 3" xfId="7581"/>
    <cellStyle name="20% - Énfasis5 2 2 5 4" xfId="13783"/>
    <cellStyle name="20% - Énfasis5 2 2 5 5" xfId="52893"/>
    <cellStyle name="20% - Énfasis5 2 2 6" xfId="2424"/>
    <cellStyle name="20% - Énfasis5 2 2 6 2" xfId="5548"/>
    <cellStyle name="20% - Énfasis5 2 2 6 2 2" xfId="11751"/>
    <cellStyle name="20% - Énfasis5 2 2 6 2 3" xfId="17953"/>
    <cellStyle name="20% - Énfasis5 2 2 6 2 4" xfId="56781"/>
    <cellStyle name="20% - Énfasis5 2 2 6 3" xfId="8651"/>
    <cellStyle name="20% - Énfasis5 2 2 6 4" xfId="14853"/>
    <cellStyle name="20% - Énfasis5 2 2 6 5" xfId="53886"/>
    <cellStyle name="20% - Énfasis5 2 2 7" xfId="3476"/>
    <cellStyle name="20% - Énfasis5 2 2 7 2" xfId="9680"/>
    <cellStyle name="20% - Énfasis5 2 2 7 3" xfId="15882"/>
    <cellStyle name="20% - Énfasis5 2 2 7 4" xfId="54853"/>
    <cellStyle name="20% - Énfasis5 2 2 8" xfId="6579"/>
    <cellStyle name="20% - Énfasis5 2 2 8 2" xfId="18954"/>
    <cellStyle name="20% - Énfasis5 2 2 9" xfId="12781"/>
    <cellStyle name="20% - Énfasis5 2 3" xfId="161"/>
    <cellStyle name="20% - Énfasis5 2 3 2" xfId="162"/>
    <cellStyle name="20% - Énfasis5 2 3 2 2" xfId="163"/>
    <cellStyle name="20% - Énfasis5 2 3 2 2 2" xfId="2196"/>
    <cellStyle name="20% - Énfasis5 2 3 2 2 2 2" xfId="5321"/>
    <cellStyle name="20% - Énfasis5 2 3 2 2 2 2 2" xfId="11524"/>
    <cellStyle name="20% - Énfasis5 2 3 2 2 2 2 3" xfId="17726"/>
    <cellStyle name="20% - Énfasis5 2 3 2 2 2 2 4" xfId="56562"/>
    <cellStyle name="20% - Énfasis5 2 3 2 2 2 3" xfId="8424"/>
    <cellStyle name="20% - Énfasis5 2 3 2 2 2 4" xfId="14626"/>
    <cellStyle name="20% - Énfasis5 2 3 2 2 2 5" xfId="53666"/>
    <cellStyle name="20% - Énfasis5 2 3 2 2 3" xfId="2434"/>
    <cellStyle name="20% - Énfasis5 2 3 2 2 3 2" xfId="5558"/>
    <cellStyle name="20% - Énfasis5 2 3 2 2 3 2 2" xfId="11761"/>
    <cellStyle name="20% - Énfasis5 2 3 2 2 3 2 3" xfId="17963"/>
    <cellStyle name="20% - Énfasis5 2 3 2 2 3 2 4" xfId="56791"/>
    <cellStyle name="20% - Énfasis5 2 3 2 2 3 3" xfId="8661"/>
    <cellStyle name="20% - Énfasis5 2 3 2 2 3 4" xfId="14863"/>
    <cellStyle name="20% - Énfasis5 2 3 2 2 3 5" xfId="53896"/>
    <cellStyle name="20% - Énfasis5 2 3 2 2 4" xfId="3486"/>
    <cellStyle name="20% - Énfasis5 2 3 2 2 4 2" xfId="9690"/>
    <cellStyle name="20% - Énfasis5 2 3 2 2 4 3" xfId="15892"/>
    <cellStyle name="20% - Énfasis5 2 3 2 2 4 4" xfId="54863"/>
    <cellStyle name="20% - Énfasis5 2 3 2 2 5" xfId="6589"/>
    <cellStyle name="20% - Énfasis5 2 3 2 2 5 2" xfId="19797"/>
    <cellStyle name="20% - Énfasis5 2 3 2 2 6" xfId="12791"/>
    <cellStyle name="20% - Énfasis5 2 3 2 2 7" xfId="52250"/>
    <cellStyle name="20% - Énfasis5 2 3 2 3" xfId="1672"/>
    <cellStyle name="20% - Énfasis5 2 3 2 3 2" xfId="4797"/>
    <cellStyle name="20% - Énfasis5 2 3 2 3 2 2" xfId="11000"/>
    <cellStyle name="20% - Énfasis5 2 3 2 3 2 3" xfId="17202"/>
    <cellStyle name="20% - Énfasis5 2 3 2 3 2 4" xfId="56071"/>
    <cellStyle name="20% - Énfasis5 2 3 2 3 3" xfId="7900"/>
    <cellStyle name="20% - Énfasis5 2 3 2 3 4" xfId="14102"/>
    <cellStyle name="20% - Énfasis5 2 3 2 3 5" xfId="53181"/>
    <cellStyle name="20% - Énfasis5 2 3 2 4" xfId="2433"/>
    <cellStyle name="20% - Énfasis5 2 3 2 4 2" xfId="5557"/>
    <cellStyle name="20% - Énfasis5 2 3 2 4 2 2" xfId="11760"/>
    <cellStyle name="20% - Énfasis5 2 3 2 4 2 3" xfId="17962"/>
    <cellStyle name="20% - Énfasis5 2 3 2 4 2 4" xfId="56790"/>
    <cellStyle name="20% - Énfasis5 2 3 2 4 3" xfId="8660"/>
    <cellStyle name="20% - Énfasis5 2 3 2 4 4" xfId="14862"/>
    <cellStyle name="20% - Énfasis5 2 3 2 4 5" xfId="53895"/>
    <cellStyle name="20% - Énfasis5 2 3 2 5" xfId="3485"/>
    <cellStyle name="20% - Énfasis5 2 3 2 5 2" xfId="9689"/>
    <cellStyle name="20% - Énfasis5 2 3 2 5 3" xfId="15891"/>
    <cellStyle name="20% - Énfasis5 2 3 2 5 4" xfId="54862"/>
    <cellStyle name="20% - Énfasis5 2 3 2 6" xfId="6588"/>
    <cellStyle name="20% - Énfasis5 2 3 2 6 2" xfId="19273"/>
    <cellStyle name="20% - Énfasis5 2 3 2 7" xfId="12790"/>
    <cellStyle name="20% - Énfasis5 2 3 2 8" xfId="52249"/>
    <cellStyle name="20% - Énfasis5 2 3 3" xfId="164"/>
    <cellStyle name="20% - Énfasis5 2 3 3 2" xfId="1951"/>
    <cellStyle name="20% - Énfasis5 2 3 3 2 2" xfId="5076"/>
    <cellStyle name="20% - Énfasis5 2 3 3 2 2 2" xfId="11279"/>
    <cellStyle name="20% - Énfasis5 2 3 3 2 2 3" xfId="17481"/>
    <cellStyle name="20% - Énfasis5 2 3 3 2 2 4" xfId="56335"/>
    <cellStyle name="20% - Énfasis5 2 3 3 2 3" xfId="8179"/>
    <cellStyle name="20% - Énfasis5 2 3 3 2 4" xfId="14381"/>
    <cellStyle name="20% - Énfasis5 2 3 3 2 5" xfId="53441"/>
    <cellStyle name="20% - Énfasis5 2 3 3 3" xfId="2435"/>
    <cellStyle name="20% - Énfasis5 2 3 3 3 2" xfId="5559"/>
    <cellStyle name="20% - Énfasis5 2 3 3 3 2 2" xfId="11762"/>
    <cellStyle name="20% - Énfasis5 2 3 3 3 2 3" xfId="17964"/>
    <cellStyle name="20% - Énfasis5 2 3 3 3 2 4" xfId="56792"/>
    <cellStyle name="20% - Énfasis5 2 3 3 3 3" xfId="8662"/>
    <cellStyle name="20% - Énfasis5 2 3 3 3 4" xfId="14864"/>
    <cellStyle name="20% - Énfasis5 2 3 3 3 5" xfId="53897"/>
    <cellStyle name="20% - Énfasis5 2 3 3 4" xfId="3487"/>
    <cellStyle name="20% - Énfasis5 2 3 3 4 2" xfId="9691"/>
    <cellStyle name="20% - Énfasis5 2 3 3 4 3" xfId="15893"/>
    <cellStyle name="20% - Énfasis5 2 3 3 4 4" xfId="54864"/>
    <cellStyle name="20% - Énfasis5 2 3 3 5" xfId="6590"/>
    <cellStyle name="20% - Énfasis5 2 3 3 5 2" xfId="19552"/>
    <cellStyle name="20% - Énfasis5 2 3 3 6" xfId="12792"/>
    <cellStyle name="20% - Énfasis5 2 3 3 7" xfId="52251"/>
    <cellStyle name="20% - Énfasis5 2 3 4" xfId="1427"/>
    <cellStyle name="20% - Énfasis5 2 3 4 2" xfId="4552"/>
    <cellStyle name="20% - Énfasis5 2 3 4 2 2" xfId="10755"/>
    <cellStyle name="20% - Énfasis5 2 3 4 2 3" xfId="16957"/>
    <cellStyle name="20% - Énfasis5 2 3 4 2 4" xfId="55839"/>
    <cellStyle name="20% - Énfasis5 2 3 4 3" xfId="7655"/>
    <cellStyle name="20% - Énfasis5 2 3 4 4" xfId="13857"/>
    <cellStyle name="20% - Énfasis5 2 3 4 5" xfId="52957"/>
    <cellStyle name="20% - Énfasis5 2 3 5" xfId="2432"/>
    <cellStyle name="20% - Énfasis5 2 3 5 2" xfId="5556"/>
    <cellStyle name="20% - Énfasis5 2 3 5 2 2" xfId="11759"/>
    <cellStyle name="20% - Énfasis5 2 3 5 2 3" xfId="17961"/>
    <cellStyle name="20% - Énfasis5 2 3 5 2 4" xfId="56789"/>
    <cellStyle name="20% - Énfasis5 2 3 5 3" xfId="8659"/>
    <cellStyle name="20% - Énfasis5 2 3 5 4" xfId="14861"/>
    <cellStyle name="20% - Énfasis5 2 3 5 5" xfId="53894"/>
    <cellStyle name="20% - Énfasis5 2 3 6" xfId="3484"/>
    <cellStyle name="20% - Énfasis5 2 3 6 2" xfId="9688"/>
    <cellStyle name="20% - Énfasis5 2 3 6 3" xfId="15890"/>
    <cellStyle name="20% - Énfasis5 2 3 6 4" xfId="54861"/>
    <cellStyle name="20% - Énfasis5 2 3 7" xfId="6587"/>
    <cellStyle name="20% - Énfasis5 2 3 7 2" xfId="19028"/>
    <cellStyle name="20% - Énfasis5 2 3 8" xfId="12789"/>
    <cellStyle name="20% - Énfasis5 2 3 9" xfId="52074"/>
    <cellStyle name="20% - Énfasis5 2 4" xfId="165"/>
    <cellStyle name="20% - Énfasis5 2 4 2" xfId="166"/>
    <cellStyle name="20% - Énfasis5 2 4 2 2" xfId="2053"/>
    <cellStyle name="20% - Énfasis5 2 4 2 2 2" xfId="5178"/>
    <cellStyle name="20% - Énfasis5 2 4 2 2 2 2" xfId="11381"/>
    <cellStyle name="20% - Énfasis5 2 4 2 2 2 3" xfId="17583"/>
    <cellStyle name="20% - Énfasis5 2 4 2 2 2 4" xfId="56430"/>
    <cellStyle name="20% - Énfasis5 2 4 2 2 3" xfId="8281"/>
    <cellStyle name="20% - Énfasis5 2 4 2 2 4" xfId="14483"/>
    <cellStyle name="20% - Énfasis5 2 4 2 2 5" xfId="53534"/>
    <cellStyle name="20% - Énfasis5 2 4 2 3" xfId="2437"/>
    <cellStyle name="20% - Énfasis5 2 4 2 3 2" xfId="5561"/>
    <cellStyle name="20% - Énfasis5 2 4 2 3 2 2" xfId="11764"/>
    <cellStyle name="20% - Énfasis5 2 4 2 3 2 3" xfId="17966"/>
    <cellStyle name="20% - Énfasis5 2 4 2 3 2 4" xfId="56794"/>
    <cellStyle name="20% - Énfasis5 2 4 2 3 3" xfId="8664"/>
    <cellStyle name="20% - Énfasis5 2 4 2 3 4" xfId="14866"/>
    <cellStyle name="20% - Énfasis5 2 4 2 3 5" xfId="53899"/>
    <cellStyle name="20% - Énfasis5 2 4 2 4" xfId="3489"/>
    <cellStyle name="20% - Énfasis5 2 4 2 4 2" xfId="9693"/>
    <cellStyle name="20% - Énfasis5 2 4 2 4 3" xfId="15895"/>
    <cellStyle name="20% - Énfasis5 2 4 2 4 4" xfId="54866"/>
    <cellStyle name="20% - Énfasis5 2 4 2 5" xfId="6592"/>
    <cellStyle name="20% - Énfasis5 2 4 2 5 2" xfId="19654"/>
    <cellStyle name="20% - Énfasis5 2 4 2 6" xfId="12794"/>
    <cellStyle name="20% - Énfasis5 2 4 2 7" xfId="52252"/>
    <cellStyle name="20% - Énfasis5 2 4 3" xfId="1529"/>
    <cellStyle name="20% - Énfasis5 2 4 3 2" xfId="4654"/>
    <cellStyle name="20% - Énfasis5 2 4 3 2 2" xfId="10857"/>
    <cellStyle name="20% - Énfasis5 2 4 3 2 3" xfId="17059"/>
    <cellStyle name="20% - Énfasis5 2 4 3 2 4" xfId="55935"/>
    <cellStyle name="20% - Énfasis5 2 4 3 3" xfId="7757"/>
    <cellStyle name="20% - Énfasis5 2 4 3 4" xfId="13959"/>
    <cellStyle name="20% - Énfasis5 2 4 3 5" xfId="53050"/>
    <cellStyle name="20% - Énfasis5 2 4 4" xfId="2436"/>
    <cellStyle name="20% - Énfasis5 2 4 4 2" xfId="5560"/>
    <cellStyle name="20% - Énfasis5 2 4 4 2 2" xfId="11763"/>
    <cellStyle name="20% - Énfasis5 2 4 4 2 3" xfId="17965"/>
    <cellStyle name="20% - Énfasis5 2 4 4 2 4" xfId="56793"/>
    <cellStyle name="20% - Énfasis5 2 4 4 3" xfId="8663"/>
    <cellStyle name="20% - Énfasis5 2 4 4 4" xfId="14865"/>
    <cellStyle name="20% - Énfasis5 2 4 4 5" xfId="53898"/>
    <cellStyle name="20% - Énfasis5 2 4 5" xfId="3488"/>
    <cellStyle name="20% - Énfasis5 2 4 5 2" xfId="9692"/>
    <cellStyle name="20% - Énfasis5 2 4 5 3" xfId="15894"/>
    <cellStyle name="20% - Énfasis5 2 4 5 4" xfId="54865"/>
    <cellStyle name="20% - Énfasis5 2 4 6" xfId="6591"/>
    <cellStyle name="20% - Énfasis5 2 4 6 2" xfId="19130"/>
    <cellStyle name="20% - Énfasis5 2 4 7" xfId="12793"/>
    <cellStyle name="20% - Énfasis5 2 4 8" xfId="51936"/>
    <cellStyle name="20% - Énfasis5 2 5" xfId="167"/>
    <cellStyle name="20% - Énfasis5 2 5 2" xfId="1782"/>
    <cellStyle name="20% - Énfasis5 2 5 2 2" xfId="4907"/>
    <cellStyle name="20% - Énfasis5 2 5 2 2 2" xfId="11110"/>
    <cellStyle name="20% - Énfasis5 2 5 2 2 3" xfId="17312"/>
    <cellStyle name="20% - Énfasis5 2 5 2 2 4" xfId="56176"/>
    <cellStyle name="20% - Énfasis5 2 5 2 3" xfId="8010"/>
    <cellStyle name="20% - Énfasis5 2 5 2 4" xfId="14212"/>
    <cellStyle name="20% - Énfasis5 2 5 2 5" xfId="53283"/>
    <cellStyle name="20% - Énfasis5 2 5 3" xfId="2438"/>
    <cellStyle name="20% - Énfasis5 2 5 3 2" xfId="5562"/>
    <cellStyle name="20% - Énfasis5 2 5 3 2 2" xfId="11765"/>
    <cellStyle name="20% - Énfasis5 2 5 3 2 3" xfId="17967"/>
    <cellStyle name="20% - Énfasis5 2 5 3 2 4" xfId="56795"/>
    <cellStyle name="20% - Énfasis5 2 5 3 3" xfId="8665"/>
    <cellStyle name="20% - Énfasis5 2 5 3 4" xfId="14867"/>
    <cellStyle name="20% - Énfasis5 2 5 3 5" xfId="53900"/>
    <cellStyle name="20% - Énfasis5 2 5 4" xfId="3490"/>
    <cellStyle name="20% - Énfasis5 2 5 4 2" xfId="9694"/>
    <cellStyle name="20% - Énfasis5 2 5 4 3" xfId="15896"/>
    <cellStyle name="20% - Énfasis5 2 5 4 4" xfId="54867"/>
    <cellStyle name="20% - Énfasis5 2 5 5" xfId="6593"/>
    <cellStyle name="20% - Énfasis5 2 5 5 2" xfId="19383"/>
    <cellStyle name="20% - Énfasis5 2 5 6" xfId="12795"/>
    <cellStyle name="20% - Énfasis5 2 5 7" xfId="52253"/>
    <cellStyle name="20% - Énfasis5 2 6" xfId="1285"/>
    <cellStyle name="20% - Énfasis5 2 6 2" xfId="4410"/>
    <cellStyle name="20% - Énfasis5 2 6 2 2" xfId="10613"/>
    <cellStyle name="20% - Énfasis5 2 6 2 3" xfId="16815"/>
    <cellStyle name="20% - Énfasis5 2 6 2 4" xfId="55703"/>
    <cellStyle name="20% - Énfasis5 2 6 3" xfId="7513"/>
    <cellStyle name="20% - Énfasis5 2 6 4" xfId="13715"/>
    <cellStyle name="20% - Énfasis5 2 6 5" xfId="52832"/>
    <cellStyle name="20% - Énfasis5 2 7" xfId="2423"/>
    <cellStyle name="20% - Énfasis5 2 7 2" xfId="5547"/>
    <cellStyle name="20% - Énfasis5 2 7 2 2" xfId="11750"/>
    <cellStyle name="20% - Énfasis5 2 7 2 3" xfId="17952"/>
    <cellStyle name="20% - Énfasis5 2 7 2 4" xfId="56780"/>
    <cellStyle name="20% - Énfasis5 2 7 3" xfId="8650"/>
    <cellStyle name="20% - Énfasis5 2 7 4" xfId="14852"/>
    <cellStyle name="20% - Énfasis5 2 7 5" xfId="53885"/>
    <cellStyle name="20% - Énfasis5 2 8" xfId="3475"/>
    <cellStyle name="20% - Énfasis5 2 8 2" xfId="9679"/>
    <cellStyle name="20% - Énfasis5 2 8 3" xfId="15881"/>
    <cellStyle name="20% - Énfasis5 2 8 4" xfId="54852"/>
    <cellStyle name="20% - Énfasis5 2 9" xfId="6578"/>
    <cellStyle name="20% - Énfasis5 2 9 2" xfId="18886"/>
    <cellStyle name="20% - Énfasis5 3" xfId="168"/>
    <cellStyle name="20% - Énfasis5 3 10" xfId="22314"/>
    <cellStyle name="20% - Énfasis5 3 2" xfId="169"/>
    <cellStyle name="20% - Énfasis5 3 2 2" xfId="170"/>
    <cellStyle name="20% - Énfasis5 3 2 2 2" xfId="171"/>
    <cellStyle name="20% - Énfasis5 3 2 2 2 2" xfId="2239"/>
    <cellStyle name="20% - Énfasis5 3 2 2 2 2 2" xfId="5364"/>
    <cellStyle name="20% - Énfasis5 3 2 2 2 2 2 2" xfId="11567"/>
    <cellStyle name="20% - Énfasis5 3 2 2 2 2 2 3" xfId="17769"/>
    <cellStyle name="20% - Énfasis5 3 2 2 2 2 2 4" xfId="56603"/>
    <cellStyle name="20% - Énfasis5 3 2 2 2 2 3" xfId="8467"/>
    <cellStyle name="20% - Énfasis5 3 2 2 2 2 4" xfId="14669"/>
    <cellStyle name="20% - Énfasis5 3 2 2 2 2 5" xfId="53707"/>
    <cellStyle name="20% - Énfasis5 3 2 2 2 3" xfId="2442"/>
    <cellStyle name="20% - Énfasis5 3 2 2 2 3 2" xfId="5566"/>
    <cellStyle name="20% - Énfasis5 3 2 2 2 3 2 2" xfId="11769"/>
    <cellStyle name="20% - Énfasis5 3 2 2 2 3 2 3" xfId="17971"/>
    <cellStyle name="20% - Énfasis5 3 2 2 2 3 2 4" xfId="56799"/>
    <cellStyle name="20% - Énfasis5 3 2 2 2 3 3" xfId="8669"/>
    <cellStyle name="20% - Énfasis5 3 2 2 2 3 4" xfId="14871"/>
    <cellStyle name="20% - Énfasis5 3 2 2 2 3 5" xfId="53904"/>
    <cellStyle name="20% - Énfasis5 3 2 2 2 4" xfId="3494"/>
    <cellStyle name="20% - Énfasis5 3 2 2 2 4 2" xfId="9698"/>
    <cellStyle name="20% - Énfasis5 3 2 2 2 4 3" xfId="15900"/>
    <cellStyle name="20% - Énfasis5 3 2 2 2 4 4" xfId="54871"/>
    <cellStyle name="20% - Énfasis5 3 2 2 2 5" xfId="6597"/>
    <cellStyle name="20% - Énfasis5 3 2 2 2 5 2" xfId="19840"/>
    <cellStyle name="20% - Énfasis5 3 2 2 2 6" xfId="12799"/>
    <cellStyle name="20% - Énfasis5 3 2 2 2 7" xfId="52254"/>
    <cellStyle name="20% - Énfasis5 3 2 2 3" xfId="1715"/>
    <cellStyle name="20% - Énfasis5 3 2 2 3 2" xfId="4840"/>
    <cellStyle name="20% - Énfasis5 3 2 2 3 2 2" xfId="11043"/>
    <cellStyle name="20% - Énfasis5 3 2 2 3 2 3" xfId="17245"/>
    <cellStyle name="20% - Énfasis5 3 2 2 3 2 4" xfId="56112"/>
    <cellStyle name="20% - Énfasis5 3 2 2 3 3" xfId="7943"/>
    <cellStyle name="20% - Énfasis5 3 2 2 3 4" xfId="14145"/>
    <cellStyle name="20% - Énfasis5 3 2 2 3 5" xfId="53222"/>
    <cellStyle name="20% - Énfasis5 3 2 2 4" xfId="2441"/>
    <cellStyle name="20% - Énfasis5 3 2 2 4 2" xfId="5565"/>
    <cellStyle name="20% - Énfasis5 3 2 2 4 2 2" xfId="11768"/>
    <cellStyle name="20% - Énfasis5 3 2 2 4 2 3" xfId="17970"/>
    <cellStyle name="20% - Énfasis5 3 2 2 4 2 4" xfId="56798"/>
    <cellStyle name="20% - Énfasis5 3 2 2 4 3" xfId="8668"/>
    <cellStyle name="20% - Énfasis5 3 2 2 4 4" xfId="14870"/>
    <cellStyle name="20% - Énfasis5 3 2 2 4 5" xfId="53903"/>
    <cellStyle name="20% - Énfasis5 3 2 2 5" xfId="3493"/>
    <cellStyle name="20% - Énfasis5 3 2 2 5 2" xfId="9697"/>
    <cellStyle name="20% - Énfasis5 3 2 2 5 3" xfId="15899"/>
    <cellStyle name="20% - Énfasis5 3 2 2 5 4" xfId="54870"/>
    <cellStyle name="20% - Énfasis5 3 2 2 6" xfId="6596"/>
    <cellStyle name="20% - Énfasis5 3 2 2 6 2" xfId="19316"/>
    <cellStyle name="20% - Énfasis5 3 2 2 7" xfId="12798"/>
    <cellStyle name="20% - Énfasis5 3 2 2 8" xfId="52117"/>
    <cellStyle name="20% - Énfasis5 3 2 3" xfId="172"/>
    <cellStyle name="20% - Énfasis5 3 2 3 2" xfId="1994"/>
    <cellStyle name="20% - Énfasis5 3 2 3 2 2" xfId="5119"/>
    <cellStyle name="20% - Énfasis5 3 2 3 2 2 2" xfId="11322"/>
    <cellStyle name="20% - Énfasis5 3 2 3 2 2 3" xfId="17524"/>
    <cellStyle name="20% - Énfasis5 3 2 3 2 2 4" xfId="56376"/>
    <cellStyle name="20% - Énfasis5 3 2 3 2 3" xfId="8222"/>
    <cellStyle name="20% - Énfasis5 3 2 3 2 4" xfId="14424"/>
    <cellStyle name="20% - Énfasis5 3 2 3 2 5" xfId="53482"/>
    <cellStyle name="20% - Énfasis5 3 2 3 3" xfId="2443"/>
    <cellStyle name="20% - Énfasis5 3 2 3 3 2" xfId="5567"/>
    <cellStyle name="20% - Énfasis5 3 2 3 3 2 2" xfId="11770"/>
    <cellStyle name="20% - Énfasis5 3 2 3 3 2 3" xfId="17972"/>
    <cellStyle name="20% - Énfasis5 3 2 3 3 2 4" xfId="56800"/>
    <cellStyle name="20% - Énfasis5 3 2 3 3 3" xfId="8670"/>
    <cellStyle name="20% - Énfasis5 3 2 3 3 4" xfId="14872"/>
    <cellStyle name="20% - Énfasis5 3 2 3 3 5" xfId="53905"/>
    <cellStyle name="20% - Énfasis5 3 2 3 4" xfId="3495"/>
    <cellStyle name="20% - Énfasis5 3 2 3 4 2" xfId="9699"/>
    <cellStyle name="20% - Énfasis5 3 2 3 4 3" xfId="15901"/>
    <cellStyle name="20% - Énfasis5 3 2 3 4 4" xfId="54872"/>
    <cellStyle name="20% - Énfasis5 3 2 3 5" xfId="6598"/>
    <cellStyle name="20% - Énfasis5 3 2 3 5 2" xfId="19595"/>
    <cellStyle name="20% - Énfasis5 3 2 3 6" xfId="12800"/>
    <cellStyle name="20% - Énfasis5 3 2 3 7" xfId="52255"/>
    <cellStyle name="20% - Énfasis5 3 2 4" xfId="1470"/>
    <cellStyle name="20% - Énfasis5 3 2 4 2" xfId="4595"/>
    <cellStyle name="20% - Énfasis5 3 2 4 2 2" xfId="10798"/>
    <cellStyle name="20% - Énfasis5 3 2 4 2 3" xfId="17000"/>
    <cellStyle name="20% - Énfasis5 3 2 4 2 4" xfId="55880"/>
    <cellStyle name="20% - Énfasis5 3 2 4 3" xfId="7698"/>
    <cellStyle name="20% - Énfasis5 3 2 4 4" xfId="13900"/>
    <cellStyle name="20% - Énfasis5 3 2 4 5" xfId="52998"/>
    <cellStyle name="20% - Énfasis5 3 2 5" xfId="2440"/>
    <cellStyle name="20% - Énfasis5 3 2 5 2" xfId="5564"/>
    <cellStyle name="20% - Énfasis5 3 2 5 2 2" xfId="11767"/>
    <cellStyle name="20% - Énfasis5 3 2 5 2 3" xfId="17969"/>
    <cellStyle name="20% - Énfasis5 3 2 5 2 4" xfId="56797"/>
    <cellStyle name="20% - Énfasis5 3 2 5 3" xfId="8667"/>
    <cellStyle name="20% - Énfasis5 3 2 5 4" xfId="14869"/>
    <cellStyle name="20% - Énfasis5 3 2 5 5" xfId="53902"/>
    <cellStyle name="20% - Énfasis5 3 2 6" xfId="3492"/>
    <cellStyle name="20% - Énfasis5 3 2 6 2" xfId="9696"/>
    <cellStyle name="20% - Énfasis5 3 2 6 3" xfId="15898"/>
    <cellStyle name="20% - Énfasis5 3 2 6 4" xfId="54869"/>
    <cellStyle name="20% - Énfasis5 3 2 7" xfId="6595"/>
    <cellStyle name="20% - Énfasis5 3 2 7 2" xfId="19071"/>
    <cellStyle name="20% - Énfasis5 3 2 8" xfId="12797"/>
    <cellStyle name="20% - Énfasis5 3 2 9" xfId="22315"/>
    <cellStyle name="20% - Énfasis5 3 3" xfId="173"/>
    <cellStyle name="20% - Énfasis5 3 3 2" xfId="174"/>
    <cellStyle name="20% - Énfasis5 3 3 2 2" xfId="2111"/>
    <cellStyle name="20% - Énfasis5 3 3 2 2 2" xfId="5236"/>
    <cellStyle name="20% - Énfasis5 3 3 2 2 2 2" xfId="11439"/>
    <cellStyle name="20% - Énfasis5 3 3 2 2 2 3" xfId="17641"/>
    <cellStyle name="20% - Énfasis5 3 3 2 2 2 4" xfId="56484"/>
    <cellStyle name="20% - Énfasis5 3 3 2 2 3" xfId="8339"/>
    <cellStyle name="20% - Énfasis5 3 3 2 2 4" xfId="14541"/>
    <cellStyle name="20% - Énfasis5 3 3 2 2 5" xfId="53588"/>
    <cellStyle name="20% - Énfasis5 3 3 2 3" xfId="2445"/>
    <cellStyle name="20% - Énfasis5 3 3 2 3 2" xfId="5569"/>
    <cellStyle name="20% - Énfasis5 3 3 2 3 2 2" xfId="11772"/>
    <cellStyle name="20% - Énfasis5 3 3 2 3 2 3" xfId="17974"/>
    <cellStyle name="20% - Énfasis5 3 3 2 3 2 4" xfId="56802"/>
    <cellStyle name="20% - Énfasis5 3 3 2 3 3" xfId="8672"/>
    <cellStyle name="20% - Énfasis5 3 3 2 3 4" xfId="14874"/>
    <cellStyle name="20% - Énfasis5 3 3 2 3 5" xfId="53907"/>
    <cellStyle name="20% - Énfasis5 3 3 2 4" xfId="3497"/>
    <cellStyle name="20% - Énfasis5 3 3 2 4 2" xfId="9701"/>
    <cellStyle name="20% - Énfasis5 3 3 2 4 3" xfId="15903"/>
    <cellStyle name="20% - Énfasis5 3 3 2 4 4" xfId="54874"/>
    <cellStyle name="20% - Énfasis5 3 3 2 5" xfId="6600"/>
    <cellStyle name="20% - Énfasis5 3 3 2 5 2" xfId="19712"/>
    <cellStyle name="20% - Énfasis5 3 3 2 6" xfId="12802"/>
    <cellStyle name="20% - Énfasis5 3 3 2 7" xfId="52256"/>
    <cellStyle name="20% - Énfasis5 3 3 3" xfId="1587"/>
    <cellStyle name="20% - Énfasis5 3 3 3 2" xfId="4712"/>
    <cellStyle name="20% - Énfasis5 3 3 3 2 2" xfId="10915"/>
    <cellStyle name="20% - Énfasis5 3 3 3 2 3" xfId="17117"/>
    <cellStyle name="20% - Énfasis5 3 3 3 2 4" xfId="55990"/>
    <cellStyle name="20% - Énfasis5 3 3 3 3" xfId="7815"/>
    <cellStyle name="20% - Énfasis5 3 3 3 4" xfId="14017"/>
    <cellStyle name="20% - Énfasis5 3 3 3 5" xfId="53103"/>
    <cellStyle name="20% - Énfasis5 3 3 4" xfId="2444"/>
    <cellStyle name="20% - Énfasis5 3 3 4 2" xfId="5568"/>
    <cellStyle name="20% - Énfasis5 3 3 4 2 2" xfId="11771"/>
    <cellStyle name="20% - Énfasis5 3 3 4 2 3" xfId="17973"/>
    <cellStyle name="20% - Énfasis5 3 3 4 2 4" xfId="56801"/>
    <cellStyle name="20% - Énfasis5 3 3 4 3" xfId="8671"/>
    <cellStyle name="20% - Énfasis5 3 3 4 4" xfId="14873"/>
    <cellStyle name="20% - Énfasis5 3 3 4 5" xfId="53906"/>
    <cellStyle name="20% - Énfasis5 3 3 5" xfId="3496"/>
    <cellStyle name="20% - Énfasis5 3 3 5 2" xfId="9700"/>
    <cellStyle name="20% - Énfasis5 3 3 5 3" xfId="15902"/>
    <cellStyle name="20% - Énfasis5 3 3 5 4" xfId="54873"/>
    <cellStyle name="20% - Énfasis5 3 3 6" xfId="6599"/>
    <cellStyle name="20% - Énfasis5 3 3 6 2" xfId="19188"/>
    <cellStyle name="20% - Énfasis5 3 3 7" xfId="12801"/>
    <cellStyle name="20% - Énfasis5 3 3 8" xfId="51986"/>
    <cellStyle name="20% - Énfasis5 3 4" xfId="175"/>
    <cellStyle name="20% - Énfasis5 3 4 2" xfId="1852"/>
    <cellStyle name="20% - Énfasis5 3 4 2 2" xfId="4977"/>
    <cellStyle name="20% - Énfasis5 3 4 2 2 2" xfId="11180"/>
    <cellStyle name="20% - Énfasis5 3 4 2 2 3" xfId="17382"/>
    <cellStyle name="20% - Énfasis5 3 4 2 2 4" xfId="56241"/>
    <cellStyle name="20% - Énfasis5 3 4 2 3" xfId="8080"/>
    <cellStyle name="20% - Énfasis5 3 4 2 4" xfId="14282"/>
    <cellStyle name="20% - Énfasis5 3 4 2 5" xfId="53347"/>
    <cellStyle name="20% - Énfasis5 3 4 3" xfId="2446"/>
    <cellStyle name="20% - Énfasis5 3 4 3 2" xfId="5570"/>
    <cellStyle name="20% - Énfasis5 3 4 3 2 2" xfId="11773"/>
    <cellStyle name="20% - Énfasis5 3 4 3 2 3" xfId="17975"/>
    <cellStyle name="20% - Énfasis5 3 4 3 2 4" xfId="56803"/>
    <cellStyle name="20% - Énfasis5 3 4 3 3" xfId="8673"/>
    <cellStyle name="20% - Énfasis5 3 4 3 4" xfId="14875"/>
    <cellStyle name="20% - Énfasis5 3 4 3 5" xfId="53908"/>
    <cellStyle name="20% - Énfasis5 3 4 4" xfId="3498"/>
    <cellStyle name="20% - Énfasis5 3 4 4 2" xfId="9702"/>
    <cellStyle name="20% - Énfasis5 3 4 4 3" xfId="15904"/>
    <cellStyle name="20% - Énfasis5 3 4 4 4" xfId="54875"/>
    <cellStyle name="20% - Énfasis5 3 4 5" xfId="6601"/>
    <cellStyle name="20% - Énfasis5 3 4 5 2" xfId="19453"/>
    <cellStyle name="20% - Énfasis5 3 4 6" xfId="12803"/>
    <cellStyle name="20% - Énfasis5 3 4 7" xfId="52257"/>
    <cellStyle name="20% - Énfasis5 3 5" xfId="1328"/>
    <cellStyle name="20% - Énfasis5 3 5 2" xfId="4453"/>
    <cellStyle name="20% - Énfasis5 3 5 2 2" xfId="10656"/>
    <cellStyle name="20% - Énfasis5 3 5 2 3" xfId="16858"/>
    <cellStyle name="20% - Énfasis5 3 5 2 4" xfId="55744"/>
    <cellStyle name="20% - Énfasis5 3 5 3" xfId="7556"/>
    <cellStyle name="20% - Énfasis5 3 5 4" xfId="13758"/>
    <cellStyle name="20% - Énfasis5 3 5 5" xfId="52872"/>
    <cellStyle name="20% - Énfasis5 3 6" xfId="2439"/>
    <cellStyle name="20% - Énfasis5 3 6 2" xfId="5563"/>
    <cellStyle name="20% - Énfasis5 3 6 2 2" xfId="11766"/>
    <cellStyle name="20% - Énfasis5 3 6 2 3" xfId="17968"/>
    <cellStyle name="20% - Énfasis5 3 6 2 4" xfId="56796"/>
    <cellStyle name="20% - Énfasis5 3 6 3" xfId="8666"/>
    <cellStyle name="20% - Énfasis5 3 6 4" xfId="14868"/>
    <cellStyle name="20% - Énfasis5 3 6 5" xfId="53901"/>
    <cellStyle name="20% - Énfasis5 3 7" xfId="3491"/>
    <cellStyle name="20% - Énfasis5 3 7 2" xfId="9695"/>
    <cellStyle name="20% - Énfasis5 3 7 3" xfId="15897"/>
    <cellStyle name="20% - Énfasis5 3 7 4" xfId="54868"/>
    <cellStyle name="20% - Énfasis5 3 8" xfId="6594"/>
    <cellStyle name="20% - Énfasis5 3 8 2" xfId="18929"/>
    <cellStyle name="20% - Énfasis5 3 9" xfId="12796"/>
    <cellStyle name="20% - Énfasis5 4" xfId="176"/>
    <cellStyle name="20% - Énfasis5 4 2" xfId="177"/>
    <cellStyle name="20% - Énfasis5 4 2 2" xfId="178"/>
    <cellStyle name="20% - Énfasis5 4 2 2 2" xfId="2171"/>
    <cellStyle name="20% - Énfasis5 4 2 2 2 2" xfId="5296"/>
    <cellStyle name="20% - Énfasis5 4 2 2 2 2 2" xfId="11499"/>
    <cellStyle name="20% - Énfasis5 4 2 2 2 2 3" xfId="17701"/>
    <cellStyle name="20% - Énfasis5 4 2 2 2 2 4" xfId="56539"/>
    <cellStyle name="20% - Énfasis5 4 2 2 2 3" xfId="8399"/>
    <cellStyle name="20% - Énfasis5 4 2 2 2 4" xfId="14601"/>
    <cellStyle name="20% - Énfasis5 4 2 2 2 5" xfId="53643"/>
    <cellStyle name="20% - Énfasis5 4 2 2 3" xfId="2449"/>
    <cellStyle name="20% - Énfasis5 4 2 2 3 2" xfId="5573"/>
    <cellStyle name="20% - Énfasis5 4 2 2 3 2 2" xfId="11776"/>
    <cellStyle name="20% - Énfasis5 4 2 2 3 2 3" xfId="17978"/>
    <cellStyle name="20% - Énfasis5 4 2 2 3 2 4" xfId="56806"/>
    <cellStyle name="20% - Énfasis5 4 2 2 3 3" xfId="8676"/>
    <cellStyle name="20% - Énfasis5 4 2 2 3 4" xfId="14878"/>
    <cellStyle name="20% - Énfasis5 4 2 2 3 5" xfId="53911"/>
    <cellStyle name="20% - Énfasis5 4 2 2 4" xfId="3501"/>
    <cellStyle name="20% - Énfasis5 4 2 2 4 2" xfId="9705"/>
    <cellStyle name="20% - Énfasis5 4 2 2 4 3" xfId="15907"/>
    <cellStyle name="20% - Énfasis5 4 2 2 4 4" xfId="54878"/>
    <cellStyle name="20% - Énfasis5 4 2 2 5" xfId="6604"/>
    <cellStyle name="20% - Énfasis5 4 2 2 5 2" xfId="19772"/>
    <cellStyle name="20% - Énfasis5 4 2 2 6" xfId="12806"/>
    <cellStyle name="20% - Énfasis5 4 2 2 7" xfId="52259"/>
    <cellStyle name="20% - Énfasis5 4 2 3" xfId="1647"/>
    <cellStyle name="20% - Énfasis5 4 2 3 2" xfId="4772"/>
    <cellStyle name="20% - Énfasis5 4 2 3 2 2" xfId="10975"/>
    <cellStyle name="20% - Énfasis5 4 2 3 2 3" xfId="17177"/>
    <cellStyle name="20% - Énfasis5 4 2 3 2 4" xfId="56048"/>
    <cellStyle name="20% - Énfasis5 4 2 3 3" xfId="7875"/>
    <cellStyle name="20% - Énfasis5 4 2 3 4" xfId="14077"/>
    <cellStyle name="20% - Énfasis5 4 2 3 5" xfId="53158"/>
    <cellStyle name="20% - Énfasis5 4 2 4" xfId="2448"/>
    <cellStyle name="20% - Énfasis5 4 2 4 2" xfId="5572"/>
    <cellStyle name="20% - Énfasis5 4 2 4 2 2" xfId="11775"/>
    <cellStyle name="20% - Énfasis5 4 2 4 2 3" xfId="17977"/>
    <cellStyle name="20% - Énfasis5 4 2 4 2 4" xfId="56805"/>
    <cellStyle name="20% - Énfasis5 4 2 4 3" xfId="8675"/>
    <cellStyle name="20% - Énfasis5 4 2 4 4" xfId="14877"/>
    <cellStyle name="20% - Énfasis5 4 2 4 5" xfId="53910"/>
    <cellStyle name="20% - Énfasis5 4 2 5" xfId="3500"/>
    <cellStyle name="20% - Énfasis5 4 2 5 2" xfId="9704"/>
    <cellStyle name="20% - Énfasis5 4 2 5 3" xfId="15906"/>
    <cellStyle name="20% - Énfasis5 4 2 5 4" xfId="54877"/>
    <cellStyle name="20% - Énfasis5 4 2 6" xfId="6603"/>
    <cellStyle name="20% - Énfasis5 4 2 6 2" xfId="19248"/>
    <cellStyle name="20% - Énfasis5 4 2 6 3" xfId="52258"/>
    <cellStyle name="20% - Énfasis5 4 2 7" xfId="12805"/>
    <cellStyle name="20% - Énfasis5 4 2 8" xfId="22317"/>
    <cellStyle name="20% - Énfasis5 4 3" xfId="179"/>
    <cellStyle name="20% - Énfasis5 4 3 2" xfId="1925"/>
    <cellStyle name="20% - Énfasis5 4 3 2 2" xfId="5050"/>
    <cellStyle name="20% - Énfasis5 4 3 2 2 2" xfId="11253"/>
    <cellStyle name="20% - Énfasis5 4 3 2 2 3" xfId="17455"/>
    <cellStyle name="20% - Énfasis5 4 3 2 2 4" xfId="56311"/>
    <cellStyle name="20% - Énfasis5 4 3 2 3" xfId="8153"/>
    <cellStyle name="20% - Énfasis5 4 3 2 4" xfId="14355"/>
    <cellStyle name="20% - Énfasis5 4 3 2 5" xfId="53417"/>
    <cellStyle name="20% - Énfasis5 4 3 3" xfId="2450"/>
    <cellStyle name="20% - Énfasis5 4 3 3 2" xfId="5574"/>
    <cellStyle name="20% - Énfasis5 4 3 3 2 2" xfId="11777"/>
    <cellStyle name="20% - Énfasis5 4 3 3 2 3" xfId="17979"/>
    <cellStyle name="20% - Énfasis5 4 3 3 2 4" xfId="56807"/>
    <cellStyle name="20% - Énfasis5 4 3 3 3" xfId="8677"/>
    <cellStyle name="20% - Énfasis5 4 3 3 4" xfId="14879"/>
    <cellStyle name="20% - Énfasis5 4 3 3 5" xfId="53912"/>
    <cellStyle name="20% - Énfasis5 4 3 4" xfId="3502"/>
    <cellStyle name="20% - Énfasis5 4 3 4 2" xfId="9706"/>
    <cellStyle name="20% - Énfasis5 4 3 4 3" xfId="15908"/>
    <cellStyle name="20% - Énfasis5 4 3 4 4" xfId="54879"/>
    <cellStyle name="20% - Énfasis5 4 3 5" xfId="6605"/>
    <cellStyle name="20% - Énfasis5 4 3 5 2" xfId="19526"/>
    <cellStyle name="20% - Énfasis5 4 3 6" xfId="12807"/>
    <cellStyle name="20% - Énfasis5 4 3 7" xfId="52054"/>
    <cellStyle name="20% - Énfasis5 4 4" xfId="1401"/>
    <cellStyle name="20% - Énfasis5 4 4 2" xfId="4526"/>
    <cellStyle name="20% - Énfasis5 4 4 2 2" xfId="10729"/>
    <cellStyle name="20% - Énfasis5 4 4 2 3" xfId="16931"/>
    <cellStyle name="20% - Énfasis5 4 4 2 4" xfId="55815"/>
    <cellStyle name="20% - Énfasis5 4 4 3" xfId="7629"/>
    <cellStyle name="20% - Énfasis5 4 4 4" xfId="13831"/>
    <cellStyle name="20% - Énfasis5 4 4 5" xfId="52936"/>
    <cellStyle name="20% - Énfasis5 4 5" xfId="2447"/>
    <cellStyle name="20% - Énfasis5 4 5 2" xfId="5571"/>
    <cellStyle name="20% - Énfasis5 4 5 2 2" xfId="11774"/>
    <cellStyle name="20% - Énfasis5 4 5 2 3" xfId="17976"/>
    <cellStyle name="20% - Énfasis5 4 5 2 4" xfId="56804"/>
    <cellStyle name="20% - Énfasis5 4 5 3" xfId="8674"/>
    <cellStyle name="20% - Énfasis5 4 5 4" xfId="14876"/>
    <cellStyle name="20% - Énfasis5 4 5 5" xfId="53909"/>
    <cellStyle name="20% - Énfasis5 4 6" xfId="3499"/>
    <cellStyle name="20% - Énfasis5 4 6 2" xfId="9703"/>
    <cellStyle name="20% - Énfasis5 4 6 3" xfId="15905"/>
    <cellStyle name="20% - Énfasis5 4 6 4" xfId="54876"/>
    <cellStyle name="20% - Énfasis5 4 7" xfId="6602"/>
    <cellStyle name="20% - Énfasis5 4 7 2" xfId="19002"/>
    <cellStyle name="20% - Énfasis5 4 8" xfId="12804"/>
    <cellStyle name="20% - Énfasis5 4 9" xfId="22316"/>
    <cellStyle name="20% - Énfasis5 5" xfId="180"/>
    <cellStyle name="20% - Énfasis5 5 2" xfId="181"/>
    <cellStyle name="20% - Énfasis5 5 2 2" xfId="2052"/>
    <cellStyle name="20% - Énfasis5 5 2 2 2" xfId="5177"/>
    <cellStyle name="20% - Énfasis5 5 2 2 2 2" xfId="11380"/>
    <cellStyle name="20% - Énfasis5 5 2 2 2 3" xfId="17582"/>
    <cellStyle name="20% - Énfasis5 5 2 2 2 4" xfId="56429"/>
    <cellStyle name="20% - Énfasis5 5 2 2 3" xfId="8280"/>
    <cellStyle name="20% - Énfasis5 5 2 2 4" xfId="14482"/>
    <cellStyle name="20% - Énfasis5 5 2 2 5" xfId="53533"/>
    <cellStyle name="20% - Énfasis5 5 2 3" xfId="2452"/>
    <cellStyle name="20% - Énfasis5 5 2 3 2" xfId="5576"/>
    <cellStyle name="20% - Énfasis5 5 2 3 2 2" xfId="11779"/>
    <cellStyle name="20% - Énfasis5 5 2 3 2 3" xfId="17981"/>
    <cellStyle name="20% - Énfasis5 5 2 3 2 4" xfId="56809"/>
    <cellStyle name="20% - Énfasis5 5 2 3 3" xfId="8679"/>
    <cellStyle name="20% - Énfasis5 5 2 3 4" xfId="14881"/>
    <cellStyle name="20% - Énfasis5 5 2 3 5" xfId="53914"/>
    <cellStyle name="20% - Énfasis5 5 2 4" xfId="3504"/>
    <cellStyle name="20% - Énfasis5 5 2 4 2" xfId="9708"/>
    <cellStyle name="20% - Énfasis5 5 2 4 3" xfId="15910"/>
    <cellStyle name="20% - Énfasis5 5 2 4 4" xfId="54881"/>
    <cellStyle name="20% - Énfasis5 5 2 5" xfId="6607"/>
    <cellStyle name="20% - Énfasis5 5 2 5 2" xfId="19653"/>
    <cellStyle name="20% - Énfasis5 5 2 5 3" xfId="52261"/>
    <cellStyle name="20% - Énfasis5 5 2 6" xfId="12809"/>
    <cellStyle name="20% - Énfasis5 5 2 7" xfId="22319"/>
    <cellStyle name="20% - Énfasis5 5 3" xfId="1528"/>
    <cellStyle name="20% - Énfasis5 5 3 2" xfId="4653"/>
    <cellStyle name="20% - Énfasis5 5 3 2 2" xfId="10856"/>
    <cellStyle name="20% - Énfasis5 5 3 2 3" xfId="17058"/>
    <cellStyle name="20% - Énfasis5 5 3 2 4" xfId="55934"/>
    <cellStyle name="20% - Énfasis5 5 3 3" xfId="7756"/>
    <cellStyle name="20% - Énfasis5 5 3 4" xfId="13958"/>
    <cellStyle name="20% - Énfasis5 5 3 5" xfId="53049"/>
    <cellStyle name="20% - Énfasis5 5 4" xfId="2451"/>
    <cellStyle name="20% - Énfasis5 5 4 2" xfId="5575"/>
    <cellStyle name="20% - Énfasis5 5 4 2 2" xfId="11778"/>
    <cellStyle name="20% - Énfasis5 5 4 2 3" xfId="17980"/>
    <cellStyle name="20% - Énfasis5 5 4 2 4" xfId="56808"/>
    <cellStyle name="20% - Énfasis5 5 4 3" xfId="8678"/>
    <cellStyle name="20% - Énfasis5 5 4 4" xfId="14880"/>
    <cellStyle name="20% - Énfasis5 5 4 5" xfId="53913"/>
    <cellStyle name="20% - Énfasis5 5 5" xfId="3503"/>
    <cellStyle name="20% - Énfasis5 5 5 2" xfId="9707"/>
    <cellStyle name="20% - Énfasis5 5 5 3" xfId="15909"/>
    <cellStyle name="20% - Énfasis5 5 5 4" xfId="54880"/>
    <cellStyle name="20% - Énfasis5 5 6" xfId="6606"/>
    <cellStyle name="20% - Énfasis5 5 6 2" xfId="19129"/>
    <cellStyle name="20% - Énfasis5 5 6 3" xfId="52260"/>
    <cellStyle name="20% - Énfasis5 5 7" xfId="12808"/>
    <cellStyle name="20% - Énfasis5 5 8" xfId="22318"/>
    <cellStyle name="20% - Énfasis5 6" xfId="182"/>
    <cellStyle name="20% - Énfasis5 6 2" xfId="1781"/>
    <cellStyle name="20% - Énfasis5 6 2 2" xfId="4906"/>
    <cellStyle name="20% - Énfasis5 6 2 2 2" xfId="11109"/>
    <cellStyle name="20% - Énfasis5 6 2 2 3" xfId="17311"/>
    <cellStyle name="20% - Énfasis5 6 2 2 4" xfId="56175"/>
    <cellStyle name="20% - Énfasis5 6 2 3" xfId="8009"/>
    <cellStyle name="20% - Énfasis5 6 2 4" xfId="14211"/>
    <cellStyle name="20% - Énfasis5 6 2 5" xfId="53282"/>
    <cellStyle name="20% - Énfasis5 6 3" xfId="2453"/>
    <cellStyle name="20% - Énfasis5 6 3 2" xfId="5577"/>
    <cellStyle name="20% - Énfasis5 6 3 2 2" xfId="11780"/>
    <cellStyle name="20% - Énfasis5 6 3 2 3" xfId="17982"/>
    <cellStyle name="20% - Énfasis5 6 3 2 4" xfId="56810"/>
    <cellStyle name="20% - Énfasis5 6 3 3" xfId="8680"/>
    <cellStyle name="20% - Énfasis5 6 3 4" xfId="14882"/>
    <cellStyle name="20% - Énfasis5 6 3 5" xfId="53915"/>
    <cellStyle name="20% - Énfasis5 6 4" xfId="3505"/>
    <cellStyle name="20% - Énfasis5 6 4 2" xfId="9709"/>
    <cellStyle name="20% - Énfasis5 6 4 3" xfId="15911"/>
    <cellStyle name="20% - Énfasis5 6 4 4" xfId="54882"/>
    <cellStyle name="20% - Énfasis5 6 5" xfId="6608"/>
    <cellStyle name="20% - Énfasis5 6 5 2" xfId="19382"/>
    <cellStyle name="20% - Énfasis5 6 5 3" xfId="52262"/>
    <cellStyle name="20% - Énfasis5 6 6" xfId="12810"/>
    <cellStyle name="20% - Énfasis5 6 7" xfId="22320"/>
    <cellStyle name="20% - Énfasis5 7" xfId="1257"/>
    <cellStyle name="20% - Énfasis5 7 2" xfId="4382"/>
    <cellStyle name="20% - Énfasis5 7 2 2" xfId="10585"/>
    <cellStyle name="20% - Énfasis5 7 2 3" xfId="16787"/>
    <cellStyle name="20% - Énfasis5 7 2 4" xfId="55678"/>
    <cellStyle name="20% - Énfasis5 7 3" xfId="7485"/>
    <cellStyle name="20% - Énfasis5 7 3 2" xfId="52809"/>
    <cellStyle name="20% - Énfasis5 7 4" xfId="13687"/>
    <cellStyle name="20% - Énfasis5 7 5" xfId="22321"/>
    <cellStyle name="20% - Énfasis5 8" xfId="18858"/>
    <cellStyle name="20% - Énfasis5 8 10" xfId="22323"/>
    <cellStyle name="20% - Énfasis5 8 10 2" xfId="22324"/>
    <cellStyle name="20% - Énfasis5 8 10 2 2" xfId="22325"/>
    <cellStyle name="20% - Énfasis5 8 10 3" xfId="22326"/>
    <cellStyle name="20% - Énfasis5 8 11" xfId="22327"/>
    <cellStyle name="20% - Énfasis5 8 11 2" xfId="22328"/>
    <cellStyle name="20% - Énfasis5 8 11 2 2" xfId="22329"/>
    <cellStyle name="20% - Énfasis5 8 11 3" xfId="22330"/>
    <cellStyle name="20% - Énfasis5 8 12" xfId="22331"/>
    <cellStyle name="20% - Énfasis5 8 12 2" xfId="22332"/>
    <cellStyle name="20% - Énfasis5 8 13" xfId="22333"/>
    <cellStyle name="20% - Énfasis5 8 13 2" xfId="22334"/>
    <cellStyle name="20% - Énfasis5 8 14" xfId="22335"/>
    <cellStyle name="20% - Énfasis5 8 15" xfId="22336"/>
    <cellStyle name="20% - Énfasis5 8 16" xfId="22322"/>
    <cellStyle name="20% - Énfasis5 8 2" xfId="22337"/>
    <cellStyle name="20% - Énfasis5 8 2 10" xfId="22338"/>
    <cellStyle name="20% - Énfasis5 8 2 10 2" xfId="22339"/>
    <cellStyle name="20% - Énfasis5 8 2 10 2 2" xfId="22340"/>
    <cellStyle name="20% - Énfasis5 8 2 10 3" xfId="22341"/>
    <cellStyle name="20% - Énfasis5 8 2 11" xfId="22342"/>
    <cellStyle name="20% - Énfasis5 8 2 11 2" xfId="22343"/>
    <cellStyle name="20% - Énfasis5 8 2 12" xfId="22344"/>
    <cellStyle name="20% - Énfasis5 8 2 12 2" xfId="22345"/>
    <cellStyle name="20% - Énfasis5 8 2 13" xfId="22346"/>
    <cellStyle name="20% - Énfasis5 8 2 14" xfId="22347"/>
    <cellStyle name="20% - Énfasis5 8 2 2" xfId="22348"/>
    <cellStyle name="20% - Énfasis5 8 2 2 2" xfId="22349"/>
    <cellStyle name="20% - Énfasis5 8 2 2 2 2" xfId="22350"/>
    <cellStyle name="20% - Énfasis5 8 2 2 2 2 2" xfId="22351"/>
    <cellStyle name="20% - Énfasis5 8 2 2 2 2 2 2" xfId="22352"/>
    <cellStyle name="20% - Énfasis5 8 2 2 2 2 2 2 2" xfId="22353"/>
    <cellStyle name="20% - Énfasis5 8 2 2 2 2 2 3" xfId="22354"/>
    <cellStyle name="20% - Énfasis5 8 2 2 2 2 2 3 2" xfId="22355"/>
    <cellStyle name="20% - Énfasis5 8 2 2 2 2 2 4" xfId="22356"/>
    <cellStyle name="20% - Énfasis5 8 2 2 2 2 3" xfId="22357"/>
    <cellStyle name="20% - Énfasis5 8 2 2 2 2 4" xfId="22358"/>
    <cellStyle name="20% - Énfasis5 8 2 2 2 2 4 2" xfId="22359"/>
    <cellStyle name="20% - Énfasis5 8 2 2 2 2 5" xfId="22360"/>
    <cellStyle name="20% - Énfasis5 8 2 2 2 2_IAS" xfId="22361"/>
    <cellStyle name="20% - Énfasis5 8 2 2 2 3" xfId="22362"/>
    <cellStyle name="20% - Énfasis5 8 2 2 2 3 2" xfId="22363"/>
    <cellStyle name="20% - Énfasis5 8 2 2 2 3 2 2" xfId="22364"/>
    <cellStyle name="20% - Énfasis5 8 2 2 2 3 3" xfId="22365"/>
    <cellStyle name="20% - Énfasis5 8 2 2 2 3 3 2" xfId="22366"/>
    <cellStyle name="20% - Énfasis5 8 2 2 2 3 4" xfId="22367"/>
    <cellStyle name="20% - Énfasis5 8 2 2 2 4" xfId="22368"/>
    <cellStyle name="20% - Énfasis5 8 2 2 2 5" xfId="22369"/>
    <cellStyle name="20% - Énfasis5 8 2 2 2 5 2" xfId="22370"/>
    <cellStyle name="20% - Énfasis5 8 2 2 2 6" xfId="22371"/>
    <cellStyle name="20% - Énfasis5 8 2 2 2_IAS" xfId="22372"/>
    <cellStyle name="20% - Énfasis5 8 2 2 3" xfId="22373"/>
    <cellStyle name="20% - Énfasis5 8 2 2 3 2" xfId="22374"/>
    <cellStyle name="20% - Énfasis5 8 2 2 3 2 2" xfId="22375"/>
    <cellStyle name="20% - Énfasis5 8 2 2 3 2 2 2" xfId="22376"/>
    <cellStyle name="20% - Énfasis5 8 2 2 3 2 3" xfId="22377"/>
    <cellStyle name="20% - Énfasis5 8 2 2 3 2 3 2" xfId="22378"/>
    <cellStyle name="20% - Énfasis5 8 2 2 3 2 4" xfId="22379"/>
    <cellStyle name="20% - Énfasis5 8 2 2 3 3" xfId="22380"/>
    <cellStyle name="20% - Énfasis5 8 2 2 3 4" xfId="22381"/>
    <cellStyle name="20% - Énfasis5 8 2 2 3 4 2" xfId="22382"/>
    <cellStyle name="20% - Énfasis5 8 2 2 3 5" xfId="22383"/>
    <cellStyle name="20% - Énfasis5 8 2 2 3_IAS" xfId="22384"/>
    <cellStyle name="20% - Énfasis5 8 2 2 4" xfId="22385"/>
    <cellStyle name="20% - Énfasis5 8 2 2 4 2" xfId="22386"/>
    <cellStyle name="20% - Énfasis5 8 2 2 4 2 2" xfId="22387"/>
    <cellStyle name="20% - Énfasis5 8 2 2 4 3" xfId="22388"/>
    <cellStyle name="20% - Énfasis5 8 2 2 4 3 2" xfId="22389"/>
    <cellStyle name="20% - Énfasis5 8 2 2 4 4" xfId="22390"/>
    <cellStyle name="20% - Énfasis5 8 2 2 5" xfId="22391"/>
    <cellStyle name="20% - Énfasis5 8 2 2 6" xfId="22392"/>
    <cellStyle name="20% - Énfasis5 8 2 2 6 2" xfId="22393"/>
    <cellStyle name="20% - Énfasis5 8 2 2 7" xfId="22394"/>
    <cellStyle name="20% - Énfasis5 8 2 2_IAS" xfId="22395"/>
    <cellStyle name="20% - Énfasis5 8 2 3" xfId="22396"/>
    <cellStyle name="20% - Énfasis5 8 2 3 2" xfId="22397"/>
    <cellStyle name="20% - Énfasis5 8 2 3 2 2" xfId="22398"/>
    <cellStyle name="20% - Énfasis5 8 2 3 2 2 2" xfId="22399"/>
    <cellStyle name="20% - Énfasis5 8 2 3 2 2 2 2" xfId="22400"/>
    <cellStyle name="20% - Énfasis5 8 2 3 2 2 2 2 2" xfId="22401"/>
    <cellStyle name="20% - Énfasis5 8 2 3 2 2 2 3" xfId="22402"/>
    <cellStyle name="20% - Énfasis5 8 2 3 2 2 2 3 2" xfId="22403"/>
    <cellStyle name="20% - Énfasis5 8 2 3 2 2 2 4" xfId="22404"/>
    <cellStyle name="20% - Énfasis5 8 2 3 2 2 3" xfId="22405"/>
    <cellStyle name="20% - Énfasis5 8 2 3 2 2 4" xfId="22406"/>
    <cellStyle name="20% - Énfasis5 8 2 3 2 2 4 2" xfId="22407"/>
    <cellStyle name="20% - Énfasis5 8 2 3 2 2 5" xfId="22408"/>
    <cellStyle name="20% - Énfasis5 8 2 3 2 2_IAS" xfId="22409"/>
    <cellStyle name="20% - Énfasis5 8 2 3 2 3" xfId="22410"/>
    <cellStyle name="20% - Énfasis5 8 2 3 2 3 2" xfId="22411"/>
    <cellStyle name="20% - Énfasis5 8 2 3 2 3 2 2" xfId="22412"/>
    <cellStyle name="20% - Énfasis5 8 2 3 2 3 3" xfId="22413"/>
    <cellStyle name="20% - Énfasis5 8 2 3 2 3 3 2" xfId="22414"/>
    <cellStyle name="20% - Énfasis5 8 2 3 2 3 4" xfId="22415"/>
    <cellStyle name="20% - Énfasis5 8 2 3 2 4" xfId="22416"/>
    <cellStyle name="20% - Énfasis5 8 2 3 2 5" xfId="22417"/>
    <cellStyle name="20% - Énfasis5 8 2 3 2 5 2" xfId="22418"/>
    <cellStyle name="20% - Énfasis5 8 2 3 2 6" xfId="22419"/>
    <cellStyle name="20% - Énfasis5 8 2 3 2_IAS" xfId="22420"/>
    <cellStyle name="20% - Énfasis5 8 2 3 3" xfId="22421"/>
    <cellStyle name="20% - Énfasis5 8 2 3 3 2" xfId="22422"/>
    <cellStyle name="20% - Énfasis5 8 2 3 3 2 2" xfId="22423"/>
    <cellStyle name="20% - Énfasis5 8 2 3 3 2 2 2" xfId="22424"/>
    <cellStyle name="20% - Énfasis5 8 2 3 3 2 3" xfId="22425"/>
    <cellStyle name="20% - Énfasis5 8 2 3 3 2 3 2" xfId="22426"/>
    <cellStyle name="20% - Énfasis5 8 2 3 3 2 4" xfId="22427"/>
    <cellStyle name="20% - Énfasis5 8 2 3 3 3" xfId="22428"/>
    <cellStyle name="20% - Énfasis5 8 2 3 3 4" xfId="22429"/>
    <cellStyle name="20% - Énfasis5 8 2 3 3 4 2" xfId="22430"/>
    <cellStyle name="20% - Énfasis5 8 2 3 3 5" xfId="22431"/>
    <cellStyle name="20% - Énfasis5 8 2 3 3_IAS" xfId="22432"/>
    <cellStyle name="20% - Énfasis5 8 2 3 4" xfId="22433"/>
    <cellStyle name="20% - Énfasis5 8 2 3 4 2" xfId="22434"/>
    <cellStyle name="20% - Énfasis5 8 2 3 4 2 2" xfId="22435"/>
    <cellStyle name="20% - Énfasis5 8 2 3 4 3" xfId="22436"/>
    <cellStyle name="20% - Énfasis5 8 2 3 4 3 2" xfId="22437"/>
    <cellStyle name="20% - Énfasis5 8 2 3 4 4" xfId="22438"/>
    <cellStyle name="20% - Énfasis5 8 2 3 5" xfId="22439"/>
    <cellStyle name="20% - Énfasis5 8 2 3 6" xfId="22440"/>
    <cellStyle name="20% - Énfasis5 8 2 3 6 2" xfId="22441"/>
    <cellStyle name="20% - Énfasis5 8 2 3 7" xfId="22442"/>
    <cellStyle name="20% - Énfasis5 8 2 3_IAS" xfId="22443"/>
    <cellStyle name="20% - Énfasis5 8 2 4" xfId="22444"/>
    <cellStyle name="20% - Énfasis5 8 2 5" xfId="22445"/>
    <cellStyle name="20% - Énfasis5 8 2 5 2" xfId="22446"/>
    <cellStyle name="20% - Énfasis5 8 2 5 2 2" xfId="22447"/>
    <cellStyle name="20% - Énfasis5 8 2 5 2 2 2" xfId="22448"/>
    <cellStyle name="20% - Énfasis5 8 2 5 2 2 2 2" xfId="22449"/>
    <cellStyle name="20% - Énfasis5 8 2 5 2 2 3" xfId="22450"/>
    <cellStyle name="20% - Énfasis5 8 2 5 2 2 3 2" xfId="22451"/>
    <cellStyle name="20% - Énfasis5 8 2 5 2 2 4" xfId="22452"/>
    <cellStyle name="20% - Énfasis5 8 2 5 2 3" xfId="22453"/>
    <cellStyle name="20% - Énfasis5 8 2 5 2 4" xfId="22454"/>
    <cellStyle name="20% - Énfasis5 8 2 5 2 4 2" xfId="22455"/>
    <cellStyle name="20% - Énfasis5 8 2 5 2 5" xfId="22456"/>
    <cellStyle name="20% - Énfasis5 8 2 5 2_IAS" xfId="22457"/>
    <cellStyle name="20% - Énfasis5 8 2 5 3" xfId="22458"/>
    <cellStyle name="20% - Énfasis5 8 2 5 3 2" xfId="22459"/>
    <cellStyle name="20% - Énfasis5 8 2 5 3 2 2" xfId="22460"/>
    <cellStyle name="20% - Énfasis5 8 2 5 3 3" xfId="22461"/>
    <cellStyle name="20% - Énfasis5 8 2 5 3 3 2" xfId="22462"/>
    <cellStyle name="20% - Énfasis5 8 2 5 3 4" xfId="22463"/>
    <cellStyle name="20% - Énfasis5 8 2 5 4" xfId="22464"/>
    <cellStyle name="20% - Énfasis5 8 2 5 5" xfId="22465"/>
    <cellStyle name="20% - Énfasis5 8 2 5 5 2" xfId="22466"/>
    <cellStyle name="20% - Énfasis5 8 2 5 6" xfId="22467"/>
    <cellStyle name="20% - Énfasis5 8 2 5_IAS" xfId="22468"/>
    <cellStyle name="20% - Énfasis5 8 2 6" xfId="22469"/>
    <cellStyle name="20% - Énfasis5 8 2 6 2" xfId="22470"/>
    <cellStyle name="20% - Énfasis5 8 2 6 2 2" xfId="22471"/>
    <cellStyle name="20% - Énfasis5 8 2 6 2 2 2" xfId="22472"/>
    <cellStyle name="20% - Énfasis5 8 2 6 2 3" xfId="22473"/>
    <cellStyle name="20% - Énfasis5 8 2 6 2 3 2" xfId="22474"/>
    <cellStyle name="20% - Énfasis5 8 2 6 2 4" xfId="22475"/>
    <cellStyle name="20% - Énfasis5 8 2 6 3" xfId="22476"/>
    <cellStyle name="20% - Énfasis5 8 2 6 4" xfId="22477"/>
    <cellStyle name="20% - Énfasis5 8 2 6 4 2" xfId="22478"/>
    <cellStyle name="20% - Énfasis5 8 2 6 5" xfId="22479"/>
    <cellStyle name="20% - Énfasis5 8 2 6_IAS" xfId="22480"/>
    <cellStyle name="20% - Énfasis5 8 2 7" xfId="22481"/>
    <cellStyle name="20% - Énfasis5 8 2 7 2" xfId="22482"/>
    <cellStyle name="20% - Énfasis5 8 2 7 2 2" xfId="22483"/>
    <cellStyle name="20% - Énfasis5 8 2 7 3" xfId="22484"/>
    <cellStyle name="20% - Énfasis5 8 2 7 3 2" xfId="22485"/>
    <cellStyle name="20% - Énfasis5 8 2 7 4" xfId="22486"/>
    <cellStyle name="20% - Énfasis5 8 2 8" xfId="22487"/>
    <cellStyle name="20% - Énfasis5 8 2 8 2" xfId="22488"/>
    <cellStyle name="20% - Énfasis5 8 2 8 2 2" xfId="22489"/>
    <cellStyle name="20% - Énfasis5 8 2 8 3" xfId="22490"/>
    <cellStyle name="20% - Énfasis5 8 2 9" xfId="22491"/>
    <cellStyle name="20% - Énfasis5 8 2 9 2" xfId="22492"/>
    <cellStyle name="20% - Énfasis5 8 2 9 2 2" xfId="22493"/>
    <cellStyle name="20% - Énfasis5 8 2 9 3" xfId="22494"/>
    <cellStyle name="20% - Énfasis5 8 2_IAS" xfId="22495"/>
    <cellStyle name="20% - Énfasis5 8 3" xfId="22496"/>
    <cellStyle name="20% - Énfasis5 8 3 2" xfId="22497"/>
    <cellStyle name="20% - Énfasis5 8 3 2 2" xfId="22498"/>
    <cellStyle name="20% - Énfasis5 8 3 2 2 2" xfId="22499"/>
    <cellStyle name="20% - Énfasis5 8 3 2 2 2 2" xfId="22500"/>
    <cellStyle name="20% - Énfasis5 8 3 2 2 2 2 2" xfId="22501"/>
    <cellStyle name="20% - Énfasis5 8 3 2 2 2 3" xfId="22502"/>
    <cellStyle name="20% - Énfasis5 8 3 2 2 2 3 2" xfId="22503"/>
    <cellStyle name="20% - Énfasis5 8 3 2 2 2 4" xfId="22504"/>
    <cellStyle name="20% - Énfasis5 8 3 2 2 3" xfId="22505"/>
    <cellStyle name="20% - Énfasis5 8 3 2 2 4" xfId="22506"/>
    <cellStyle name="20% - Énfasis5 8 3 2 2 4 2" xfId="22507"/>
    <cellStyle name="20% - Énfasis5 8 3 2 2 5" xfId="22508"/>
    <cellStyle name="20% - Énfasis5 8 3 2 2_IAS" xfId="22509"/>
    <cellStyle name="20% - Énfasis5 8 3 2 3" xfId="22510"/>
    <cellStyle name="20% - Énfasis5 8 3 2 3 2" xfId="22511"/>
    <cellStyle name="20% - Énfasis5 8 3 2 3 2 2" xfId="22512"/>
    <cellStyle name="20% - Énfasis5 8 3 2 3 3" xfId="22513"/>
    <cellStyle name="20% - Énfasis5 8 3 2 3 3 2" xfId="22514"/>
    <cellStyle name="20% - Énfasis5 8 3 2 3 4" xfId="22515"/>
    <cellStyle name="20% - Énfasis5 8 3 2 4" xfId="22516"/>
    <cellStyle name="20% - Énfasis5 8 3 2 5" xfId="22517"/>
    <cellStyle name="20% - Énfasis5 8 3 2 5 2" xfId="22518"/>
    <cellStyle name="20% - Énfasis5 8 3 2 6" xfId="22519"/>
    <cellStyle name="20% - Énfasis5 8 3 2_IAS" xfId="22520"/>
    <cellStyle name="20% - Énfasis5 8 3 3" xfId="22521"/>
    <cellStyle name="20% - Énfasis5 8 3 3 2" xfId="22522"/>
    <cellStyle name="20% - Énfasis5 8 3 3 2 2" xfId="22523"/>
    <cellStyle name="20% - Énfasis5 8 3 3 2 2 2" xfId="22524"/>
    <cellStyle name="20% - Énfasis5 8 3 3 2 3" xfId="22525"/>
    <cellStyle name="20% - Énfasis5 8 3 3 2 3 2" xfId="22526"/>
    <cellStyle name="20% - Énfasis5 8 3 3 2 4" xfId="22527"/>
    <cellStyle name="20% - Énfasis5 8 3 3 3" xfId="22528"/>
    <cellStyle name="20% - Énfasis5 8 3 3 4" xfId="22529"/>
    <cellStyle name="20% - Énfasis5 8 3 3 4 2" xfId="22530"/>
    <cellStyle name="20% - Énfasis5 8 3 3 5" xfId="22531"/>
    <cellStyle name="20% - Énfasis5 8 3 3_IAS" xfId="22532"/>
    <cellStyle name="20% - Énfasis5 8 3 4" xfId="22533"/>
    <cellStyle name="20% - Énfasis5 8 3 4 2" xfId="22534"/>
    <cellStyle name="20% - Énfasis5 8 3 4 2 2" xfId="22535"/>
    <cellStyle name="20% - Énfasis5 8 3 4 3" xfId="22536"/>
    <cellStyle name="20% - Énfasis5 8 3 4 3 2" xfId="22537"/>
    <cellStyle name="20% - Énfasis5 8 3 4 4" xfId="22538"/>
    <cellStyle name="20% - Énfasis5 8 3 5" xfId="22539"/>
    <cellStyle name="20% - Énfasis5 8 3 6" xfId="22540"/>
    <cellStyle name="20% - Énfasis5 8 3 6 2" xfId="22541"/>
    <cellStyle name="20% - Énfasis5 8 3 7" xfId="22542"/>
    <cellStyle name="20% - Énfasis5 8 3_IAS" xfId="22543"/>
    <cellStyle name="20% - Énfasis5 8 4" xfId="22544"/>
    <cellStyle name="20% - Énfasis5 8 4 2" xfId="22545"/>
    <cellStyle name="20% - Énfasis5 8 4 2 2" xfId="22546"/>
    <cellStyle name="20% - Énfasis5 8 4 2 2 2" xfId="22547"/>
    <cellStyle name="20% - Énfasis5 8 4 2 2 2 2" xfId="22548"/>
    <cellStyle name="20% - Énfasis5 8 4 2 2 2 2 2" xfId="22549"/>
    <cellStyle name="20% - Énfasis5 8 4 2 2 2 3" xfId="22550"/>
    <cellStyle name="20% - Énfasis5 8 4 2 2 2 3 2" xfId="22551"/>
    <cellStyle name="20% - Énfasis5 8 4 2 2 2 4" xfId="22552"/>
    <cellStyle name="20% - Énfasis5 8 4 2 2 3" xfId="22553"/>
    <cellStyle name="20% - Énfasis5 8 4 2 2 4" xfId="22554"/>
    <cellStyle name="20% - Énfasis5 8 4 2 2 4 2" xfId="22555"/>
    <cellStyle name="20% - Énfasis5 8 4 2 2 5" xfId="22556"/>
    <cellStyle name="20% - Énfasis5 8 4 2 2_IAS" xfId="22557"/>
    <cellStyle name="20% - Énfasis5 8 4 2 3" xfId="22558"/>
    <cellStyle name="20% - Énfasis5 8 4 2 3 2" xfId="22559"/>
    <cellStyle name="20% - Énfasis5 8 4 2 3 2 2" xfId="22560"/>
    <cellStyle name="20% - Énfasis5 8 4 2 3 3" xfId="22561"/>
    <cellStyle name="20% - Énfasis5 8 4 2 3 3 2" xfId="22562"/>
    <cellStyle name="20% - Énfasis5 8 4 2 3 4" xfId="22563"/>
    <cellStyle name="20% - Énfasis5 8 4 2 4" xfId="22564"/>
    <cellStyle name="20% - Énfasis5 8 4 2 5" xfId="22565"/>
    <cellStyle name="20% - Énfasis5 8 4 2 5 2" xfId="22566"/>
    <cellStyle name="20% - Énfasis5 8 4 2 6" xfId="22567"/>
    <cellStyle name="20% - Énfasis5 8 4 2_IAS" xfId="22568"/>
    <cellStyle name="20% - Énfasis5 8 4 3" xfId="22569"/>
    <cellStyle name="20% - Énfasis5 8 4 3 2" xfId="22570"/>
    <cellStyle name="20% - Énfasis5 8 4 3 2 2" xfId="22571"/>
    <cellStyle name="20% - Énfasis5 8 4 3 2 2 2" xfId="22572"/>
    <cellStyle name="20% - Énfasis5 8 4 3 2 3" xfId="22573"/>
    <cellStyle name="20% - Énfasis5 8 4 3 2 3 2" xfId="22574"/>
    <cellStyle name="20% - Énfasis5 8 4 3 2 4" xfId="22575"/>
    <cellStyle name="20% - Énfasis5 8 4 3 3" xfId="22576"/>
    <cellStyle name="20% - Énfasis5 8 4 3 4" xfId="22577"/>
    <cellStyle name="20% - Énfasis5 8 4 3 4 2" xfId="22578"/>
    <cellStyle name="20% - Énfasis5 8 4 3 5" xfId="22579"/>
    <cellStyle name="20% - Énfasis5 8 4 3_IAS" xfId="22580"/>
    <cellStyle name="20% - Énfasis5 8 4 4" xfId="22581"/>
    <cellStyle name="20% - Énfasis5 8 4 4 2" xfId="22582"/>
    <cellStyle name="20% - Énfasis5 8 4 4 2 2" xfId="22583"/>
    <cellStyle name="20% - Énfasis5 8 4 4 3" xfId="22584"/>
    <cellStyle name="20% - Énfasis5 8 4 4 3 2" xfId="22585"/>
    <cellStyle name="20% - Énfasis5 8 4 4 4" xfId="22586"/>
    <cellStyle name="20% - Énfasis5 8 4 5" xfId="22587"/>
    <cellStyle name="20% - Énfasis5 8 4 6" xfId="22588"/>
    <cellStyle name="20% - Énfasis5 8 4 6 2" xfId="22589"/>
    <cellStyle name="20% - Énfasis5 8 4 7" xfId="22590"/>
    <cellStyle name="20% - Énfasis5 8 4_IAS" xfId="22591"/>
    <cellStyle name="20% - Énfasis5 8 5" xfId="22592"/>
    <cellStyle name="20% - Énfasis5 8 6" xfId="22593"/>
    <cellStyle name="20% - Énfasis5 8 6 2" xfId="22594"/>
    <cellStyle name="20% - Énfasis5 8 6 2 2" xfId="22595"/>
    <cellStyle name="20% - Énfasis5 8 6 2 2 2" xfId="22596"/>
    <cellStyle name="20% - Énfasis5 8 6 2 2 2 2" xfId="22597"/>
    <cellStyle name="20% - Énfasis5 8 6 2 2 3" xfId="22598"/>
    <cellStyle name="20% - Énfasis5 8 6 2 2 3 2" xfId="22599"/>
    <cellStyle name="20% - Énfasis5 8 6 2 2 4" xfId="22600"/>
    <cellStyle name="20% - Énfasis5 8 6 2 3" xfId="22601"/>
    <cellStyle name="20% - Énfasis5 8 6 2 4" xfId="22602"/>
    <cellStyle name="20% - Énfasis5 8 6 2 4 2" xfId="22603"/>
    <cellStyle name="20% - Énfasis5 8 6 2 5" xfId="22604"/>
    <cellStyle name="20% - Énfasis5 8 6 2_IAS" xfId="22605"/>
    <cellStyle name="20% - Énfasis5 8 6 3" xfId="22606"/>
    <cellStyle name="20% - Énfasis5 8 6 3 2" xfId="22607"/>
    <cellStyle name="20% - Énfasis5 8 6 3 2 2" xfId="22608"/>
    <cellStyle name="20% - Énfasis5 8 6 3 3" xfId="22609"/>
    <cellStyle name="20% - Énfasis5 8 6 3 3 2" xfId="22610"/>
    <cellStyle name="20% - Énfasis5 8 6 3 4" xfId="22611"/>
    <cellStyle name="20% - Énfasis5 8 6 4" xfId="22612"/>
    <cellStyle name="20% - Énfasis5 8 6 5" xfId="22613"/>
    <cellStyle name="20% - Énfasis5 8 6 5 2" xfId="22614"/>
    <cellStyle name="20% - Énfasis5 8 6 6" xfId="22615"/>
    <cellStyle name="20% - Énfasis5 8 6_IAS" xfId="22616"/>
    <cellStyle name="20% - Énfasis5 8 7" xfId="22617"/>
    <cellStyle name="20% - Énfasis5 8 7 2" xfId="22618"/>
    <cellStyle name="20% - Énfasis5 8 7 2 2" xfId="22619"/>
    <cellStyle name="20% - Énfasis5 8 7 2 2 2" xfId="22620"/>
    <cellStyle name="20% - Énfasis5 8 7 2 3" xfId="22621"/>
    <cellStyle name="20% - Énfasis5 8 7 2 3 2" xfId="22622"/>
    <cellStyle name="20% - Énfasis5 8 7 2 4" xfId="22623"/>
    <cellStyle name="20% - Énfasis5 8 7 3" xfId="22624"/>
    <cellStyle name="20% - Énfasis5 8 7 4" xfId="22625"/>
    <cellStyle name="20% - Énfasis5 8 7 4 2" xfId="22626"/>
    <cellStyle name="20% - Énfasis5 8 7 5" xfId="22627"/>
    <cellStyle name="20% - Énfasis5 8 7_IAS" xfId="22628"/>
    <cellStyle name="20% - Énfasis5 8 8" xfId="22629"/>
    <cellStyle name="20% - Énfasis5 8 8 2" xfId="22630"/>
    <cellStyle name="20% - Énfasis5 8 8 2 2" xfId="22631"/>
    <cellStyle name="20% - Énfasis5 8 8 3" xfId="22632"/>
    <cellStyle name="20% - Énfasis5 8 8 3 2" xfId="22633"/>
    <cellStyle name="20% - Énfasis5 8 8 4" xfId="22634"/>
    <cellStyle name="20% - Énfasis5 8 9" xfId="22635"/>
    <cellStyle name="20% - Énfasis5 8 9 2" xfId="22636"/>
    <cellStyle name="20% - Énfasis5 8 9 2 2" xfId="22637"/>
    <cellStyle name="20% - Énfasis5 8 9 3" xfId="22638"/>
    <cellStyle name="20% - Énfasis5 8_AGF" xfId="22639"/>
    <cellStyle name="20% - Énfasis5 9" xfId="22640"/>
    <cellStyle name="20% - Énfasis5 9 10" xfId="22641"/>
    <cellStyle name="20% - Énfasis5 9 10 2" xfId="22642"/>
    <cellStyle name="20% - Énfasis5 9 10 2 2" xfId="22643"/>
    <cellStyle name="20% - Énfasis5 9 10 3" xfId="22644"/>
    <cellStyle name="20% - Énfasis5 9 11" xfId="22645"/>
    <cellStyle name="20% - Énfasis5 9 11 2" xfId="22646"/>
    <cellStyle name="20% - Énfasis5 9 12" xfId="22647"/>
    <cellStyle name="20% - Énfasis5 9 12 2" xfId="22648"/>
    <cellStyle name="20% - Énfasis5 9 13" xfId="22649"/>
    <cellStyle name="20% - Énfasis5 9 14" xfId="22650"/>
    <cellStyle name="20% - Énfasis5 9 2" xfId="22651"/>
    <cellStyle name="20% - Énfasis5 9 2 2" xfId="22652"/>
    <cellStyle name="20% - Énfasis5 9 2 2 2" xfId="22653"/>
    <cellStyle name="20% - Énfasis5 9 2 2 2 2" xfId="22654"/>
    <cellStyle name="20% - Énfasis5 9 2 2 2 2 2" xfId="22655"/>
    <cellStyle name="20% - Énfasis5 9 2 2 2 2 2 2" xfId="22656"/>
    <cellStyle name="20% - Énfasis5 9 2 2 2 2 3" xfId="22657"/>
    <cellStyle name="20% - Énfasis5 9 2 2 2 2 3 2" xfId="22658"/>
    <cellStyle name="20% - Énfasis5 9 2 2 2 2 4" xfId="22659"/>
    <cellStyle name="20% - Énfasis5 9 2 2 2 3" xfId="22660"/>
    <cellStyle name="20% - Énfasis5 9 2 2 2 4" xfId="22661"/>
    <cellStyle name="20% - Énfasis5 9 2 2 2 4 2" xfId="22662"/>
    <cellStyle name="20% - Énfasis5 9 2 2 2 5" xfId="22663"/>
    <cellStyle name="20% - Énfasis5 9 2 2 2_IAS" xfId="22664"/>
    <cellStyle name="20% - Énfasis5 9 2 2 3" xfId="22665"/>
    <cellStyle name="20% - Énfasis5 9 2 2 3 2" xfId="22666"/>
    <cellStyle name="20% - Énfasis5 9 2 2 3 2 2" xfId="22667"/>
    <cellStyle name="20% - Énfasis5 9 2 2 3 3" xfId="22668"/>
    <cellStyle name="20% - Énfasis5 9 2 2 3 3 2" xfId="22669"/>
    <cellStyle name="20% - Énfasis5 9 2 2 3 4" xfId="22670"/>
    <cellStyle name="20% - Énfasis5 9 2 2 4" xfId="22671"/>
    <cellStyle name="20% - Énfasis5 9 2 2 5" xfId="22672"/>
    <cellStyle name="20% - Énfasis5 9 2 2 5 2" xfId="22673"/>
    <cellStyle name="20% - Énfasis5 9 2 2 6" xfId="22674"/>
    <cellStyle name="20% - Énfasis5 9 2 2_IAS" xfId="22675"/>
    <cellStyle name="20% - Énfasis5 9 2 3" xfId="22676"/>
    <cellStyle name="20% - Énfasis5 9 2 3 2" xfId="22677"/>
    <cellStyle name="20% - Énfasis5 9 2 3 2 2" xfId="22678"/>
    <cellStyle name="20% - Énfasis5 9 2 3 2 2 2" xfId="22679"/>
    <cellStyle name="20% - Énfasis5 9 2 3 2 3" xfId="22680"/>
    <cellStyle name="20% - Énfasis5 9 2 3 2 3 2" xfId="22681"/>
    <cellStyle name="20% - Énfasis5 9 2 3 2 4" xfId="22682"/>
    <cellStyle name="20% - Énfasis5 9 2 3 3" xfId="22683"/>
    <cellStyle name="20% - Énfasis5 9 2 3 4" xfId="22684"/>
    <cellStyle name="20% - Énfasis5 9 2 3 4 2" xfId="22685"/>
    <cellStyle name="20% - Énfasis5 9 2 3 5" xfId="22686"/>
    <cellStyle name="20% - Énfasis5 9 2 3_IAS" xfId="22687"/>
    <cellStyle name="20% - Énfasis5 9 2 4" xfId="22688"/>
    <cellStyle name="20% - Énfasis5 9 2 4 2" xfId="22689"/>
    <cellStyle name="20% - Énfasis5 9 2 4 2 2" xfId="22690"/>
    <cellStyle name="20% - Énfasis5 9 2 4 3" xfId="22691"/>
    <cellStyle name="20% - Énfasis5 9 2 4 3 2" xfId="22692"/>
    <cellStyle name="20% - Énfasis5 9 2 4 4" xfId="22693"/>
    <cellStyle name="20% - Énfasis5 9 2 5" xfId="22694"/>
    <cellStyle name="20% - Énfasis5 9 2 6" xfId="22695"/>
    <cellStyle name="20% - Énfasis5 9 2 6 2" xfId="22696"/>
    <cellStyle name="20% - Énfasis5 9 2 7" xfId="22697"/>
    <cellStyle name="20% - Énfasis5 9 2_IAS" xfId="22698"/>
    <cellStyle name="20% - Énfasis5 9 3" xfId="22699"/>
    <cellStyle name="20% - Énfasis5 9 3 2" xfId="22700"/>
    <cellStyle name="20% - Énfasis5 9 3 2 2" xfId="22701"/>
    <cellStyle name="20% - Énfasis5 9 3 2 2 2" xfId="22702"/>
    <cellStyle name="20% - Énfasis5 9 3 2 2 2 2" xfId="22703"/>
    <cellStyle name="20% - Énfasis5 9 3 2 2 2 2 2" xfId="22704"/>
    <cellStyle name="20% - Énfasis5 9 3 2 2 2 3" xfId="22705"/>
    <cellStyle name="20% - Énfasis5 9 3 2 2 2 3 2" xfId="22706"/>
    <cellStyle name="20% - Énfasis5 9 3 2 2 2 4" xfId="22707"/>
    <cellStyle name="20% - Énfasis5 9 3 2 2 3" xfId="22708"/>
    <cellStyle name="20% - Énfasis5 9 3 2 2 4" xfId="22709"/>
    <cellStyle name="20% - Énfasis5 9 3 2 2 4 2" xfId="22710"/>
    <cellStyle name="20% - Énfasis5 9 3 2 2 5" xfId="22711"/>
    <cellStyle name="20% - Énfasis5 9 3 2 2_IAS" xfId="22712"/>
    <cellStyle name="20% - Énfasis5 9 3 2 3" xfId="22713"/>
    <cellStyle name="20% - Énfasis5 9 3 2 3 2" xfId="22714"/>
    <cellStyle name="20% - Énfasis5 9 3 2 3 2 2" xfId="22715"/>
    <cellStyle name="20% - Énfasis5 9 3 2 3 3" xfId="22716"/>
    <cellStyle name="20% - Énfasis5 9 3 2 3 3 2" xfId="22717"/>
    <cellStyle name="20% - Énfasis5 9 3 2 3 4" xfId="22718"/>
    <cellStyle name="20% - Énfasis5 9 3 2 4" xfId="22719"/>
    <cellStyle name="20% - Énfasis5 9 3 2 5" xfId="22720"/>
    <cellStyle name="20% - Énfasis5 9 3 2 5 2" xfId="22721"/>
    <cellStyle name="20% - Énfasis5 9 3 2 6" xfId="22722"/>
    <cellStyle name="20% - Énfasis5 9 3 2_IAS" xfId="22723"/>
    <cellStyle name="20% - Énfasis5 9 3 3" xfId="22724"/>
    <cellStyle name="20% - Énfasis5 9 3 3 2" xfId="22725"/>
    <cellStyle name="20% - Énfasis5 9 3 3 2 2" xfId="22726"/>
    <cellStyle name="20% - Énfasis5 9 3 3 2 2 2" xfId="22727"/>
    <cellStyle name="20% - Énfasis5 9 3 3 2 3" xfId="22728"/>
    <cellStyle name="20% - Énfasis5 9 3 3 2 3 2" xfId="22729"/>
    <cellStyle name="20% - Énfasis5 9 3 3 2 4" xfId="22730"/>
    <cellStyle name="20% - Énfasis5 9 3 3 3" xfId="22731"/>
    <cellStyle name="20% - Énfasis5 9 3 3 4" xfId="22732"/>
    <cellStyle name="20% - Énfasis5 9 3 3 4 2" xfId="22733"/>
    <cellStyle name="20% - Énfasis5 9 3 3 5" xfId="22734"/>
    <cellStyle name="20% - Énfasis5 9 3 3_IAS" xfId="22735"/>
    <cellStyle name="20% - Énfasis5 9 3 4" xfId="22736"/>
    <cellStyle name="20% - Énfasis5 9 3 4 2" xfId="22737"/>
    <cellStyle name="20% - Énfasis5 9 3 4 2 2" xfId="22738"/>
    <cellStyle name="20% - Énfasis5 9 3 4 3" xfId="22739"/>
    <cellStyle name="20% - Énfasis5 9 3 4 3 2" xfId="22740"/>
    <cellStyle name="20% - Énfasis5 9 3 4 4" xfId="22741"/>
    <cellStyle name="20% - Énfasis5 9 3 5" xfId="22742"/>
    <cellStyle name="20% - Énfasis5 9 3 6" xfId="22743"/>
    <cellStyle name="20% - Énfasis5 9 3 6 2" xfId="22744"/>
    <cellStyle name="20% - Énfasis5 9 3 7" xfId="22745"/>
    <cellStyle name="20% - Énfasis5 9 3_IAS" xfId="22746"/>
    <cellStyle name="20% - Énfasis5 9 4" xfId="22747"/>
    <cellStyle name="20% - Énfasis5 9 5" xfId="22748"/>
    <cellStyle name="20% - Énfasis5 9 5 2" xfId="22749"/>
    <cellStyle name="20% - Énfasis5 9 5 2 2" xfId="22750"/>
    <cellStyle name="20% - Énfasis5 9 5 2 2 2" xfId="22751"/>
    <cellStyle name="20% - Énfasis5 9 5 2 2 2 2" xfId="22752"/>
    <cellStyle name="20% - Énfasis5 9 5 2 2 3" xfId="22753"/>
    <cellStyle name="20% - Énfasis5 9 5 2 2 3 2" xfId="22754"/>
    <cellStyle name="20% - Énfasis5 9 5 2 2 4" xfId="22755"/>
    <cellStyle name="20% - Énfasis5 9 5 2 3" xfId="22756"/>
    <cellStyle name="20% - Énfasis5 9 5 2 4" xfId="22757"/>
    <cellStyle name="20% - Énfasis5 9 5 2 4 2" xfId="22758"/>
    <cellStyle name="20% - Énfasis5 9 5 2 5" xfId="22759"/>
    <cellStyle name="20% - Énfasis5 9 5 2_IAS" xfId="22760"/>
    <cellStyle name="20% - Énfasis5 9 5 3" xfId="22761"/>
    <cellStyle name="20% - Énfasis5 9 5 3 2" xfId="22762"/>
    <cellStyle name="20% - Énfasis5 9 5 3 2 2" xfId="22763"/>
    <cellStyle name="20% - Énfasis5 9 5 3 3" xfId="22764"/>
    <cellStyle name="20% - Énfasis5 9 5 3 3 2" xfId="22765"/>
    <cellStyle name="20% - Énfasis5 9 5 3 4" xfId="22766"/>
    <cellStyle name="20% - Énfasis5 9 5 4" xfId="22767"/>
    <cellStyle name="20% - Énfasis5 9 5 5" xfId="22768"/>
    <cellStyle name="20% - Énfasis5 9 5 5 2" xfId="22769"/>
    <cellStyle name="20% - Énfasis5 9 5 6" xfId="22770"/>
    <cellStyle name="20% - Énfasis5 9 5_IAS" xfId="22771"/>
    <cellStyle name="20% - Énfasis5 9 6" xfId="22772"/>
    <cellStyle name="20% - Énfasis5 9 6 2" xfId="22773"/>
    <cellStyle name="20% - Énfasis5 9 6 2 2" xfId="22774"/>
    <cellStyle name="20% - Énfasis5 9 6 2 2 2" xfId="22775"/>
    <cellStyle name="20% - Énfasis5 9 6 2 3" xfId="22776"/>
    <cellStyle name="20% - Énfasis5 9 6 2 3 2" xfId="22777"/>
    <cellStyle name="20% - Énfasis5 9 6 2 4" xfId="22778"/>
    <cellStyle name="20% - Énfasis5 9 6 3" xfId="22779"/>
    <cellStyle name="20% - Énfasis5 9 6 4" xfId="22780"/>
    <cellStyle name="20% - Énfasis5 9 6 4 2" xfId="22781"/>
    <cellStyle name="20% - Énfasis5 9 6 5" xfId="22782"/>
    <cellStyle name="20% - Énfasis5 9 6_IAS" xfId="22783"/>
    <cellStyle name="20% - Énfasis5 9 7" xfId="22784"/>
    <cellStyle name="20% - Énfasis5 9 7 2" xfId="22785"/>
    <cellStyle name="20% - Énfasis5 9 7 2 2" xfId="22786"/>
    <cellStyle name="20% - Énfasis5 9 7 3" xfId="22787"/>
    <cellStyle name="20% - Énfasis5 9 7 3 2" xfId="22788"/>
    <cellStyle name="20% - Énfasis5 9 7 4" xfId="22789"/>
    <cellStyle name="20% - Énfasis5 9 8" xfId="22790"/>
    <cellStyle name="20% - Énfasis5 9 8 2" xfId="22791"/>
    <cellStyle name="20% - Énfasis5 9 8 2 2" xfId="22792"/>
    <cellStyle name="20% - Énfasis5 9 8 3" xfId="22793"/>
    <cellStyle name="20% - Énfasis5 9 9" xfId="22794"/>
    <cellStyle name="20% - Énfasis5 9 9 2" xfId="22795"/>
    <cellStyle name="20% - Énfasis5 9 9 2 2" xfId="22796"/>
    <cellStyle name="20% - Énfasis5 9 9 3" xfId="22797"/>
    <cellStyle name="20% - Énfasis5 9_IAS" xfId="22798"/>
    <cellStyle name="20% - Énfasis6 10" xfId="22799"/>
    <cellStyle name="20% - Énfasis6 10 2" xfId="22800"/>
    <cellStyle name="20% - Énfasis6 10 2 2" xfId="22801"/>
    <cellStyle name="20% - Énfasis6 10 2 2 2" xfId="22802"/>
    <cellStyle name="20% - Énfasis6 10 2 3" xfId="22803"/>
    <cellStyle name="20% - Énfasis6 10 2 3 2" xfId="22804"/>
    <cellStyle name="20% - Énfasis6 10 2 4" xfId="22805"/>
    <cellStyle name="20% - Énfasis6 10 3" xfId="22806"/>
    <cellStyle name="20% - Énfasis6 10 4" xfId="22807"/>
    <cellStyle name="20% - Énfasis6 10 4 2" xfId="22808"/>
    <cellStyle name="20% - Énfasis6 10 5" xfId="22809"/>
    <cellStyle name="20% - Énfasis6 10_IAS" xfId="22810"/>
    <cellStyle name="20% - Énfasis6 11" xfId="22811"/>
    <cellStyle name="20% - Énfasis6 11 2" xfId="22812"/>
    <cellStyle name="20% - Énfasis6 11 2 2" xfId="22813"/>
    <cellStyle name="20% - Énfasis6 11 3" xfId="22814"/>
    <cellStyle name="20% - Énfasis6 11 3 2" xfId="22815"/>
    <cellStyle name="20% - Énfasis6 11 4" xfId="22816"/>
    <cellStyle name="20% - Énfasis6 11_IAS" xfId="22817"/>
    <cellStyle name="20% - Énfasis6 12" xfId="22818"/>
    <cellStyle name="20% - Énfasis6 12 2" xfId="22819"/>
    <cellStyle name="20% - Énfasis6 13" xfId="22820"/>
    <cellStyle name="20% - Énfasis6 13 2" xfId="22821"/>
    <cellStyle name="20% - Énfasis6 14" xfId="22822"/>
    <cellStyle name="20% - Énfasis6 14 2" xfId="22823"/>
    <cellStyle name="20% - Énfasis6 15" xfId="22824"/>
    <cellStyle name="20% - Énfasis6 16" xfId="19905"/>
    <cellStyle name="20% - Énfasis6 2" xfId="183"/>
    <cellStyle name="20% - Énfasis6 2 10" xfId="12811"/>
    <cellStyle name="20% - Énfasis6 2 11" xfId="22825"/>
    <cellStyle name="20% - Énfasis6 2 2" xfId="184"/>
    <cellStyle name="20% - Énfasis6 2 2 10" xfId="22826"/>
    <cellStyle name="20% - Énfasis6 2 2 2" xfId="185"/>
    <cellStyle name="20% - Énfasis6 2 2 2 2" xfId="186"/>
    <cellStyle name="20% - Énfasis6 2 2 2 2 2" xfId="187"/>
    <cellStyle name="20% - Énfasis6 2 2 2 2 2 2" xfId="2265"/>
    <cellStyle name="20% - Énfasis6 2 2 2 2 2 2 2" xfId="5390"/>
    <cellStyle name="20% - Énfasis6 2 2 2 2 2 2 2 2" xfId="11593"/>
    <cellStyle name="20% - Énfasis6 2 2 2 2 2 2 2 3" xfId="17795"/>
    <cellStyle name="20% - Énfasis6 2 2 2 2 2 2 2 4" xfId="56626"/>
    <cellStyle name="20% - Énfasis6 2 2 2 2 2 2 3" xfId="8493"/>
    <cellStyle name="20% - Énfasis6 2 2 2 2 2 2 4" xfId="14695"/>
    <cellStyle name="20% - Énfasis6 2 2 2 2 2 2 5" xfId="53730"/>
    <cellStyle name="20% - Énfasis6 2 2 2 2 2 3" xfId="2458"/>
    <cellStyle name="20% - Énfasis6 2 2 2 2 2 3 2" xfId="5582"/>
    <cellStyle name="20% - Énfasis6 2 2 2 2 2 3 2 2" xfId="11785"/>
    <cellStyle name="20% - Énfasis6 2 2 2 2 2 3 2 3" xfId="17987"/>
    <cellStyle name="20% - Énfasis6 2 2 2 2 2 3 2 4" xfId="56815"/>
    <cellStyle name="20% - Énfasis6 2 2 2 2 2 3 3" xfId="8685"/>
    <cellStyle name="20% - Énfasis6 2 2 2 2 2 3 4" xfId="14887"/>
    <cellStyle name="20% - Énfasis6 2 2 2 2 2 3 5" xfId="53920"/>
    <cellStyle name="20% - Énfasis6 2 2 2 2 2 4" xfId="3510"/>
    <cellStyle name="20% - Énfasis6 2 2 2 2 2 4 2" xfId="9714"/>
    <cellStyle name="20% - Énfasis6 2 2 2 2 2 4 3" xfId="15916"/>
    <cellStyle name="20% - Énfasis6 2 2 2 2 2 4 4" xfId="54887"/>
    <cellStyle name="20% - Énfasis6 2 2 2 2 2 5" xfId="6613"/>
    <cellStyle name="20% - Énfasis6 2 2 2 2 2 5 2" xfId="19866"/>
    <cellStyle name="20% - Énfasis6 2 2 2 2 2 6" xfId="12815"/>
    <cellStyle name="20% - Énfasis6 2 2 2 2 2 7" xfId="52264"/>
    <cellStyle name="20% - Énfasis6 2 2 2 2 3" xfId="1741"/>
    <cellStyle name="20% - Énfasis6 2 2 2 2 3 2" xfId="4866"/>
    <cellStyle name="20% - Énfasis6 2 2 2 2 3 2 2" xfId="11069"/>
    <cellStyle name="20% - Énfasis6 2 2 2 2 3 2 3" xfId="17271"/>
    <cellStyle name="20% - Énfasis6 2 2 2 2 3 2 4" xfId="56137"/>
    <cellStyle name="20% - Énfasis6 2 2 2 2 3 3" xfId="7969"/>
    <cellStyle name="20% - Énfasis6 2 2 2 2 3 4" xfId="14171"/>
    <cellStyle name="20% - Énfasis6 2 2 2 2 3 5" xfId="53245"/>
    <cellStyle name="20% - Énfasis6 2 2 2 2 4" xfId="2457"/>
    <cellStyle name="20% - Énfasis6 2 2 2 2 4 2" xfId="5581"/>
    <cellStyle name="20% - Énfasis6 2 2 2 2 4 2 2" xfId="11784"/>
    <cellStyle name="20% - Énfasis6 2 2 2 2 4 2 3" xfId="17986"/>
    <cellStyle name="20% - Énfasis6 2 2 2 2 4 2 4" xfId="56814"/>
    <cellStyle name="20% - Énfasis6 2 2 2 2 4 3" xfId="8684"/>
    <cellStyle name="20% - Énfasis6 2 2 2 2 4 4" xfId="14886"/>
    <cellStyle name="20% - Énfasis6 2 2 2 2 4 5" xfId="53919"/>
    <cellStyle name="20% - Énfasis6 2 2 2 2 5" xfId="3509"/>
    <cellStyle name="20% - Énfasis6 2 2 2 2 5 2" xfId="9713"/>
    <cellStyle name="20% - Énfasis6 2 2 2 2 5 3" xfId="15915"/>
    <cellStyle name="20% - Énfasis6 2 2 2 2 5 4" xfId="54886"/>
    <cellStyle name="20% - Énfasis6 2 2 2 2 6" xfId="6612"/>
    <cellStyle name="20% - Énfasis6 2 2 2 2 6 2" xfId="19342"/>
    <cellStyle name="20% - Énfasis6 2 2 2 2 7" xfId="12814"/>
    <cellStyle name="20% - Énfasis6 2 2 2 2 8" xfId="52263"/>
    <cellStyle name="20% - Énfasis6 2 2 2 3" xfId="188"/>
    <cellStyle name="20% - Énfasis6 2 2 2 3 2" xfId="2020"/>
    <cellStyle name="20% - Énfasis6 2 2 2 3 2 2" xfId="5145"/>
    <cellStyle name="20% - Énfasis6 2 2 2 3 2 2 2" xfId="11348"/>
    <cellStyle name="20% - Énfasis6 2 2 2 3 2 2 3" xfId="17550"/>
    <cellStyle name="20% - Énfasis6 2 2 2 3 2 2 4" xfId="56399"/>
    <cellStyle name="20% - Énfasis6 2 2 2 3 2 3" xfId="8248"/>
    <cellStyle name="20% - Énfasis6 2 2 2 3 2 4" xfId="14450"/>
    <cellStyle name="20% - Énfasis6 2 2 2 3 2 5" xfId="53504"/>
    <cellStyle name="20% - Énfasis6 2 2 2 3 3" xfId="2459"/>
    <cellStyle name="20% - Énfasis6 2 2 2 3 3 2" xfId="5583"/>
    <cellStyle name="20% - Énfasis6 2 2 2 3 3 2 2" xfId="11786"/>
    <cellStyle name="20% - Énfasis6 2 2 2 3 3 2 3" xfId="17988"/>
    <cellStyle name="20% - Énfasis6 2 2 2 3 3 2 4" xfId="56816"/>
    <cellStyle name="20% - Énfasis6 2 2 2 3 3 3" xfId="8686"/>
    <cellStyle name="20% - Énfasis6 2 2 2 3 3 4" xfId="14888"/>
    <cellStyle name="20% - Énfasis6 2 2 2 3 3 5" xfId="53921"/>
    <cellStyle name="20% - Énfasis6 2 2 2 3 4" xfId="3511"/>
    <cellStyle name="20% - Énfasis6 2 2 2 3 4 2" xfId="9715"/>
    <cellStyle name="20% - Énfasis6 2 2 2 3 4 3" xfId="15917"/>
    <cellStyle name="20% - Énfasis6 2 2 2 3 4 4" xfId="54888"/>
    <cellStyle name="20% - Énfasis6 2 2 2 3 5" xfId="6614"/>
    <cellStyle name="20% - Énfasis6 2 2 2 3 5 2" xfId="19621"/>
    <cellStyle name="20% - Énfasis6 2 2 2 3 6" xfId="12816"/>
    <cellStyle name="20% - Énfasis6 2 2 2 3 7" xfId="52265"/>
    <cellStyle name="20% - Énfasis6 2 2 2 4" xfId="1496"/>
    <cellStyle name="20% - Énfasis6 2 2 2 4 2" xfId="4621"/>
    <cellStyle name="20% - Énfasis6 2 2 2 4 2 2" xfId="10824"/>
    <cellStyle name="20% - Énfasis6 2 2 2 4 2 3" xfId="17026"/>
    <cellStyle name="20% - Énfasis6 2 2 2 4 2 4" xfId="55904"/>
    <cellStyle name="20% - Énfasis6 2 2 2 4 3" xfId="7724"/>
    <cellStyle name="20% - Énfasis6 2 2 2 4 4" xfId="13926"/>
    <cellStyle name="20% - Énfasis6 2 2 2 4 5" xfId="53020"/>
    <cellStyle name="20% - Énfasis6 2 2 2 5" xfId="2456"/>
    <cellStyle name="20% - Énfasis6 2 2 2 5 2" xfId="5580"/>
    <cellStyle name="20% - Énfasis6 2 2 2 5 2 2" xfId="11783"/>
    <cellStyle name="20% - Énfasis6 2 2 2 5 2 3" xfId="17985"/>
    <cellStyle name="20% - Énfasis6 2 2 2 5 2 4" xfId="56813"/>
    <cellStyle name="20% - Énfasis6 2 2 2 5 3" xfId="8683"/>
    <cellStyle name="20% - Énfasis6 2 2 2 5 4" xfId="14885"/>
    <cellStyle name="20% - Énfasis6 2 2 2 5 5" xfId="53918"/>
    <cellStyle name="20% - Énfasis6 2 2 2 6" xfId="3508"/>
    <cellStyle name="20% - Énfasis6 2 2 2 6 2" xfId="9712"/>
    <cellStyle name="20% - Énfasis6 2 2 2 6 3" xfId="15914"/>
    <cellStyle name="20% - Énfasis6 2 2 2 6 4" xfId="54885"/>
    <cellStyle name="20% - Énfasis6 2 2 2 7" xfId="6611"/>
    <cellStyle name="20% - Énfasis6 2 2 2 7 2" xfId="19097"/>
    <cellStyle name="20% - Énfasis6 2 2 2 8" xfId="12813"/>
    <cellStyle name="20% - Énfasis6 2 2 2 9" xfId="52138"/>
    <cellStyle name="20% - Énfasis6 2 2 3" xfId="189"/>
    <cellStyle name="20% - Énfasis6 2 2 3 2" xfId="190"/>
    <cellStyle name="20% - Énfasis6 2 2 3 2 2" xfId="2137"/>
    <cellStyle name="20% - Énfasis6 2 2 3 2 2 2" xfId="5262"/>
    <cellStyle name="20% - Énfasis6 2 2 3 2 2 2 2" xfId="11465"/>
    <cellStyle name="20% - Énfasis6 2 2 3 2 2 2 3" xfId="17667"/>
    <cellStyle name="20% - Énfasis6 2 2 3 2 2 2 4" xfId="56507"/>
    <cellStyle name="20% - Énfasis6 2 2 3 2 2 3" xfId="8365"/>
    <cellStyle name="20% - Énfasis6 2 2 3 2 2 4" xfId="14567"/>
    <cellStyle name="20% - Énfasis6 2 2 3 2 2 5" xfId="53611"/>
    <cellStyle name="20% - Énfasis6 2 2 3 2 3" xfId="2461"/>
    <cellStyle name="20% - Énfasis6 2 2 3 2 3 2" xfId="5585"/>
    <cellStyle name="20% - Énfasis6 2 2 3 2 3 2 2" xfId="11788"/>
    <cellStyle name="20% - Énfasis6 2 2 3 2 3 2 3" xfId="17990"/>
    <cellStyle name="20% - Énfasis6 2 2 3 2 3 2 4" xfId="56818"/>
    <cellStyle name="20% - Énfasis6 2 2 3 2 3 3" xfId="8688"/>
    <cellStyle name="20% - Énfasis6 2 2 3 2 3 4" xfId="14890"/>
    <cellStyle name="20% - Énfasis6 2 2 3 2 3 5" xfId="53923"/>
    <cellStyle name="20% - Énfasis6 2 2 3 2 4" xfId="3513"/>
    <cellStyle name="20% - Énfasis6 2 2 3 2 4 2" xfId="9717"/>
    <cellStyle name="20% - Énfasis6 2 2 3 2 4 3" xfId="15919"/>
    <cellStyle name="20% - Énfasis6 2 2 3 2 4 4" xfId="54890"/>
    <cellStyle name="20% - Énfasis6 2 2 3 2 5" xfId="6616"/>
    <cellStyle name="20% - Énfasis6 2 2 3 2 5 2" xfId="19738"/>
    <cellStyle name="20% - Énfasis6 2 2 3 2 6" xfId="12818"/>
    <cellStyle name="20% - Énfasis6 2 2 3 2 7" xfId="52266"/>
    <cellStyle name="20% - Énfasis6 2 2 3 3" xfId="1613"/>
    <cellStyle name="20% - Énfasis6 2 2 3 3 2" xfId="4738"/>
    <cellStyle name="20% - Énfasis6 2 2 3 3 2 2" xfId="10941"/>
    <cellStyle name="20% - Énfasis6 2 2 3 3 2 3" xfId="17143"/>
    <cellStyle name="20% - Énfasis6 2 2 3 3 2 4" xfId="56015"/>
    <cellStyle name="20% - Énfasis6 2 2 3 3 3" xfId="7841"/>
    <cellStyle name="20% - Énfasis6 2 2 3 3 4" xfId="14043"/>
    <cellStyle name="20% - Énfasis6 2 2 3 3 5" xfId="53126"/>
    <cellStyle name="20% - Énfasis6 2 2 3 4" xfId="2460"/>
    <cellStyle name="20% - Énfasis6 2 2 3 4 2" xfId="5584"/>
    <cellStyle name="20% - Énfasis6 2 2 3 4 2 2" xfId="11787"/>
    <cellStyle name="20% - Énfasis6 2 2 3 4 2 3" xfId="17989"/>
    <cellStyle name="20% - Énfasis6 2 2 3 4 2 4" xfId="56817"/>
    <cellStyle name="20% - Énfasis6 2 2 3 4 3" xfId="8687"/>
    <cellStyle name="20% - Énfasis6 2 2 3 4 4" xfId="14889"/>
    <cellStyle name="20% - Énfasis6 2 2 3 4 5" xfId="53922"/>
    <cellStyle name="20% - Énfasis6 2 2 3 5" xfId="3512"/>
    <cellStyle name="20% - Énfasis6 2 2 3 5 2" xfId="9716"/>
    <cellStyle name="20% - Énfasis6 2 2 3 5 3" xfId="15918"/>
    <cellStyle name="20% - Énfasis6 2 2 3 5 4" xfId="54889"/>
    <cellStyle name="20% - Énfasis6 2 2 3 6" xfId="6615"/>
    <cellStyle name="20% - Énfasis6 2 2 3 6 2" xfId="19214"/>
    <cellStyle name="20% - Énfasis6 2 2 3 7" xfId="12817"/>
    <cellStyle name="20% - Énfasis6 2 2 3 8" xfId="52006"/>
    <cellStyle name="20% - Énfasis6 2 2 4" xfId="191"/>
    <cellStyle name="20% - Énfasis6 2 2 4 2" xfId="1878"/>
    <cellStyle name="20% - Énfasis6 2 2 4 2 2" xfId="5003"/>
    <cellStyle name="20% - Énfasis6 2 2 4 2 2 2" xfId="11206"/>
    <cellStyle name="20% - Énfasis6 2 2 4 2 2 3" xfId="17408"/>
    <cellStyle name="20% - Énfasis6 2 2 4 2 2 4" xfId="56265"/>
    <cellStyle name="20% - Énfasis6 2 2 4 2 3" xfId="8106"/>
    <cellStyle name="20% - Énfasis6 2 2 4 2 4" xfId="14308"/>
    <cellStyle name="20% - Énfasis6 2 2 4 2 5" xfId="53371"/>
    <cellStyle name="20% - Énfasis6 2 2 4 3" xfId="2462"/>
    <cellStyle name="20% - Énfasis6 2 2 4 3 2" xfId="5586"/>
    <cellStyle name="20% - Énfasis6 2 2 4 3 2 2" xfId="11789"/>
    <cellStyle name="20% - Énfasis6 2 2 4 3 2 3" xfId="17991"/>
    <cellStyle name="20% - Énfasis6 2 2 4 3 2 4" xfId="56819"/>
    <cellStyle name="20% - Énfasis6 2 2 4 3 3" xfId="8689"/>
    <cellStyle name="20% - Énfasis6 2 2 4 3 4" xfId="14891"/>
    <cellStyle name="20% - Énfasis6 2 2 4 3 5" xfId="53924"/>
    <cellStyle name="20% - Énfasis6 2 2 4 4" xfId="3514"/>
    <cellStyle name="20% - Énfasis6 2 2 4 4 2" xfId="9718"/>
    <cellStyle name="20% - Énfasis6 2 2 4 4 3" xfId="15920"/>
    <cellStyle name="20% - Énfasis6 2 2 4 4 4" xfId="54891"/>
    <cellStyle name="20% - Énfasis6 2 2 4 5" xfId="6617"/>
    <cellStyle name="20% - Énfasis6 2 2 4 5 2" xfId="19479"/>
    <cellStyle name="20% - Énfasis6 2 2 4 6" xfId="12819"/>
    <cellStyle name="20% - Énfasis6 2 2 4 7" xfId="52267"/>
    <cellStyle name="20% - Énfasis6 2 2 5" xfId="1354"/>
    <cellStyle name="20% - Énfasis6 2 2 5 2" xfId="4479"/>
    <cellStyle name="20% - Énfasis6 2 2 5 2 2" xfId="10682"/>
    <cellStyle name="20% - Énfasis6 2 2 5 2 3" xfId="16884"/>
    <cellStyle name="20% - Énfasis6 2 2 5 2 4" xfId="55769"/>
    <cellStyle name="20% - Énfasis6 2 2 5 3" xfId="7582"/>
    <cellStyle name="20% - Énfasis6 2 2 5 4" xfId="13784"/>
    <cellStyle name="20% - Énfasis6 2 2 5 5" xfId="52894"/>
    <cellStyle name="20% - Énfasis6 2 2 6" xfId="2455"/>
    <cellStyle name="20% - Énfasis6 2 2 6 2" xfId="5579"/>
    <cellStyle name="20% - Énfasis6 2 2 6 2 2" xfId="11782"/>
    <cellStyle name="20% - Énfasis6 2 2 6 2 3" xfId="17984"/>
    <cellStyle name="20% - Énfasis6 2 2 6 2 4" xfId="56812"/>
    <cellStyle name="20% - Énfasis6 2 2 6 3" xfId="8682"/>
    <cellStyle name="20% - Énfasis6 2 2 6 4" xfId="14884"/>
    <cellStyle name="20% - Énfasis6 2 2 6 5" xfId="53917"/>
    <cellStyle name="20% - Énfasis6 2 2 7" xfId="3507"/>
    <cellStyle name="20% - Énfasis6 2 2 7 2" xfId="9711"/>
    <cellStyle name="20% - Énfasis6 2 2 7 3" xfId="15913"/>
    <cellStyle name="20% - Énfasis6 2 2 7 4" xfId="54884"/>
    <cellStyle name="20% - Énfasis6 2 2 8" xfId="6610"/>
    <cellStyle name="20% - Énfasis6 2 2 8 2" xfId="18955"/>
    <cellStyle name="20% - Énfasis6 2 2 9" xfId="12812"/>
    <cellStyle name="20% - Énfasis6 2 3" xfId="192"/>
    <cellStyle name="20% - Énfasis6 2 3 2" xfId="193"/>
    <cellStyle name="20% - Énfasis6 2 3 2 2" xfId="194"/>
    <cellStyle name="20% - Énfasis6 2 3 2 2 2" xfId="2197"/>
    <cellStyle name="20% - Énfasis6 2 3 2 2 2 2" xfId="5322"/>
    <cellStyle name="20% - Énfasis6 2 3 2 2 2 2 2" xfId="11525"/>
    <cellStyle name="20% - Énfasis6 2 3 2 2 2 2 3" xfId="17727"/>
    <cellStyle name="20% - Énfasis6 2 3 2 2 2 2 4" xfId="56563"/>
    <cellStyle name="20% - Énfasis6 2 3 2 2 2 3" xfId="8425"/>
    <cellStyle name="20% - Énfasis6 2 3 2 2 2 4" xfId="14627"/>
    <cellStyle name="20% - Énfasis6 2 3 2 2 2 5" xfId="53667"/>
    <cellStyle name="20% - Énfasis6 2 3 2 2 3" xfId="2465"/>
    <cellStyle name="20% - Énfasis6 2 3 2 2 3 2" xfId="5589"/>
    <cellStyle name="20% - Énfasis6 2 3 2 2 3 2 2" xfId="11792"/>
    <cellStyle name="20% - Énfasis6 2 3 2 2 3 2 3" xfId="17994"/>
    <cellStyle name="20% - Énfasis6 2 3 2 2 3 2 4" xfId="56822"/>
    <cellStyle name="20% - Énfasis6 2 3 2 2 3 3" xfId="8692"/>
    <cellStyle name="20% - Énfasis6 2 3 2 2 3 4" xfId="14894"/>
    <cellStyle name="20% - Énfasis6 2 3 2 2 3 5" xfId="53927"/>
    <cellStyle name="20% - Énfasis6 2 3 2 2 4" xfId="3517"/>
    <cellStyle name="20% - Énfasis6 2 3 2 2 4 2" xfId="9721"/>
    <cellStyle name="20% - Énfasis6 2 3 2 2 4 3" xfId="15923"/>
    <cellStyle name="20% - Énfasis6 2 3 2 2 4 4" xfId="54894"/>
    <cellStyle name="20% - Énfasis6 2 3 2 2 5" xfId="6620"/>
    <cellStyle name="20% - Énfasis6 2 3 2 2 5 2" xfId="19798"/>
    <cellStyle name="20% - Énfasis6 2 3 2 2 6" xfId="12822"/>
    <cellStyle name="20% - Énfasis6 2 3 2 2 7" xfId="52269"/>
    <cellStyle name="20% - Énfasis6 2 3 2 3" xfId="1673"/>
    <cellStyle name="20% - Énfasis6 2 3 2 3 2" xfId="4798"/>
    <cellStyle name="20% - Énfasis6 2 3 2 3 2 2" xfId="11001"/>
    <cellStyle name="20% - Énfasis6 2 3 2 3 2 3" xfId="17203"/>
    <cellStyle name="20% - Énfasis6 2 3 2 3 2 4" xfId="56072"/>
    <cellStyle name="20% - Énfasis6 2 3 2 3 3" xfId="7901"/>
    <cellStyle name="20% - Énfasis6 2 3 2 3 4" xfId="14103"/>
    <cellStyle name="20% - Énfasis6 2 3 2 3 5" xfId="53182"/>
    <cellStyle name="20% - Énfasis6 2 3 2 4" xfId="2464"/>
    <cellStyle name="20% - Énfasis6 2 3 2 4 2" xfId="5588"/>
    <cellStyle name="20% - Énfasis6 2 3 2 4 2 2" xfId="11791"/>
    <cellStyle name="20% - Énfasis6 2 3 2 4 2 3" xfId="17993"/>
    <cellStyle name="20% - Énfasis6 2 3 2 4 2 4" xfId="56821"/>
    <cellStyle name="20% - Énfasis6 2 3 2 4 3" xfId="8691"/>
    <cellStyle name="20% - Énfasis6 2 3 2 4 4" xfId="14893"/>
    <cellStyle name="20% - Énfasis6 2 3 2 4 5" xfId="53926"/>
    <cellStyle name="20% - Énfasis6 2 3 2 5" xfId="3516"/>
    <cellStyle name="20% - Énfasis6 2 3 2 5 2" xfId="9720"/>
    <cellStyle name="20% - Énfasis6 2 3 2 5 3" xfId="15922"/>
    <cellStyle name="20% - Énfasis6 2 3 2 5 4" xfId="54893"/>
    <cellStyle name="20% - Énfasis6 2 3 2 6" xfId="6619"/>
    <cellStyle name="20% - Énfasis6 2 3 2 6 2" xfId="19274"/>
    <cellStyle name="20% - Énfasis6 2 3 2 7" xfId="12821"/>
    <cellStyle name="20% - Énfasis6 2 3 2 8" xfId="52268"/>
    <cellStyle name="20% - Énfasis6 2 3 3" xfId="195"/>
    <cellStyle name="20% - Énfasis6 2 3 3 2" xfId="1952"/>
    <cellStyle name="20% - Énfasis6 2 3 3 2 2" xfId="5077"/>
    <cellStyle name="20% - Énfasis6 2 3 3 2 2 2" xfId="11280"/>
    <cellStyle name="20% - Énfasis6 2 3 3 2 2 3" xfId="17482"/>
    <cellStyle name="20% - Énfasis6 2 3 3 2 2 4" xfId="56336"/>
    <cellStyle name="20% - Énfasis6 2 3 3 2 3" xfId="8180"/>
    <cellStyle name="20% - Énfasis6 2 3 3 2 4" xfId="14382"/>
    <cellStyle name="20% - Énfasis6 2 3 3 2 5" xfId="53442"/>
    <cellStyle name="20% - Énfasis6 2 3 3 3" xfId="2466"/>
    <cellStyle name="20% - Énfasis6 2 3 3 3 2" xfId="5590"/>
    <cellStyle name="20% - Énfasis6 2 3 3 3 2 2" xfId="11793"/>
    <cellStyle name="20% - Énfasis6 2 3 3 3 2 3" xfId="17995"/>
    <cellStyle name="20% - Énfasis6 2 3 3 3 2 4" xfId="56823"/>
    <cellStyle name="20% - Énfasis6 2 3 3 3 3" xfId="8693"/>
    <cellStyle name="20% - Énfasis6 2 3 3 3 4" xfId="14895"/>
    <cellStyle name="20% - Énfasis6 2 3 3 3 5" xfId="53928"/>
    <cellStyle name="20% - Énfasis6 2 3 3 4" xfId="3518"/>
    <cellStyle name="20% - Énfasis6 2 3 3 4 2" xfId="9722"/>
    <cellStyle name="20% - Énfasis6 2 3 3 4 3" xfId="15924"/>
    <cellStyle name="20% - Énfasis6 2 3 3 4 4" xfId="54895"/>
    <cellStyle name="20% - Énfasis6 2 3 3 5" xfId="6621"/>
    <cellStyle name="20% - Énfasis6 2 3 3 5 2" xfId="19553"/>
    <cellStyle name="20% - Énfasis6 2 3 3 6" xfId="12823"/>
    <cellStyle name="20% - Énfasis6 2 3 3 7" xfId="52270"/>
    <cellStyle name="20% - Énfasis6 2 3 4" xfId="1428"/>
    <cellStyle name="20% - Énfasis6 2 3 4 2" xfId="4553"/>
    <cellStyle name="20% - Énfasis6 2 3 4 2 2" xfId="10756"/>
    <cellStyle name="20% - Énfasis6 2 3 4 2 3" xfId="16958"/>
    <cellStyle name="20% - Énfasis6 2 3 4 2 4" xfId="55840"/>
    <cellStyle name="20% - Énfasis6 2 3 4 3" xfId="7656"/>
    <cellStyle name="20% - Énfasis6 2 3 4 4" xfId="13858"/>
    <cellStyle name="20% - Énfasis6 2 3 4 5" xfId="52958"/>
    <cellStyle name="20% - Énfasis6 2 3 5" xfId="2463"/>
    <cellStyle name="20% - Énfasis6 2 3 5 2" xfId="5587"/>
    <cellStyle name="20% - Énfasis6 2 3 5 2 2" xfId="11790"/>
    <cellStyle name="20% - Énfasis6 2 3 5 2 3" xfId="17992"/>
    <cellStyle name="20% - Énfasis6 2 3 5 2 4" xfId="56820"/>
    <cellStyle name="20% - Énfasis6 2 3 5 3" xfId="8690"/>
    <cellStyle name="20% - Énfasis6 2 3 5 4" xfId="14892"/>
    <cellStyle name="20% - Énfasis6 2 3 5 5" xfId="53925"/>
    <cellStyle name="20% - Énfasis6 2 3 6" xfId="3515"/>
    <cellStyle name="20% - Énfasis6 2 3 6 2" xfId="9719"/>
    <cellStyle name="20% - Énfasis6 2 3 6 3" xfId="15921"/>
    <cellStyle name="20% - Énfasis6 2 3 6 4" xfId="54892"/>
    <cellStyle name="20% - Énfasis6 2 3 7" xfId="6618"/>
    <cellStyle name="20% - Énfasis6 2 3 7 2" xfId="19029"/>
    <cellStyle name="20% - Énfasis6 2 3 8" xfId="12820"/>
    <cellStyle name="20% - Énfasis6 2 3 9" xfId="52075"/>
    <cellStyle name="20% - Énfasis6 2 4" xfId="196"/>
    <cellStyle name="20% - Énfasis6 2 4 2" xfId="197"/>
    <cellStyle name="20% - Énfasis6 2 4 2 2" xfId="2055"/>
    <cellStyle name="20% - Énfasis6 2 4 2 2 2" xfId="5180"/>
    <cellStyle name="20% - Énfasis6 2 4 2 2 2 2" xfId="11383"/>
    <cellStyle name="20% - Énfasis6 2 4 2 2 2 3" xfId="17585"/>
    <cellStyle name="20% - Énfasis6 2 4 2 2 2 4" xfId="56432"/>
    <cellStyle name="20% - Énfasis6 2 4 2 2 3" xfId="8283"/>
    <cellStyle name="20% - Énfasis6 2 4 2 2 4" xfId="14485"/>
    <cellStyle name="20% - Énfasis6 2 4 2 2 5" xfId="53536"/>
    <cellStyle name="20% - Énfasis6 2 4 2 3" xfId="2468"/>
    <cellStyle name="20% - Énfasis6 2 4 2 3 2" xfId="5592"/>
    <cellStyle name="20% - Énfasis6 2 4 2 3 2 2" xfId="11795"/>
    <cellStyle name="20% - Énfasis6 2 4 2 3 2 3" xfId="17997"/>
    <cellStyle name="20% - Énfasis6 2 4 2 3 2 4" xfId="56825"/>
    <cellStyle name="20% - Énfasis6 2 4 2 3 3" xfId="8695"/>
    <cellStyle name="20% - Énfasis6 2 4 2 3 4" xfId="14897"/>
    <cellStyle name="20% - Énfasis6 2 4 2 3 5" xfId="53930"/>
    <cellStyle name="20% - Énfasis6 2 4 2 4" xfId="3520"/>
    <cellStyle name="20% - Énfasis6 2 4 2 4 2" xfId="9724"/>
    <cellStyle name="20% - Énfasis6 2 4 2 4 3" xfId="15926"/>
    <cellStyle name="20% - Énfasis6 2 4 2 4 4" xfId="54897"/>
    <cellStyle name="20% - Énfasis6 2 4 2 5" xfId="6623"/>
    <cellStyle name="20% - Énfasis6 2 4 2 5 2" xfId="19656"/>
    <cellStyle name="20% - Énfasis6 2 4 2 6" xfId="12825"/>
    <cellStyle name="20% - Énfasis6 2 4 2 7" xfId="52271"/>
    <cellStyle name="20% - Énfasis6 2 4 3" xfId="1531"/>
    <cellStyle name="20% - Énfasis6 2 4 3 2" xfId="4656"/>
    <cellStyle name="20% - Énfasis6 2 4 3 2 2" xfId="10859"/>
    <cellStyle name="20% - Énfasis6 2 4 3 2 3" xfId="17061"/>
    <cellStyle name="20% - Énfasis6 2 4 3 2 4" xfId="55937"/>
    <cellStyle name="20% - Énfasis6 2 4 3 3" xfId="7759"/>
    <cellStyle name="20% - Énfasis6 2 4 3 4" xfId="13961"/>
    <cellStyle name="20% - Énfasis6 2 4 3 5" xfId="53052"/>
    <cellStyle name="20% - Énfasis6 2 4 4" xfId="2467"/>
    <cellStyle name="20% - Énfasis6 2 4 4 2" xfId="5591"/>
    <cellStyle name="20% - Énfasis6 2 4 4 2 2" xfId="11794"/>
    <cellStyle name="20% - Énfasis6 2 4 4 2 3" xfId="17996"/>
    <cellStyle name="20% - Énfasis6 2 4 4 2 4" xfId="56824"/>
    <cellStyle name="20% - Énfasis6 2 4 4 3" xfId="8694"/>
    <cellStyle name="20% - Énfasis6 2 4 4 4" xfId="14896"/>
    <cellStyle name="20% - Énfasis6 2 4 4 5" xfId="53929"/>
    <cellStyle name="20% - Énfasis6 2 4 5" xfId="3519"/>
    <cellStyle name="20% - Énfasis6 2 4 5 2" xfId="9723"/>
    <cellStyle name="20% - Énfasis6 2 4 5 3" xfId="15925"/>
    <cellStyle name="20% - Énfasis6 2 4 5 4" xfId="54896"/>
    <cellStyle name="20% - Énfasis6 2 4 6" xfId="6622"/>
    <cellStyle name="20% - Énfasis6 2 4 6 2" xfId="19132"/>
    <cellStyle name="20% - Énfasis6 2 4 7" xfId="12824"/>
    <cellStyle name="20% - Énfasis6 2 4 8" xfId="51937"/>
    <cellStyle name="20% - Énfasis6 2 5" xfId="198"/>
    <cellStyle name="20% - Énfasis6 2 5 2" xfId="1784"/>
    <cellStyle name="20% - Énfasis6 2 5 2 2" xfId="4909"/>
    <cellStyle name="20% - Énfasis6 2 5 2 2 2" xfId="11112"/>
    <cellStyle name="20% - Énfasis6 2 5 2 2 3" xfId="17314"/>
    <cellStyle name="20% - Énfasis6 2 5 2 2 4" xfId="56178"/>
    <cellStyle name="20% - Énfasis6 2 5 2 3" xfId="8012"/>
    <cellStyle name="20% - Énfasis6 2 5 2 4" xfId="14214"/>
    <cellStyle name="20% - Énfasis6 2 5 2 5" xfId="53285"/>
    <cellStyle name="20% - Énfasis6 2 5 3" xfId="2469"/>
    <cellStyle name="20% - Énfasis6 2 5 3 2" xfId="5593"/>
    <cellStyle name="20% - Énfasis6 2 5 3 2 2" xfId="11796"/>
    <cellStyle name="20% - Énfasis6 2 5 3 2 3" xfId="17998"/>
    <cellStyle name="20% - Énfasis6 2 5 3 2 4" xfId="56826"/>
    <cellStyle name="20% - Énfasis6 2 5 3 3" xfId="8696"/>
    <cellStyle name="20% - Énfasis6 2 5 3 4" xfId="14898"/>
    <cellStyle name="20% - Énfasis6 2 5 3 5" xfId="53931"/>
    <cellStyle name="20% - Énfasis6 2 5 4" xfId="3521"/>
    <cellStyle name="20% - Énfasis6 2 5 4 2" xfId="9725"/>
    <cellStyle name="20% - Énfasis6 2 5 4 3" xfId="15927"/>
    <cellStyle name="20% - Énfasis6 2 5 4 4" xfId="54898"/>
    <cellStyle name="20% - Énfasis6 2 5 5" xfId="6624"/>
    <cellStyle name="20% - Énfasis6 2 5 5 2" xfId="19385"/>
    <cellStyle name="20% - Énfasis6 2 5 6" xfId="12826"/>
    <cellStyle name="20% - Énfasis6 2 5 7" xfId="52272"/>
    <cellStyle name="20% - Énfasis6 2 6" xfId="1286"/>
    <cellStyle name="20% - Énfasis6 2 6 2" xfId="4411"/>
    <cellStyle name="20% - Énfasis6 2 6 2 2" xfId="10614"/>
    <cellStyle name="20% - Énfasis6 2 6 2 3" xfId="16816"/>
    <cellStyle name="20% - Énfasis6 2 6 2 4" xfId="55704"/>
    <cellStyle name="20% - Énfasis6 2 6 3" xfId="7514"/>
    <cellStyle name="20% - Énfasis6 2 6 4" xfId="13716"/>
    <cellStyle name="20% - Énfasis6 2 6 5" xfId="52833"/>
    <cellStyle name="20% - Énfasis6 2 7" xfId="2454"/>
    <cellStyle name="20% - Énfasis6 2 7 2" xfId="5578"/>
    <cellStyle name="20% - Énfasis6 2 7 2 2" xfId="11781"/>
    <cellStyle name="20% - Énfasis6 2 7 2 3" xfId="17983"/>
    <cellStyle name="20% - Énfasis6 2 7 2 4" xfId="56811"/>
    <cellStyle name="20% - Énfasis6 2 7 3" xfId="8681"/>
    <cellStyle name="20% - Énfasis6 2 7 4" xfId="14883"/>
    <cellStyle name="20% - Énfasis6 2 7 5" xfId="53916"/>
    <cellStyle name="20% - Énfasis6 2 8" xfId="3506"/>
    <cellStyle name="20% - Énfasis6 2 8 2" xfId="9710"/>
    <cellStyle name="20% - Énfasis6 2 8 3" xfId="15912"/>
    <cellStyle name="20% - Énfasis6 2 8 4" xfId="54883"/>
    <cellStyle name="20% - Énfasis6 2 9" xfId="6609"/>
    <cellStyle name="20% - Énfasis6 2 9 2" xfId="18887"/>
    <cellStyle name="20% - Énfasis6 3" xfId="199"/>
    <cellStyle name="20% - Énfasis6 3 10" xfId="22827"/>
    <cellStyle name="20% - Énfasis6 3 2" xfId="200"/>
    <cellStyle name="20% - Énfasis6 3 2 2" xfId="201"/>
    <cellStyle name="20% - Énfasis6 3 2 2 2" xfId="202"/>
    <cellStyle name="20% - Énfasis6 3 2 2 2 2" xfId="2241"/>
    <cellStyle name="20% - Énfasis6 3 2 2 2 2 2" xfId="5366"/>
    <cellStyle name="20% - Énfasis6 3 2 2 2 2 2 2" xfId="11569"/>
    <cellStyle name="20% - Énfasis6 3 2 2 2 2 2 3" xfId="17771"/>
    <cellStyle name="20% - Énfasis6 3 2 2 2 2 2 4" xfId="56605"/>
    <cellStyle name="20% - Énfasis6 3 2 2 2 2 3" xfId="8469"/>
    <cellStyle name="20% - Énfasis6 3 2 2 2 2 4" xfId="14671"/>
    <cellStyle name="20% - Énfasis6 3 2 2 2 2 5" xfId="53709"/>
    <cellStyle name="20% - Énfasis6 3 2 2 2 3" xfId="2473"/>
    <cellStyle name="20% - Énfasis6 3 2 2 2 3 2" xfId="5597"/>
    <cellStyle name="20% - Énfasis6 3 2 2 2 3 2 2" xfId="11800"/>
    <cellStyle name="20% - Énfasis6 3 2 2 2 3 2 3" xfId="18002"/>
    <cellStyle name="20% - Énfasis6 3 2 2 2 3 2 4" xfId="56830"/>
    <cellStyle name="20% - Énfasis6 3 2 2 2 3 3" xfId="8700"/>
    <cellStyle name="20% - Énfasis6 3 2 2 2 3 4" xfId="14902"/>
    <cellStyle name="20% - Énfasis6 3 2 2 2 3 5" xfId="53935"/>
    <cellStyle name="20% - Énfasis6 3 2 2 2 4" xfId="3525"/>
    <cellStyle name="20% - Énfasis6 3 2 2 2 4 2" xfId="9729"/>
    <cellStyle name="20% - Énfasis6 3 2 2 2 4 3" xfId="15931"/>
    <cellStyle name="20% - Énfasis6 3 2 2 2 4 4" xfId="54902"/>
    <cellStyle name="20% - Énfasis6 3 2 2 2 5" xfId="6628"/>
    <cellStyle name="20% - Énfasis6 3 2 2 2 5 2" xfId="19842"/>
    <cellStyle name="20% - Énfasis6 3 2 2 2 6" xfId="12830"/>
    <cellStyle name="20% - Énfasis6 3 2 2 2 7" xfId="52273"/>
    <cellStyle name="20% - Énfasis6 3 2 2 3" xfId="1717"/>
    <cellStyle name="20% - Énfasis6 3 2 2 3 2" xfId="4842"/>
    <cellStyle name="20% - Énfasis6 3 2 2 3 2 2" xfId="11045"/>
    <cellStyle name="20% - Énfasis6 3 2 2 3 2 3" xfId="17247"/>
    <cellStyle name="20% - Énfasis6 3 2 2 3 2 4" xfId="56114"/>
    <cellStyle name="20% - Énfasis6 3 2 2 3 3" xfId="7945"/>
    <cellStyle name="20% - Énfasis6 3 2 2 3 4" xfId="14147"/>
    <cellStyle name="20% - Énfasis6 3 2 2 3 5" xfId="53224"/>
    <cellStyle name="20% - Énfasis6 3 2 2 4" xfId="2472"/>
    <cellStyle name="20% - Énfasis6 3 2 2 4 2" xfId="5596"/>
    <cellStyle name="20% - Énfasis6 3 2 2 4 2 2" xfId="11799"/>
    <cellStyle name="20% - Énfasis6 3 2 2 4 2 3" xfId="18001"/>
    <cellStyle name="20% - Énfasis6 3 2 2 4 2 4" xfId="56829"/>
    <cellStyle name="20% - Énfasis6 3 2 2 4 3" xfId="8699"/>
    <cellStyle name="20% - Énfasis6 3 2 2 4 4" xfId="14901"/>
    <cellStyle name="20% - Énfasis6 3 2 2 4 5" xfId="53934"/>
    <cellStyle name="20% - Énfasis6 3 2 2 5" xfId="3524"/>
    <cellStyle name="20% - Énfasis6 3 2 2 5 2" xfId="9728"/>
    <cellStyle name="20% - Énfasis6 3 2 2 5 3" xfId="15930"/>
    <cellStyle name="20% - Énfasis6 3 2 2 5 4" xfId="54901"/>
    <cellStyle name="20% - Énfasis6 3 2 2 6" xfId="6627"/>
    <cellStyle name="20% - Énfasis6 3 2 2 6 2" xfId="19318"/>
    <cellStyle name="20% - Énfasis6 3 2 2 7" xfId="12829"/>
    <cellStyle name="20% - Énfasis6 3 2 2 8" xfId="52119"/>
    <cellStyle name="20% - Énfasis6 3 2 3" xfId="203"/>
    <cellStyle name="20% - Énfasis6 3 2 3 2" xfId="1996"/>
    <cellStyle name="20% - Énfasis6 3 2 3 2 2" xfId="5121"/>
    <cellStyle name="20% - Énfasis6 3 2 3 2 2 2" xfId="11324"/>
    <cellStyle name="20% - Énfasis6 3 2 3 2 2 3" xfId="17526"/>
    <cellStyle name="20% - Énfasis6 3 2 3 2 2 4" xfId="56378"/>
    <cellStyle name="20% - Énfasis6 3 2 3 2 3" xfId="8224"/>
    <cellStyle name="20% - Énfasis6 3 2 3 2 4" xfId="14426"/>
    <cellStyle name="20% - Énfasis6 3 2 3 2 5" xfId="53484"/>
    <cellStyle name="20% - Énfasis6 3 2 3 3" xfId="2474"/>
    <cellStyle name="20% - Énfasis6 3 2 3 3 2" xfId="5598"/>
    <cellStyle name="20% - Énfasis6 3 2 3 3 2 2" xfId="11801"/>
    <cellStyle name="20% - Énfasis6 3 2 3 3 2 3" xfId="18003"/>
    <cellStyle name="20% - Énfasis6 3 2 3 3 2 4" xfId="56831"/>
    <cellStyle name="20% - Énfasis6 3 2 3 3 3" xfId="8701"/>
    <cellStyle name="20% - Énfasis6 3 2 3 3 4" xfId="14903"/>
    <cellStyle name="20% - Énfasis6 3 2 3 3 5" xfId="53936"/>
    <cellStyle name="20% - Énfasis6 3 2 3 4" xfId="3526"/>
    <cellStyle name="20% - Énfasis6 3 2 3 4 2" xfId="9730"/>
    <cellStyle name="20% - Énfasis6 3 2 3 4 3" xfId="15932"/>
    <cellStyle name="20% - Énfasis6 3 2 3 4 4" xfId="54903"/>
    <cellStyle name="20% - Énfasis6 3 2 3 5" xfId="6629"/>
    <cellStyle name="20% - Énfasis6 3 2 3 5 2" xfId="19597"/>
    <cellStyle name="20% - Énfasis6 3 2 3 6" xfId="12831"/>
    <cellStyle name="20% - Énfasis6 3 2 3 7" xfId="52274"/>
    <cellStyle name="20% - Énfasis6 3 2 4" xfId="1472"/>
    <cellStyle name="20% - Énfasis6 3 2 4 2" xfId="4597"/>
    <cellStyle name="20% - Énfasis6 3 2 4 2 2" xfId="10800"/>
    <cellStyle name="20% - Énfasis6 3 2 4 2 3" xfId="17002"/>
    <cellStyle name="20% - Énfasis6 3 2 4 2 4" xfId="55882"/>
    <cellStyle name="20% - Énfasis6 3 2 4 3" xfId="7700"/>
    <cellStyle name="20% - Énfasis6 3 2 4 4" xfId="13902"/>
    <cellStyle name="20% - Énfasis6 3 2 4 5" xfId="53000"/>
    <cellStyle name="20% - Énfasis6 3 2 5" xfId="2471"/>
    <cellStyle name="20% - Énfasis6 3 2 5 2" xfId="5595"/>
    <cellStyle name="20% - Énfasis6 3 2 5 2 2" xfId="11798"/>
    <cellStyle name="20% - Énfasis6 3 2 5 2 3" xfId="18000"/>
    <cellStyle name="20% - Énfasis6 3 2 5 2 4" xfId="56828"/>
    <cellStyle name="20% - Énfasis6 3 2 5 3" xfId="8698"/>
    <cellStyle name="20% - Énfasis6 3 2 5 4" xfId="14900"/>
    <cellStyle name="20% - Énfasis6 3 2 5 5" xfId="53933"/>
    <cellStyle name="20% - Énfasis6 3 2 6" xfId="3523"/>
    <cellStyle name="20% - Énfasis6 3 2 6 2" xfId="9727"/>
    <cellStyle name="20% - Énfasis6 3 2 6 3" xfId="15929"/>
    <cellStyle name="20% - Énfasis6 3 2 6 4" xfId="54900"/>
    <cellStyle name="20% - Énfasis6 3 2 7" xfId="6626"/>
    <cellStyle name="20% - Énfasis6 3 2 7 2" xfId="19073"/>
    <cellStyle name="20% - Énfasis6 3 2 8" xfId="12828"/>
    <cellStyle name="20% - Énfasis6 3 2 9" xfId="22828"/>
    <cellStyle name="20% - Énfasis6 3 3" xfId="204"/>
    <cellStyle name="20% - Énfasis6 3 3 2" xfId="205"/>
    <cellStyle name="20% - Énfasis6 3 3 2 2" xfId="2113"/>
    <cellStyle name="20% - Énfasis6 3 3 2 2 2" xfId="5238"/>
    <cellStyle name="20% - Énfasis6 3 3 2 2 2 2" xfId="11441"/>
    <cellStyle name="20% - Énfasis6 3 3 2 2 2 3" xfId="17643"/>
    <cellStyle name="20% - Énfasis6 3 3 2 2 2 4" xfId="56486"/>
    <cellStyle name="20% - Énfasis6 3 3 2 2 3" xfId="8341"/>
    <cellStyle name="20% - Énfasis6 3 3 2 2 4" xfId="14543"/>
    <cellStyle name="20% - Énfasis6 3 3 2 2 5" xfId="53590"/>
    <cellStyle name="20% - Énfasis6 3 3 2 3" xfId="2476"/>
    <cellStyle name="20% - Énfasis6 3 3 2 3 2" xfId="5600"/>
    <cellStyle name="20% - Énfasis6 3 3 2 3 2 2" xfId="11803"/>
    <cellStyle name="20% - Énfasis6 3 3 2 3 2 3" xfId="18005"/>
    <cellStyle name="20% - Énfasis6 3 3 2 3 2 4" xfId="56833"/>
    <cellStyle name="20% - Énfasis6 3 3 2 3 3" xfId="8703"/>
    <cellStyle name="20% - Énfasis6 3 3 2 3 4" xfId="14905"/>
    <cellStyle name="20% - Énfasis6 3 3 2 3 5" xfId="53938"/>
    <cellStyle name="20% - Énfasis6 3 3 2 4" xfId="3528"/>
    <cellStyle name="20% - Énfasis6 3 3 2 4 2" xfId="9732"/>
    <cellStyle name="20% - Énfasis6 3 3 2 4 3" xfId="15934"/>
    <cellStyle name="20% - Énfasis6 3 3 2 4 4" xfId="54905"/>
    <cellStyle name="20% - Énfasis6 3 3 2 5" xfId="6631"/>
    <cellStyle name="20% - Énfasis6 3 3 2 5 2" xfId="19714"/>
    <cellStyle name="20% - Énfasis6 3 3 2 6" xfId="12833"/>
    <cellStyle name="20% - Énfasis6 3 3 2 7" xfId="52275"/>
    <cellStyle name="20% - Énfasis6 3 3 3" xfId="1589"/>
    <cellStyle name="20% - Énfasis6 3 3 3 2" xfId="4714"/>
    <cellStyle name="20% - Énfasis6 3 3 3 2 2" xfId="10917"/>
    <cellStyle name="20% - Énfasis6 3 3 3 2 3" xfId="17119"/>
    <cellStyle name="20% - Énfasis6 3 3 3 2 4" xfId="55992"/>
    <cellStyle name="20% - Énfasis6 3 3 3 3" xfId="7817"/>
    <cellStyle name="20% - Énfasis6 3 3 3 4" xfId="14019"/>
    <cellStyle name="20% - Énfasis6 3 3 3 5" xfId="53105"/>
    <cellStyle name="20% - Énfasis6 3 3 4" xfId="2475"/>
    <cellStyle name="20% - Énfasis6 3 3 4 2" xfId="5599"/>
    <cellStyle name="20% - Énfasis6 3 3 4 2 2" xfId="11802"/>
    <cellStyle name="20% - Énfasis6 3 3 4 2 3" xfId="18004"/>
    <cellStyle name="20% - Énfasis6 3 3 4 2 4" xfId="56832"/>
    <cellStyle name="20% - Énfasis6 3 3 4 3" xfId="8702"/>
    <cellStyle name="20% - Énfasis6 3 3 4 4" xfId="14904"/>
    <cellStyle name="20% - Énfasis6 3 3 4 5" xfId="53937"/>
    <cellStyle name="20% - Énfasis6 3 3 5" xfId="3527"/>
    <cellStyle name="20% - Énfasis6 3 3 5 2" xfId="9731"/>
    <cellStyle name="20% - Énfasis6 3 3 5 3" xfId="15933"/>
    <cellStyle name="20% - Énfasis6 3 3 5 4" xfId="54904"/>
    <cellStyle name="20% - Énfasis6 3 3 6" xfId="6630"/>
    <cellStyle name="20% - Énfasis6 3 3 6 2" xfId="19190"/>
    <cellStyle name="20% - Énfasis6 3 3 7" xfId="12832"/>
    <cellStyle name="20% - Énfasis6 3 3 8" xfId="51988"/>
    <cellStyle name="20% - Énfasis6 3 4" xfId="206"/>
    <cellStyle name="20% - Énfasis6 3 4 2" xfId="1854"/>
    <cellStyle name="20% - Énfasis6 3 4 2 2" xfId="4979"/>
    <cellStyle name="20% - Énfasis6 3 4 2 2 2" xfId="11182"/>
    <cellStyle name="20% - Énfasis6 3 4 2 2 3" xfId="17384"/>
    <cellStyle name="20% - Énfasis6 3 4 2 2 4" xfId="56243"/>
    <cellStyle name="20% - Énfasis6 3 4 2 3" xfId="8082"/>
    <cellStyle name="20% - Énfasis6 3 4 2 4" xfId="14284"/>
    <cellStyle name="20% - Énfasis6 3 4 2 5" xfId="53349"/>
    <cellStyle name="20% - Énfasis6 3 4 3" xfId="2477"/>
    <cellStyle name="20% - Énfasis6 3 4 3 2" xfId="5601"/>
    <cellStyle name="20% - Énfasis6 3 4 3 2 2" xfId="11804"/>
    <cellStyle name="20% - Énfasis6 3 4 3 2 3" xfId="18006"/>
    <cellStyle name="20% - Énfasis6 3 4 3 2 4" xfId="56834"/>
    <cellStyle name="20% - Énfasis6 3 4 3 3" xfId="8704"/>
    <cellStyle name="20% - Énfasis6 3 4 3 4" xfId="14906"/>
    <cellStyle name="20% - Énfasis6 3 4 3 5" xfId="53939"/>
    <cellStyle name="20% - Énfasis6 3 4 4" xfId="3529"/>
    <cellStyle name="20% - Énfasis6 3 4 4 2" xfId="9733"/>
    <cellStyle name="20% - Énfasis6 3 4 4 3" xfId="15935"/>
    <cellStyle name="20% - Énfasis6 3 4 4 4" xfId="54906"/>
    <cellStyle name="20% - Énfasis6 3 4 5" xfId="6632"/>
    <cellStyle name="20% - Énfasis6 3 4 5 2" xfId="19455"/>
    <cellStyle name="20% - Énfasis6 3 4 6" xfId="12834"/>
    <cellStyle name="20% - Énfasis6 3 4 7" xfId="52276"/>
    <cellStyle name="20% - Énfasis6 3 5" xfId="1330"/>
    <cellStyle name="20% - Énfasis6 3 5 2" xfId="4455"/>
    <cellStyle name="20% - Énfasis6 3 5 2 2" xfId="10658"/>
    <cellStyle name="20% - Énfasis6 3 5 2 3" xfId="16860"/>
    <cellStyle name="20% - Énfasis6 3 5 2 4" xfId="55746"/>
    <cellStyle name="20% - Énfasis6 3 5 3" xfId="7558"/>
    <cellStyle name="20% - Énfasis6 3 5 4" xfId="13760"/>
    <cellStyle name="20% - Énfasis6 3 5 5" xfId="52874"/>
    <cellStyle name="20% - Énfasis6 3 6" xfId="2470"/>
    <cellStyle name="20% - Énfasis6 3 6 2" xfId="5594"/>
    <cellStyle name="20% - Énfasis6 3 6 2 2" xfId="11797"/>
    <cellStyle name="20% - Énfasis6 3 6 2 3" xfId="17999"/>
    <cellStyle name="20% - Énfasis6 3 6 2 4" xfId="56827"/>
    <cellStyle name="20% - Énfasis6 3 6 3" xfId="8697"/>
    <cellStyle name="20% - Énfasis6 3 6 4" xfId="14899"/>
    <cellStyle name="20% - Énfasis6 3 6 5" xfId="53932"/>
    <cellStyle name="20% - Énfasis6 3 7" xfId="3522"/>
    <cellStyle name="20% - Énfasis6 3 7 2" xfId="9726"/>
    <cellStyle name="20% - Énfasis6 3 7 3" xfId="15928"/>
    <cellStyle name="20% - Énfasis6 3 7 4" xfId="54899"/>
    <cellStyle name="20% - Énfasis6 3 8" xfId="6625"/>
    <cellStyle name="20% - Énfasis6 3 8 2" xfId="18931"/>
    <cellStyle name="20% - Énfasis6 3 9" xfId="12827"/>
    <cellStyle name="20% - Énfasis6 4" xfId="207"/>
    <cellStyle name="20% - Énfasis6 4 2" xfId="208"/>
    <cellStyle name="20% - Énfasis6 4 2 2" xfId="209"/>
    <cellStyle name="20% - Énfasis6 4 2 2 2" xfId="2173"/>
    <cellStyle name="20% - Énfasis6 4 2 2 2 2" xfId="5298"/>
    <cellStyle name="20% - Énfasis6 4 2 2 2 2 2" xfId="11501"/>
    <cellStyle name="20% - Énfasis6 4 2 2 2 2 3" xfId="17703"/>
    <cellStyle name="20% - Énfasis6 4 2 2 2 2 4" xfId="56541"/>
    <cellStyle name="20% - Énfasis6 4 2 2 2 3" xfId="8401"/>
    <cellStyle name="20% - Énfasis6 4 2 2 2 4" xfId="14603"/>
    <cellStyle name="20% - Énfasis6 4 2 2 2 5" xfId="53645"/>
    <cellStyle name="20% - Énfasis6 4 2 2 3" xfId="2480"/>
    <cellStyle name="20% - Énfasis6 4 2 2 3 2" xfId="5604"/>
    <cellStyle name="20% - Énfasis6 4 2 2 3 2 2" xfId="11807"/>
    <cellStyle name="20% - Énfasis6 4 2 2 3 2 3" xfId="18009"/>
    <cellStyle name="20% - Énfasis6 4 2 2 3 2 4" xfId="56837"/>
    <cellStyle name="20% - Énfasis6 4 2 2 3 3" xfId="8707"/>
    <cellStyle name="20% - Énfasis6 4 2 2 3 4" xfId="14909"/>
    <cellStyle name="20% - Énfasis6 4 2 2 3 5" xfId="53942"/>
    <cellStyle name="20% - Énfasis6 4 2 2 4" xfId="3532"/>
    <cellStyle name="20% - Énfasis6 4 2 2 4 2" xfId="9736"/>
    <cellStyle name="20% - Énfasis6 4 2 2 4 3" xfId="15938"/>
    <cellStyle name="20% - Énfasis6 4 2 2 4 4" xfId="54909"/>
    <cellStyle name="20% - Énfasis6 4 2 2 5" xfId="6635"/>
    <cellStyle name="20% - Énfasis6 4 2 2 5 2" xfId="19774"/>
    <cellStyle name="20% - Énfasis6 4 2 2 6" xfId="12837"/>
    <cellStyle name="20% - Énfasis6 4 2 2 7" xfId="52278"/>
    <cellStyle name="20% - Énfasis6 4 2 3" xfId="1649"/>
    <cellStyle name="20% - Énfasis6 4 2 3 2" xfId="4774"/>
    <cellStyle name="20% - Énfasis6 4 2 3 2 2" xfId="10977"/>
    <cellStyle name="20% - Énfasis6 4 2 3 2 3" xfId="17179"/>
    <cellStyle name="20% - Énfasis6 4 2 3 2 4" xfId="56050"/>
    <cellStyle name="20% - Énfasis6 4 2 3 3" xfId="7877"/>
    <cellStyle name="20% - Énfasis6 4 2 3 4" xfId="14079"/>
    <cellStyle name="20% - Énfasis6 4 2 3 5" xfId="53160"/>
    <cellStyle name="20% - Énfasis6 4 2 4" xfId="2479"/>
    <cellStyle name="20% - Énfasis6 4 2 4 2" xfId="5603"/>
    <cellStyle name="20% - Énfasis6 4 2 4 2 2" xfId="11806"/>
    <cellStyle name="20% - Énfasis6 4 2 4 2 3" xfId="18008"/>
    <cellStyle name="20% - Énfasis6 4 2 4 2 4" xfId="56836"/>
    <cellStyle name="20% - Énfasis6 4 2 4 3" xfId="8706"/>
    <cellStyle name="20% - Énfasis6 4 2 4 4" xfId="14908"/>
    <cellStyle name="20% - Énfasis6 4 2 4 5" xfId="53941"/>
    <cellStyle name="20% - Énfasis6 4 2 5" xfId="3531"/>
    <cellStyle name="20% - Énfasis6 4 2 5 2" xfId="9735"/>
    <cellStyle name="20% - Énfasis6 4 2 5 3" xfId="15937"/>
    <cellStyle name="20% - Énfasis6 4 2 5 4" xfId="54908"/>
    <cellStyle name="20% - Énfasis6 4 2 6" xfId="6634"/>
    <cellStyle name="20% - Énfasis6 4 2 6 2" xfId="19250"/>
    <cellStyle name="20% - Énfasis6 4 2 6 3" xfId="52277"/>
    <cellStyle name="20% - Énfasis6 4 2 7" xfId="12836"/>
    <cellStyle name="20% - Énfasis6 4 2 8" xfId="22830"/>
    <cellStyle name="20% - Énfasis6 4 3" xfId="210"/>
    <cellStyle name="20% - Énfasis6 4 3 2" xfId="1927"/>
    <cellStyle name="20% - Énfasis6 4 3 2 2" xfId="5052"/>
    <cellStyle name="20% - Énfasis6 4 3 2 2 2" xfId="11255"/>
    <cellStyle name="20% - Énfasis6 4 3 2 2 3" xfId="17457"/>
    <cellStyle name="20% - Énfasis6 4 3 2 2 4" xfId="56313"/>
    <cellStyle name="20% - Énfasis6 4 3 2 3" xfId="8155"/>
    <cellStyle name="20% - Énfasis6 4 3 2 4" xfId="14357"/>
    <cellStyle name="20% - Énfasis6 4 3 2 5" xfId="53419"/>
    <cellStyle name="20% - Énfasis6 4 3 3" xfId="2481"/>
    <cellStyle name="20% - Énfasis6 4 3 3 2" xfId="5605"/>
    <cellStyle name="20% - Énfasis6 4 3 3 2 2" xfId="11808"/>
    <cellStyle name="20% - Énfasis6 4 3 3 2 3" xfId="18010"/>
    <cellStyle name="20% - Énfasis6 4 3 3 2 4" xfId="56838"/>
    <cellStyle name="20% - Énfasis6 4 3 3 3" xfId="8708"/>
    <cellStyle name="20% - Énfasis6 4 3 3 4" xfId="14910"/>
    <cellStyle name="20% - Énfasis6 4 3 3 5" xfId="53943"/>
    <cellStyle name="20% - Énfasis6 4 3 4" xfId="3533"/>
    <cellStyle name="20% - Énfasis6 4 3 4 2" xfId="9737"/>
    <cellStyle name="20% - Énfasis6 4 3 4 3" xfId="15939"/>
    <cellStyle name="20% - Énfasis6 4 3 4 4" xfId="54910"/>
    <cellStyle name="20% - Énfasis6 4 3 5" xfId="6636"/>
    <cellStyle name="20% - Énfasis6 4 3 5 2" xfId="19528"/>
    <cellStyle name="20% - Énfasis6 4 3 6" xfId="12838"/>
    <cellStyle name="20% - Énfasis6 4 3 7" xfId="52056"/>
    <cellStyle name="20% - Énfasis6 4 4" xfId="1403"/>
    <cellStyle name="20% - Énfasis6 4 4 2" xfId="4528"/>
    <cellStyle name="20% - Énfasis6 4 4 2 2" xfId="10731"/>
    <cellStyle name="20% - Énfasis6 4 4 2 3" xfId="16933"/>
    <cellStyle name="20% - Énfasis6 4 4 2 4" xfId="55817"/>
    <cellStyle name="20% - Énfasis6 4 4 3" xfId="7631"/>
    <cellStyle name="20% - Énfasis6 4 4 4" xfId="13833"/>
    <cellStyle name="20% - Énfasis6 4 4 5" xfId="52937"/>
    <cellStyle name="20% - Énfasis6 4 5" xfId="2478"/>
    <cellStyle name="20% - Énfasis6 4 5 2" xfId="5602"/>
    <cellStyle name="20% - Énfasis6 4 5 2 2" xfId="11805"/>
    <cellStyle name="20% - Énfasis6 4 5 2 3" xfId="18007"/>
    <cellStyle name="20% - Énfasis6 4 5 2 4" xfId="56835"/>
    <cellStyle name="20% - Énfasis6 4 5 3" xfId="8705"/>
    <cellStyle name="20% - Énfasis6 4 5 4" xfId="14907"/>
    <cellStyle name="20% - Énfasis6 4 5 5" xfId="53940"/>
    <cellStyle name="20% - Énfasis6 4 6" xfId="3530"/>
    <cellStyle name="20% - Énfasis6 4 6 2" xfId="9734"/>
    <cellStyle name="20% - Énfasis6 4 6 3" xfId="15936"/>
    <cellStyle name="20% - Énfasis6 4 6 4" xfId="54907"/>
    <cellStyle name="20% - Énfasis6 4 7" xfId="6633"/>
    <cellStyle name="20% - Énfasis6 4 7 2" xfId="19004"/>
    <cellStyle name="20% - Énfasis6 4 8" xfId="12835"/>
    <cellStyle name="20% - Énfasis6 4 9" xfId="22829"/>
    <cellStyle name="20% - Énfasis6 5" xfId="211"/>
    <cellStyle name="20% - Énfasis6 5 2" xfId="212"/>
    <cellStyle name="20% - Énfasis6 5 2 2" xfId="2054"/>
    <cellStyle name="20% - Énfasis6 5 2 2 2" xfId="5179"/>
    <cellStyle name="20% - Énfasis6 5 2 2 2 2" xfId="11382"/>
    <cellStyle name="20% - Énfasis6 5 2 2 2 3" xfId="17584"/>
    <cellStyle name="20% - Énfasis6 5 2 2 2 4" xfId="56431"/>
    <cellStyle name="20% - Énfasis6 5 2 2 3" xfId="8282"/>
    <cellStyle name="20% - Énfasis6 5 2 2 4" xfId="14484"/>
    <cellStyle name="20% - Énfasis6 5 2 2 5" xfId="53535"/>
    <cellStyle name="20% - Énfasis6 5 2 3" xfId="2483"/>
    <cellStyle name="20% - Énfasis6 5 2 3 2" xfId="5607"/>
    <cellStyle name="20% - Énfasis6 5 2 3 2 2" xfId="11810"/>
    <cellStyle name="20% - Énfasis6 5 2 3 2 3" xfId="18012"/>
    <cellStyle name="20% - Énfasis6 5 2 3 2 4" xfId="56840"/>
    <cellStyle name="20% - Énfasis6 5 2 3 3" xfId="8710"/>
    <cellStyle name="20% - Énfasis6 5 2 3 4" xfId="14912"/>
    <cellStyle name="20% - Énfasis6 5 2 3 5" xfId="53945"/>
    <cellStyle name="20% - Énfasis6 5 2 4" xfId="3535"/>
    <cellStyle name="20% - Énfasis6 5 2 4 2" xfId="9739"/>
    <cellStyle name="20% - Énfasis6 5 2 4 3" xfId="15941"/>
    <cellStyle name="20% - Énfasis6 5 2 4 4" xfId="54912"/>
    <cellStyle name="20% - Énfasis6 5 2 5" xfId="6638"/>
    <cellStyle name="20% - Énfasis6 5 2 5 2" xfId="19655"/>
    <cellStyle name="20% - Énfasis6 5 2 5 3" xfId="52280"/>
    <cellStyle name="20% - Énfasis6 5 2 6" xfId="12840"/>
    <cellStyle name="20% - Énfasis6 5 2 7" xfId="22832"/>
    <cellStyle name="20% - Énfasis6 5 3" xfId="1530"/>
    <cellStyle name="20% - Énfasis6 5 3 2" xfId="4655"/>
    <cellStyle name="20% - Énfasis6 5 3 2 2" xfId="10858"/>
    <cellStyle name="20% - Énfasis6 5 3 2 3" xfId="17060"/>
    <cellStyle name="20% - Énfasis6 5 3 2 4" xfId="55936"/>
    <cellStyle name="20% - Énfasis6 5 3 3" xfId="7758"/>
    <cellStyle name="20% - Énfasis6 5 3 4" xfId="13960"/>
    <cellStyle name="20% - Énfasis6 5 3 5" xfId="53051"/>
    <cellStyle name="20% - Énfasis6 5 4" xfId="2482"/>
    <cellStyle name="20% - Énfasis6 5 4 2" xfId="5606"/>
    <cellStyle name="20% - Énfasis6 5 4 2 2" xfId="11809"/>
    <cellStyle name="20% - Énfasis6 5 4 2 3" xfId="18011"/>
    <cellStyle name="20% - Énfasis6 5 4 2 4" xfId="56839"/>
    <cellStyle name="20% - Énfasis6 5 4 3" xfId="8709"/>
    <cellStyle name="20% - Énfasis6 5 4 4" xfId="14911"/>
    <cellStyle name="20% - Énfasis6 5 4 5" xfId="53944"/>
    <cellStyle name="20% - Énfasis6 5 5" xfId="3534"/>
    <cellStyle name="20% - Énfasis6 5 5 2" xfId="9738"/>
    <cellStyle name="20% - Énfasis6 5 5 3" xfId="15940"/>
    <cellStyle name="20% - Énfasis6 5 5 4" xfId="54911"/>
    <cellStyle name="20% - Énfasis6 5 6" xfId="6637"/>
    <cellStyle name="20% - Énfasis6 5 6 2" xfId="19131"/>
    <cellStyle name="20% - Énfasis6 5 6 3" xfId="52279"/>
    <cellStyle name="20% - Énfasis6 5 7" xfId="12839"/>
    <cellStyle name="20% - Énfasis6 5 8" xfId="22831"/>
    <cellStyle name="20% - Énfasis6 6" xfId="213"/>
    <cellStyle name="20% - Énfasis6 6 2" xfId="1783"/>
    <cellStyle name="20% - Énfasis6 6 2 2" xfId="4908"/>
    <cellStyle name="20% - Énfasis6 6 2 2 2" xfId="11111"/>
    <cellStyle name="20% - Énfasis6 6 2 2 3" xfId="17313"/>
    <cellStyle name="20% - Énfasis6 6 2 2 4" xfId="56177"/>
    <cellStyle name="20% - Énfasis6 6 2 3" xfId="8011"/>
    <cellStyle name="20% - Énfasis6 6 2 4" xfId="14213"/>
    <cellStyle name="20% - Énfasis6 6 2 5" xfId="53284"/>
    <cellStyle name="20% - Énfasis6 6 3" xfId="2484"/>
    <cellStyle name="20% - Énfasis6 6 3 2" xfId="5608"/>
    <cellStyle name="20% - Énfasis6 6 3 2 2" xfId="11811"/>
    <cellStyle name="20% - Énfasis6 6 3 2 3" xfId="18013"/>
    <cellStyle name="20% - Énfasis6 6 3 2 4" xfId="56841"/>
    <cellStyle name="20% - Énfasis6 6 3 3" xfId="8711"/>
    <cellStyle name="20% - Énfasis6 6 3 4" xfId="14913"/>
    <cellStyle name="20% - Énfasis6 6 3 5" xfId="53946"/>
    <cellStyle name="20% - Énfasis6 6 4" xfId="3536"/>
    <cellStyle name="20% - Énfasis6 6 4 2" xfId="9740"/>
    <cellStyle name="20% - Énfasis6 6 4 3" xfId="15942"/>
    <cellStyle name="20% - Énfasis6 6 4 4" xfId="54913"/>
    <cellStyle name="20% - Énfasis6 6 5" xfId="6639"/>
    <cellStyle name="20% - Énfasis6 6 5 2" xfId="19384"/>
    <cellStyle name="20% - Énfasis6 6 5 3" xfId="52281"/>
    <cellStyle name="20% - Énfasis6 6 6" xfId="12841"/>
    <cellStyle name="20% - Énfasis6 6 7" xfId="22833"/>
    <cellStyle name="20% - Énfasis6 7" xfId="1258"/>
    <cellStyle name="20% - Énfasis6 7 2" xfId="4383"/>
    <cellStyle name="20% - Énfasis6 7 2 2" xfId="10586"/>
    <cellStyle name="20% - Énfasis6 7 2 3" xfId="16788"/>
    <cellStyle name="20% - Énfasis6 7 2 4" xfId="55679"/>
    <cellStyle name="20% - Énfasis6 7 3" xfId="7486"/>
    <cellStyle name="20% - Énfasis6 7 3 2" xfId="52810"/>
    <cellStyle name="20% - Énfasis6 7 4" xfId="13688"/>
    <cellStyle name="20% - Énfasis6 7 5" xfId="22834"/>
    <cellStyle name="20% - Énfasis6 8" xfId="18859"/>
    <cellStyle name="20% - Énfasis6 8 10" xfId="22836"/>
    <cellStyle name="20% - Énfasis6 8 10 2" xfId="22837"/>
    <cellStyle name="20% - Énfasis6 8 10 2 2" xfId="22838"/>
    <cellStyle name="20% - Énfasis6 8 10 3" xfId="22839"/>
    <cellStyle name="20% - Énfasis6 8 11" xfId="22840"/>
    <cellStyle name="20% - Énfasis6 8 11 2" xfId="22841"/>
    <cellStyle name="20% - Énfasis6 8 11 2 2" xfId="22842"/>
    <cellStyle name="20% - Énfasis6 8 11 3" xfId="22843"/>
    <cellStyle name="20% - Énfasis6 8 12" xfId="22844"/>
    <cellStyle name="20% - Énfasis6 8 12 2" xfId="22845"/>
    <cellStyle name="20% - Énfasis6 8 13" xfId="22846"/>
    <cellStyle name="20% - Énfasis6 8 13 2" xfId="22847"/>
    <cellStyle name="20% - Énfasis6 8 14" xfId="22848"/>
    <cellStyle name="20% - Énfasis6 8 15" xfId="22849"/>
    <cellStyle name="20% - Énfasis6 8 16" xfId="22835"/>
    <cellStyle name="20% - Énfasis6 8 2" xfId="22850"/>
    <cellStyle name="20% - Énfasis6 8 2 10" xfId="22851"/>
    <cellStyle name="20% - Énfasis6 8 2 10 2" xfId="22852"/>
    <cellStyle name="20% - Énfasis6 8 2 10 2 2" xfId="22853"/>
    <cellStyle name="20% - Énfasis6 8 2 10 3" xfId="22854"/>
    <cellStyle name="20% - Énfasis6 8 2 11" xfId="22855"/>
    <cellStyle name="20% - Énfasis6 8 2 11 2" xfId="22856"/>
    <cellStyle name="20% - Énfasis6 8 2 12" xfId="22857"/>
    <cellStyle name="20% - Énfasis6 8 2 12 2" xfId="22858"/>
    <cellStyle name="20% - Énfasis6 8 2 13" xfId="22859"/>
    <cellStyle name="20% - Énfasis6 8 2 14" xfId="22860"/>
    <cellStyle name="20% - Énfasis6 8 2 2" xfId="22861"/>
    <cellStyle name="20% - Énfasis6 8 2 2 2" xfId="22862"/>
    <cellStyle name="20% - Énfasis6 8 2 2 2 2" xfId="22863"/>
    <cellStyle name="20% - Énfasis6 8 2 2 2 2 2" xfId="22864"/>
    <cellStyle name="20% - Énfasis6 8 2 2 2 2 2 2" xfId="22865"/>
    <cellStyle name="20% - Énfasis6 8 2 2 2 2 2 2 2" xfId="22866"/>
    <cellStyle name="20% - Énfasis6 8 2 2 2 2 2 3" xfId="22867"/>
    <cellStyle name="20% - Énfasis6 8 2 2 2 2 2 3 2" xfId="22868"/>
    <cellStyle name="20% - Énfasis6 8 2 2 2 2 2 4" xfId="22869"/>
    <cellStyle name="20% - Énfasis6 8 2 2 2 2 3" xfId="22870"/>
    <cellStyle name="20% - Énfasis6 8 2 2 2 2 4" xfId="22871"/>
    <cellStyle name="20% - Énfasis6 8 2 2 2 2 4 2" xfId="22872"/>
    <cellStyle name="20% - Énfasis6 8 2 2 2 2 5" xfId="22873"/>
    <cellStyle name="20% - Énfasis6 8 2 2 2 2_IAS" xfId="22874"/>
    <cellStyle name="20% - Énfasis6 8 2 2 2 3" xfId="22875"/>
    <cellStyle name="20% - Énfasis6 8 2 2 2 3 2" xfId="22876"/>
    <cellStyle name="20% - Énfasis6 8 2 2 2 3 2 2" xfId="22877"/>
    <cellStyle name="20% - Énfasis6 8 2 2 2 3 3" xfId="22878"/>
    <cellStyle name="20% - Énfasis6 8 2 2 2 3 3 2" xfId="22879"/>
    <cellStyle name="20% - Énfasis6 8 2 2 2 3 4" xfId="22880"/>
    <cellStyle name="20% - Énfasis6 8 2 2 2 4" xfId="22881"/>
    <cellStyle name="20% - Énfasis6 8 2 2 2 5" xfId="22882"/>
    <cellStyle name="20% - Énfasis6 8 2 2 2 5 2" xfId="22883"/>
    <cellStyle name="20% - Énfasis6 8 2 2 2 6" xfId="22884"/>
    <cellStyle name="20% - Énfasis6 8 2 2 2_IAS" xfId="22885"/>
    <cellStyle name="20% - Énfasis6 8 2 2 3" xfId="22886"/>
    <cellStyle name="20% - Énfasis6 8 2 2 3 2" xfId="22887"/>
    <cellStyle name="20% - Énfasis6 8 2 2 3 2 2" xfId="22888"/>
    <cellStyle name="20% - Énfasis6 8 2 2 3 2 2 2" xfId="22889"/>
    <cellStyle name="20% - Énfasis6 8 2 2 3 2 3" xfId="22890"/>
    <cellStyle name="20% - Énfasis6 8 2 2 3 2 3 2" xfId="22891"/>
    <cellStyle name="20% - Énfasis6 8 2 2 3 2 4" xfId="22892"/>
    <cellStyle name="20% - Énfasis6 8 2 2 3 3" xfId="22893"/>
    <cellStyle name="20% - Énfasis6 8 2 2 3 4" xfId="22894"/>
    <cellStyle name="20% - Énfasis6 8 2 2 3 4 2" xfId="22895"/>
    <cellStyle name="20% - Énfasis6 8 2 2 3 5" xfId="22896"/>
    <cellStyle name="20% - Énfasis6 8 2 2 3_IAS" xfId="22897"/>
    <cellStyle name="20% - Énfasis6 8 2 2 4" xfId="22898"/>
    <cellStyle name="20% - Énfasis6 8 2 2 4 2" xfId="22899"/>
    <cellStyle name="20% - Énfasis6 8 2 2 4 2 2" xfId="22900"/>
    <cellStyle name="20% - Énfasis6 8 2 2 4 3" xfId="22901"/>
    <cellStyle name="20% - Énfasis6 8 2 2 4 3 2" xfId="22902"/>
    <cellStyle name="20% - Énfasis6 8 2 2 4 4" xfId="22903"/>
    <cellStyle name="20% - Énfasis6 8 2 2 5" xfId="22904"/>
    <cellStyle name="20% - Énfasis6 8 2 2 6" xfId="22905"/>
    <cellStyle name="20% - Énfasis6 8 2 2 6 2" xfId="22906"/>
    <cellStyle name="20% - Énfasis6 8 2 2 7" xfId="22907"/>
    <cellStyle name="20% - Énfasis6 8 2 2_IAS" xfId="22908"/>
    <cellStyle name="20% - Énfasis6 8 2 3" xfId="22909"/>
    <cellStyle name="20% - Énfasis6 8 2 3 2" xfId="22910"/>
    <cellStyle name="20% - Énfasis6 8 2 3 2 2" xfId="22911"/>
    <cellStyle name="20% - Énfasis6 8 2 3 2 2 2" xfId="22912"/>
    <cellStyle name="20% - Énfasis6 8 2 3 2 2 2 2" xfId="22913"/>
    <cellStyle name="20% - Énfasis6 8 2 3 2 2 2 2 2" xfId="22914"/>
    <cellStyle name="20% - Énfasis6 8 2 3 2 2 2 3" xfId="22915"/>
    <cellStyle name="20% - Énfasis6 8 2 3 2 2 2 3 2" xfId="22916"/>
    <cellStyle name="20% - Énfasis6 8 2 3 2 2 2 4" xfId="22917"/>
    <cellStyle name="20% - Énfasis6 8 2 3 2 2 3" xfId="22918"/>
    <cellStyle name="20% - Énfasis6 8 2 3 2 2 4" xfId="22919"/>
    <cellStyle name="20% - Énfasis6 8 2 3 2 2 4 2" xfId="22920"/>
    <cellStyle name="20% - Énfasis6 8 2 3 2 2 5" xfId="22921"/>
    <cellStyle name="20% - Énfasis6 8 2 3 2 2_IAS" xfId="22922"/>
    <cellStyle name="20% - Énfasis6 8 2 3 2 3" xfId="22923"/>
    <cellStyle name="20% - Énfasis6 8 2 3 2 3 2" xfId="22924"/>
    <cellStyle name="20% - Énfasis6 8 2 3 2 3 2 2" xfId="22925"/>
    <cellStyle name="20% - Énfasis6 8 2 3 2 3 3" xfId="22926"/>
    <cellStyle name="20% - Énfasis6 8 2 3 2 3 3 2" xfId="22927"/>
    <cellStyle name="20% - Énfasis6 8 2 3 2 3 4" xfId="22928"/>
    <cellStyle name="20% - Énfasis6 8 2 3 2 4" xfId="22929"/>
    <cellStyle name="20% - Énfasis6 8 2 3 2 5" xfId="22930"/>
    <cellStyle name="20% - Énfasis6 8 2 3 2 5 2" xfId="22931"/>
    <cellStyle name="20% - Énfasis6 8 2 3 2 6" xfId="22932"/>
    <cellStyle name="20% - Énfasis6 8 2 3 2_IAS" xfId="22933"/>
    <cellStyle name="20% - Énfasis6 8 2 3 3" xfId="22934"/>
    <cellStyle name="20% - Énfasis6 8 2 3 3 2" xfId="22935"/>
    <cellStyle name="20% - Énfasis6 8 2 3 3 2 2" xfId="22936"/>
    <cellStyle name="20% - Énfasis6 8 2 3 3 2 2 2" xfId="22937"/>
    <cellStyle name="20% - Énfasis6 8 2 3 3 2 3" xfId="22938"/>
    <cellStyle name="20% - Énfasis6 8 2 3 3 2 3 2" xfId="22939"/>
    <cellStyle name="20% - Énfasis6 8 2 3 3 2 4" xfId="22940"/>
    <cellStyle name="20% - Énfasis6 8 2 3 3 3" xfId="22941"/>
    <cellStyle name="20% - Énfasis6 8 2 3 3 4" xfId="22942"/>
    <cellStyle name="20% - Énfasis6 8 2 3 3 4 2" xfId="22943"/>
    <cellStyle name="20% - Énfasis6 8 2 3 3 5" xfId="22944"/>
    <cellStyle name="20% - Énfasis6 8 2 3 3_IAS" xfId="22945"/>
    <cellStyle name="20% - Énfasis6 8 2 3 4" xfId="22946"/>
    <cellStyle name="20% - Énfasis6 8 2 3 4 2" xfId="22947"/>
    <cellStyle name="20% - Énfasis6 8 2 3 4 2 2" xfId="22948"/>
    <cellStyle name="20% - Énfasis6 8 2 3 4 3" xfId="22949"/>
    <cellStyle name="20% - Énfasis6 8 2 3 4 3 2" xfId="22950"/>
    <cellStyle name="20% - Énfasis6 8 2 3 4 4" xfId="22951"/>
    <cellStyle name="20% - Énfasis6 8 2 3 5" xfId="22952"/>
    <cellStyle name="20% - Énfasis6 8 2 3 6" xfId="22953"/>
    <cellStyle name="20% - Énfasis6 8 2 3 6 2" xfId="22954"/>
    <cellStyle name="20% - Énfasis6 8 2 3 7" xfId="22955"/>
    <cellStyle name="20% - Énfasis6 8 2 3_IAS" xfId="22956"/>
    <cellStyle name="20% - Énfasis6 8 2 4" xfId="22957"/>
    <cellStyle name="20% - Énfasis6 8 2 5" xfId="22958"/>
    <cellStyle name="20% - Énfasis6 8 2 5 2" xfId="22959"/>
    <cellStyle name="20% - Énfasis6 8 2 5 2 2" xfId="22960"/>
    <cellStyle name="20% - Énfasis6 8 2 5 2 2 2" xfId="22961"/>
    <cellStyle name="20% - Énfasis6 8 2 5 2 2 2 2" xfId="22962"/>
    <cellStyle name="20% - Énfasis6 8 2 5 2 2 3" xfId="22963"/>
    <cellStyle name="20% - Énfasis6 8 2 5 2 2 3 2" xfId="22964"/>
    <cellStyle name="20% - Énfasis6 8 2 5 2 2 4" xfId="22965"/>
    <cellStyle name="20% - Énfasis6 8 2 5 2 3" xfId="22966"/>
    <cellStyle name="20% - Énfasis6 8 2 5 2 4" xfId="22967"/>
    <cellStyle name="20% - Énfasis6 8 2 5 2 4 2" xfId="22968"/>
    <cellStyle name="20% - Énfasis6 8 2 5 2 5" xfId="22969"/>
    <cellStyle name="20% - Énfasis6 8 2 5 2_IAS" xfId="22970"/>
    <cellStyle name="20% - Énfasis6 8 2 5 3" xfId="22971"/>
    <cellStyle name="20% - Énfasis6 8 2 5 3 2" xfId="22972"/>
    <cellStyle name="20% - Énfasis6 8 2 5 3 2 2" xfId="22973"/>
    <cellStyle name="20% - Énfasis6 8 2 5 3 3" xfId="22974"/>
    <cellStyle name="20% - Énfasis6 8 2 5 3 3 2" xfId="22975"/>
    <cellStyle name="20% - Énfasis6 8 2 5 3 4" xfId="22976"/>
    <cellStyle name="20% - Énfasis6 8 2 5 4" xfId="22977"/>
    <cellStyle name="20% - Énfasis6 8 2 5 5" xfId="22978"/>
    <cellStyle name="20% - Énfasis6 8 2 5 5 2" xfId="22979"/>
    <cellStyle name="20% - Énfasis6 8 2 5 6" xfId="22980"/>
    <cellStyle name="20% - Énfasis6 8 2 5_IAS" xfId="22981"/>
    <cellStyle name="20% - Énfasis6 8 2 6" xfId="22982"/>
    <cellStyle name="20% - Énfasis6 8 2 6 2" xfId="22983"/>
    <cellStyle name="20% - Énfasis6 8 2 6 2 2" xfId="22984"/>
    <cellStyle name="20% - Énfasis6 8 2 6 2 2 2" xfId="22985"/>
    <cellStyle name="20% - Énfasis6 8 2 6 2 3" xfId="22986"/>
    <cellStyle name="20% - Énfasis6 8 2 6 2 3 2" xfId="22987"/>
    <cellStyle name="20% - Énfasis6 8 2 6 2 4" xfId="22988"/>
    <cellStyle name="20% - Énfasis6 8 2 6 3" xfId="22989"/>
    <cellStyle name="20% - Énfasis6 8 2 6 4" xfId="22990"/>
    <cellStyle name="20% - Énfasis6 8 2 6 4 2" xfId="22991"/>
    <cellStyle name="20% - Énfasis6 8 2 6 5" xfId="22992"/>
    <cellStyle name="20% - Énfasis6 8 2 6_IAS" xfId="22993"/>
    <cellStyle name="20% - Énfasis6 8 2 7" xfId="22994"/>
    <cellStyle name="20% - Énfasis6 8 2 7 2" xfId="22995"/>
    <cellStyle name="20% - Énfasis6 8 2 7 2 2" xfId="22996"/>
    <cellStyle name="20% - Énfasis6 8 2 7 3" xfId="22997"/>
    <cellStyle name="20% - Énfasis6 8 2 7 3 2" xfId="22998"/>
    <cellStyle name="20% - Énfasis6 8 2 7 4" xfId="22999"/>
    <cellStyle name="20% - Énfasis6 8 2 8" xfId="23000"/>
    <cellStyle name="20% - Énfasis6 8 2 8 2" xfId="23001"/>
    <cellStyle name="20% - Énfasis6 8 2 8 2 2" xfId="23002"/>
    <cellStyle name="20% - Énfasis6 8 2 8 3" xfId="23003"/>
    <cellStyle name="20% - Énfasis6 8 2 9" xfId="23004"/>
    <cellStyle name="20% - Énfasis6 8 2 9 2" xfId="23005"/>
    <cellStyle name="20% - Énfasis6 8 2 9 2 2" xfId="23006"/>
    <cellStyle name="20% - Énfasis6 8 2 9 3" xfId="23007"/>
    <cellStyle name="20% - Énfasis6 8 2_IAS" xfId="23008"/>
    <cellStyle name="20% - Énfasis6 8 3" xfId="23009"/>
    <cellStyle name="20% - Énfasis6 8 3 2" xfId="23010"/>
    <cellStyle name="20% - Énfasis6 8 3 2 2" xfId="23011"/>
    <cellStyle name="20% - Énfasis6 8 3 2 2 2" xfId="23012"/>
    <cellStyle name="20% - Énfasis6 8 3 2 2 2 2" xfId="23013"/>
    <cellStyle name="20% - Énfasis6 8 3 2 2 2 2 2" xfId="23014"/>
    <cellStyle name="20% - Énfasis6 8 3 2 2 2 3" xfId="23015"/>
    <cellStyle name="20% - Énfasis6 8 3 2 2 2 3 2" xfId="23016"/>
    <cellStyle name="20% - Énfasis6 8 3 2 2 2 4" xfId="23017"/>
    <cellStyle name="20% - Énfasis6 8 3 2 2 3" xfId="23018"/>
    <cellStyle name="20% - Énfasis6 8 3 2 2 4" xfId="23019"/>
    <cellStyle name="20% - Énfasis6 8 3 2 2 4 2" xfId="23020"/>
    <cellStyle name="20% - Énfasis6 8 3 2 2 5" xfId="23021"/>
    <cellStyle name="20% - Énfasis6 8 3 2 2_IAS" xfId="23022"/>
    <cellStyle name="20% - Énfasis6 8 3 2 3" xfId="23023"/>
    <cellStyle name="20% - Énfasis6 8 3 2 3 2" xfId="23024"/>
    <cellStyle name="20% - Énfasis6 8 3 2 3 2 2" xfId="23025"/>
    <cellStyle name="20% - Énfasis6 8 3 2 3 3" xfId="23026"/>
    <cellStyle name="20% - Énfasis6 8 3 2 3 3 2" xfId="23027"/>
    <cellStyle name="20% - Énfasis6 8 3 2 3 4" xfId="23028"/>
    <cellStyle name="20% - Énfasis6 8 3 2 4" xfId="23029"/>
    <cellStyle name="20% - Énfasis6 8 3 2 5" xfId="23030"/>
    <cellStyle name="20% - Énfasis6 8 3 2 5 2" xfId="23031"/>
    <cellStyle name="20% - Énfasis6 8 3 2 6" xfId="23032"/>
    <cellStyle name="20% - Énfasis6 8 3 2_IAS" xfId="23033"/>
    <cellStyle name="20% - Énfasis6 8 3 3" xfId="23034"/>
    <cellStyle name="20% - Énfasis6 8 3 3 2" xfId="23035"/>
    <cellStyle name="20% - Énfasis6 8 3 3 2 2" xfId="23036"/>
    <cellStyle name="20% - Énfasis6 8 3 3 2 2 2" xfId="23037"/>
    <cellStyle name="20% - Énfasis6 8 3 3 2 3" xfId="23038"/>
    <cellStyle name="20% - Énfasis6 8 3 3 2 3 2" xfId="23039"/>
    <cellStyle name="20% - Énfasis6 8 3 3 2 4" xfId="23040"/>
    <cellStyle name="20% - Énfasis6 8 3 3 3" xfId="23041"/>
    <cellStyle name="20% - Énfasis6 8 3 3 4" xfId="23042"/>
    <cellStyle name="20% - Énfasis6 8 3 3 4 2" xfId="23043"/>
    <cellStyle name="20% - Énfasis6 8 3 3 5" xfId="23044"/>
    <cellStyle name="20% - Énfasis6 8 3 3_IAS" xfId="23045"/>
    <cellStyle name="20% - Énfasis6 8 3 4" xfId="23046"/>
    <cellStyle name="20% - Énfasis6 8 3 4 2" xfId="23047"/>
    <cellStyle name="20% - Énfasis6 8 3 4 2 2" xfId="23048"/>
    <cellStyle name="20% - Énfasis6 8 3 4 3" xfId="23049"/>
    <cellStyle name="20% - Énfasis6 8 3 4 3 2" xfId="23050"/>
    <cellStyle name="20% - Énfasis6 8 3 4 4" xfId="23051"/>
    <cellStyle name="20% - Énfasis6 8 3 5" xfId="23052"/>
    <cellStyle name="20% - Énfasis6 8 3 6" xfId="23053"/>
    <cellStyle name="20% - Énfasis6 8 3 6 2" xfId="23054"/>
    <cellStyle name="20% - Énfasis6 8 3 7" xfId="23055"/>
    <cellStyle name="20% - Énfasis6 8 3_IAS" xfId="23056"/>
    <cellStyle name="20% - Énfasis6 8 4" xfId="23057"/>
    <cellStyle name="20% - Énfasis6 8 4 2" xfId="23058"/>
    <cellStyle name="20% - Énfasis6 8 4 2 2" xfId="23059"/>
    <cellStyle name="20% - Énfasis6 8 4 2 2 2" xfId="23060"/>
    <cellStyle name="20% - Énfasis6 8 4 2 2 2 2" xfId="23061"/>
    <cellStyle name="20% - Énfasis6 8 4 2 2 2 2 2" xfId="23062"/>
    <cellStyle name="20% - Énfasis6 8 4 2 2 2 3" xfId="23063"/>
    <cellStyle name="20% - Énfasis6 8 4 2 2 2 3 2" xfId="23064"/>
    <cellStyle name="20% - Énfasis6 8 4 2 2 2 4" xfId="23065"/>
    <cellStyle name="20% - Énfasis6 8 4 2 2 3" xfId="23066"/>
    <cellStyle name="20% - Énfasis6 8 4 2 2 4" xfId="23067"/>
    <cellStyle name="20% - Énfasis6 8 4 2 2 4 2" xfId="23068"/>
    <cellStyle name="20% - Énfasis6 8 4 2 2 5" xfId="23069"/>
    <cellStyle name="20% - Énfasis6 8 4 2 2_IAS" xfId="23070"/>
    <cellStyle name="20% - Énfasis6 8 4 2 3" xfId="23071"/>
    <cellStyle name="20% - Énfasis6 8 4 2 3 2" xfId="23072"/>
    <cellStyle name="20% - Énfasis6 8 4 2 3 2 2" xfId="23073"/>
    <cellStyle name="20% - Énfasis6 8 4 2 3 3" xfId="23074"/>
    <cellStyle name="20% - Énfasis6 8 4 2 3 3 2" xfId="23075"/>
    <cellStyle name="20% - Énfasis6 8 4 2 3 4" xfId="23076"/>
    <cellStyle name="20% - Énfasis6 8 4 2 4" xfId="23077"/>
    <cellStyle name="20% - Énfasis6 8 4 2 5" xfId="23078"/>
    <cellStyle name="20% - Énfasis6 8 4 2 5 2" xfId="23079"/>
    <cellStyle name="20% - Énfasis6 8 4 2 6" xfId="23080"/>
    <cellStyle name="20% - Énfasis6 8 4 2_IAS" xfId="23081"/>
    <cellStyle name="20% - Énfasis6 8 4 3" xfId="23082"/>
    <cellStyle name="20% - Énfasis6 8 4 3 2" xfId="23083"/>
    <cellStyle name="20% - Énfasis6 8 4 3 2 2" xfId="23084"/>
    <cellStyle name="20% - Énfasis6 8 4 3 2 2 2" xfId="23085"/>
    <cellStyle name="20% - Énfasis6 8 4 3 2 3" xfId="23086"/>
    <cellStyle name="20% - Énfasis6 8 4 3 2 3 2" xfId="23087"/>
    <cellStyle name="20% - Énfasis6 8 4 3 2 4" xfId="23088"/>
    <cellStyle name="20% - Énfasis6 8 4 3 3" xfId="23089"/>
    <cellStyle name="20% - Énfasis6 8 4 3 4" xfId="23090"/>
    <cellStyle name="20% - Énfasis6 8 4 3 4 2" xfId="23091"/>
    <cellStyle name="20% - Énfasis6 8 4 3 5" xfId="23092"/>
    <cellStyle name="20% - Énfasis6 8 4 3_IAS" xfId="23093"/>
    <cellStyle name="20% - Énfasis6 8 4 4" xfId="23094"/>
    <cellStyle name="20% - Énfasis6 8 4 4 2" xfId="23095"/>
    <cellStyle name="20% - Énfasis6 8 4 4 2 2" xfId="23096"/>
    <cellStyle name="20% - Énfasis6 8 4 4 3" xfId="23097"/>
    <cellStyle name="20% - Énfasis6 8 4 4 3 2" xfId="23098"/>
    <cellStyle name="20% - Énfasis6 8 4 4 4" xfId="23099"/>
    <cellStyle name="20% - Énfasis6 8 4 5" xfId="23100"/>
    <cellStyle name="20% - Énfasis6 8 4 6" xfId="23101"/>
    <cellStyle name="20% - Énfasis6 8 4 6 2" xfId="23102"/>
    <cellStyle name="20% - Énfasis6 8 4 7" xfId="23103"/>
    <cellStyle name="20% - Énfasis6 8 4_IAS" xfId="23104"/>
    <cellStyle name="20% - Énfasis6 8 5" xfId="23105"/>
    <cellStyle name="20% - Énfasis6 8 6" xfId="23106"/>
    <cellStyle name="20% - Énfasis6 8 6 2" xfId="23107"/>
    <cellStyle name="20% - Énfasis6 8 6 2 2" xfId="23108"/>
    <cellStyle name="20% - Énfasis6 8 6 2 2 2" xfId="23109"/>
    <cellStyle name="20% - Énfasis6 8 6 2 2 2 2" xfId="23110"/>
    <cellStyle name="20% - Énfasis6 8 6 2 2 3" xfId="23111"/>
    <cellStyle name="20% - Énfasis6 8 6 2 2 3 2" xfId="23112"/>
    <cellStyle name="20% - Énfasis6 8 6 2 2 4" xfId="23113"/>
    <cellStyle name="20% - Énfasis6 8 6 2 3" xfId="23114"/>
    <cellStyle name="20% - Énfasis6 8 6 2 4" xfId="23115"/>
    <cellStyle name="20% - Énfasis6 8 6 2 4 2" xfId="23116"/>
    <cellStyle name="20% - Énfasis6 8 6 2 5" xfId="23117"/>
    <cellStyle name="20% - Énfasis6 8 6 2_IAS" xfId="23118"/>
    <cellStyle name="20% - Énfasis6 8 6 3" xfId="23119"/>
    <cellStyle name="20% - Énfasis6 8 6 3 2" xfId="23120"/>
    <cellStyle name="20% - Énfasis6 8 6 3 2 2" xfId="23121"/>
    <cellStyle name="20% - Énfasis6 8 6 3 3" xfId="23122"/>
    <cellStyle name="20% - Énfasis6 8 6 3 3 2" xfId="23123"/>
    <cellStyle name="20% - Énfasis6 8 6 3 4" xfId="23124"/>
    <cellStyle name="20% - Énfasis6 8 6 4" xfId="23125"/>
    <cellStyle name="20% - Énfasis6 8 6 5" xfId="23126"/>
    <cellStyle name="20% - Énfasis6 8 6 5 2" xfId="23127"/>
    <cellStyle name="20% - Énfasis6 8 6 6" xfId="23128"/>
    <cellStyle name="20% - Énfasis6 8 6_IAS" xfId="23129"/>
    <cellStyle name="20% - Énfasis6 8 7" xfId="23130"/>
    <cellStyle name="20% - Énfasis6 8 7 2" xfId="23131"/>
    <cellStyle name="20% - Énfasis6 8 7 2 2" xfId="23132"/>
    <cellStyle name="20% - Énfasis6 8 7 2 2 2" xfId="23133"/>
    <cellStyle name="20% - Énfasis6 8 7 2 3" xfId="23134"/>
    <cellStyle name="20% - Énfasis6 8 7 2 3 2" xfId="23135"/>
    <cellStyle name="20% - Énfasis6 8 7 2 4" xfId="23136"/>
    <cellStyle name="20% - Énfasis6 8 7 3" xfId="23137"/>
    <cellStyle name="20% - Énfasis6 8 7 4" xfId="23138"/>
    <cellStyle name="20% - Énfasis6 8 7 4 2" xfId="23139"/>
    <cellStyle name="20% - Énfasis6 8 7 5" xfId="23140"/>
    <cellStyle name="20% - Énfasis6 8 7_IAS" xfId="23141"/>
    <cellStyle name="20% - Énfasis6 8 8" xfId="23142"/>
    <cellStyle name="20% - Énfasis6 8 8 2" xfId="23143"/>
    <cellStyle name="20% - Énfasis6 8 8 2 2" xfId="23144"/>
    <cellStyle name="20% - Énfasis6 8 8 3" xfId="23145"/>
    <cellStyle name="20% - Énfasis6 8 8 3 2" xfId="23146"/>
    <cellStyle name="20% - Énfasis6 8 8 4" xfId="23147"/>
    <cellStyle name="20% - Énfasis6 8 9" xfId="23148"/>
    <cellStyle name="20% - Énfasis6 8 9 2" xfId="23149"/>
    <cellStyle name="20% - Énfasis6 8 9 2 2" xfId="23150"/>
    <cellStyle name="20% - Énfasis6 8 9 3" xfId="23151"/>
    <cellStyle name="20% - Énfasis6 8_AGF" xfId="23152"/>
    <cellStyle name="20% - Énfasis6 9" xfId="23153"/>
    <cellStyle name="20% - Énfasis6 9 10" xfId="23154"/>
    <cellStyle name="20% - Énfasis6 9 10 2" xfId="23155"/>
    <cellStyle name="20% - Énfasis6 9 10 2 2" xfId="23156"/>
    <cellStyle name="20% - Énfasis6 9 10 3" xfId="23157"/>
    <cellStyle name="20% - Énfasis6 9 11" xfId="23158"/>
    <cellStyle name="20% - Énfasis6 9 11 2" xfId="23159"/>
    <cellStyle name="20% - Énfasis6 9 12" xfId="23160"/>
    <cellStyle name="20% - Énfasis6 9 12 2" xfId="23161"/>
    <cellStyle name="20% - Énfasis6 9 13" xfId="23162"/>
    <cellStyle name="20% - Énfasis6 9 14" xfId="23163"/>
    <cellStyle name="20% - Énfasis6 9 2" xfId="23164"/>
    <cellStyle name="20% - Énfasis6 9 2 2" xfId="23165"/>
    <cellStyle name="20% - Énfasis6 9 2 2 2" xfId="23166"/>
    <cellStyle name="20% - Énfasis6 9 2 2 2 2" xfId="23167"/>
    <cellStyle name="20% - Énfasis6 9 2 2 2 2 2" xfId="23168"/>
    <cellStyle name="20% - Énfasis6 9 2 2 2 2 2 2" xfId="23169"/>
    <cellStyle name="20% - Énfasis6 9 2 2 2 2 3" xfId="23170"/>
    <cellStyle name="20% - Énfasis6 9 2 2 2 2 3 2" xfId="23171"/>
    <cellStyle name="20% - Énfasis6 9 2 2 2 2 4" xfId="23172"/>
    <cellStyle name="20% - Énfasis6 9 2 2 2 3" xfId="23173"/>
    <cellStyle name="20% - Énfasis6 9 2 2 2 4" xfId="23174"/>
    <cellStyle name="20% - Énfasis6 9 2 2 2 4 2" xfId="23175"/>
    <cellStyle name="20% - Énfasis6 9 2 2 2 5" xfId="23176"/>
    <cellStyle name="20% - Énfasis6 9 2 2 2_IAS" xfId="23177"/>
    <cellStyle name="20% - Énfasis6 9 2 2 3" xfId="23178"/>
    <cellStyle name="20% - Énfasis6 9 2 2 3 2" xfId="23179"/>
    <cellStyle name="20% - Énfasis6 9 2 2 3 2 2" xfId="23180"/>
    <cellStyle name="20% - Énfasis6 9 2 2 3 3" xfId="23181"/>
    <cellStyle name="20% - Énfasis6 9 2 2 3 3 2" xfId="23182"/>
    <cellStyle name="20% - Énfasis6 9 2 2 3 4" xfId="23183"/>
    <cellStyle name="20% - Énfasis6 9 2 2 4" xfId="23184"/>
    <cellStyle name="20% - Énfasis6 9 2 2 5" xfId="23185"/>
    <cellStyle name="20% - Énfasis6 9 2 2 5 2" xfId="23186"/>
    <cellStyle name="20% - Énfasis6 9 2 2 6" xfId="23187"/>
    <cellStyle name="20% - Énfasis6 9 2 2_IAS" xfId="23188"/>
    <cellStyle name="20% - Énfasis6 9 2 3" xfId="23189"/>
    <cellStyle name="20% - Énfasis6 9 2 3 2" xfId="23190"/>
    <cellStyle name="20% - Énfasis6 9 2 3 2 2" xfId="23191"/>
    <cellStyle name="20% - Énfasis6 9 2 3 2 2 2" xfId="23192"/>
    <cellStyle name="20% - Énfasis6 9 2 3 2 3" xfId="23193"/>
    <cellStyle name="20% - Énfasis6 9 2 3 2 3 2" xfId="23194"/>
    <cellStyle name="20% - Énfasis6 9 2 3 2 4" xfId="23195"/>
    <cellStyle name="20% - Énfasis6 9 2 3 3" xfId="23196"/>
    <cellStyle name="20% - Énfasis6 9 2 3 4" xfId="23197"/>
    <cellStyle name="20% - Énfasis6 9 2 3 4 2" xfId="23198"/>
    <cellStyle name="20% - Énfasis6 9 2 3 5" xfId="23199"/>
    <cellStyle name="20% - Énfasis6 9 2 3_IAS" xfId="23200"/>
    <cellStyle name="20% - Énfasis6 9 2 4" xfId="23201"/>
    <cellStyle name="20% - Énfasis6 9 2 4 2" xfId="23202"/>
    <cellStyle name="20% - Énfasis6 9 2 4 2 2" xfId="23203"/>
    <cellStyle name="20% - Énfasis6 9 2 4 3" xfId="23204"/>
    <cellStyle name="20% - Énfasis6 9 2 4 3 2" xfId="23205"/>
    <cellStyle name="20% - Énfasis6 9 2 4 4" xfId="23206"/>
    <cellStyle name="20% - Énfasis6 9 2 5" xfId="23207"/>
    <cellStyle name="20% - Énfasis6 9 2 6" xfId="23208"/>
    <cellStyle name="20% - Énfasis6 9 2 6 2" xfId="23209"/>
    <cellStyle name="20% - Énfasis6 9 2 7" xfId="23210"/>
    <cellStyle name="20% - Énfasis6 9 2_IAS" xfId="23211"/>
    <cellStyle name="20% - Énfasis6 9 3" xfId="23212"/>
    <cellStyle name="20% - Énfasis6 9 3 2" xfId="23213"/>
    <cellStyle name="20% - Énfasis6 9 3 2 2" xfId="23214"/>
    <cellStyle name="20% - Énfasis6 9 3 2 2 2" xfId="23215"/>
    <cellStyle name="20% - Énfasis6 9 3 2 2 2 2" xfId="23216"/>
    <cellStyle name="20% - Énfasis6 9 3 2 2 2 2 2" xfId="23217"/>
    <cellStyle name="20% - Énfasis6 9 3 2 2 2 3" xfId="23218"/>
    <cellStyle name="20% - Énfasis6 9 3 2 2 2 3 2" xfId="23219"/>
    <cellStyle name="20% - Énfasis6 9 3 2 2 2 4" xfId="23220"/>
    <cellStyle name="20% - Énfasis6 9 3 2 2 3" xfId="23221"/>
    <cellStyle name="20% - Énfasis6 9 3 2 2 4" xfId="23222"/>
    <cellStyle name="20% - Énfasis6 9 3 2 2 4 2" xfId="23223"/>
    <cellStyle name="20% - Énfasis6 9 3 2 2 5" xfId="23224"/>
    <cellStyle name="20% - Énfasis6 9 3 2 2_IAS" xfId="23225"/>
    <cellStyle name="20% - Énfasis6 9 3 2 3" xfId="23226"/>
    <cellStyle name="20% - Énfasis6 9 3 2 3 2" xfId="23227"/>
    <cellStyle name="20% - Énfasis6 9 3 2 3 2 2" xfId="23228"/>
    <cellStyle name="20% - Énfasis6 9 3 2 3 3" xfId="23229"/>
    <cellStyle name="20% - Énfasis6 9 3 2 3 3 2" xfId="23230"/>
    <cellStyle name="20% - Énfasis6 9 3 2 3 4" xfId="23231"/>
    <cellStyle name="20% - Énfasis6 9 3 2 4" xfId="23232"/>
    <cellStyle name="20% - Énfasis6 9 3 2 5" xfId="23233"/>
    <cellStyle name="20% - Énfasis6 9 3 2 5 2" xfId="23234"/>
    <cellStyle name="20% - Énfasis6 9 3 2 6" xfId="23235"/>
    <cellStyle name="20% - Énfasis6 9 3 2_IAS" xfId="23236"/>
    <cellStyle name="20% - Énfasis6 9 3 3" xfId="23237"/>
    <cellStyle name="20% - Énfasis6 9 3 3 2" xfId="23238"/>
    <cellStyle name="20% - Énfasis6 9 3 3 2 2" xfId="23239"/>
    <cellStyle name="20% - Énfasis6 9 3 3 2 2 2" xfId="23240"/>
    <cellStyle name="20% - Énfasis6 9 3 3 2 3" xfId="23241"/>
    <cellStyle name="20% - Énfasis6 9 3 3 2 3 2" xfId="23242"/>
    <cellStyle name="20% - Énfasis6 9 3 3 2 4" xfId="23243"/>
    <cellStyle name="20% - Énfasis6 9 3 3 3" xfId="23244"/>
    <cellStyle name="20% - Énfasis6 9 3 3 4" xfId="23245"/>
    <cellStyle name="20% - Énfasis6 9 3 3 4 2" xfId="23246"/>
    <cellStyle name="20% - Énfasis6 9 3 3 5" xfId="23247"/>
    <cellStyle name="20% - Énfasis6 9 3 3_IAS" xfId="23248"/>
    <cellStyle name="20% - Énfasis6 9 3 4" xfId="23249"/>
    <cellStyle name="20% - Énfasis6 9 3 4 2" xfId="23250"/>
    <cellStyle name="20% - Énfasis6 9 3 4 2 2" xfId="23251"/>
    <cellStyle name="20% - Énfasis6 9 3 4 3" xfId="23252"/>
    <cellStyle name="20% - Énfasis6 9 3 4 3 2" xfId="23253"/>
    <cellStyle name="20% - Énfasis6 9 3 4 4" xfId="23254"/>
    <cellStyle name="20% - Énfasis6 9 3 5" xfId="23255"/>
    <cellStyle name="20% - Énfasis6 9 3 6" xfId="23256"/>
    <cellStyle name="20% - Énfasis6 9 3 6 2" xfId="23257"/>
    <cellStyle name="20% - Énfasis6 9 3 7" xfId="23258"/>
    <cellStyle name="20% - Énfasis6 9 3_IAS" xfId="23259"/>
    <cellStyle name="20% - Énfasis6 9 4" xfId="23260"/>
    <cellStyle name="20% - Énfasis6 9 5" xfId="23261"/>
    <cellStyle name="20% - Énfasis6 9 5 2" xfId="23262"/>
    <cellStyle name="20% - Énfasis6 9 5 2 2" xfId="23263"/>
    <cellStyle name="20% - Énfasis6 9 5 2 2 2" xfId="23264"/>
    <cellStyle name="20% - Énfasis6 9 5 2 2 2 2" xfId="23265"/>
    <cellStyle name="20% - Énfasis6 9 5 2 2 3" xfId="23266"/>
    <cellStyle name="20% - Énfasis6 9 5 2 2 3 2" xfId="23267"/>
    <cellStyle name="20% - Énfasis6 9 5 2 2 4" xfId="23268"/>
    <cellStyle name="20% - Énfasis6 9 5 2 3" xfId="23269"/>
    <cellStyle name="20% - Énfasis6 9 5 2 4" xfId="23270"/>
    <cellStyle name="20% - Énfasis6 9 5 2 4 2" xfId="23271"/>
    <cellStyle name="20% - Énfasis6 9 5 2 5" xfId="23272"/>
    <cellStyle name="20% - Énfasis6 9 5 2_IAS" xfId="23273"/>
    <cellStyle name="20% - Énfasis6 9 5 3" xfId="23274"/>
    <cellStyle name="20% - Énfasis6 9 5 3 2" xfId="23275"/>
    <cellStyle name="20% - Énfasis6 9 5 3 2 2" xfId="23276"/>
    <cellStyle name="20% - Énfasis6 9 5 3 3" xfId="23277"/>
    <cellStyle name="20% - Énfasis6 9 5 3 3 2" xfId="23278"/>
    <cellStyle name="20% - Énfasis6 9 5 3 4" xfId="23279"/>
    <cellStyle name="20% - Énfasis6 9 5 4" xfId="23280"/>
    <cellStyle name="20% - Énfasis6 9 5 5" xfId="23281"/>
    <cellStyle name="20% - Énfasis6 9 5 5 2" xfId="23282"/>
    <cellStyle name="20% - Énfasis6 9 5 6" xfId="23283"/>
    <cellStyle name="20% - Énfasis6 9 5_IAS" xfId="23284"/>
    <cellStyle name="20% - Énfasis6 9 6" xfId="23285"/>
    <cellStyle name="20% - Énfasis6 9 6 2" xfId="23286"/>
    <cellStyle name="20% - Énfasis6 9 6 2 2" xfId="23287"/>
    <cellStyle name="20% - Énfasis6 9 6 2 2 2" xfId="23288"/>
    <cellStyle name="20% - Énfasis6 9 6 2 3" xfId="23289"/>
    <cellStyle name="20% - Énfasis6 9 6 2 3 2" xfId="23290"/>
    <cellStyle name="20% - Énfasis6 9 6 2 4" xfId="23291"/>
    <cellStyle name="20% - Énfasis6 9 6 3" xfId="23292"/>
    <cellStyle name="20% - Énfasis6 9 6 4" xfId="23293"/>
    <cellStyle name="20% - Énfasis6 9 6 4 2" xfId="23294"/>
    <cellStyle name="20% - Énfasis6 9 6 5" xfId="23295"/>
    <cellStyle name="20% - Énfasis6 9 6_IAS" xfId="23296"/>
    <cellStyle name="20% - Énfasis6 9 7" xfId="23297"/>
    <cellStyle name="20% - Énfasis6 9 7 2" xfId="23298"/>
    <cellStyle name="20% - Énfasis6 9 7 2 2" xfId="23299"/>
    <cellStyle name="20% - Énfasis6 9 7 3" xfId="23300"/>
    <cellStyle name="20% - Énfasis6 9 7 3 2" xfId="23301"/>
    <cellStyle name="20% - Énfasis6 9 7 4" xfId="23302"/>
    <cellStyle name="20% - Énfasis6 9 8" xfId="23303"/>
    <cellStyle name="20% - Énfasis6 9 8 2" xfId="23304"/>
    <cellStyle name="20% - Énfasis6 9 8 2 2" xfId="23305"/>
    <cellStyle name="20% - Énfasis6 9 8 3" xfId="23306"/>
    <cellStyle name="20% - Énfasis6 9 9" xfId="23307"/>
    <cellStyle name="20% - Énfasis6 9 9 2" xfId="23308"/>
    <cellStyle name="20% - Énfasis6 9 9 2 2" xfId="23309"/>
    <cellStyle name="20% - Énfasis6 9 9 3" xfId="23310"/>
    <cellStyle name="20% - Énfasis6 9_IAS" xfId="23311"/>
    <cellStyle name="40 % - Accent1" xfId="23312"/>
    <cellStyle name="40 % - Accent2" xfId="23313"/>
    <cellStyle name="40 % - Accent3" xfId="23314"/>
    <cellStyle name="40 % - Accent4" xfId="23315"/>
    <cellStyle name="40 % - Accent5" xfId="23316"/>
    <cellStyle name="40 % - Accent6" xfId="23317"/>
    <cellStyle name="40% - Accent1" xfId="23318"/>
    <cellStyle name="40% - Accent1 2" xfId="23319"/>
    <cellStyle name="40% - Accent1 3" xfId="23320"/>
    <cellStyle name="40% - Accent1 4" xfId="23321"/>
    <cellStyle name="40% - Accent1 5" xfId="23322"/>
    <cellStyle name="40% - Accent1 6" xfId="23323"/>
    <cellStyle name="40% - Accent1 7" xfId="23324"/>
    <cellStyle name="40% - Accent1 7 2" xfId="23325"/>
    <cellStyle name="40% - Accent1 7 2 2" xfId="23326"/>
    <cellStyle name="40% - Accent1 7 3" xfId="23327"/>
    <cellStyle name="40% - Accent1_CC by Function (InsightZ)" xfId="23328"/>
    <cellStyle name="40% - Accent2" xfId="23329"/>
    <cellStyle name="40% - Accent2 2" xfId="23330"/>
    <cellStyle name="40% - Accent2 3" xfId="23331"/>
    <cellStyle name="40% - Accent2 4" xfId="23332"/>
    <cellStyle name="40% - Accent2 5" xfId="23333"/>
    <cellStyle name="40% - Accent2 6" xfId="23334"/>
    <cellStyle name="40% - Accent2 7" xfId="23335"/>
    <cellStyle name="40% - Accent2 7 2" xfId="23336"/>
    <cellStyle name="40% - Accent2 7 2 2" xfId="23337"/>
    <cellStyle name="40% - Accent2 7 3" xfId="23338"/>
    <cellStyle name="40% - Accent2_CC by Function (InsightZ)" xfId="23339"/>
    <cellStyle name="40% - Accent3" xfId="23340"/>
    <cellStyle name="40% - Accent3 2" xfId="23341"/>
    <cellStyle name="40% - Accent3 3" xfId="23342"/>
    <cellStyle name="40% - Accent3 4" xfId="23343"/>
    <cellStyle name="40% - Accent3 5" xfId="23344"/>
    <cellStyle name="40% - Accent3 6" xfId="23345"/>
    <cellStyle name="40% - Accent3 7" xfId="23346"/>
    <cellStyle name="40% - Accent3 7 2" xfId="23347"/>
    <cellStyle name="40% - Accent3 7 2 2" xfId="23348"/>
    <cellStyle name="40% - Accent3 7 3" xfId="23349"/>
    <cellStyle name="40% - Accent3_CC by Function (InsightZ)" xfId="23350"/>
    <cellStyle name="40% - Accent4" xfId="23351"/>
    <cellStyle name="40% - Accent4 2" xfId="23352"/>
    <cellStyle name="40% - Accent4 3" xfId="23353"/>
    <cellStyle name="40% - Accent4 4" xfId="23354"/>
    <cellStyle name="40% - Accent4 5" xfId="23355"/>
    <cellStyle name="40% - Accent4 6" xfId="23356"/>
    <cellStyle name="40% - Accent4 7" xfId="23357"/>
    <cellStyle name="40% - Accent4 7 2" xfId="23358"/>
    <cellStyle name="40% - Accent4 7 2 2" xfId="23359"/>
    <cellStyle name="40% - Accent4 7 3" xfId="23360"/>
    <cellStyle name="40% - Accent4_CC by Function (InsightZ)" xfId="23361"/>
    <cellStyle name="40% - Accent5" xfId="23362"/>
    <cellStyle name="40% - Accent5 2" xfId="23363"/>
    <cellStyle name="40% - Accent5 3" xfId="23364"/>
    <cellStyle name="40% - Accent5 4" xfId="23365"/>
    <cellStyle name="40% - Accent5 5" xfId="23366"/>
    <cellStyle name="40% - Accent5 6" xfId="23367"/>
    <cellStyle name="40% - Accent5 7" xfId="23368"/>
    <cellStyle name="40% - Accent5 7 2" xfId="23369"/>
    <cellStyle name="40% - Accent5 7 2 2" xfId="23370"/>
    <cellStyle name="40% - Accent5 7 3" xfId="23371"/>
    <cellStyle name="40% - Accent5_CC by Function (InsightZ)" xfId="23372"/>
    <cellStyle name="40% - Accent6" xfId="23373"/>
    <cellStyle name="40% - Accent6 2" xfId="23374"/>
    <cellStyle name="40% - Accent6 3" xfId="23375"/>
    <cellStyle name="40% - Accent6 4" xfId="23376"/>
    <cellStyle name="40% - Accent6 5" xfId="23377"/>
    <cellStyle name="40% - Accent6 6" xfId="23378"/>
    <cellStyle name="40% - Accent6 7" xfId="23379"/>
    <cellStyle name="40% - Accent6 7 2" xfId="23380"/>
    <cellStyle name="40% - Accent6 7 2 2" xfId="23381"/>
    <cellStyle name="40% - Accent6 7 3" xfId="23382"/>
    <cellStyle name="40% - Accent6_CC by Function (InsightZ)" xfId="23383"/>
    <cellStyle name="40% - akcent 1" xfId="214"/>
    <cellStyle name="40% - akcent 2" xfId="215"/>
    <cellStyle name="40% - akcent 3" xfId="216"/>
    <cellStyle name="40% - akcent 4" xfId="217"/>
    <cellStyle name="40% - akcent 5" xfId="218"/>
    <cellStyle name="40% - akcent 6" xfId="219"/>
    <cellStyle name="40% - Akzent1" xfId="23384"/>
    <cellStyle name="40% - Akzent1 2" xfId="23385"/>
    <cellStyle name="40% - Akzent1 3" xfId="23386"/>
    <cellStyle name="40% - Akzent2" xfId="23387"/>
    <cellStyle name="40% - Akzent2 2" xfId="23388"/>
    <cellStyle name="40% - Akzent2 3" xfId="23389"/>
    <cellStyle name="40% - Akzent3" xfId="23390"/>
    <cellStyle name="40% - Akzent3 2" xfId="23391"/>
    <cellStyle name="40% - Akzent3 3" xfId="23392"/>
    <cellStyle name="40% - Akzent4" xfId="23393"/>
    <cellStyle name="40% - Akzent4 2" xfId="23394"/>
    <cellStyle name="40% - Akzent4 3" xfId="23395"/>
    <cellStyle name="40% - Akzent5" xfId="23396"/>
    <cellStyle name="40% - Akzent5 2" xfId="23397"/>
    <cellStyle name="40% - Akzent5 3" xfId="23398"/>
    <cellStyle name="40% - Akzent6" xfId="23399"/>
    <cellStyle name="40% - Akzent6 2" xfId="23400"/>
    <cellStyle name="40% - Akzent6 3" xfId="23401"/>
    <cellStyle name="40% - Ênfase1" xfId="23402"/>
    <cellStyle name="40% - Ênfase2" xfId="23403"/>
    <cellStyle name="40% - Ênfase3" xfId="23404"/>
    <cellStyle name="40% - Ênfase4" xfId="23405"/>
    <cellStyle name="40% - Ênfase5" xfId="23406"/>
    <cellStyle name="40% - Ênfase6" xfId="23407"/>
    <cellStyle name="40% - Énfasis1 10" xfId="23408"/>
    <cellStyle name="40% - Énfasis1 10 2" xfId="23409"/>
    <cellStyle name="40% - Énfasis1 10 2 2" xfId="23410"/>
    <cellStyle name="40% - Énfasis1 10 2 2 2" xfId="23411"/>
    <cellStyle name="40% - Énfasis1 10 2 3" xfId="23412"/>
    <cellStyle name="40% - Énfasis1 10 2 3 2" xfId="23413"/>
    <cellStyle name="40% - Énfasis1 10 2 4" xfId="23414"/>
    <cellStyle name="40% - Énfasis1 10 3" xfId="23415"/>
    <cellStyle name="40% - Énfasis1 10 4" xfId="23416"/>
    <cellStyle name="40% - Énfasis1 10 4 2" xfId="23417"/>
    <cellStyle name="40% - Énfasis1 10 5" xfId="23418"/>
    <cellStyle name="40% - Énfasis1 10_IAS" xfId="23419"/>
    <cellStyle name="40% - Énfasis1 11" xfId="23420"/>
    <cellStyle name="40% - Énfasis1 11 2" xfId="23421"/>
    <cellStyle name="40% - Énfasis1 11 2 2" xfId="23422"/>
    <cellStyle name="40% - Énfasis1 11 3" xfId="23423"/>
    <cellStyle name="40% - Énfasis1 11 3 2" xfId="23424"/>
    <cellStyle name="40% - Énfasis1 11 4" xfId="23425"/>
    <cellStyle name="40% - Énfasis1 11_IAS" xfId="23426"/>
    <cellStyle name="40% - Énfasis1 12" xfId="23427"/>
    <cellStyle name="40% - Énfasis1 12 2" xfId="23428"/>
    <cellStyle name="40% - Énfasis1 13" xfId="23429"/>
    <cellStyle name="40% - Énfasis1 13 2" xfId="23430"/>
    <cellStyle name="40% - Énfasis1 14" xfId="23431"/>
    <cellStyle name="40% - Énfasis1 14 2" xfId="23432"/>
    <cellStyle name="40% - Énfasis1 15" xfId="23433"/>
    <cellStyle name="40% - Énfasis1 16" xfId="19906"/>
    <cellStyle name="40% - Énfasis1 2" xfId="220"/>
    <cellStyle name="40% - Énfasis1 2 10" xfId="12842"/>
    <cellStyle name="40% - Énfasis1 2 11" xfId="23434"/>
    <cellStyle name="40% - Énfasis1 2 2" xfId="221"/>
    <cellStyle name="40% - Énfasis1 2 2 10" xfId="23435"/>
    <cellStyle name="40% - Énfasis1 2 2 2" xfId="222"/>
    <cellStyle name="40% - Énfasis1 2 2 2 2" xfId="223"/>
    <cellStyle name="40% - Énfasis1 2 2 2 2 2" xfId="224"/>
    <cellStyle name="40% - Énfasis1 2 2 2 2 2 2" xfId="2266"/>
    <cellStyle name="40% - Énfasis1 2 2 2 2 2 2 2" xfId="5391"/>
    <cellStyle name="40% - Énfasis1 2 2 2 2 2 2 2 2" xfId="11594"/>
    <cellStyle name="40% - Énfasis1 2 2 2 2 2 2 2 3" xfId="17796"/>
    <cellStyle name="40% - Énfasis1 2 2 2 2 2 2 2 4" xfId="56627"/>
    <cellStyle name="40% - Énfasis1 2 2 2 2 2 2 3" xfId="8494"/>
    <cellStyle name="40% - Énfasis1 2 2 2 2 2 2 4" xfId="14696"/>
    <cellStyle name="40% - Énfasis1 2 2 2 2 2 2 5" xfId="53731"/>
    <cellStyle name="40% - Énfasis1 2 2 2 2 2 3" xfId="2489"/>
    <cellStyle name="40% - Énfasis1 2 2 2 2 2 3 2" xfId="5613"/>
    <cellStyle name="40% - Énfasis1 2 2 2 2 2 3 2 2" xfId="11816"/>
    <cellStyle name="40% - Énfasis1 2 2 2 2 2 3 2 3" xfId="18018"/>
    <cellStyle name="40% - Énfasis1 2 2 2 2 2 3 2 4" xfId="56846"/>
    <cellStyle name="40% - Énfasis1 2 2 2 2 2 3 3" xfId="8716"/>
    <cellStyle name="40% - Énfasis1 2 2 2 2 2 3 4" xfId="14918"/>
    <cellStyle name="40% - Énfasis1 2 2 2 2 2 3 5" xfId="53951"/>
    <cellStyle name="40% - Énfasis1 2 2 2 2 2 4" xfId="3541"/>
    <cellStyle name="40% - Énfasis1 2 2 2 2 2 4 2" xfId="9745"/>
    <cellStyle name="40% - Énfasis1 2 2 2 2 2 4 3" xfId="15947"/>
    <cellStyle name="40% - Énfasis1 2 2 2 2 2 4 4" xfId="54918"/>
    <cellStyle name="40% - Énfasis1 2 2 2 2 2 5" xfId="6644"/>
    <cellStyle name="40% - Énfasis1 2 2 2 2 2 5 2" xfId="19867"/>
    <cellStyle name="40% - Énfasis1 2 2 2 2 2 6" xfId="12846"/>
    <cellStyle name="40% - Énfasis1 2 2 2 2 2 7" xfId="52283"/>
    <cellStyle name="40% - Énfasis1 2 2 2 2 3" xfId="1742"/>
    <cellStyle name="40% - Énfasis1 2 2 2 2 3 2" xfId="4867"/>
    <cellStyle name="40% - Énfasis1 2 2 2 2 3 2 2" xfId="11070"/>
    <cellStyle name="40% - Énfasis1 2 2 2 2 3 2 3" xfId="17272"/>
    <cellStyle name="40% - Énfasis1 2 2 2 2 3 2 4" xfId="56138"/>
    <cellStyle name="40% - Énfasis1 2 2 2 2 3 3" xfId="7970"/>
    <cellStyle name="40% - Énfasis1 2 2 2 2 3 4" xfId="14172"/>
    <cellStyle name="40% - Énfasis1 2 2 2 2 3 5" xfId="53246"/>
    <cellStyle name="40% - Énfasis1 2 2 2 2 4" xfId="2488"/>
    <cellStyle name="40% - Énfasis1 2 2 2 2 4 2" xfId="5612"/>
    <cellStyle name="40% - Énfasis1 2 2 2 2 4 2 2" xfId="11815"/>
    <cellStyle name="40% - Énfasis1 2 2 2 2 4 2 3" xfId="18017"/>
    <cellStyle name="40% - Énfasis1 2 2 2 2 4 2 4" xfId="56845"/>
    <cellStyle name="40% - Énfasis1 2 2 2 2 4 3" xfId="8715"/>
    <cellStyle name="40% - Énfasis1 2 2 2 2 4 4" xfId="14917"/>
    <cellStyle name="40% - Énfasis1 2 2 2 2 4 5" xfId="53950"/>
    <cellStyle name="40% - Énfasis1 2 2 2 2 5" xfId="3540"/>
    <cellStyle name="40% - Énfasis1 2 2 2 2 5 2" xfId="9744"/>
    <cellStyle name="40% - Énfasis1 2 2 2 2 5 3" xfId="15946"/>
    <cellStyle name="40% - Énfasis1 2 2 2 2 5 4" xfId="54917"/>
    <cellStyle name="40% - Énfasis1 2 2 2 2 6" xfId="6643"/>
    <cellStyle name="40% - Énfasis1 2 2 2 2 6 2" xfId="19343"/>
    <cellStyle name="40% - Énfasis1 2 2 2 2 7" xfId="12845"/>
    <cellStyle name="40% - Énfasis1 2 2 2 2 8" xfId="52282"/>
    <cellStyle name="40% - Énfasis1 2 2 2 3" xfId="225"/>
    <cellStyle name="40% - Énfasis1 2 2 2 3 2" xfId="2021"/>
    <cellStyle name="40% - Énfasis1 2 2 2 3 2 2" xfId="5146"/>
    <cellStyle name="40% - Énfasis1 2 2 2 3 2 2 2" xfId="11349"/>
    <cellStyle name="40% - Énfasis1 2 2 2 3 2 2 3" xfId="17551"/>
    <cellStyle name="40% - Énfasis1 2 2 2 3 2 2 4" xfId="56400"/>
    <cellStyle name="40% - Énfasis1 2 2 2 3 2 3" xfId="8249"/>
    <cellStyle name="40% - Énfasis1 2 2 2 3 2 4" xfId="14451"/>
    <cellStyle name="40% - Énfasis1 2 2 2 3 2 5" xfId="53505"/>
    <cellStyle name="40% - Énfasis1 2 2 2 3 3" xfId="2490"/>
    <cellStyle name="40% - Énfasis1 2 2 2 3 3 2" xfId="5614"/>
    <cellStyle name="40% - Énfasis1 2 2 2 3 3 2 2" xfId="11817"/>
    <cellStyle name="40% - Énfasis1 2 2 2 3 3 2 3" xfId="18019"/>
    <cellStyle name="40% - Énfasis1 2 2 2 3 3 2 4" xfId="56847"/>
    <cellStyle name="40% - Énfasis1 2 2 2 3 3 3" xfId="8717"/>
    <cellStyle name="40% - Énfasis1 2 2 2 3 3 4" xfId="14919"/>
    <cellStyle name="40% - Énfasis1 2 2 2 3 3 5" xfId="53952"/>
    <cellStyle name="40% - Énfasis1 2 2 2 3 4" xfId="3542"/>
    <cellStyle name="40% - Énfasis1 2 2 2 3 4 2" xfId="9746"/>
    <cellStyle name="40% - Énfasis1 2 2 2 3 4 3" xfId="15948"/>
    <cellStyle name="40% - Énfasis1 2 2 2 3 4 4" xfId="54919"/>
    <cellStyle name="40% - Énfasis1 2 2 2 3 5" xfId="6645"/>
    <cellStyle name="40% - Énfasis1 2 2 2 3 5 2" xfId="19622"/>
    <cellStyle name="40% - Énfasis1 2 2 2 3 6" xfId="12847"/>
    <cellStyle name="40% - Énfasis1 2 2 2 3 7" xfId="52284"/>
    <cellStyle name="40% - Énfasis1 2 2 2 4" xfId="1497"/>
    <cellStyle name="40% - Énfasis1 2 2 2 4 2" xfId="4622"/>
    <cellStyle name="40% - Énfasis1 2 2 2 4 2 2" xfId="10825"/>
    <cellStyle name="40% - Énfasis1 2 2 2 4 2 3" xfId="17027"/>
    <cellStyle name="40% - Énfasis1 2 2 2 4 2 4" xfId="55905"/>
    <cellStyle name="40% - Énfasis1 2 2 2 4 3" xfId="7725"/>
    <cellStyle name="40% - Énfasis1 2 2 2 4 4" xfId="13927"/>
    <cellStyle name="40% - Énfasis1 2 2 2 4 5" xfId="53021"/>
    <cellStyle name="40% - Énfasis1 2 2 2 5" xfId="2487"/>
    <cellStyle name="40% - Énfasis1 2 2 2 5 2" xfId="5611"/>
    <cellStyle name="40% - Énfasis1 2 2 2 5 2 2" xfId="11814"/>
    <cellStyle name="40% - Énfasis1 2 2 2 5 2 3" xfId="18016"/>
    <cellStyle name="40% - Énfasis1 2 2 2 5 2 4" xfId="56844"/>
    <cellStyle name="40% - Énfasis1 2 2 2 5 3" xfId="8714"/>
    <cellStyle name="40% - Énfasis1 2 2 2 5 4" xfId="14916"/>
    <cellStyle name="40% - Énfasis1 2 2 2 5 5" xfId="53949"/>
    <cellStyle name="40% - Énfasis1 2 2 2 6" xfId="3539"/>
    <cellStyle name="40% - Énfasis1 2 2 2 6 2" xfId="9743"/>
    <cellStyle name="40% - Énfasis1 2 2 2 6 3" xfId="15945"/>
    <cellStyle name="40% - Énfasis1 2 2 2 6 4" xfId="54916"/>
    <cellStyle name="40% - Énfasis1 2 2 2 7" xfId="6642"/>
    <cellStyle name="40% - Énfasis1 2 2 2 7 2" xfId="19098"/>
    <cellStyle name="40% - Énfasis1 2 2 2 8" xfId="12844"/>
    <cellStyle name="40% - Énfasis1 2 2 2 9" xfId="52139"/>
    <cellStyle name="40% - Énfasis1 2 2 3" xfId="226"/>
    <cellStyle name="40% - Énfasis1 2 2 3 2" xfId="227"/>
    <cellStyle name="40% - Énfasis1 2 2 3 2 2" xfId="2138"/>
    <cellStyle name="40% - Énfasis1 2 2 3 2 2 2" xfId="5263"/>
    <cellStyle name="40% - Énfasis1 2 2 3 2 2 2 2" xfId="11466"/>
    <cellStyle name="40% - Énfasis1 2 2 3 2 2 2 3" xfId="17668"/>
    <cellStyle name="40% - Énfasis1 2 2 3 2 2 2 4" xfId="56508"/>
    <cellStyle name="40% - Énfasis1 2 2 3 2 2 3" xfId="8366"/>
    <cellStyle name="40% - Énfasis1 2 2 3 2 2 4" xfId="14568"/>
    <cellStyle name="40% - Énfasis1 2 2 3 2 2 5" xfId="53612"/>
    <cellStyle name="40% - Énfasis1 2 2 3 2 3" xfId="2492"/>
    <cellStyle name="40% - Énfasis1 2 2 3 2 3 2" xfId="5616"/>
    <cellStyle name="40% - Énfasis1 2 2 3 2 3 2 2" xfId="11819"/>
    <cellStyle name="40% - Énfasis1 2 2 3 2 3 2 3" xfId="18021"/>
    <cellStyle name="40% - Énfasis1 2 2 3 2 3 2 4" xfId="56849"/>
    <cellStyle name="40% - Énfasis1 2 2 3 2 3 3" xfId="8719"/>
    <cellStyle name="40% - Énfasis1 2 2 3 2 3 4" xfId="14921"/>
    <cellStyle name="40% - Énfasis1 2 2 3 2 3 5" xfId="53954"/>
    <cellStyle name="40% - Énfasis1 2 2 3 2 4" xfId="3544"/>
    <cellStyle name="40% - Énfasis1 2 2 3 2 4 2" xfId="9748"/>
    <cellStyle name="40% - Énfasis1 2 2 3 2 4 3" xfId="15950"/>
    <cellStyle name="40% - Énfasis1 2 2 3 2 4 4" xfId="54921"/>
    <cellStyle name="40% - Énfasis1 2 2 3 2 5" xfId="6647"/>
    <cellStyle name="40% - Énfasis1 2 2 3 2 5 2" xfId="19739"/>
    <cellStyle name="40% - Énfasis1 2 2 3 2 6" xfId="12849"/>
    <cellStyle name="40% - Énfasis1 2 2 3 2 7" xfId="52285"/>
    <cellStyle name="40% - Énfasis1 2 2 3 3" xfId="1614"/>
    <cellStyle name="40% - Énfasis1 2 2 3 3 2" xfId="4739"/>
    <cellStyle name="40% - Énfasis1 2 2 3 3 2 2" xfId="10942"/>
    <cellStyle name="40% - Énfasis1 2 2 3 3 2 3" xfId="17144"/>
    <cellStyle name="40% - Énfasis1 2 2 3 3 2 4" xfId="56016"/>
    <cellStyle name="40% - Énfasis1 2 2 3 3 3" xfId="7842"/>
    <cellStyle name="40% - Énfasis1 2 2 3 3 4" xfId="14044"/>
    <cellStyle name="40% - Énfasis1 2 2 3 3 5" xfId="53127"/>
    <cellStyle name="40% - Énfasis1 2 2 3 4" xfId="2491"/>
    <cellStyle name="40% - Énfasis1 2 2 3 4 2" xfId="5615"/>
    <cellStyle name="40% - Énfasis1 2 2 3 4 2 2" xfId="11818"/>
    <cellStyle name="40% - Énfasis1 2 2 3 4 2 3" xfId="18020"/>
    <cellStyle name="40% - Énfasis1 2 2 3 4 2 4" xfId="56848"/>
    <cellStyle name="40% - Énfasis1 2 2 3 4 3" xfId="8718"/>
    <cellStyle name="40% - Énfasis1 2 2 3 4 4" xfId="14920"/>
    <cellStyle name="40% - Énfasis1 2 2 3 4 5" xfId="53953"/>
    <cellStyle name="40% - Énfasis1 2 2 3 5" xfId="3543"/>
    <cellStyle name="40% - Énfasis1 2 2 3 5 2" xfId="9747"/>
    <cellStyle name="40% - Énfasis1 2 2 3 5 3" xfId="15949"/>
    <cellStyle name="40% - Énfasis1 2 2 3 5 4" xfId="54920"/>
    <cellStyle name="40% - Énfasis1 2 2 3 6" xfId="6646"/>
    <cellStyle name="40% - Énfasis1 2 2 3 6 2" xfId="19215"/>
    <cellStyle name="40% - Énfasis1 2 2 3 7" xfId="12848"/>
    <cellStyle name="40% - Énfasis1 2 2 3 8" xfId="52007"/>
    <cellStyle name="40% - Énfasis1 2 2 4" xfId="228"/>
    <cellStyle name="40% - Énfasis1 2 2 4 2" xfId="1879"/>
    <cellStyle name="40% - Énfasis1 2 2 4 2 2" xfId="5004"/>
    <cellStyle name="40% - Énfasis1 2 2 4 2 2 2" xfId="11207"/>
    <cellStyle name="40% - Énfasis1 2 2 4 2 2 3" xfId="17409"/>
    <cellStyle name="40% - Énfasis1 2 2 4 2 2 4" xfId="56266"/>
    <cellStyle name="40% - Énfasis1 2 2 4 2 3" xfId="8107"/>
    <cellStyle name="40% - Énfasis1 2 2 4 2 4" xfId="14309"/>
    <cellStyle name="40% - Énfasis1 2 2 4 2 5" xfId="53372"/>
    <cellStyle name="40% - Énfasis1 2 2 4 3" xfId="2493"/>
    <cellStyle name="40% - Énfasis1 2 2 4 3 2" xfId="5617"/>
    <cellStyle name="40% - Énfasis1 2 2 4 3 2 2" xfId="11820"/>
    <cellStyle name="40% - Énfasis1 2 2 4 3 2 3" xfId="18022"/>
    <cellStyle name="40% - Énfasis1 2 2 4 3 2 4" xfId="56850"/>
    <cellStyle name="40% - Énfasis1 2 2 4 3 3" xfId="8720"/>
    <cellStyle name="40% - Énfasis1 2 2 4 3 4" xfId="14922"/>
    <cellStyle name="40% - Énfasis1 2 2 4 3 5" xfId="53955"/>
    <cellStyle name="40% - Énfasis1 2 2 4 4" xfId="3545"/>
    <cellStyle name="40% - Énfasis1 2 2 4 4 2" xfId="9749"/>
    <cellStyle name="40% - Énfasis1 2 2 4 4 3" xfId="15951"/>
    <cellStyle name="40% - Énfasis1 2 2 4 4 4" xfId="54922"/>
    <cellStyle name="40% - Énfasis1 2 2 4 5" xfId="6648"/>
    <cellStyle name="40% - Énfasis1 2 2 4 5 2" xfId="19480"/>
    <cellStyle name="40% - Énfasis1 2 2 4 6" xfId="12850"/>
    <cellStyle name="40% - Énfasis1 2 2 4 7" xfId="52286"/>
    <cellStyle name="40% - Énfasis1 2 2 5" xfId="1355"/>
    <cellStyle name="40% - Énfasis1 2 2 5 2" xfId="4480"/>
    <cellStyle name="40% - Énfasis1 2 2 5 2 2" xfId="10683"/>
    <cellStyle name="40% - Énfasis1 2 2 5 2 3" xfId="16885"/>
    <cellStyle name="40% - Énfasis1 2 2 5 2 4" xfId="55770"/>
    <cellStyle name="40% - Énfasis1 2 2 5 3" xfId="7583"/>
    <cellStyle name="40% - Énfasis1 2 2 5 4" xfId="13785"/>
    <cellStyle name="40% - Énfasis1 2 2 5 5" xfId="52895"/>
    <cellStyle name="40% - Énfasis1 2 2 6" xfId="2486"/>
    <cellStyle name="40% - Énfasis1 2 2 6 2" xfId="5610"/>
    <cellStyle name="40% - Énfasis1 2 2 6 2 2" xfId="11813"/>
    <cellStyle name="40% - Énfasis1 2 2 6 2 3" xfId="18015"/>
    <cellStyle name="40% - Énfasis1 2 2 6 2 4" xfId="56843"/>
    <cellStyle name="40% - Énfasis1 2 2 6 3" xfId="8713"/>
    <cellStyle name="40% - Énfasis1 2 2 6 4" xfId="14915"/>
    <cellStyle name="40% - Énfasis1 2 2 6 5" xfId="53948"/>
    <cellStyle name="40% - Énfasis1 2 2 7" xfId="3538"/>
    <cellStyle name="40% - Énfasis1 2 2 7 2" xfId="9742"/>
    <cellStyle name="40% - Énfasis1 2 2 7 3" xfId="15944"/>
    <cellStyle name="40% - Énfasis1 2 2 7 4" xfId="54915"/>
    <cellStyle name="40% - Énfasis1 2 2 8" xfId="6641"/>
    <cellStyle name="40% - Énfasis1 2 2 8 2" xfId="18956"/>
    <cellStyle name="40% - Énfasis1 2 2 9" xfId="12843"/>
    <cellStyle name="40% - Énfasis1 2 3" xfId="229"/>
    <cellStyle name="40% - Énfasis1 2 3 2" xfId="230"/>
    <cellStyle name="40% - Énfasis1 2 3 2 2" xfId="231"/>
    <cellStyle name="40% - Énfasis1 2 3 2 2 2" xfId="2198"/>
    <cellStyle name="40% - Énfasis1 2 3 2 2 2 2" xfId="5323"/>
    <cellStyle name="40% - Énfasis1 2 3 2 2 2 2 2" xfId="11526"/>
    <cellStyle name="40% - Énfasis1 2 3 2 2 2 2 3" xfId="17728"/>
    <cellStyle name="40% - Énfasis1 2 3 2 2 2 2 4" xfId="56564"/>
    <cellStyle name="40% - Énfasis1 2 3 2 2 2 3" xfId="8426"/>
    <cellStyle name="40% - Énfasis1 2 3 2 2 2 4" xfId="14628"/>
    <cellStyle name="40% - Énfasis1 2 3 2 2 2 5" xfId="53668"/>
    <cellStyle name="40% - Énfasis1 2 3 2 2 3" xfId="2496"/>
    <cellStyle name="40% - Énfasis1 2 3 2 2 3 2" xfId="5620"/>
    <cellStyle name="40% - Énfasis1 2 3 2 2 3 2 2" xfId="11823"/>
    <cellStyle name="40% - Énfasis1 2 3 2 2 3 2 3" xfId="18025"/>
    <cellStyle name="40% - Énfasis1 2 3 2 2 3 2 4" xfId="56853"/>
    <cellStyle name="40% - Énfasis1 2 3 2 2 3 3" xfId="8723"/>
    <cellStyle name="40% - Énfasis1 2 3 2 2 3 4" xfId="14925"/>
    <cellStyle name="40% - Énfasis1 2 3 2 2 3 5" xfId="53958"/>
    <cellStyle name="40% - Énfasis1 2 3 2 2 4" xfId="3548"/>
    <cellStyle name="40% - Énfasis1 2 3 2 2 4 2" xfId="9752"/>
    <cellStyle name="40% - Énfasis1 2 3 2 2 4 3" xfId="15954"/>
    <cellStyle name="40% - Énfasis1 2 3 2 2 4 4" xfId="54925"/>
    <cellStyle name="40% - Énfasis1 2 3 2 2 5" xfId="6651"/>
    <cellStyle name="40% - Énfasis1 2 3 2 2 5 2" xfId="19799"/>
    <cellStyle name="40% - Énfasis1 2 3 2 2 6" xfId="12853"/>
    <cellStyle name="40% - Énfasis1 2 3 2 2 7" xfId="52288"/>
    <cellStyle name="40% - Énfasis1 2 3 2 3" xfId="1674"/>
    <cellStyle name="40% - Énfasis1 2 3 2 3 2" xfId="4799"/>
    <cellStyle name="40% - Énfasis1 2 3 2 3 2 2" xfId="11002"/>
    <cellStyle name="40% - Énfasis1 2 3 2 3 2 3" xfId="17204"/>
    <cellStyle name="40% - Énfasis1 2 3 2 3 2 4" xfId="56073"/>
    <cellStyle name="40% - Énfasis1 2 3 2 3 3" xfId="7902"/>
    <cellStyle name="40% - Énfasis1 2 3 2 3 4" xfId="14104"/>
    <cellStyle name="40% - Énfasis1 2 3 2 3 5" xfId="53183"/>
    <cellStyle name="40% - Énfasis1 2 3 2 4" xfId="2495"/>
    <cellStyle name="40% - Énfasis1 2 3 2 4 2" xfId="5619"/>
    <cellStyle name="40% - Énfasis1 2 3 2 4 2 2" xfId="11822"/>
    <cellStyle name="40% - Énfasis1 2 3 2 4 2 3" xfId="18024"/>
    <cellStyle name="40% - Énfasis1 2 3 2 4 2 4" xfId="56852"/>
    <cellStyle name="40% - Énfasis1 2 3 2 4 3" xfId="8722"/>
    <cellStyle name="40% - Énfasis1 2 3 2 4 4" xfId="14924"/>
    <cellStyle name="40% - Énfasis1 2 3 2 4 5" xfId="53957"/>
    <cellStyle name="40% - Énfasis1 2 3 2 5" xfId="3547"/>
    <cellStyle name="40% - Énfasis1 2 3 2 5 2" xfId="9751"/>
    <cellStyle name="40% - Énfasis1 2 3 2 5 3" xfId="15953"/>
    <cellStyle name="40% - Énfasis1 2 3 2 5 4" xfId="54924"/>
    <cellStyle name="40% - Énfasis1 2 3 2 6" xfId="6650"/>
    <cellStyle name="40% - Énfasis1 2 3 2 6 2" xfId="19275"/>
    <cellStyle name="40% - Énfasis1 2 3 2 7" xfId="12852"/>
    <cellStyle name="40% - Énfasis1 2 3 2 8" xfId="52287"/>
    <cellStyle name="40% - Énfasis1 2 3 3" xfId="232"/>
    <cellStyle name="40% - Énfasis1 2 3 3 2" xfId="1953"/>
    <cellStyle name="40% - Énfasis1 2 3 3 2 2" xfId="5078"/>
    <cellStyle name="40% - Énfasis1 2 3 3 2 2 2" xfId="11281"/>
    <cellStyle name="40% - Énfasis1 2 3 3 2 2 3" xfId="17483"/>
    <cellStyle name="40% - Énfasis1 2 3 3 2 2 4" xfId="56337"/>
    <cellStyle name="40% - Énfasis1 2 3 3 2 3" xfId="8181"/>
    <cellStyle name="40% - Énfasis1 2 3 3 2 4" xfId="14383"/>
    <cellStyle name="40% - Énfasis1 2 3 3 2 5" xfId="53443"/>
    <cellStyle name="40% - Énfasis1 2 3 3 3" xfId="2497"/>
    <cellStyle name="40% - Énfasis1 2 3 3 3 2" xfId="5621"/>
    <cellStyle name="40% - Énfasis1 2 3 3 3 2 2" xfId="11824"/>
    <cellStyle name="40% - Énfasis1 2 3 3 3 2 3" xfId="18026"/>
    <cellStyle name="40% - Énfasis1 2 3 3 3 2 4" xfId="56854"/>
    <cellStyle name="40% - Énfasis1 2 3 3 3 3" xfId="8724"/>
    <cellStyle name="40% - Énfasis1 2 3 3 3 4" xfId="14926"/>
    <cellStyle name="40% - Énfasis1 2 3 3 3 5" xfId="53959"/>
    <cellStyle name="40% - Énfasis1 2 3 3 4" xfId="3549"/>
    <cellStyle name="40% - Énfasis1 2 3 3 4 2" xfId="9753"/>
    <cellStyle name="40% - Énfasis1 2 3 3 4 3" xfId="15955"/>
    <cellStyle name="40% - Énfasis1 2 3 3 4 4" xfId="54926"/>
    <cellStyle name="40% - Énfasis1 2 3 3 5" xfId="6652"/>
    <cellStyle name="40% - Énfasis1 2 3 3 5 2" xfId="19554"/>
    <cellStyle name="40% - Énfasis1 2 3 3 6" xfId="12854"/>
    <cellStyle name="40% - Énfasis1 2 3 3 7" xfId="52289"/>
    <cellStyle name="40% - Énfasis1 2 3 4" xfId="1429"/>
    <cellStyle name="40% - Énfasis1 2 3 4 2" xfId="4554"/>
    <cellStyle name="40% - Énfasis1 2 3 4 2 2" xfId="10757"/>
    <cellStyle name="40% - Énfasis1 2 3 4 2 3" xfId="16959"/>
    <cellStyle name="40% - Énfasis1 2 3 4 2 4" xfId="55841"/>
    <cellStyle name="40% - Énfasis1 2 3 4 3" xfId="7657"/>
    <cellStyle name="40% - Énfasis1 2 3 4 4" xfId="13859"/>
    <cellStyle name="40% - Énfasis1 2 3 4 5" xfId="52959"/>
    <cellStyle name="40% - Énfasis1 2 3 5" xfId="2494"/>
    <cellStyle name="40% - Énfasis1 2 3 5 2" xfId="5618"/>
    <cellStyle name="40% - Énfasis1 2 3 5 2 2" xfId="11821"/>
    <cellStyle name="40% - Énfasis1 2 3 5 2 3" xfId="18023"/>
    <cellStyle name="40% - Énfasis1 2 3 5 2 4" xfId="56851"/>
    <cellStyle name="40% - Énfasis1 2 3 5 3" xfId="8721"/>
    <cellStyle name="40% - Énfasis1 2 3 5 4" xfId="14923"/>
    <cellStyle name="40% - Énfasis1 2 3 5 5" xfId="53956"/>
    <cellStyle name="40% - Énfasis1 2 3 6" xfId="3546"/>
    <cellStyle name="40% - Énfasis1 2 3 6 2" xfId="9750"/>
    <cellStyle name="40% - Énfasis1 2 3 6 3" xfId="15952"/>
    <cellStyle name="40% - Énfasis1 2 3 6 4" xfId="54923"/>
    <cellStyle name="40% - Énfasis1 2 3 7" xfId="6649"/>
    <cellStyle name="40% - Énfasis1 2 3 7 2" xfId="19030"/>
    <cellStyle name="40% - Énfasis1 2 3 8" xfId="12851"/>
    <cellStyle name="40% - Énfasis1 2 3 9" xfId="52076"/>
    <cellStyle name="40% - Énfasis1 2 4" xfId="233"/>
    <cellStyle name="40% - Énfasis1 2 4 2" xfId="234"/>
    <cellStyle name="40% - Énfasis1 2 4 2 2" xfId="2057"/>
    <cellStyle name="40% - Énfasis1 2 4 2 2 2" xfId="5182"/>
    <cellStyle name="40% - Énfasis1 2 4 2 2 2 2" xfId="11385"/>
    <cellStyle name="40% - Énfasis1 2 4 2 2 2 3" xfId="17587"/>
    <cellStyle name="40% - Énfasis1 2 4 2 2 2 4" xfId="56434"/>
    <cellStyle name="40% - Énfasis1 2 4 2 2 3" xfId="8285"/>
    <cellStyle name="40% - Énfasis1 2 4 2 2 4" xfId="14487"/>
    <cellStyle name="40% - Énfasis1 2 4 2 2 5" xfId="53538"/>
    <cellStyle name="40% - Énfasis1 2 4 2 3" xfId="2499"/>
    <cellStyle name="40% - Énfasis1 2 4 2 3 2" xfId="5623"/>
    <cellStyle name="40% - Énfasis1 2 4 2 3 2 2" xfId="11826"/>
    <cellStyle name="40% - Énfasis1 2 4 2 3 2 3" xfId="18028"/>
    <cellStyle name="40% - Énfasis1 2 4 2 3 2 4" xfId="56856"/>
    <cellStyle name="40% - Énfasis1 2 4 2 3 3" xfId="8726"/>
    <cellStyle name="40% - Énfasis1 2 4 2 3 4" xfId="14928"/>
    <cellStyle name="40% - Énfasis1 2 4 2 3 5" xfId="53961"/>
    <cellStyle name="40% - Énfasis1 2 4 2 4" xfId="3551"/>
    <cellStyle name="40% - Énfasis1 2 4 2 4 2" xfId="9755"/>
    <cellStyle name="40% - Énfasis1 2 4 2 4 3" xfId="15957"/>
    <cellStyle name="40% - Énfasis1 2 4 2 4 4" xfId="54928"/>
    <cellStyle name="40% - Énfasis1 2 4 2 5" xfId="6654"/>
    <cellStyle name="40% - Énfasis1 2 4 2 5 2" xfId="19658"/>
    <cellStyle name="40% - Énfasis1 2 4 2 6" xfId="12856"/>
    <cellStyle name="40% - Énfasis1 2 4 2 7" xfId="52290"/>
    <cellStyle name="40% - Énfasis1 2 4 3" xfId="1533"/>
    <cellStyle name="40% - Énfasis1 2 4 3 2" xfId="4658"/>
    <cellStyle name="40% - Énfasis1 2 4 3 2 2" xfId="10861"/>
    <cellStyle name="40% - Énfasis1 2 4 3 2 3" xfId="17063"/>
    <cellStyle name="40% - Énfasis1 2 4 3 2 4" xfId="55939"/>
    <cellStyle name="40% - Énfasis1 2 4 3 3" xfId="7761"/>
    <cellStyle name="40% - Énfasis1 2 4 3 4" xfId="13963"/>
    <cellStyle name="40% - Énfasis1 2 4 3 5" xfId="53054"/>
    <cellStyle name="40% - Énfasis1 2 4 4" xfId="2498"/>
    <cellStyle name="40% - Énfasis1 2 4 4 2" xfId="5622"/>
    <cellStyle name="40% - Énfasis1 2 4 4 2 2" xfId="11825"/>
    <cellStyle name="40% - Énfasis1 2 4 4 2 3" xfId="18027"/>
    <cellStyle name="40% - Énfasis1 2 4 4 2 4" xfId="56855"/>
    <cellStyle name="40% - Énfasis1 2 4 4 3" xfId="8725"/>
    <cellStyle name="40% - Énfasis1 2 4 4 4" xfId="14927"/>
    <cellStyle name="40% - Énfasis1 2 4 4 5" xfId="53960"/>
    <cellStyle name="40% - Énfasis1 2 4 5" xfId="3550"/>
    <cellStyle name="40% - Énfasis1 2 4 5 2" xfId="9754"/>
    <cellStyle name="40% - Énfasis1 2 4 5 3" xfId="15956"/>
    <cellStyle name="40% - Énfasis1 2 4 5 4" xfId="54927"/>
    <cellStyle name="40% - Énfasis1 2 4 6" xfId="6653"/>
    <cellStyle name="40% - Énfasis1 2 4 6 2" xfId="19134"/>
    <cellStyle name="40% - Énfasis1 2 4 7" xfId="12855"/>
    <cellStyle name="40% - Énfasis1 2 4 8" xfId="51938"/>
    <cellStyle name="40% - Énfasis1 2 5" xfId="235"/>
    <cellStyle name="40% - Énfasis1 2 5 2" xfId="1786"/>
    <cellStyle name="40% - Énfasis1 2 5 2 2" xfId="4911"/>
    <cellStyle name="40% - Énfasis1 2 5 2 2 2" xfId="11114"/>
    <cellStyle name="40% - Énfasis1 2 5 2 2 3" xfId="17316"/>
    <cellStyle name="40% - Énfasis1 2 5 2 2 4" xfId="56180"/>
    <cellStyle name="40% - Énfasis1 2 5 2 3" xfId="8014"/>
    <cellStyle name="40% - Énfasis1 2 5 2 4" xfId="14216"/>
    <cellStyle name="40% - Énfasis1 2 5 2 5" xfId="53287"/>
    <cellStyle name="40% - Énfasis1 2 5 3" xfId="2500"/>
    <cellStyle name="40% - Énfasis1 2 5 3 2" xfId="5624"/>
    <cellStyle name="40% - Énfasis1 2 5 3 2 2" xfId="11827"/>
    <cellStyle name="40% - Énfasis1 2 5 3 2 3" xfId="18029"/>
    <cellStyle name="40% - Énfasis1 2 5 3 2 4" xfId="56857"/>
    <cellStyle name="40% - Énfasis1 2 5 3 3" xfId="8727"/>
    <cellStyle name="40% - Énfasis1 2 5 3 4" xfId="14929"/>
    <cellStyle name="40% - Énfasis1 2 5 3 5" xfId="53962"/>
    <cellStyle name="40% - Énfasis1 2 5 4" xfId="3552"/>
    <cellStyle name="40% - Énfasis1 2 5 4 2" xfId="9756"/>
    <cellStyle name="40% - Énfasis1 2 5 4 3" xfId="15958"/>
    <cellStyle name="40% - Énfasis1 2 5 4 4" xfId="54929"/>
    <cellStyle name="40% - Énfasis1 2 5 5" xfId="6655"/>
    <cellStyle name="40% - Énfasis1 2 5 5 2" xfId="19387"/>
    <cellStyle name="40% - Énfasis1 2 5 6" xfId="12857"/>
    <cellStyle name="40% - Énfasis1 2 5 7" xfId="52291"/>
    <cellStyle name="40% - Énfasis1 2 6" xfId="1287"/>
    <cellStyle name="40% - Énfasis1 2 6 2" xfId="4412"/>
    <cellStyle name="40% - Énfasis1 2 6 2 2" xfId="10615"/>
    <cellStyle name="40% - Énfasis1 2 6 2 3" xfId="16817"/>
    <cellStyle name="40% - Énfasis1 2 6 2 4" xfId="55705"/>
    <cellStyle name="40% - Énfasis1 2 6 3" xfId="7515"/>
    <cellStyle name="40% - Énfasis1 2 6 4" xfId="13717"/>
    <cellStyle name="40% - Énfasis1 2 6 5" xfId="52834"/>
    <cellStyle name="40% - Énfasis1 2 7" xfId="2485"/>
    <cellStyle name="40% - Énfasis1 2 7 2" xfId="5609"/>
    <cellStyle name="40% - Énfasis1 2 7 2 2" xfId="11812"/>
    <cellStyle name="40% - Énfasis1 2 7 2 3" xfId="18014"/>
    <cellStyle name="40% - Énfasis1 2 7 2 4" xfId="56842"/>
    <cellStyle name="40% - Énfasis1 2 7 3" xfId="8712"/>
    <cellStyle name="40% - Énfasis1 2 7 4" xfId="14914"/>
    <cellStyle name="40% - Énfasis1 2 7 5" xfId="53947"/>
    <cellStyle name="40% - Énfasis1 2 8" xfId="3537"/>
    <cellStyle name="40% - Énfasis1 2 8 2" xfId="9741"/>
    <cellStyle name="40% - Énfasis1 2 8 3" xfId="15943"/>
    <cellStyle name="40% - Énfasis1 2 8 4" xfId="54914"/>
    <cellStyle name="40% - Énfasis1 2 9" xfId="6640"/>
    <cellStyle name="40% - Énfasis1 2 9 2" xfId="18888"/>
    <cellStyle name="40% - Énfasis1 3" xfId="236"/>
    <cellStyle name="40% - Énfasis1 3 10" xfId="23436"/>
    <cellStyle name="40% - Énfasis1 3 2" xfId="237"/>
    <cellStyle name="40% - Énfasis1 3 2 2" xfId="238"/>
    <cellStyle name="40% - Énfasis1 3 2 2 2" xfId="239"/>
    <cellStyle name="40% - Énfasis1 3 2 2 2 2" xfId="2232"/>
    <cellStyle name="40% - Énfasis1 3 2 2 2 2 2" xfId="5357"/>
    <cellStyle name="40% - Énfasis1 3 2 2 2 2 2 2" xfId="11560"/>
    <cellStyle name="40% - Énfasis1 3 2 2 2 2 2 3" xfId="17762"/>
    <cellStyle name="40% - Énfasis1 3 2 2 2 2 2 4" xfId="56596"/>
    <cellStyle name="40% - Énfasis1 3 2 2 2 2 3" xfId="8460"/>
    <cellStyle name="40% - Énfasis1 3 2 2 2 2 4" xfId="14662"/>
    <cellStyle name="40% - Énfasis1 3 2 2 2 2 5" xfId="53700"/>
    <cellStyle name="40% - Énfasis1 3 2 2 2 3" xfId="2504"/>
    <cellStyle name="40% - Énfasis1 3 2 2 2 3 2" xfId="5628"/>
    <cellStyle name="40% - Énfasis1 3 2 2 2 3 2 2" xfId="11831"/>
    <cellStyle name="40% - Énfasis1 3 2 2 2 3 2 3" xfId="18033"/>
    <cellStyle name="40% - Énfasis1 3 2 2 2 3 2 4" xfId="56861"/>
    <cellStyle name="40% - Énfasis1 3 2 2 2 3 3" xfId="8731"/>
    <cellStyle name="40% - Énfasis1 3 2 2 2 3 4" xfId="14933"/>
    <cellStyle name="40% - Énfasis1 3 2 2 2 3 5" xfId="53966"/>
    <cellStyle name="40% - Énfasis1 3 2 2 2 4" xfId="3556"/>
    <cellStyle name="40% - Énfasis1 3 2 2 2 4 2" xfId="9760"/>
    <cellStyle name="40% - Énfasis1 3 2 2 2 4 3" xfId="15962"/>
    <cellStyle name="40% - Énfasis1 3 2 2 2 4 4" xfId="54933"/>
    <cellStyle name="40% - Énfasis1 3 2 2 2 5" xfId="6659"/>
    <cellStyle name="40% - Énfasis1 3 2 2 2 5 2" xfId="19833"/>
    <cellStyle name="40% - Énfasis1 3 2 2 2 6" xfId="12861"/>
    <cellStyle name="40% - Énfasis1 3 2 2 2 7" xfId="52292"/>
    <cellStyle name="40% - Énfasis1 3 2 2 3" xfId="1708"/>
    <cellStyle name="40% - Énfasis1 3 2 2 3 2" xfId="4833"/>
    <cellStyle name="40% - Énfasis1 3 2 2 3 2 2" xfId="11036"/>
    <cellStyle name="40% - Énfasis1 3 2 2 3 2 3" xfId="17238"/>
    <cellStyle name="40% - Énfasis1 3 2 2 3 2 4" xfId="56105"/>
    <cellStyle name="40% - Énfasis1 3 2 2 3 3" xfId="7936"/>
    <cellStyle name="40% - Énfasis1 3 2 2 3 4" xfId="14138"/>
    <cellStyle name="40% - Énfasis1 3 2 2 3 5" xfId="53215"/>
    <cellStyle name="40% - Énfasis1 3 2 2 4" xfId="2503"/>
    <cellStyle name="40% - Énfasis1 3 2 2 4 2" xfId="5627"/>
    <cellStyle name="40% - Énfasis1 3 2 2 4 2 2" xfId="11830"/>
    <cellStyle name="40% - Énfasis1 3 2 2 4 2 3" xfId="18032"/>
    <cellStyle name="40% - Énfasis1 3 2 2 4 2 4" xfId="56860"/>
    <cellStyle name="40% - Énfasis1 3 2 2 4 3" xfId="8730"/>
    <cellStyle name="40% - Énfasis1 3 2 2 4 4" xfId="14932"/>
    <cellStyle name="40% - Énfasis1 3 2 2 4 5" xfId="53965"/>
    <cellStyle name="40% - Énfasis1 3 2 2 5" xfId="3555"/>
    <cellStyle name="40% - Énfasis1 3 2 2 5 2" xfId="9759"/>
    <cellStyle name="40% - Énfasis1 3 2 2 5 3" xfId="15961"/>
    <cellStyle name="40% - Énfasis1 3 2 2 5 4" xfId="54932"/>
    <cellStyle name="40% - Énfasis1 3 2 2 6" xfId="6658"/>
    <cellStyle name="40% - Énfasis1 3 2 2 6 2" xfId="19309"/>
    <cellStyle name="40% - Énfasis1 3 2 2 7" xfId="12860"/>
    <cellStyle name="40% - Énfasis1 3 2 2 8" xfId="52110"/>
    <cellStyle name="40% - Énfasis1 3 2 3" xfId="240"/>
    <cellStyle name="40% - Énfasis1 3 2 3 2" xfId="1987"/>
    <cellStyle name="40% - Énfasis1 3 2 3 2 2" xfId="5112"/>
    <cellStyle name="40% - Énfasis1 3 2 3 2 2 2" xfId="11315"/>
    <cellStyle name="40% - Énfasis1 3 2 3 2 2 3" xfId="17517"/>
    <cellStyle name="40% - Énfasis1 3 2 3 2 2 4" xfId="56369"/>
    <cellStyle name="40% - Énfasis1 3 2 3 2 3" xfId="8215"/>
    <cellStyle name="40% - Énfasis1 3 2 3 2 4" xfId="14417"/>
    <cellStyle name="40% - Énfasis1 3 2 3 2 5" xfId="53475"/>
    <cellStyle name="40% - Énfasis1 3 2 3 3" xfId="2505"/>
    <cellStyle name="40% - Énfasis1 3 2 3 3 2" xfId="5629"/>
    <cellStyle name="40% - Énfasis1 3 2 3 3 2 2" xfId="11832"/>
    <cellStyle name="40% - Énfasis1 3 2 3 3 2 3" xfId="18034"/>
    <cellStyle name="40% - Énfasis1 3 2 3 3 2 4" xfId="56862"/>
    <cellStyle name="40% - Énfasis1 3 2 3 3 3" xfId="8732"/>
    <cellStyle name="40% - Énfasis1 3 2 3 3 4" xfId="14934"/>
    <cellStyle name="40% - Énfasis1 3 2 3 3 5" xfId="53967"/>
    <cellStyle name="40% - Énfasis1 3 2 3 4" xfId="3557"/>
    <cellStyle name="40% - Énfasis1 3 2 3 4 2" xfId="9761"/>
    <cellStyle name="40% - Énfasis1 3 2 3 4 3" xfId="15963"/>
    <cellStyle name="40% - Énfasis1 3 2 3 4 4" xfId="54934"/>
    <cellStyle name="40% - Énfasis1 3 2 3 5" xfId="6660"/>
    <cellStyle name="40% - Énfasis1 3 2 3 5 2" xfId="19588"/>
    <cellStyle name="40% - Énfasis1 3 2 3 6" xfId="12862"/>
    <cellStyle name="40% - Énfasis1 3 2 3 7" xfId="52293"/>
    <cellStyle name="40% - Énfasis1 3 2 4" xfId="1463"/>
    <cellStyle name="40% - Énfasis1 3 2 4 2" xfId="4588"/>
    <cellStyle name="40% - Énfasis1 3 2 4 2 2" xfId="10791"/>
    <cellStyle name="40% - Énfasis1 3 2 4 2 3" xfId="16993"/>
    <cellStyle name="40% - Énfasis1 3 2 4 2 4" xfId="55873"/>
    <cellStyle name="40% - Énfasis1 3 2 4 3" xfId="7691"/>
    <cellStyle name="40% - Énfasis1 3 2 4 4" xfId="13893"/>
    <cellStyle name="40% - Énfasis1 3 2 4 5" xfId="52991"/>
    <cellStyle name="40% - Énfasis1 3 2 5" xfId="2502"/>
    <cellStyle name="40% - Énfasis1 3 2 5 2" xfId="5626"/>
    <cellStyle name="40% - Énfasis1 3 2 5 2 2" xfId="11829"/>
    <cellStyle name="40% - Énfasis1 3 2 5 2 3" xfId="18031"/>
    <cellStyle name="40% - Énfasis1 3 2 5 2 4" xfId="56859"/>
    <cellStyle name="40% - Énfasis1 3 2 5 3" xfId="8729"/>
    <cellStyle name="40% - Énfasis1 3 2 5 4" xfId="14931"/>
    <cellStyle name="40% - Énfasis1 3 2 5 5" xfId="53964"/>
    <cellStyle name="40% - Énfasis1 3 2 6" xfId="3554"/>
    <cellStyle name="40% - Énfasis1 3 2 6 2" xfId="9758"/>
    <cellStyle name="40% - Énfasis1 3 2 6 3" xfId="15960"/>
    <cellStyle name="40% - Énfasis1 3 2 6 4" xfId="54931"/>
    <cellStyle name="40% - Énfasis1 3 2 7" xfId="6657"/>
    <cellStyle name="40% - Énfasis1 3 2 7 2" xfId="19064"/>
    <cellStyle name="40% - Énfasis1 3 2 8" xfId="12859"/>
    <cellStyle name="40% - Énfasis1 3 2 9" xfId="23437"/>
    <cellStyle name="40% - Énfasis1 3 3" xfId="241"/>
    <cellStyle name="40% - Énfasis1 3 3 2" xfId="242"/>
    <cellStyle name="40% - Énfasis1 3 3 2 2" xfId="2104"/>
    <cellStyle name="40% - Énfasis1 3 3 2 2 2" xfId="5229"/>
    <cellStyle name="40% - Énfasis1 3 3 2 2 2 2" xfId="11432"/>
    <cellStyle name="40% - Énfasis1 3 3 2 2 2 3" xfId="17634"/>
    <cellStyle name="40% - Énfasis1 3 3 2 2 2 4" xfId="56477"/>
    <cellStyle name="40% - Énfasis1 3 3 2 2 3" xfId="8332"/>
    <cellStyle name="40% - Énfasis1 3 3 2 2 4" xfId="14534"/>
    <cellStyle name="40% - Énfasis1 3 3 2 2 5" xfId="53581"/>
    <cellStyle name="40% - Énfasis1 3 3 2 3" xfId="2507"/>
    <cellStyle name="40% - Énfasis1 3 3 2 3 2" xfId="5631"/>
    <cellStyle name="40% - Énfasis1 3 3 2 3 2 2" xfId="11834"/>
    <cellStyle name="40% - Énfasis1 3 3 2 3 2 3" xfId="18036"/>
    <cellStyle name="40% - Énfasis1 3 3 2 3 2 4" xfId="56864"/>
    <cellStyle name="40% - Énfasis1 3 3 2 3 3" xfId="8734"/>
    <cellStyle name="40% - Énfasis1 3 3 2 3 4" xfId="14936"/>
    <cellStyle name="40% - Énfasis1 3 3 2 3 5" xfId="53969"/>
    <cellStyle name="40% - Énfasis1 3 3 2 4" xfId="3559"/>
    <cellStyle name="40% - Énfasis1 3 3 2 4 2" xfId="9763"/>
    <cellStyle name="40% - Énfasis1 3 3 2 4 3" xfId="15965"/>
    <cellStyle name="40% - Énfasis1 3 3 2 4 4" xfId="54936"/>
    <cellStyle name="40% - Énfasis1 3 3 2 5" xfId="6662"/>
    <cellStyle name="40% - Énfasis1 3 3 2 5 2" xfId="19705"/>
    <cellStyle name="40% - Énfasis1 3 3 2 6" xfId="12864"/>
    <cellStyle name="40% - Énfasis1 3 3 2 7" xfId="52294"/>
    <cellStyle name="40% - Énfasis1 3 3 3" xfId="1580"/>
    <cellStyle name="40% - Énfasis1 3 3 3 2" xfId="4705"/>
    <cellStyle name="40% - Énfasis1 3 3 3 2 2" xfId="10908"/>
    <cellStyle name="40% - Énfasis1 3 3 3 2 3" xfId="17110"/>
    <cellStyle name="40% - Énfasis1 3 3 3 2 4" xfId="55983"/>
    <cellStyle name="40% - Énfasis1 3 3 3 3" xfId="7808"/>
    <cellStyle name="40% - Énfasis1 3 3 3 4" xfId="14010"/>
    <cellStyle name="40% - Énfasis1 3 3 3 5" xfId="53096"/>
    <cellStyle name="40% - Énfasis1 3 3 4" xfId="2506"/>
    <cellStyle name="40% - Énfasis1 3 3 4 2" xfId="5630"/>
    <cellStyle name="40% - Énfasis1 3 3 4 2 2" xfId="11833"/>
    <cellStyle name="40% - Énfasis1 3 3 4 2 3" xfId="18035"/>
    <cellStyle name="40% - Énfasis1 3 3 4 2 4" xfId="56863"/>
    <cellStyle name="40% - Énfasis1 3 3 4 3" xfId="8733"/>
    <cellStyle name="40% - Énfasis1 3 3 4 4" xfId="14935"/>
    <cellStyle name="40% - Énfasis1 3 3 4 5" xfId="53968"/>
    <cellStyle name="40% - Énfasis1 3 3 5" xfId="3558"/>
    <cellStyle name="40% - Énfasis1 3 3 5 2" xfId="9762"/>
    <cellStyle name="40% - Énfasis1 3 3 5 3" xfId="15964"/>
    <cellStyle name="40% - Énfasis1 3 3 5 4" xfId="54935"/>
    <cellStyle name="40% - Énfasis1 3 3 6" xfId="6661"/>
    <cellStyle name="40% - Énfasis1 3 3 6 2" xfId="19181"/>
    <cellStyle name="40% - Énfasis1 3 3 7" xfId="12863"/>
    <cellStyle name="40% - Énfasis1 3 3 8" xfId="51979"/>
    <cellStyle name="40% - Énfasis1 3 4" xfId="243"/>
    <cellStyle name="40% - Énfasis1 3 4 2" xfId="1845"/>
    <cellStyle name="40% - Énfasis1 3 4 2 2" xfId="4970"/>
    <cellStyle name="40% - Énfasis1 3 4 2 2 2" xfId="11173"/>
    <cellStyle name="40% - Énfasis1 3 4 2 2 3" xfId="17375"/>
    <cellStyle name="40% - Énfasis1 3 4 2 2 4" xfId="56234"/>
    <cellStyle name="40% - Énfasis1 3 4 2 3" xfId="8073"/>
    <cellStyle name="40% - Énfasis1 3 4 2 4" xfId="14275"/>
    <cellStyle name="40% - Énfasis1 3 4 2 5" xfId="53340"/>
    <cellStyle name="40% - Énfasis1 3 4 3" xfId="2508"/>
    <cellStyle name="40% - Énfasis1 3 4 3 2" xfId="5632"/>
    <cellStyle name="40% - Énfasis1 3 4 3 2 2" xfId="11835"/>
    <cellStyle name="40% - Énfasis1 3 4 3 2 3" xfId="18037"/>
    <cellStyle name="40% - Énfasis1 3 4 3 2 4" xfId="56865"/>
    <cellStyle name="40% - Énfasis1 3 4 3 3" xfId="8735"/>
    <cellStyle name="40% - Énfasis1 3 4 3 4" xfId="14937"/>
    <cellStyle name="40% - Énfasis1 3 4 3 5" xfId="53970"/>
    <cellStyle name="40% - Énfasis1 3 4 4" xfId="3560"/>
    <cellStyle name="40% - Énfasis1 3 4 4 2" xfId="9764"/>
    <cellStyle name="40% - Énfasis1 3 4 4 3" xfId="15966"/>
    <cellStyle name="40% - Énfasis1 3 4 4 4" xfId="54937"/>
    <cellStyle name="40% - Énfasis1 3 4 5" xfId="6663"/>
    <cellStyle name="40% - Énfasis1 3 4 5 2" xfId="19446"/>
    <cellStyle name="40% - Énfasis1 3 4 6" xfId="12865"/>
    <cellStyle name="40% - Énfasis1 3 4 7" xfId="52295"/>
    <cellStyle name="40% - Énfasis1 3 5" xfId="1321"/>
    <cellStyle name="40% - Énfasis1 3 5 2" xfId="4446"/>
    <cellStyle name="40% - Énfasis1 3 5 2 2" xfId="10649"/>
    <cellStyle name="40% - Énfasis1 3 5 2 3" xfId="16851"/>
    <cellStyle name="40% - Énfasis1 3 5 2 4" xfId="55737"/>
    <cellStyle name="40% - Énfasis1 3 5 3" xfId="7549"/>
    <cellStyle name="40% - Énfasis1 3 5 4" xfId="13751"/>
    <cellStyle name="40% - Énfasis1 3 5 5" xfId="52865"/>
    <cellStyle name="40% - Énfasis1 3 6" xfId="2501"/>
    <cellStyle name="40% - Énfasis1 3 6 2" xfId="5625"/>
    <cellStyle name="40% - Énfasis1 3 6 2 2" xfId="11828"/>
    <cellStyle name="40% - Énfasis1 3 6 2 3" xfId="18030"/>
    <cellStyle name="40% - Énfasis1 3 6 2 4" xfId="56858"/>
    <cellStyle name="40% - Énfasis1 3 6 3" xfId="8728"/>
    <cellStyle name="40% - Énfasis1 3 6 4" xfId="14930"/>
    <cellStyle name="40% - Énfasis1 3 6 5" xfId="53963"/>
    <cellStyle name="40% - Énfasis1 3 7" xfId="3553"/>
    <cellStyle name="40% - Énfasis1 3 7 2" xfId="9757"/>
    <cellStyle name="40% - Énfasis1 3 7 3" xfId="15959"/>
    <cellStyle name="40% - Énfasis1 3 7 4" xfId="54930"/>
    <cellStyle name="40% - Énfasis1 3 8" xfId="6656"/>
    <cellStyle name="40% - Énfasis1 3 8 2" xfId="18922"/>
    <cellStyle name="40% - Énfasis1 3 9" xfId="12858"/>
    <cellStyle name="40% - Énfasis1 4" xfId="244"/>
    <cellStyle name="40% - Énfasis1 4 2" xfId="245"/>
    <cellStyle name="40% - Énfasis1 4 2 2" xfId="246"/>
    <cellStyle name="40% - Énfasis1 4 2 2 2" xfId="2164"/>
    <cellStyle name="40% - Énfasis1 4 2 2 2 2" xfId="5289"/>
    <cellStyle name="40% - Énfasis1 4 2 2 2 2 2" xfId="11492"/>
    <cellStyle name="40% - Énfasis1 4 2 2 2 2 3" xfId="17694"/>
    <cellStyle name="40% - Énfasis1 4 2 2 2 2 4" xfId="56532"/>
    <cellStyle name="40% - Énfasis1 4 2 2 2 3" xfId="8392"/>
    <cellStyle name="40% - Énfasis1 4 2 2 2 4" xfId="14594"/>
    <cellStyle name="40% - Énfasis1 4 2 2 2 5" xfId="53636"/>
    <cellStyle name="40% - Énfasis1 4 2 2 3" xfId="2511"/>
    <cellStyle name="40% - Énfasis1 4 2 2 3 2" xfId="5635"/>
    <cellStyle name="40% - Énfasis1 4 2 2 3 2 2" xfId="11838"/>
    <cellStyle name="40% - Énfasis1 4 2 2 3 2 3" xfId="18040"/>
    <cellStyle name="40% - Énfasis1 4 2 2 3 2 4" xfId="56868"/>
    <cellStyle name="40% - Énfasis1 4 2 2 3 3" xfId="8738"/>
    <cellStyle name="40% - Énfasis1 4 2 2 3 4" xfId="14940"/>
    <cellStyle name="40% - Énfasis1 4 2 2 3 5" xfId="53973"/>
    <cellStyle name="40% - Énfasis1 4 2 2 4" xfId="3563"/>
    <cellStyle name="40% - Énfasis1 4 2 2 4 2" xfId="9767"/>
    <cellStyle name="40% - Énfasis1 4 2 2 4 3" xfId="15969"/>
    <cellStyle name="40% - Énfasis1 4 2 2 4 4" xfId="54940"/>
    <cellStyle name="40% - Énfasis1 4 2 2 5" xfId="6666"/>
    <cellStyle name="40% - Énfasis1 4 2 2 5 2" xfId="19765"/>
    <cellStyle name="40% - Énfasis1 4 2 2 6" xfId="12868"/>
    <cellStyle name="40% - Énfasis1 4 2 2 7" xfId="52297"/>
    <cellStyle name="40% - Énfasis1 4 2 3" xfId="1640"/>
    <cellStyle name="40% - Énfasis1 4 2 3 2" xfId="4765"/>
    <cellStyle name="40% - Énfasis1 4 2 3 2 2" xfId="10968"/>
    <cellStyle name="40% - Énfasis1 4 2 3 2 3" xfId="17170"/>
    <cellStyle name="40% - Énfasis1 4 2 3 2 4" xfId="56041"/>
    <cellStyle name="40% - Énfasis1 4 2 3 3" xfId="7868"/>
    <cellStyle name="40% - Énfasis1 4 2 3 4" xfId="14070"/>
    <cellStyle name="40% - Énfasis1 4 2 3 5" xfId="53151"/>
    <cellStyle name="40% - Énfasis1 4 2 4" xfId="2510"/>
    <cellStyle name="40% - Énfasis1 4 2 4 2" xfId="5634"/>
    <cellStyle name="40% - Énfasis1 4 2 4 2 2" xfId="11837"/>
    <cellStyle name="40% - Énfasis1 4 2 4 2 3" xfId="18039"/>
    <cellStyle name="40% - Énfasis1 4 2 4 2 4" xfId="56867"/>
    <cellStyle name="40% - Énfasis1 4 2 4 3" xfId="8737"/>
    <cellStyle name="40% - Énfasis1 4 2 4 4" xfId="14939"/>
    <cellStyle name="40% - Énfasis1 4 2 4 5" xfId="53972"/>
    <cellStyle name="40% - Énfasis1 4 2 5" xfId="3562"/>
    <cellStyle name="40% - Énfasis1 4 2 5 2" xfId="9766"/>
    <cellStyle name="40% - Énfasis1 4 2 5 3" xfId="15968"/>
    <cellStyle name="40% - Énfasis1 4 2 5 4" xfId="54939"/>
    <cellStyle name="40% - Énfasis1 4 2 6" xfId="6665"/>
    <cellStyle name="40% - Énfasis1 4 2 6 2" xfId="19241"/>
    <cellStyle name="40% - Énfasis1 4 2 6 3" xfId="52296"/>
    <cellStyle name="40% - Énfasis1 4 2 7" xfId="12867"/>
    <cellStyle name="40% - Énfasis1 4 2 8" xfId="23439"/>
    <cellStyle name="40% - Énfasis1 4 3" xfId="247"/>
    <cellStyle name="40% - Énfasis1 4 3 2" xfId="1918"/>
    <cellStyle name="40% - Énfasis1 4 3 2 2" xfId="5043"/>
    <cellStyle name="40% - Énfasis1 4 3 2 2 2" xfId="11246"/>
    <cellStyle name="40% - Énfasis1 4 3 2 2 3" xfId="17448"/>
    <cellStyle name="40% - Énfasis1 4 3 2 2 4" xfId="56304"/>
    <cellStyle name="40% - Énfasis1 4 3 2 3" xfId="8146"/>
    <cellStyle name="40% - Énfasis1 4 3 2 4" xfId="14348"/>
    <cellStyle name="40% - Énfasis1 4 3 2 5" xfId="53410"/>
    <cellStyle name="40% - Énfasis1 4 3 3" xfId="2512"/>
    <cellStyle name="40% - Énfasis1 4 3 3 2" xfId="5636"/>
    <cellStyle name="40% - Énfasis1 4 3 3 2 2" xfId="11839"/>
    <cellStyle name="40% - Énfasis1 4 3 3 2 3" xfId="18041"/>
    <cellStyle name="40% - Énfasis1 4 3 3 2 4" xfId="56869"/>
    <cellStyle name="40% - Énfasis1 4 3 3 3" xfId="8739"/>
    <cellStyle name="40% - Énfasis1 4 3 3 4" xfId="14941"/>
    <cellStyle name="40% - Énfasis1 4 3 3 5" xfId="53974"/>
    <cellStyle name="40% - Énfasis1 4 3 4" xfId="3564"/>
    <cellStyle name="40% - Énfasis1 4 3 4 2" xfId="9768"/>
    <cellStyle name="40% - Énfasis1 4 3 4 3" xfId="15970"/>
    <cellStyle name="40% - Énfasis1 4 3 4 4" xfId="54941"/>
    <cellStyle name="40% - Énfasis1 4 3 5" xfId="6667"/>
    <cellStyle name="40% - Énfasis1 4 3 5 2" xfId="19519"/>
    <cellStyle name="40% - Énfasis1 4 3 6" xfId="12869"/>
    <cellStyle name="40% - Énfasis1 4 3 7" xfId="52047"/>
    <cellStyle name="40% - Énfasis1 4 4" xfId="1394"/>
    <cellStyle name="40% - Énfasis1 4 4 2" xfId="4519"/>
    <cellStyle name="40% - Énfasis1 4 4 2 2" xfId="10722"/>
    <cellStyle name="40% - Énfasis1 4 4 2 3" xfId="16924"/>
    <cellStyle name="40% - Énfasis1 4 4 2 4" xfId="55808"/>
    <cellStyle name="40% - Énfasis1 4 4 3" xfId="7622"/>
    <cellStyle name="40% - Énfasis1 4 4 4" xfId="13824"/>
    <cellStyle name="40% - Énfasis1 4 4 5" xfId="52931"/>
    <cellStyle name="40% - Énfasis1 4 5" xfId="2509"/>
    <cellStyle name="40% - Énfasis1 4 5 2" xfId="5633"/>
    <cellStyle name="40% - Énfasis1 4 5 2 2" xfId="11836"/>
    <cellStyle name="40% - Énfasis1 4 5 2 3" xfId="18038"/>
    <cellStyle name="40% - Énfasis1 4 5 2 4" xfId="56866"/>
    <cellStyle name="40% - Énfasis1 4 5 3" xfId="8736"/>
    <cellStyle name="40% - Énfasis1 4 5 4" xfId="14938"/>
    <cellStyle name="40% - Énfasis1 4 5 5" xfId="53971"/>
    <cellStyle name="40% - Énfasis1 4 6" xfId="3561"/>
    <cellStyle name="40% - Énfasis1 4 6 2" xfId="9765"/>
    <cellStyle name="40% - Énfasis1 4 6 3" xfId="15967"/>
    <cellStyle name="40% - Énfasis1 4 6 4" xfId="54938"/>
    <cellStyle name="40% - Énfasis1 4 7" xfId="6664"/>
    <cellStyle name="40% - Énfasis1 4 7 2" xfId="18995"/>
    <cellStyle name="40% - Énfasis1 4 8" xfId="12866"/>
    <cellStyle name="40% - Énfasis1 4 9" xfId="23438"/>
    <cellStyle name="40% - Énfasis1 5" xfId="248"/>
    <cellStyle name="40% - Énfasis1 5 2" xfId="249"/>
    <cellStyle name="40% - Énfasis1 5 2 2" xfId="2056"/>
    <cellStyle name="40% - Énfasis1 5 2 2 2" xfId="5181"/>
    <cellStyle name="40% - Énfasis1 5 2 2 2 2" xfId="11384"/>
    <cellStyle name="40% - Énfasis1 5 2 2 2 3" xfId="17586"/>
    <cellStyle name="40% - Énfasis1 5 2 2 2 4" xfId="56433"/>
    <cellStyle name="40% - Énfasis1 5 2 2 3" xfId="8284"/>
    <cellStyle name="40% - Énfasis1 5 2 2 4" xfId="14486"/>
    <cellStyle name="40% - Énfasis1 5 2 2 5" xfId="53537"/>
    <cellStyle name="40% - Énfasis1 5 2 3" xfId="2514"/>
    <cellStyle name="40% - Énfasis1 5 2 3 2" xfId="5638"/>
    <cellStyle name="40% - Énfasis1 5 2 3 2 2" xfId="11841"/>
    <cellStyle name="40% - Énfasis1 5 2 3 2 3" xfId="18043"/>
    <cellStyle name="40% - Énfasis1 5 2 3 2 4" xfId="56871"/>
    <cellStyle name="40% - Énfasis1 5 2 3 3" xfId="8741"/>
    <cellStyle name="40% - Énfasis1 5 2 3 4" xfId="14943"/>
    <cellStyle name="40% - Énfasis1 5 2 3 5" xfId="53976"/>
    <cellStyle name="40% - Énfasis1 5 2 4" xfId="3566"/>
    <cellStyle name="40% - Énfasis1 5 2 4 2" xfId="9770"/>
    <cellStyle name="40% - Énfasis1 5 2 4 3" xfId="15972"/>
    <cellStyle name="40% - Énfasis1 5 2 4 4" xfId="54943"/>
    <cellStyle name="40% - Énfasis1 5 2 5" xfId="6669"/>
    <cellStyle name="40% - Énfasis1 5 2 5 2" xfId="19657"/>
    <cellStyle name="40% - Énfasis1 5 2 5 3" xfId="52299"/>
    <cellStyle name="40% - Énfasis1 5 2 6" xfId="12871"/>
    <cellStyle name="40% - Énfasis1 5 2 7" xfId="23441"/>
    <cellStyle name="40% - Énfasis1 5 3" xfId="1532"/>
    <cellStyle name="40% - Énfasis1 5 3 2" xfId="4657"/>
    <cellStyle name="40% - Énfasis1 5 3 2 2" xfId="10860"/>
    <cellStyle name="40% - Énfasis1 5 3 2 3" xfId="17062"/>
    <cellStyle name="40% - Énfasis1 5 3 2 4" xfId="55938"/>
    <cellStyle name="40% - Énfasis1 5 3 3" xfId="7760"/>
    <cellStyle name="40% - Énfasis1 5 3 4" xfId="13962"/>
    <cellStyle name="40% - Énfasis1 5 3 5" xfId="53053"/>
    <cellStyle name="40% - Énfasis1 5 4" xfId="2513"/>
    <cellStyle name="40% - Énfasis1 5 4 2" xfId="5637"/>
    <cellStyle name="40% - Énfasis1 5 4 2 2" xfId="11840"/>
    <cellStyle name="40% - Énfasis1 5 4 2 3" xfId="18042"/>
    <cellStyle name="40% - Énfasis1 5 4 2 4" xfId="56870"/>
    <cellStyle name="40% - Énfasis1 5 4 3" xfId="8740"/>
    <cellStyle name="40% - Énfasis1 5 4 4" xfId="14942"/>
    <cellStyle name="40% - Énfasis1 5 4 5" xfId="53975"/>
    <cellStyle name="40% - Énfasis1 5 5" xfId="3565"/>
    <cellStyle name="40% - Énfasis1 5 5 2" xfId="9769"/>
    <cellStyle name="40% - Énfasis1 5 5 3" xfId="15971"/>
    <cellStyle name="40% - Énfasis1 5 5 4" xfId="54942"/>
    <cellStyle name="40% - Énfasis1 5 6" xfId="6668"/>
    <cellStyle name="40% - Énfasis1 5 6 2" xfId="19133"/>
    <cellStyle name="40% - Énfasis1 5 6 3" xfId="52298"/>
    <cellStyle name="40% - Énfasis1 5 7" xfId="12870"/>
    <cellStyle name="40% - Énfasis1 5 8" xfId="23440"/>
    <cellStyle name="40% - Énfasis1 6" xfId="250"/>
    <cellStyle name="40% - Énfasis1 6 2" xfId="1785"/>
    <cellStyle name="40% - Énfasis1 6 2 2" xfId="4910"/>
    <cellStyle name="40% - Énfasis1 6 2 2 2" xfId="11113"/>
    <cellStyle name="40% - Énfasis1 6 2 2 3" xfId="17315"/>
    <cellStyle name="40% - Énfasis1 6 2 2 4" xfId="56179"/>
    <cellStyle name="40% - Énfasis1 6 2 3" xfId="8013"/>
    <cellStyle name="40% - Énfasis1 6 2 4" xfId="14215"/>
    <cellStyle name="40% - Énfasis1 6 2 5" xfId="53286"/>
    <cellStyle name="40% - Énfasis1 6 3" xfId="2515"/>
    <cellStyle name="40% - Énfasis1 6 3 2" xfId="5639"/>
    <cellStyle name="40% - Énfasis1 6 3 2 2" xfId="11842"/>
    <cellStyle name="40% - Énfasis1 6 3 2 3" xfId="18044"/>
    <cellStyle name="40% - Énfasis1 6 3 2 4" xfId="56872"/>
    <cellStyle name="40% - Énfasis1 6 3 3" xfId="8742"/>
    <cellStyle name="40% - Énfasis1 6 3 4" xfId="14944"/>
    <cellStyle name="40% - Énfasis1 6 3 5" xfId="53977"/>
    <cellStyle name="40% - Énfasis1 6 4" xfId="3567"/>
    <cellStyle name="40% - Énfasis1 6 4 2" xfId="9771"/>
    <cellStyle name="40% - Énfasis1 6 4 3" xfId="15973"/>
    <cellStyle name="40% - Énfasis1 6 4 4" xfId="54944"/>
    <cellStyle name="40% - Énfasis1 6 5" xfId="6670"/>
    <cellStyle name="40% - Énfasis1 6 5 2" xfId="19386"/>
    <cellStyle name="40% - Énfasis1 6 5 3" xfId="52300"/>
    <cellStyle name="40% - Énfasis1 6 6" xfId="12872"/>
    <cellStyle name="40% - Énfasis1 6 7" xfId="23442"/>
    <cellStyle name="40% - Énfasis1 7" xfId="1259"/>
    <cellStyle name="40% - Énfasis1 7 2" xfId="4384"/>
    <cellStyle name="40% - Énfasis1 7 2 2" xfId="10587"/>
    <cellStyle name="40% - Énfasis1 7 2 3" xfId="16789"/>
    <cellStyle name="40% - Énfasis1 7 2 4" xfId="55680"/>
    <cellStyle name="40% - Énfasis1 7 3" xfId="7487"/>
    <cellStyle name="40% - Énfasis1 7 3 2" xfId="52811"/>
    <cellStyle name="40% - Énfasis1 7 4" xfId="13689"/>
    <cellStyle name="40% - Énfasis1 7 5" xfId="23443"/>
    <cellStyle name="40% - Énfasis1 8" xfId="18860"/>
    <cellStyle name="40% - Énfasis1 8 10" xfId="23445"/>
    <cellStyle name="40% - Énfasis1 8 10 2" xfId="23446"/>
    <cellStyle name="40% - Énfasis1 8 10 2 2" xfId="23447"/>
    <cellStyle name="40% - Énfasis1 8 10 3" xfId="23448"/>
    <cellStyle name="40% - Énfasis1 8 11" xfId="23449"/>
    <cellStyle name="40% - Énfasis1 8 11 2" xfId="23450"/>
    <cellStyle name="40% - Énfasis1 8 11 2 2" xfId="23451"/>
    <cellStyle name="40% - Énfasis1 8 11 3" xfId="23452"/>
    <cellStyle name="40% - Énfasis1 8 12" xfId="23453"/>
    <cellStyle name="40% - Énfasis1 8 12 2" xfId="23454"/>
    <cellStyle name="40% - Énfasis1 8 13" xfId="23455"/>
    <cellStyle name="40% - Énfasis1 8 13 2" xfId="23456"/>
    <cellStyle name="40% - Énfasis1 8 14" xfId="23457"/>
    <cellStyle name="40% - Énfasis1 8 15" xfId="23458"/>
    <cellStyle name="40% - Énfasis1 8 16" xfId="23444"/>
    <cellStyle name="40% - Énfasis1 8 2" xfId="23459"/>
    <cellStyle name="40% - Énfasis1 8 2 10" xfId="23460"/>
    <cellStyle name="40% - Énfasis1 8 2 10 2" xfId="23461"/>
    <cellStyle name="40% - Énfasis1 8 2 10 2 2" xfId="23462"/>
    <cellStyle name="40% - Énfasis1 8 2 10 3" xfId="23463"/>
    <cellStyle name="40% - Énfasis1 8 2 11" xfId="23464"/>
    <cellStyle name="40% - Énfasis1 8 2 11 2" xfId="23465"/>
    <cellStyle name="40% - Énfasis1 8 2 12" xfId="23466"/>
    <cellStyle name="40% - Énfasis1 8 2 12 2" xfId="23467"/>
    <cellStyle name="40% - Énfasis1 8 2 13" xfId="23468"/>
    <cellStyle name="40% - Énfasis1 8 2 14" xfId="23469"/>
    <cellStyle name="40% - Énfasis1 8 2 2" xfId="23470"/>
    <cellStyle name="40% - Énfasis1 8 2 2 2" xfId="23471"/>
    <cellStyle name="40% - Énfasis1 8 2 2 2 2" xfId="23472"/>
    <cellStyle name="40% - Énfasis1 8 2 2 2 2 2" xfId="23473"/>
    <cellStyle name="40% - Énfasis1 8 2 2 2 2 2 2" xfId="23474"/>
    <cellStyle name="40% - Énfasis1 8 2 2 2 2 2 2 2" xfId="23475"/>
    <cellStyle name="40% - Énfasis1 8 2 2 2 2 2 3" xfId="23476"/>
    <cellStyle name="40% - Énfasis1 8 2 2 2 2 2 3 2" xfId="23477"/>
    <cellStyle name="40% - Énfasis1 8 2 2 2 2 2 4" xfId="23478"/>
    <cellStyle name="40% - Énfasis1 8 2 2 2 2 3" xfId="23479"/>
    <cellStyle name="40% - Énfasis1 8 2 2 2 2 4" xfId="23480"/>
    <cellStyle name="40% - Énfasis1 8 2 2 2 2 4 2" xfId="23481"/>
    <cellStyle name="40% - Énfasis1 8 2 2 2 2 5" xfId="23482"/>
    <cellStyle name="40% - Énfasis1 8 2 2 2 2_IAS" xfId="23483"/>
    <cellStyle name="40% - Énfasis1 8 2 2 2 3" xfId="23484"/>
    <cellStyle name="40% - Énfasis1 8 2 2 2 3 2" xfId="23485"/>
    <cellStyle name="40% - Énfasis1 8 2 2 2 3 2 2" xfId="23486"/>
    <cellStyle name="40% - Énfasis1 8 2 2 2 3 3" xfId="23487"/>
    <cellStyle name="40% - Énfasis1 8 2 2 2 3 3 2" xfId="23488"/>
    <cellStyle name="40% - Énfasis1 8 2 2 2 3 4" xfId="23489"/>
    <cellStyle name="40% - Énfasis1 8 2 2 2 4" xfId="23490"/>
    <cellStyle name="40% - Énfasis1 8 2 2 2 5" xfId="23491"/>
    <cellStyle name="40% - Énfasis1 8 2 2 2 5 2" xfId="23492"/>
    <cellStyle name="40% - Énfasis1 8 2 2 2 6" xfId="23493"/>
    <cellStyle name="40% - Énfasis1 8 2 2 2_IAS" xfId="23494"/>
    <cellStyle name="40% - Énfasis1 8 2 2 3" xfId="23495"/>
    <cellStyle name="40% - Énfasis1 8 2 2 3 2" xfId="23496"/>
    <cellStyle name="40% - Énfasis1 8 2 2 3 2 2" xfId="23497"/>
    <cellStyle name="40% - Énfasis1 8 2 2 3 2 2 2" xfId="23498"/>
    <cellStyle name="40% - Énfasis1 8 2 2 3 2 3" xfId="23499"/>
    <cellStyle name="40% - Énfasis1 8 2 2 3 2 3 2" xfId="23500"/>
    <cellStyle name="40% - Énfasis1 8 2 2 3 2 4" xfId="23501"/>
    <cellStyle name="40% - Énfasis1 8 2 2 3 3" xfId="23502"/>
    <cellStyle name="40% - Énfasis1 8 2 2 3 4" xfId="23503"/>
    <cellStyle name="40% - Énfasis1 8 2 2 3 4 2" xfId="23504"/>
    <cellStyle name="40% - Énfasis1 8 2 2 3 5" xfId="23505"/>
    <cellStyle name="40% - Énfasis1 8 2 2 3_IAS" xfId="23506"/>
    <cellStyle name="40% - Énfasis1 8 2 2 4" xfId="23507"/>
    <cellStyle name="40% - Énfasis1 8 2 2 4 2" xfId="23508"/>
    <cellStyle name="40% - Énfasis1 8 2 2 4 2 2" xfId="23509"/>
    <cellStyle name="40% - Énfasis1 8 2 2 4 3" xfId="23510"/>
    <cellStyle name="40% - Énfasis1 8 2 2 4 3 2" xfId="23511"/>
    <cellStyle name="40% - Énfasis1 8 2 2 4 4" xfId="23512"/>
    <cellStyle name="40% - Énfasis1 8 2 2 5" xfId="23513"/>
    <cellStyle name="40% - Énfasis1 8 2 2 6" xfId="23514"/>
    <cellStyle name="40% - Énfasis1 8 2 2 6 2" xfId="23515"/>
    <cellStyle name="40% - Énfasis1 8 2 2 7" xfId="23516"/>
    <cellStyle name="40% - Énfasis1 8 2 2_IAS" xfId="23517"/>
    <cellStyle name="40% - Énfasis1 8 2 3" xfId="23518"/>
    <cellStyle name="40% - Énfasis1 8 2 3 2" xfId="23519"/>
    <cellStyle name="40% - Énfasis1 8 2 3 2 2" xfId="23520"/>
    <cellStyle name="40% - Énfasis1 8 2 3 2 2 2" xfId="23521"/>
    <cellStyle name="40% - Énfasis1 8 2 3 2 2 2 2" xfId="23522"/>
    <cellStyle name="40% - Énfasis1 8 2 3 2 2 2 2 2" xfId="23523"/>
    <cellStyle name="40% - Énfasis1 8 2 3 2 2 2 3" xfId="23524"/>
    <cellStyle name="40% - Énfasis1 8 2 3 2 2 2 3 2" xfId="23525"/>
    <cellStyle name="40% - Énfasis1 8 2 3 2 2 2 4" xfId="23526"/>
    <cellStyle name="40% - Énfasis1 8 2 3 2 2 3" xfId="23527"/>
    <cellStyle name="40% - Énfasis1 8 2 3 2 2 4" xfId="23528"/>
    <cellStyle name="40% - Énfasis1 8 2 3 2 2 4 2" xfId="23529"/>
    <cellStyle name="40% - Énfasis1 8 2 3 2 2 5" xfId="23530"/>
    <cellStyle name="40% - Énfasis1 8 2 3 2 2_IAS" xfId="23531"/>
    <cellStyle name="40% - Énfasis1 8 2 3 2 3" xfId="23532"/>
    <cellStyle name="40% - Énfasis1 8 2 3 2 3 2" xfId="23533"/>
    <cellStyle name="40% - Énfasis1 8 2 3 2 3 2 2" xfId="23534"/>
    <cellStyle name="40% - Énfasis1 8 2 3 2 3 3" xfId="23535"/>
    <cellStyle name="40% - Énfasis1 8 2 3 2 3 3 2" xfId="23536"/>
    <cellStyle name="40% - Énfasis1 8 2 3 2 3 4" xfId="23537"/>
    <cellStyle name="40% - Énfasis1 8 2 3 2 4" xfId="23538"/>
    <cellStyle name="40% - Énfasis1 8 2 3 2 5" xfId="23539"/>
    <cellStyle name="40% - Énfasis1 8 2 3 2 5 2" xfId="23540"/>
    <cellStyle name="40% - Énfasis1 8 2 3 2 6" xfId="23541"/>
    <cellStyle name="40% - Énfasis1 8 2 3 2_IAS" xfId="23542"/>
    <cellStyle name="40% - Énfasis1 8 2 3 3" xfId="23543"/>
    <cellStyle name="40% - Énfasis1 8 2 3 3 2" xfId="23544"/>
    <cellStyle name="40% - Énfasis1 8 2 3 3 2 2" xfId="23545"/>
    <cellStyle name="40% - Énfasis1 8 2 3 3 2 2 2" xfId="23546"/>
    <cellStyle name="40% - Énfasis1 8 2 3 3 2 3" xfId="23547"/>
    <cellStyle name="40% - Énfasis1 8 2 3 3 2 3 2" xfId="23548"/>
    <cellStyle name="40% - Énfasis1 8 2 3 3 2 4" xfId="23549"/>
    <cellStyle name="40% - Énfasis1 8 2 3 3 3" xfId="23550"/>
    <cellStyle name="40% - Énfasis1 8 2 3 3 4" xfId="23551"/>
    <cellStyle name="40% - Énfasis1 8 2 3 3 4 2" xfId="23552"/>
    <cellStyle name="40% - Énfasis1 8 2 3 3 5" xfId="23553"/>
    <cellStyle name="40% - Énfasis1 8 2 3 3_IAS" xfId="23554"/>
    <cellStyle name="40% - Énfasis1 8 2 3 4" xfId="23555"/>
    <cellStyle name="40% - Énfasis1 8 2 3 4 2" xfId="23556"/>
    <cellStyle name="40% - Énfasis1 8 2 3 4 2 2" xfId="23557"/>
    <cellStyle name="40% - Énfasis1 8 2 3 4 3" xfId="23558"/>
    <cellStyle name="40% - Énfasis1 8 2 3 4 3 2" xfId="23559"/>
    <cellStyle name="40% - Énfasis1 8 2 3 4 4" xfId="23560"/>
    <cellStyle name="40% - Énfasis1 8 2 3 5" xfId="23561"/>
    <cellStyle name="40% - Énfasis1 8 2 3 6" xfId="23562"/>
    <cellStyle name="40% - Énfasis1 8 2 3 6 2" xfId="23563"/>
    <cellStyle name="40% - Énfasis1 8 2 3 7" xfId="23564"/>
    <cellStyle name="40% - Énfasis1 8 2 3_IAS" xfId="23565"/>
    <cellStyle name="40% - Énfasis1 8 2 4" xfId="23566"/>
    <cellStyle name="40% - Énfasis1 8 2 5" xfId="23567"/>
    <cellStyle name="40% - Énfasis1 8 2 5 2" xfId="23568"/>
    <cellStyle name="40% - Énfasis1 8 2 5 2 2" xfId="23569"/>
    <cellStyle name="40% - Énfasis1 8 2 5 2 2 2" xfId="23570"/>
    <cellStyle name="40% - Énfasis1 8 2 5 2 2 2 2" xfId="23571"/>
    <cellStyle name="40% - Énfasis1 8 2 5 2 2 3" xfId="23572"/>
    <cellStyle name="40% - Énfasis1 8 2 5 2 2 3 2" xfId="23573"/>
    <cellStyle name="40% - Énfasis1 8 2 5 2 2 4" xfId="23574"/>
    <cellStyle name="40% - Énfasis1 8 2 5 2 3" xfId="23575"/>
    <cellStyle name="40% - Énfasis1 8 2 5 2 4" xfId="23576"/>
    <cellStyle name="40% - Énfasis1 8 2 5 2 4 2" xfId="23577"/>
    <cellStyle name="40% - Énfasis1 8 2 5 2 5" xfId="23578"/>
    <cellStyle name="40% - Énfasis1 8 2 5 2_IAS" xfId="23579"/>
    <cellStyle name="40% - Énfasis1 8 2 5 3" xfId="23580"/>
    <cellStyle name="40% - Énfasis1 8 2 5 3 2" xfId="23581"/>
    <cellStyle name="40% - Énfasis1 8 2 5 3 2 2" xfId="23582"/>
    <cellStyle name="40% - Énfasis1 8 2 5 3 3" xfId="23583"/>
    <cellStyle name="40% - Énfasis1 8 2 5 3 3 2" xfId="23584"/>
    <cellStyle name="40% - Énfasis1 8 2 5 3 4" xfId="23585"/>
    <cellStyle name="40% - Énfasis1 8 2 5 4" xfId="23586"/>
    <cellStyle name="40% - Énfasis1 8 2 5 5" xfId="23587"/>
    <cellStyle name="40% - Énfasis1 8 2 5 5 2" xfId="23588"/>
    <cellStyle name="40% - Énfasis1 8 2 5 6" xfId="23589"/>
    <cellStyle name="40% - Énfasis1 8 2 5_IAS" xfId="23590"/>
    <cellStyle name="40% - Énfasis1 8 2 6" xfId="23591"/>
    <cellStyle name="40% - Énfasis1 8 2 6 2" xfId="23592"/>
    <cellStyle name="40% - Énfasis1 8 2 6 2 2" xfId="23593"/>
    <cellStyle name="40% - Énfasis1 8 2 6 2 2 2" xfId="23594"/>
    <cellStyle name="40% - Énfasis1 8 2 6 2 3" xfId="23595"/>
    <cellStyle name="40% - Énfasis1 8 2 6 2 3 2" xfId="23596"/>
    <cellStyle name="40% - Énfasis1 8 2 6 2 4" xfId="23597"/>
    <cellStyle name="40% - Énfasis1 8 2 6 3" xfId="23598"/>
    <cellStyle name="40% - Énfasis1 8 2 6 4" xfId="23599"/>
    <cellStyle name="40% - Énfasis1 8 2 6 4 2" xfId="23600"/>
    <cellStyle name="40% - Énfasis1 8 2 6 5" xfId="23601"/>
    <cellStyle name="40% - Énfasis1 8 2 6_IAS" xfId="23602"/>
    <cellStyle name="40% - Énfasis1 8 2 7" xfId="23603"/>
    <cellStyle name="40% - Énfasis1 8 2 7 2" xfId="23604"/>
    <cellStyle name="40% - Énfasis1 8 2 7 2 2" xfId="23605"/>
    <cellStyle name="40% - Énfasis1 8 2 7 3" xfId="23606"/>
    <cellStyle name="40% - Énfasis1 8 2 7 3 2" xfId="23607"/>
    <cellStyle name="40% - Énfasis1 8 2 7 4" xfId="23608"/>
    <cellStyle name="40% - Énfasis1 8 2 8" xfId="23609"/>
    <cellStyle name="40% - Énfasis1 8 2 8 2" xfId="23610"/>
    <cellStyle name="40% - Énfasis1 8 2 8 2 2" xfId="23611"/>
    <cellStyle name="40% - Énfasis1 8 2 8 3" xfId="23612"/>
    <cellStyle name="40% - Énfasis1 8 2 9" xfId="23613"/>
    <cellStyle name="40% - Énfasis1 8 2 9 2" xfId="23614"/>
    <cellStyle name="40% - Énfasis1 8 2 9 2 2" xfId="23615"/>
    <cellStyle name="40% - Énfasis1 8 2 9 3" xfId="23616"/>
    <cellStyle name="40% - Énfasis1 8 2_IAS" xfId="23617"/>
    <cellStyle name="40% - Énfasis1 8 3" xfId="23618"/>
    <cellStyle name="40% - Énfasis1 8 3 2" xfId="23619"/>
    <cellStyle name="40% - Énfasis1 8 3 2 2" xfId="23620"/>
    <cellStyle name="40% - Énfasis1 8 3 2 2 2" xfId="23621"/>
    <cellStyle name="40% - Énfasis1 8 3 2 2 2 2" xfId="23622"/>
    <cellStyle name="40% - Énfasis1 8 3 2 2 2 2 2" xfId="23623"/>
    <cellStyle name="40% - Énfasis1 8 3 2 2 2 3" xfId="23624"/>
    <cellStyle name="40% - Énfasis1 8 3 2 2 2 3 2" xfId="23625"/>
    <cellStyle name="40% - Énfasis1 8 3 2 2 2 4" xfId="23626"/>
    <cellStyle name="40% - Énfasis1 8 3 2 2 3" xfId="23627"/>
    <cellStyle name="40% - Énfasis1 8 3 2 2 4" xfId="23628"/>
    <cellStyle name="40% - Énfasis1 8 3 2 2 4 2" xfId="23629"/>
    <cellStyle name="40% - Énfasis1 8 3 2 2 5" xfId="23630"/>
    <cellStyle name="40% - Énfasis1 8 3 2 2_IAS" xfId="23631"/>
    <cellStyle name="40% - Énfasis1 8 3 2 3" xfId="23632"/>
    <cellStyle name="40% - Énfasis1 8 3 2 3 2" xfId="23633"/>
    <cellStyle name="40% - Énfasis1 8 3 2 3 2 2" xfId="23634"/>
    <cellStyle name="40% - Énfasis1 8 3 2 3 3" xfId="23635"/>
    <cellStyle name="40% - Énfasis1 8 3 2 3 3 2" xfId="23636"/>
    <cellStyle name="40% - Énfasis1 8 3 2 3 4" xfId="23637"/>
    <cellStyle name="40% - Énfasis1 8 3 2 4" xfId="23638"/>
    <cellStyle name="40% - Énfasis1 8 3 2 5" xfId="23639"/>
    <cellStyle name="40% - Énfasis1 8 3 2 5 2" xfId="23640"/>
    <cellStyle name="40% - Énfasis1 8 3 2 6" xfId="23641"/>
    <cellStyle name="40% - Énfasis1 8 3 2_IAS" xfId="23642"/>
    <cellStyle name="40% - Énfasis1 8 3 3" xfId="23643"/>
    <cellStyle name="40% - Énfasis1 8 3 3 2" xfId="23644"/>
    <cellStyle name="40% - Énfasis1 8 3 3 2 2" xfId="23645"/>
    <cellStyle name="40% - Énfasis1 8 3 3 2 2 2" xfId="23646"/>
    <cellStyle name="40% - Énfasis1 8 3 3 2 3" xfId="23647"/>
    <cellStyle name="40% - Énfasis1 8 3 3 2 3 2" xfId="23648"/>
    <cellStyle name="40% - Énfasis1 8 3 3 2 4" xfId="23649"/>
    <cellStyle name="40% - Énfasis1 8 3 3 3" xfId="23650"/>
    <cellStyle name="40% - Énfasis1 8 3 3 4" xfId="23651"/>
    <cellStyle name="40% - Énfasis1 8 3 3 4 2" xfId="23652"/>
    <cellStyle name="40% - Énfasis1 8 3 3 5" xfId="23653"/>
    <cellStyle name="40% - Énfasis1 8 3 3_IAS" xfId="23654"/>
    <cellStyle name="40% - Énfasis1 8 3 4" xfId="23655"/>
    <cellStyle name="40% - Énfasis1 8 3 4 2" xfId="23656"/>
    <cellStyle name="40% - Énfasis1 8 3 4 2 2" xfId="23657"/>
    <cellStyle name="40% - Énfasis1 8 3 4 3" xfId="23658"/>
    <cellStyle name="40% - Énfasis1 8 3 4 3 2" xfId="23659"/>
    <cellStyle name="40% - Énfasis1 8 3 4 4" xfId="23660"/>
    <cellStyle name="40% - Énfasis1 8 3 5" xfId="23661"/>
    <cellStyle name="40% - Énfasis1 8 3 6" xfId="23662"/>
    <cellStyle name="40% - Énfasis1 8 3 6 2" xfId="23663"/>
    <cellStyle name="40% - Énfasis1 8 3 7" xfId="23664"/>
    <cellStyle name="40% - Énfasis1 8 3_IAS" xfId="23665"/>
    <cellStyle name="40% - Énfasis1 8 4" xfId="23666"/>
    <cellStyle name="40% - Énfasis1 8 4 2" xfId="23667"/>
    <cellStyle name="40% - Énfasis1 8 4 2 2" xfId="23668"/>
    <cellStyle name="40% - Énfasis1 8 4 2 2 2" xfId="23669"/>
    <cellStyle name="40% - Énfasis1 8 4 2 2 2 2" xfId="23670"/>
    <cellStyle name="40% - Énfasis1 8 4 2 2 2 2 2" xfId="23671"/>
    <cellStyle name="40% - Énfasis1 8 4 2 2 2 3" xfId="23672"/>
    <cellStyle name="40% - Énfasis1 8 4 2 2 2 3 2" xfId="23673"/>
    <cellStyle name="40% - Énfasis1 8 4 2 2 2 4" xfId="23674"/>
    <cellStyle name="40% - Énfasis1 8 4 2 2 3" xfId="23675"/>
    <cellStyle name="40% - Énfasis1 8 4 2 2 4" xfId="23676"/>
    <cellStyle name="40% - Énfasis1 8 4 2 2 4 2" xfId="23677"/>
    <cellStyle name="40% - Énfasis1 8 4 2 2 5" xfId="23678"/>
    <cellStyle name="40% - Énfasis1 8 4 2 2_IAS" xfId="23679"/>
    <cellStyle name="40% - Énfasis1 8 4 2 3" xfId="23680"/>
    <cellStyle name="40% - Énfasis1 8 4 2 3 2" xfId="23681"/>
    <cellStyle name="40% - Énfasis1 8 4 2 3 2 2" xfId="23682"/>
    <cellStyle name="40% - Énfasis1 8 4 2 3 3" xfId="23683"/>
    <cellStyle name="40% - Énfasis1 8 4 2 3 3 2" xfId="23684"/>
    <cellStyle name="40% - Énfasis1 8 4 2 3 4" xfId="23685"/>
    <cellStyle name="40% - Énfasis1 8 4 2 4" xfId="23686"/>
    <cellStyle name="40% - Énfasis1 8 4 2 5" xfId="23687"/>
    <cellStyle name="40% - Énfasis1 8 4 2 5 2" xfId="23688"/>
    <cellStyle name="40% - Énfasis1 8 4 2 6" xfId="23689"/>
    <cellStyle name="40% - Énfasis1 8 4 2_IAS" xfId="23690"/>
    <cellStyle name="40% - Énfasis1 8 4 3" xfId="23691"/>
    <cellStyle name="40% - Énfasis1 8 4 3 2" xfId="23692"/>
    <cellStyle name="40% - Énfasis1 8 4 3 2 2" xfId="23693"/>
    <cellStyle name="40% - Énfasis1 8 4 3 2 2 2" xfId="23694"/>
    <cellStyle name="40% - Énfasis1 8 4 3 2 3" xfId="23695"/>
    <cellStyle name="40% - Énfasis1 8 4 3 2 3 2" xfId="23696"/>
    <cellStyle name="40% - Énfasis1 8 4 3 2 4" xfId="23697"/>
    <cellStyle name="40% - Énfasis1 8 4 3 3" xfId="23698"/>
    <cellStyle name="40% - Énfasis1 8 4 3 4" xfId="23699"/>
    <cellStyle name="40% - Énfasis1 8 4 3 4 2" xfId="23700"/>
    <cellStyle name="40% - Énfasis1 8 4 3 5" xfId="23701"/>
    <cellStyle name="40% - Énfasis1 8 4 3_IAS" xfId="23702"/>
    <cellStyle name="40% - Énfasis1 8 4 4" xfId="23703"/>
    <cellStyle name="40% - Énfasis1 8 4 4 2" xfId="23704"/>
    <cellStyle name="40% - Énfasis1 8 4 4 2 2" xfId="23705"/>
    <cellStyle name="40% - Énfasis1 8 4 4 3" xfId="23706"/>
    <cellStyle name="40% - Énfasis1 8 4 4 3 2" xfId="23707"/>
    <cellStyle name="40% - Énfasis1 8 4 4 4" xfId="23708"/>
    <cellStyle name="40% - Énfasis1 8 4 5" xfId="23709"/>
    <cellStyle name="40% - Énfasis1 8 4 6" xfId="23710"/>
    <cellStyle name="40% - Énfasis1 8 4 6 2" xfId="23711"/>
    <cellStyle name="40% - Énfasis1 8 4 7" xfId="23712"/>
    <cellStyle name="40% - Énfasis1 8 4_IAS" xfId="23713"/>
    <cellStyle name="40% - Énfasis1 8 5" xfId="23714"/>
    <cellStyle name="40% - Énfasis1 8 6" xfId="23715"/>
    <cellStyle name="40% - Énfasis1 8 6 2" xfId="23716"/>
    <cellStyle name="40% - Énfasis1 8 6 2 2" xfId="23717"/>
    <cellStyle name="40% - Énfasis1 8 6 2 2 2" xfId="23718"/>
    <cellStyle name="40% - Énfasis1 8 6 2 2 2 2" xfId="23719"/>
    <cellStyle name="40% - Énfasis1 8 6 2 2 3" xfId="23720"/>
    <cellStyle name="40% - Énfasis1 8 6 2 2 3 2" xfId="23721"/>
    <cellStyle name="40% - Énfasis1 8 6 2 2 4" xfId="23722"/>
    <cellStyle name="40% - Énfasis1 8 6 2 3" xfId="23723"/>
    <cellStyle name="40% - Énfasis1 8 6 2 4" xfId="23724"/>
    <cellStyle name="40% - Énfasis1 8 6 2 4 2" xfId="23725"/>
    <cellStyle name="40% - Énfasis1 8 6 2 5" xfId="23726"/>
    <cellStyle name="40% - Énfasis1 8 6 2_IAS" xfId="23727"/>
    <cellStyle name="40% - Énfasis1 8 6 3" xfId="23728"/>
    <cellStyle name="40% - Énfasis1 8 6 3 2" xfId="23729"/>
    <cellStyle name="40% - Énfasis1 8 6 3 2 2" xfId="23730"/>
    <cellStyle name="40% - Énfasis1 8 6 3 3" xfId="23731"/>
    <cellStyle name="40% - Énfasis1 8 6 3 3 2" xfId="23732"/>
    <cellStyle name="40% - Énfasis1 8 6 3 4" xfId="23733"/>
    <cellStyle name="40% - Énfasis1 8 6 4" xfId="23734"/>
    <cellStyle name="40% - Énfasis1 8 6 5" xfId="23735"/>
    <cellStyle name="40% - Énfasis1 8 6 5 2" xfId="23736"/>
    <cellStyle name="40% - Énfasis1 8 6 6" xfId="23737"/>
    <cellStyle name="40% - Énfasis1 8 6_IAS" xfId="23738"/>
    <cellStyle name="40% - Énfasis1 8 7" xfId="23739"/>
    <cellStyle name="40% - Énfasis1 8 7 2" xfId="23740"/>
    <cellStyle name="40% - Énfasis1 8 7 2 2" xfId="23741"/>
    <cellStyle name="40% - Énfasis1 8 7 2 2 2" xfId="23742"/>
    <cellStyle name="40% - Énfasis1 8 7 2 3" xfId="23743"/>
    <cellStyle name="40% - Énfasis1 8 7 2 3 2" xfId="23744"/>
    <cellStyle name="40% - Énfasis1 8 7 2 4" xfId="23745"/>
    <cellStyle name="40% - Énfasis1 8 7 3" xfId="23746"/>
    <cellStyle name="40% - Énfasis1 8 7 4" xfId="23747"/>
    <cellStyle name="40% - Énfasis1 8 7 4 2" xfId="23748"/>
    <cellStyle name="40% - Énfasis1 8 7 5" xfId="23749"/>
    <cellStyle name="40% - Énfasis1 8 7_IAS" xfId="23750"/>
    <cellStyle name="40% - Énfasis1 8 8" xfId="23751"/>
    <cellStyle name="40% - Énfasis1 8 8 2" xfId="23752"/>
    <cellStyle name="40% - Énfasis1 8 8 2 2" xfId="23753"/>
    <cellStyle name="40% - Énfasis1 8 8 3" xfId="23754"/>
    <cellStyle name="40% - Énfasis1 8 8 3 2" xfId="23755"/>
    <cellStyle name="40% - Énfasis1 8 8 4" xfId="23756"/>
    <cellStyle name="40% - Énfasis1 8 9" xfId="23757"/>
    <cellStyle name="40% - Énfasis1 8 9 2" xfId="23758"/>
    <cellStyle name="40% - Énfasis1 8 9 2 2" xfId="23759"/>
    <cellStyle name="40% - Énfasis1 8 9 3" xfId="23760"/>
    <cellStyle name="40% - Énfasis1 8_AGF" xfId="23761"/>
    <cellStyle name="40% - Énfasis1 9" xfId="23762"/>
    <cellStyle name="40% - Énfasis1 9 10" xfId="23763"/>
    <cellStyle name="40% - Énfasis1 9 10 2" xfId="23764"/>
    <cellStyle name="40% - Énfasis1 9 10 2 2" xfId="23765"/>
    <cellStyle name="40% - Énfasis1 9 10 3" xfId="23766"/>
    <cellStyle name="40% - Énfasis1 9 11" xfId="23767"/>
    <cellStyle name="40% - Énfasis1 9 11 2" xfId="23768"/>
    <cellStyle name="40% - Énfasis1 9 12" xfId="23769"/>
    <cellStyle name="40% - Énfasis1 9 12 2" xfId="23770"/>
    <cellStyle name="40% - Énfasis1 9 13" xfId="23771"/>
    <cellStyle name="40% - Énfasis1 9 14" xfId="23772"/>
    <cellStyle name="40% - Énfasis1 9 2" xfId="23773"/>
    <cellStyle name="40% - Énfasis1 9 2 2" xfId="23774"/>
    <cellStyle name="40% - Énfasis1 9 2 2 2" xfId="23775"/>
    <cellStyle name="40% - Énfasis1 9 2 2 2 2" xfId="23776"/>
    <cellStyle name="40% - Énfasis1 9 2 2 2 2 2" xfId="23777"/>
    <cellStyle name="40% - Énfasis1 9 2 2 2 2 2 2" xfId="23778"/>
    <cellStyle name="40% - Énfasis1 9 2 2 2 2 3" xfId="23779"/>
    <cellStyle name="40% - Énfasis1 9 2 2 2 2 3 2" xfId="23780"/>
    <cellStyle name="40% - Énfasis1 9 2 2 2 2 4" xfId="23781"/>
    <cellStyle name="40% - Énfasis1 9 2 2 2 3" xfId="23782"/>
    <cellStyle name="40% - Énfasis1 9 2 2 2 4" xfId="23783"/>
    <cellStyle name="40% - Énfasis1 9 2 2 2 4 2" xfId="23784"/>
    <cellStyle name="40% - Énfasis1 9 2 2 2 5" xfId="23785"/>
    <cellStyle name="40% - Énfasis1 9 2 2 2_IAS" xfId="23786"/>
    <cellStyle name="40% - Énfasis1 9 2 2 3" xfId="23787"/>
    <cellStyle name="40% - Énfasis1 9 2 2 3 2" xfId="23788"/>
    <cellStyle name="40% - Énfasis1 9 2 2 3 2 2" xfId="23789"/>
    <cellStyle name="40% - Énfasis1 9 2 2 3 3" xfId="23790"/>
    <cellStyle name="40% - Énfasis1 9 2 2 3 3 2" xfId="23791"/>
    <cellStyle name="40% - Énfasis1 9 2 2 3 4" xfId="23792"/>
    <cellStyle name="40% - Énfasis1 9 2 2 4" xfId="23793"/>
    <cellStyle name="40% - Énfasis1 9 2 2 5" xfId="23794"/>
    <cellStyle name="40% - Énfasis1 9 2 2 5 2" xfId="23795"/>
    <cellStyle name="40% - Énfasis1 9 2 2 6" xfId="23796"/>
    <cellStyle name="40% - Énfasis1 9 2 2_IAS" xfId="23797"/>
    <cellStyle name="40% - Énfasis1 9 2 3" xfId="23798"/>
    <cellStyle name="40% - Énfasis1 9 2 3 2" xfId="23799"/>
    <cellStyle name="40% - Énfasis1 9 2 3 2 2" xfId="23800"/>
    <cellStyle name="40% - Énfasis1 9 2 3 2 2 2" xfId="23801"/>
    <cellStyle name="40% - Énfasis1 9 2 3 2 3" xfId="23802"/>
    <cellStyle name="40% - Énfasis1 9 2 3 2 3 2" xfId="23803"/>
    <cellStyle name="40% - Énfasis1 9 2 3 2 4" xfId="23804"/>
    <cellStyle name="40% - Énfasis1 9 2 3 3" xfId="23805"/>
    <cellStyle name="40% - Énfasis1 9 2 3 4" xfId="23806"/>
    <cellStyle name="40% - Énfasis1 9 2 3 4 2" xfId="23807"/>
    <cellStyle name="40% - Énfasis1 9 2 3 5" xfId="23808"/>
    <cellStyle name="40% - Énfasis1 9 2 3_IAS" xfId="23809"/>
    <cellStyle name="40% - Énfasis1 9 2 4" xfId="23810"/>
    <cellStyle name="40% - Énfasis1 9 2 4 2" xfId="23811"/>
    <cellStyle name="40% - Énfasis1 9 2 4 2 2" xfId="23812"/>
    <cellStyle name="40% - Énfasis1 9 2 4 3" xfId="23813"/>
    <cellStyle name="40% - Énfasis1 9 2 4 3 2" xfId="23814"/>
    <cellStyle name="40% - Énfasis1 9 2 4 4" xfId="23815"/>
    <cellStyle name="40% - Énfasis1 9 2 5" xfId="23816"/>
    <cellStyle name="40% - Énfasis1 9 2 6" xfId="23817"/>
    <cellStyle name="40% - Énfasis1 9 2 6 2" xfId="23818"/>
    <cellStyle name="40% - Énfasis1 9 2 7" xfId="23819"/>
    <cellStyle name="40% - Énfasis1 9 2_IAS" xfId="23820"/>
    <cellStyle name="40% - Énfasis1 9 3" xfId="23821"/>
    <cellStyle name="40% - Énfasis1 9 3 2" xfId="23822"/>
    <cellStyle name="40% - Énfasis1 9 3 2 2" xfId="23823"/>
    <cellStyle name="40% - Énfasis1 9 3 2 2 2" xfId="23824"/>
    <cellStyle name="40% - Énfasis1 9 3 2 2 2 2" xfId="23825"/>
    <cellStyle name="40% - Énfasis1 9 3 2 2 2 2 2" xfId="23826"/>
    <cellStyle name="40% - Énfasis1 9 3 2 2 2 3" xfId="23827"/>
    <cellStyle name="40% - Énfasis1 9 3 2 2 2 3 2" xfId="23828"/>
    <cellStyle name="40% - Énfasis1 9 3 2 2 2 4" xfId="23829"/>
    <cellStyle name="40% - Énfasis1 9 3 2 2 3" xfId="23830"/>
    <cellStyle name="40% - Énfasis1 9 3 2 2 4" xfId="23831"/>
    <cellStyle name="40% - Énfasis1 9 3 2 2 4 2" xfId="23832"/>
    <cellStyle name="40% - Énfasis1 9 3 2 2 5" xfId="23833"/>
    <cellStyle name="40% - Énfasis1 9 3 2 2_IAS" xfId="23834"/>
    <cellStyle name="40% - Énfasis1 9 3 2 3" xfId="23835"/>
    <cellStyle name="40% - Énfasis1 9 3 2 3 2" xfId="23836"/>
    <cellStyle name="40% - Énfasis1 9 3 2 3 2 2" xfId="23837"/>
    <cellStyle name="40% - Énfasis1 9 3 2 3 3" xfId="23838"/>
    <cellStyle name="40% - Énfasis1 9 3 2 3 3 2" xfId="23839"/>
    <cellStyle name="40% - Énfasis1 9 3 2 3 4" xfId="23840"/>
    <cellStyle name="40% - Énfasis1 9 3 2 4" xfId="23841"/>
    <cellStyle name="40% - Énfasis1 9 3 2 5" xfId="23842"/>
    <cellStyle name="40% - Énfasis1 9 3 2 5 2" xfId="23843"/>
    <cellStyle name="40% - Énfasis1 9 3 2 6" xfId="23844"/>
    <cellStyle name="40% - Énfasis1 9 3 2_IAS" xfId="23845"/>
    <cellStyle name="40% - Énfasis1 9 3 3" xfId="23846"/>
    <cellStyle name="40% - Énfasis1 9 3 3 2" xfId="23847"/>
    <cellStyle name="40% - Énfasis1 9 3 3 2 2" xfId="23848"/>
    <cellStyle name="40% - Énfasis1 9 3 3 2 2 2" xfId="23849"/>
    <cellStyle name="40% - Énfasis1 9 3 3 2 3" xfId="23850"/>
    <cellStyle name="40% - Énfasis1 9 3 3 2 3 2" xfId="23851"/>
    <cellStyle name="40% - Énfasis1 9 3 3 2 4" xfId="23852"/>
    <cellStyle name="40% - Énfasis1 9 3 3 3" xfId="23853"/>
    <cellStyle name="40% - Énfasis1 9 3 3 4" xfId="23854"/>
    <cellStyle name="40% - Énfasis1 9 3 3 4 2" xfId="23855"/>
    <cellStyle name="40% - Énfasis1 9 3 3 5" xfId="23856"/>
    <cellStyle name="40% - Énfasis1 9 3 3_IAS" xfId="23857"/>
    <cellStyle name="40% - Énfasis1 9 3 4" xfId="23858"/>
    <cellStyle name="40% - Énfasis1 9 3 4 2" xfId="23859"/>
    <cellStyle name="40% - Énfasis1 9 3 4 2 2" xfId="23860"/>
    <cellStyle name="40% - Énfasis1 9 3 4 3" xfId="23861"/>
    <cellStyle name="40% - Énfasis1 9 3 4 3 2" xfId="23862"/>
    <cellStyle name="40% - Énfasis1 9 3 4 4" xfId="23863"/>
    <cellStyle name="40% - Énfasis1 9 3 5" xfId="23864"/>
    <cellStyle name="40% - Énfasis1 9 3 6" xfId="23865"/>
    <cellStyle name="40% - Énfasis1 9 3 6 2" xfId="23866"/>
    <cellStyle name="40% - Énfasis1 9 3 7" xfId="23867"/>
    <cellStyle name="40% - Énfasis1 9 3_IAS" xfId="23868"/>
    <cellStyle name="40% - Énfasis1 9 4" xfId="23869"/>
    <cellStyle name="40% - Énfasis1 9 5" xfId="23870"/>
    <cellStyle name="40% - Énfasis1 9 5 2" xfId="23871"/>
    <cellStyle name="40% - Énfasis1 9 5 2 2" xfId="23872"/>
    <cellStyle name="40% - Énfasis1 9 5 2 2 2" xfId="23873"/>
    <cellStyle name="40% - Énfasis1 9 5 2 2 2 2" xfId="23874"/>
    <cellStyle name="40% - Énfasis1 9 5 2 2 3" xfId="23875"/>
    <cellStyle name="40% - Énfasis1 9 5 2 2 3 2" xfId="23876"/>
    <cellStyle name="40% - Énfasis1 9 5 2 2 4" xfId="23877"/>
    <cellStyle name="40% - Énfasis1 9 5 2 3" xfId="23878"/>
    <cellStyle name="40% - Énfasis1 9 5 2 4" xfId="23879"/>
    <cellStyle name="40% - Énfasis1 9 5 2 4 2" xfId="23880"/>
    <cellStyle name="40% - Énfasis1 9 5 2 5" xfId="23881"/>
    <cellStyle name="40% - Énfasis1 9 5 2_IAS" xfId="23882"/>
    <cellStyle name="40% - Énfasis1 9 5 3" xfId="23883"/>
    <cellStyle name="40% - Énfasis1 9 5 3 2" xfId="23884"/>
    <cellStyle name="40% - Énfasis1 9 5 3 2 2" xfId="23885"/>
    <cellStyle name="40% - Énfasis1 9 5 3 3" xfId="23886"/>
    <cellStyle name="40% - Énfasis1 9 5 3 3 2" xfId="23887"/>
    <cellStyle name="40% - Énfasis1 9 5 3 4" xfId="23888"/>
    <cellStyle name="40% - Énfasis1 9 5 4" xfId="23889"/>
    <cellStyle name="40% - Énfasis1 9 5 5" xfId="23890"/>
    <cellStyle name="40% - Énfasis1 9 5 5 2" xfId="23891"/>
    <cellStyle name="40% - Énfasis1 9 5 6" xfId="23892"/>
    <cellStyle name="40% - Énfasis1 9 5_IAS" xfId="23893"/>
    <cellStyle name="40% - Énfasis1 9 6" xfId="23894"/>
    <cellStyle name="40% - Énfasis1 9 6 2" xfId="23895"/>
    <cellStyle name="40% - Énfasis1 9 6 2 2" xfId="23896"/>
    <cellStyle name="40% - Énfasis1 9 6 2 2 2" xfId="23897"/>
    <cellStyle name="40% - Énfasis1 9 6 2 3" xfId="23898"/>
    <cellStyle name="40% - Énfasis1 9 6 2 3 2" xfId="23899"/>
    <cellStyle name="40% - Énfasis1 9 6 2 4" xfId="23900"/>
    <cellStyle name="40% - Énfasis1 9 6 3" xfId="23901"/>
    <cellStyle name="40% - Énfasis1 9 6 4" xfId="23902"/>
    <cellStyle name="40% - Énfasis1 9 6 4 2" xfId="23903"/>
    <cellStyle name="40% - Énfasis1 9 6 5" xfId="23904"/>
    <cellStyle name="40% - Énfasis1 9 6_IAS" xfId="23905"/>
    <cellStyle name="40% - Énfasis1 9 7" xfId="23906"/>
    <cellStyle name="40% - Énfasis1 9 7 2" xfId="23907"/>
    <cellStyle name="40% - Énfasis1 9 7 2 2" xfId="23908"/>
    <cellStyle name="40% - Énfasis1 9 7 3" xfId="23909"/>
    <cellStyle name="40% - Énfasis1 9 7 3 2" xfId="23910"/>
    <cellStyle name="40% - Énfasis1 9 7 4" xfId="23911"/>
    <cellStyle name="40% - Énfasis1 9 8" xfId="23912"/>
    <cellStyle name="40% - Énfasis1 9 8 2" xfId="23913"/>
    <cellStyle name="40% - Énfasis1 9 8 2 2" xfId="23914"/>
    <cellStyle name="40% - Énfasis1 9 8 3" xfId="23915"/>
    <cellStyle name="40% - Énfasis1 9 9" xfId="23916"/>
    <cellStyle name="40% - Énfasis1 9 9 2" xfId="23917"/>
    <cellStyle name="40% - Énfasis1 9 9 2 2" xfId="23918"/>
    <cellStyle name="40% - Énfasis1 9 9 3" xfId="23919"/>
    <cellStyle name="40% - Énfasis1 9_IAS" xfId="23920"/>
    <cellStyle name="40% - Énfasis2 10" xfId="23921"/>
    <cellStyle name="40% - Énfasis2 10 2" xfId="23922"/>
    <cellStyle name="40% - Énfasis2 10 2 2" xfId="23923"/>
    <cellStyle name="40% - Énfasis2 10 2 2 2" xfId="23924"/>
    <cellStyle name="40% - Énfasis2 10 2 3" xfId="23925"/>
    <cellStyle name="40% - Énfasis2 10 2 3 2" xfId="23926"/>
    <cellStyle name="40% - Énfasis2 10 2 4" xfId="23927"/>
    <cellStyle name="40% - Énfasis2 10 3" xfId="23928"/>
    <cellStyle name="40% - Énfasis2 10 4" xfId="23929"/>
    <cellStyle name="40% - Énfasis2 10 4 2" xfId="23930"/>
    <cellStyle name="40% - Énfasis2 10 5" xfId="23931"/>
    <cellStyle name="40% - Énfasis2 10_IAS" xfId="23932"/>
    <cellStyle name="40% - Énfasis2 11" xfId="23933"/>
    <cellStyle name="40% - Énfasis2 11 2" xfId="23934"/>
    <cellStyle name="40% - Énfasis2 11 2 2" xfId="23935"/>
    <cellStyle name="40% - Énfasis2 11 3" xfId="23936"/>
    <cellStyle name="40% - Énfasis2 11 3 2" xfId="23937"/>
    <cellStyle name="40% - Énfasis2 11 4" xfId="23938"/>
    <cellStyle name="40% - Énfasis2 11_IAS" xfId="23939"/>
    <cellStyle name="40% - Énfasis2 12" xfId="23940"/>
    <cellStyle name="40% - Énfasis2 12 2" xfId="23941"/>
    <cellStyle name="40% - Énfasis2 13" xfId="23942"/>
    <cellStyle name="40% - Énfasis2 13 2" xfId="23943"/>
    <cellStyle name="40% - Énfasis2 14" xfId="23944"/>
    <cellStyle name="40% - Énfasis2 14 2" xfId="23945"/>
    <cellStyle name="40% - Énfasis2 15" xfId="23946"/>
    <cellStyle name="40% - Énfasis2 16" xfId="19907"/>
    <cellStyle name="40% - Énfasis2 2" xfId="251"/>
    <cellStyle name="40% - Énfasis2 2 10" xfId="12873"/>
    <cellStyle name="40% - Énfasis2 2 11" xfId="23947"/>
    <cellStyle name="40% - Énfasis2 2 2" xfId="252"/>
    <cellStyle name="40% - Énfasis2 2 2 10" xfId="23948"/>
    <cellStyle name="40% - Énfasis2 2 2 2" xfId="253"/>
    <cellStyle name="40% - Énfasis2 2 2 2 2" xfId="254"/>
    <cellStyle name="40% - Énfasis2 2 2 2 2 2" xfId="255"/>
    <cellStyle name="40% - Énfasis2 2 2 2 2 2 2" xfId="2267"/>
    <cellStyle name="40% - Énfasis2 2 2 2 2 2 2 2" xfId="5392"/>
    <cellStyle name="40% - Énfasis2 2 2 2 2 2 2 2 2" xfId="11595"/>
    <cellStyle name="40% - Énfasis2 2 2 2 2 2 2 2 3" xfId="17797"/>
    <cellStyle name="40% - Énfasis2 2 2 2 2 2 2 2 4" xfId="56628"/>
    <cellStyle name="40% - Énfasis2 2 2 2 2 2 2 3" xfId="8495"/>
    <cellStyle name="40% - Énfasis2 2 2 2 2 2 2 4" xfId="14697"/>
    <cellStyle name="40% - Énfasis2 2 2 2 2 2 2 5" xfId="53732"/>
    <cellStyle name="40% - Énfasis2 2 2 2 2 2 3" xfId="2520"/>
    <cellStyle name="40% - Énfasis2 2 2 2 2 2 3 2" xfId="5644"/>
    <cellStyle name="40% - Énfasis2 2 2 2 2 2 3 2 2" xfId="11847"/>
    <cellStyle name="40% - Énfasis2 2 2 2 2 2 3 2 3" xfId="18049"/>
    <cellStyle name="40% - Énfasis2 2 2 2 2 2 3 2 4" xfId="56877"/>
    <cellStyle name="40% - Énfasis2 2 2 2 2 2 3 3" xfId="8747"/>
    <cellStyle name="40% - Énfasis2 2 2 2 2 2 3 4" xfId="14949"/>
    <cellStyle name="40% - Énfasis2 2 2 2 2 2 3 5" xfId="53982"/>
    <cellStyle name="40% - Énfasis2 2 2 2 2 2 4" xfId="3572"/>
    <cellStyle name="40% - Énfasis2 2 2 2 2 2 4 2" xfId="9776"/>
    <cellStyle name="40% - Énfasis2 2 2 2 2 2 4 3" xfId="15978"/>
    <cellStyle name="40% - Énfasis2 2 2 2 2 2 4 4" xfId="54949"/>
    <cellStyle name="40% - Énfasis2 2 2 2 2 2 5" xfId="6675"/>
    <cellStyle name="40% - Énfasis2 2 2 2 2 2 5 2" xfId="19868"/>
    <cellStyle name="40% - Énfasis2 2 2 2 2 2 6" xfId="12877"/>
    <cellStyle name="40% - Énfasis2 2 2 2 2 2 7" xfId="52302"/>
    <cellStyle name="40% - Énfasis2 2 2 2 2 3" xfId="1743"/>
    <cellStyle name="40% - Énfasis2 2 2 2 2 3 2" xfId="4868"/>
    <cellStyle name="40% - Énfasis2 2 2 2 2 3 2 2" xfId="11071"/>
    <cellStyle name="40% - Énfasis2 2 2 2 2 3 2 3" xfId="17273"/>
    <cellStyle name="40% - Énfasis2 2 2 2 2 3 2 4" xfId="56139"/>
    <cellStyle name="40% - Énfasis2 2 2 2 2 3 3" xfId="7971"/>
    <cellStyle name="40% - Énfasis2 2 2 2 2 3 4" xfId="14173"/>
    <cellStyle name="40% - Énfasis2 2 2 2 2 3 5" xfId="53247"/>
    <cellStyle name="40% - Énfasis2 2 2 2 2 4" xfId="2519"/>
    <cellStyle name="40% - Énfasis2 2 2 2 2 4 2" xfId="5643"/>
    <cellStyle name="40% - Énfasis2 2 2 2 2 4 2 2" xfId="11846"/>
    <cellStyle name="40% - Énfasis2 2 2 2 2 4 2 3" xfId="18048"/>
    <cellStyle name="40% - Énfasis2 2 2 2 2 4 2 4" xfId="56876"/>
    <cellStyle name="40% - Énfasis2 2 2 2 2 4 3" xfId="8746"/>
    <cellStyle name="40% - Énfasis2 2 2 2 2 4 4" xfId="14948"/>
    <cellStyle name="40% - Énfasis2 2 2 2 2 4 5" xfId="53981"/>
    <cellStyle name="40% - Énfasis2 2 2 2 2 5" xfId="3571"/>
    <cellStyle name="40% - Énfasis2 2 2 2 2 5 2" xfId="9775"/>
    <cellStyle name="40% - Énfasis2 2 2 2 2 5 3" xfId="15977"/>
    <cellStyle name="40% - Énfasis2 2 2 2 2 5 4" xfId="54948"/>
    <cellStyle name="40% - Énfasis2 2 2 2 2 6" xfId="6674"/>
    <cellStyle name="40% - Énfasis2 2 2 2 2 6 2" xfId="19344"/>
    <cellStyle name="40% - Énfasis2 2 2 2 2 7" xfId="12876"/>
    <cellStyle name="40% - Énfasis2 2 2 2 2 8" xfId="52301"/>
    <cellStyle name="40% - Énfasis2 2 2 2 3" xfId="256"/>
    <cellStyle name="40% - Énfasis2 2 2 2 3 2" xfId="2022"/>
    <cellStyle name="40% - Énfasis2 2 2 2 3 2 2" xfId="5147"/>
    <cellStyle name="40% - Énfasis2 2 2 2 3 2 2 2" xfId="11350"/>
    <cellStyle name="40% - Énfasis2 2 2 2 3 2 2 3" xfId="17552"/>
    <cellStyle name="40% - Énfasis2 2 2 2 3 2 2 4" xfId="56401"/>
    <cellStyle name="40% - Énfasis2 2 2 2 3 2 3" xfId="8250"/>
    <cellStyle name="40% - Énfasis2 2 2 2 3 2 4" xfId="14452"/>
    <cellStyle name="40% - Énfasis2 2 2 2 3 2 5" xfId="53506"/>
    <cellStyle name="40% - Énfasis2 2 2 2 3 3" xfId="2521"/>
    <cellStyle name="40% - Énfasis2 2 2 2 3 3 2" xfId="5645"/>
    <cellStyle name="40% - Énfasis2 2 2 2 3 3 2 2" xfId="11848"/>
    <cellStyle name="40% - Énfasis2 2 2 2 3 3 2 3" xfId="18050"/>
    <cellStyle name="40% - Énfasis2 2 2 2 3 3 2 4" xfId="56878"/>
    <cellStyle name="40% - Énfasis2 2 2 2 3 3 3" xfId="8748"/>
    <cellStyle name="40% - Énfasis2 2 2 2 3 3 4" xfId="14950"/>
    <cellStyle name="40% - Énfasis2 2 2 2 3 3 5" xfId="53983"/>
    <cellStyle name="40% - Énfasis2 2 2 2 3 4" xfId="3573"/>
    <cellStyle name="40% - Énfasis2 2 2 2 3 4 2" xfId="9777"/>
    <cellStyle name="40% - Énfasis2 2 2 2 3 4 3" xfId="15979"/>
    <cellStyle name="40% - Énfasis2 2 2 2 3 4 4" xfId="54950"/>
    <cellStyle name="40% - Énfasis2 2 2 2 3 5" xfId="6676"/>
    <cellStyle name="40% - Énfasis2 2 2 2 3 5 2" xfId="19623"/>
    <cellStyle name="40% - Énfasis2 2 2 2 3 6" xfId="12878"/>
    <cellStyle name="40% - Énfasis2 2 2 2 3 7" xfId="52303"/>
    <cellStyle name="40% - Énfasis2 2 2 2 4" xfId="1498"/>
    <cellStyle name="40% - Énfasis2 2 2 2 4 2" xfId="4623"/>
    <cellStyle name="40% - Énfasis2 2 2 2 4 2 2" xfId="10826"/>
    <cellStyle name="40% - Énfasis2 2 2 2 4 2 3" xfId="17028"/>
    <cellStyle name="40% - Énfasis2 2 2 2 4 2 4" xfId="55906"/>
    <cellStyle name="40% - Énfasis2 2 2 2 4 3" xfId="7726"/>
    <cellStyle name="40% - Énfasis2 2 2 2 4 4" xfId="13928"/>
    <cellStyle name="40% - Énfasis2 2 2 2 4 5" xfId="53022"/>
    <cellStyle name="40% - Énfasis2 2 2 2 5" xfId="2518"/>
    <cellStyle name="40% - Énfasis2 2 2 2 5 2" xfId="5642"/>
    <cellStyle name="40% - Énfasis2 2 2 2 5 2 2" xfId="11845"/>
    <cellStyle name="40% - Énfasis2 2 2 2 5 2 3" xfId="18047"/>
    <cellStyle name="40% - Énfasis2 2 2 2 5 2 4" xfId="56875"/>
    <cellStyle name="40% - Énfasis2 2 2 2 5 3" xfId="8745"/>
    <cellStyle name="40% - Énfasis2 2 2 2 5 4" xfId="14947"/>
    <cellStyle name="40% - Énfasis2 2 2 2 5 5" xfId="53980"/>
    <cellStyle name="40% - Énfasis2 2 2 2 6" xfId="3570"/>
    <cellStyle name="40% - Énfasis2 2 2 2 6 2" xfId="9774"/>
    <cellStyle name="40% - Énfasis2 2 2 2 6 3" xfId="15976"/>
    <cellStyle name="40% - Énfasis2 2 2 2 6 4" xfId="54947"/>
    <cellStyle name="40% - Énfasis2 2 2 2 7" xfId="6673"/>
    <cellStyle name="40% - Énfasis2 2 2 2 7 2" xfId="19099"/>
    <cellStyle name="40% - Énfasis2 2 2 2 8" xfId="12875"/>
    <cellStyle name="40% - Énfasis2 2 2 2 9" xfId="52140"/>
    <cellStyle name="40% - Énfasis2 2 2 3" xfId="257"/>
    <cellStyle name="40% - Énfasis2 2 2 3 2" xfId="258"/>
    <cellStyle name="40% - Énfasis2 2 2 3 2 2" xfId="2139"/>
    <cellStyle name="40% - Énfasis2 2 2 3 2 2 2" xfId="5264"/>
    <cellStyle name="40% - Énfasis2 2 2 3 2 2 2 2" xfId="11467"/>
    <cellStyle name="40% - Énfasis2 2 2 3 2 2 2 3" xfId="17669"/>
    <cellStyle name="40% - Énfasis2 2 2 3 2 2 2 4" xfId="56509"/>
    <cellStyle name="40% - Énfasis2 2 2 3 2 2 3" xfId="8367"/>
    <cellStyle name="40% - Énfasis2 2 2 3 2 2 4" xfId="14569"/>
    <cellStyle name="40% - Énfasis2 2 2 3 2 2 5" xfId="53613"/>
    <cellStyle name="40% - Énfasis2 2 2 3 2 3" xfId="2523"/>
    <cellStyle name="40% - Énfasis2 2 2 3 2 3 2" xfId="5647"/>
    <cellStyle name="40% - Énfasis2 2 2 3 2 3 2 2" xfId="11850"/>
    <cellStyle name="40% - Énfasis2 2 2 3 2 3 2 3" xfId="18052"/>
    <cellStyle name="40% - Énfasis2 2 2 3 2 3 2 4" xfId="56880"/>
    <cellStyle name="40% - Énfasis2 2 2 3 2 3 3" xfId="8750"/>
    <cellStyle name="40% - Énfasis2 2 2 3 2 3 4" xfId="14952"/>
    <cellStyle name="40% - Énfasis2 2 2 3 2 3 5" xfId="53985"/>
    <cellStyle name="40% - Énfasis2 2 2 3 2 4" xfId="3575"/>
    <cellStyle name="40% - Énfasis2 2 2 3 2 4 2" xfId="9779"/>
    <cellStyle name="40% - Énfasis2 2 2 3 2 4 3" xfId="15981"/>
    <cellStyle name="40% - Énfasis2 2 2 3 2 4 4" xfId="54952"/>
    <cellStyle name="40% - Énfasis2 2 2 3 2 5" xfId="6678"/>
    <cellStyle name="40% - Énfasis2 2 2 3 2 5 2" xfId="19740"/>
    <cellStyle name="40% - Énfasis2 2 2 3 2 6" xfId="12880"/>
    <cellStyle name="40% - Énfasis2 2 2 3 2 7" xfId="52304"/>
    <cellStyle name="40% - Énfasis2 2 2 3 3" xfId="1615"/>
    <cellStyle name="40% - Énfasis2 2 2 3 3 2" xfId="4740"/>
    <cellStyle name="40% - Énfasis2 2 2 3 3 2 2" xfId="10943"/>
    <cellStyle name="40% - Énfasis2 2 2 3 3 2 3" xfId="17145"/>
    <cellStyle name="40% - Énfasis2 2 2 3 3 2 4" xfId="56017"/>
    <cellStyle name="40% - Énfasis2 2 2 3 3 3" xfId="7843"/>
    <cellStyle name="40% - Énfasis2 2 2 3 3 4" xfId="14045"/>
    <cellStyle name="40% - Énfasis2 2 2 3 3 5" xfId="53128"/>
    <cellStyle name="40% - Énfasis2 2 2 3 4" xfId="2522"/>
    <cellStyle name="40% - Énfasis2 2 2 3 4 2" xfId="5646"/>
    <cellStyle name="40% - Énfasis2 2 2 3 4 2 2" xfId="11849"/>
    <cellStyle name="40% - Énfasis2 2 2 3 4 2 3" xfId="18051"/>
    <cellStyle name="40% - Énfasis2 2 2 3 4 2 4" xfId="56879"/>
    <cellStyle name="40% - Énfasis2 2 2 3 4 3" xfId="8749"/>
    <cellStyle name="40% - Énfasis2 2 2 3 4 4" xfId="14951"/>
    <cellStyle name="40% - Énfasis2 2 2 3 4 5" xfId="53984"/>
    <cellStyle name="40% - Énfasis2 2 2 3 5" xfId="3574"/>
    <cellStyle name="40% - Énfasis2 2 2 3 5 2" xfId="9778"/>
    <cellStyle name="40% - Énfasis2 2 2 3 5 3" xfId="15980"/>
    <cellStyle name="40% - Énfasis2 2 2 3 5 4" xfId="54951"/>
    <cellStyle name="40% - Énfasis2 2 2 3 6" xfId="6677"/>
    <cellStyle name="40% - Énfasis2 2 2 3 6 2" xfId="19216"/>
    <cellStyle name="40% - Énfasis2 2 2 3 7" xfId="12879"/>
    <cellStyle name="40% - Énfasis2 2 2 3 8" xfId="52008"/>
    <cellStyle name="40% - Énfasis2 2 2 4" xfId="259"/>
    <cellStyle name="40% - Énfasis2 2 2 4 2" xfId="1880"/>
    <cellStyle name="40% - Énfasis2 2 2 4 2 2" xfId="5005"/>
    <cellStyle name="40% - Énfasis2 2 2 4 2 2 2" xfId="11208"/>
    <cellStyle name="40% - Énfasis2 2 2 4 2 2 3" xfId="17410"/>
    <cellStyle name="40% - Énfasis2 2 2 4 2 2 4" xfId="56267"/>
    <cellStyle name="40% - Énfasis2 2 2 4 2 3" xfId="8108"/>
    <cellStyle name="40% - Énfasis2 2 2 4 2 4" xfId="14310"/>
    <cellStyle name="40% - Énfasis2 2 2 4 2 5" xfId="53373"/>
    <cellStyle name="40% - Énfasis2 2 2 4 3" xfId="2524"/>
    <cellStyle name="40% - Énfasis2 2 2 4 3 2" xfId="5648"/>
    <cellStyle name="40% - Énfasis2 2 2 4 3 2 2" xfId="11851"/>
    <cellStyle name="40% - Énfasis2 2 2 4 3 2 3" xfId="18053"/>
    <cellStyle name="40% - Énfasis2 2 2 4 3 2 4" xfId="56881"/>
    <cellStyle name="40% - Énfasis2 2 2 4 3 3" xfId="8751"/>
    <cellStyle name="40% - Énfasis2 2 2 4 3 4" xfId="14953"/>
    <cellStyle name="40% - Énfasis2 2 2 4 3 5" xfId="53986"/>
    <cellStyle name="40% - Énfasis2 2 2 4 4" xfId="3576"/>
    <cellStyle name="40% - Énfasis2 2 2 4 4 2" xfId="9780"/>
    <cellStyle name="40% - Énfasis2 2 2 4 4 3" xfId="15982"/>
    <cellStyle name="40% - Énfasis2 2 2 4 4 4" xfId="54953"/>
    <cellStyle name="40% - Énfasis2 2 2 4 5" xfId="6679"/>
    <cellStyle name="40% - Énfasis2 2 2 4 5 2" xfId="19481"/>
    <cellStyle name="40% - Énfasis2 2 2 4 6" xfId="12881"/>
    <cellStyle name="40% - Énfasis2 2 2 4 7" xfId="52305"/>
    <cellStyle name="40% - Énfasis2 2 2 5" xfId="1356"/>
    <cellStyle name="40% - Énfasis2 2 2 5 2" xfId="4481"/>
    <cellStyle name="40% - Énfasis2 2 2 5 2 2" xfId="10684"/>
    <cellStyle name="40% - Énfasis2 2 2 5 2 3" xfId="16886"/>
    <cellStyle name="40% - Énfasis2 2 2 5 2 4" xfId="55771"/>
    <cellStyle name="40% - Énfasis2 2 2 5 3" xfId="7584"/>
    <cellStyle name="40% - Énfasis2 2 2 5 4" xfId="13786"/>
    <cellStyle name="40% - Énfasis2 2 2 5 5" xfId="52896"/>
    <cellStyle name="40% - Énfasis2 2 2 6" xfId="2517"/>
    <cellStyle name="40% - Énfasis2 2 2 6 2" xfId="5641"/>
    <cellStyle name="40% - Énfasis2 2 2 6 2 2" xfId="11844"/>
    <cellStyle name="40% - Énfasis2 2 2 6 2 3" xfId="18046"/>
    <cellStyle name="40% - Énfasis2 2 2 6 2 4" xfId="56874"/>
    <cellStyle name="40% - Énfasis2 2 2 6 3" xfId="8744"/>
    <cellStyle name="40% - Énfasis2 2 2 6 4" xfId="14946"/>
    <cellStyle name="40% - Énfasis2 2 2 6 5" xfId="53979"/>
    <cellStyle name="40% - Énfasis2 2 2 7" xfId="3569"/>
    <cellStyle name="40% - Énfasis2 2 2 7 2" xfId="9773"/>
    <cellStyle name="40% - Énfasis2 2 2 7 3" xfId="15975"/>
    <cellStyle name="40% - Énfasis2 2 2 7 4" xfId="54946"/>
    <cellStyle name="40% - Énfasis2 2 2 8" xfId="6672"/>
    <cellStyle name="40% - Énfasis2 2 2 8 2" xfId="18957"/>
    <cellStyle name="40% - Énfasis2 2 2 9" xfId="12874"/>
    <cellStyle name="40% - Énfasis2 2 3" xfId="260"/>
    <cellStyle name="40% - Énfasis2 2 3 2" xfId="261"/>
    <cellStyle name="40% - Énfasis2 2 3 2 2" xfId="262"/>
    <cellStyle name="40% - Énfasis2 2 3 2 2 2" xfId="2199"/>
    <cellStyle name="40% - Énfasis2 2 3 2 2 2 2" xfId="5324"/>
    <cellStyle name="40% - Énfasis2 2 3 2 2 2 2 2" xfId="11527"/>
    <cellStyle name="40% - Énfasis2 2 3 2 2 2 2 3" xfId="17729"/>
    <cellStyle name="40% - Énfasis2 2 3 2 2 2 2 4" xfId="56565"/>
    <cellStyle name="40% - Énfasis2 2 3 2 2 2 3" xfId="8427"/>
    <cellStyle name="40% - Énfasis2 2 3 2 2 2 4" xfId="14629"/>
    <cellStyle name="40% - Énfasis2 2 3 2 2 2 5" xfId="53669"/>
    <cellStyle name="40% - Énfasis2 2 3 2 2 3" xfId="2527"/>
    <cellStyle name="40% - Énfasis2 2 3 2 2 3 2" xfId="5651"/>
    <cellStyle name="40% - Énfasis2 2 3 2 2 3 2 2" xfId="11854"/>
    <cellStyle name="40% - Énfasis2 2 3 2 2 3 2 3" xfId="18056"/>
    <cellStyle name="40% - Énfasis2 2 3 2 2 3 2 4" xfId="56884"/>
    <cellStyle name="40% - Énfasis2 2 3 2 2 3 3" xfId="8754"/>
    <cellStyle name="40% - Énfasis2 2 3 2 2 3 4" xfId="14956"/>
    <cellStyle name="40% - Énfasis2 2 3 2 2 3 5" xfId="53989"/>
    <cellStyle name="40% - Énfasis2 2 3 2 2 4" xfId="3579"/>
    <cellStyle name="40% - Énfasis2 2 3 2 2 4 2" xfId="9783"/>
    <cellStyle name="40% - Énfasis2 2 3 2 2 4 3" xfId="15985"/>
    <cellStyle name="40% - Énfasis2 2 3 2 2 4 4" xfId="54956"/>
    <cellStyle name="40% - Énfasis2 2 3 2 2 5" xfId="6682"/>
    <cellStyle name="40% - Énfasis2 2 3 2 2 5 2" xfId="19800"/>
    <cellStyle name="40% - Énfasis2 2 3 2 2 6" xfId="12884"/>
    <cellStyle name="40% - Énfasis2 2 3 2 2 7" xfId="52307"/>
    <cellStyle name="40% - Énfasis2 2 3 2 3" xfId="1675"/>
    <cellStyle name="40% - Énfasis2 2 3 2 3 2" xfId="4800"/>
    <cellStyle name="40% - Énfasis2 2 3 2 3 2 2" xfId="11003"/>
    <cellStyle name="40% - Énfasis2 2 3 2 3 2 3" xfId="17205"/>
    <cellStyle name="40% - Énfasis2 2 3 2 3 2 4" xfId="56074"/>
    <cellStyle name="40% - Énfasis2 2 3 2 3 3" xfId="7903"/>
    <cellStyle name="40% - Énfasis2 2 3 2 3 4" xfId="14105"/>
    <cellStyle name="40% - Énfasis2 2 3 2 3 5" xfId="53184"/>
    <cellStyle name="40% - Énfasis2 2 3 2 4" xfId="2526"/>
    <cellStyle name="40% - Énfasis2 2 3 2 4 2" xfId="5650"/>
    <cellStyle name="40% - Énfasis2 2 3 2 4 2 2" xfId="11853"/>
    <cellStyle name="40% - Énfasis2 2 3 2 4 2 3" xfId="18055"/>
    <cellStyle name="40% - Énfasis2 2 3 2 4 2 4" xfId="56883"/>
    <cellStyle name="40% - Énfasis2 2 3 2 4 3" xfId="8753"/>
    <cellStyle name="40% - Énfasis2 2 3 2 4 4" xfId="14955"/>
    <cellStyle name="40% - Énfasis2 2 3 2 4 5" xfId="53988"/>
    <cellStyle name="40% - Énfasis2 2 3 2 5" xfId="3578"/>
    <cellStyle name="40% - Énfasis2 2 3 2 5 2" xfId="9782"/>
    <cellStyle name="40% - Énfasis2 2 3 2 5 3" xfId="15984"/>
    <cellStyle name="40% - Énfasis2 2 3 2 5 4" xfId="54955"/>
    <cellStyle name="40% - Énfasis2 2 3 2 6" xfId="6681"/>
    <cellStyle name="40% - Énfasis2 2 3 2 6 2" xfId="19276"/>
    <cellStyle name="40% - Énfasis2 2 3 2 7" xfId="12883"/>
    <cellStyle name="40% - Énfasis2 2 3 2 8" xfId="52306"/>
    <cellStyle name="40% - Énfasis2 2 3 3" xfId="263"/>
    <cellStyle name="40% - Énfasis2 2 3 3 2" xfId="1954"/>
    <cellStyle name="40% - Énfasis2 2 3 3 2 2" xfId="5079"/>
    <cellStyle name="40% - Énfasis2 2 3 3 2 2 2" xfId="11282"/>
    <cellStyle name="40% - Énfasis2 2 3 3 2 2 3" xfId="17484"/>
    <cellStyle name="40% - Énfasis2 2 3 3 2 2 4" xfId="56338"/>
    <cellStyle name="40% - Énfasis2 2 3 3 2 3" xfId="8182"/>
    <cellStyle name="40% - Énfasis2 2 3 3 2 4" xfId="14384"/>
    <cellStyle name="40% - Énfasis2 2 3 3 2 5" xfId="53444"/>
    <cellStyle name="40% - Énfasis2 2 3 3 3" xfId="2528"/>
    <cellStyle name="40% - Énfasis2 2 3 3 3 2" xfId="5652"/>
    <cellStyle name="40% - Énfasis2 2 3 3 3 2 2" xfId="11855"/>
    <cellStyle name="40% - Énfasis2 2 3 3 3 2 3" xfId="18057"/>
    <cellStyle name="40% - Énfasis2 2 3 3 3 2 4" xfId="56885"/>
    <cellStyle name="40% - Énfasis2 2 3 3 3 3" xfId="8755"/>
    <cellStyle name="40% - Énfasis2 2 3 3 3 4" xfId="14957"/>
    <cellStyle name="40% - Énfasis2 2 3 3 3 5" xfId="53990"/>
    <cellStyle name="40% - Énfasis2 2 3 3 4" xfId="3580"/>
    <cellStyle name="40% - Énfasis2 2 3 3 4 2" xfId="9784"/>
    <cellStyle name="40% - Énfasis2 2 3 3 4 3" xfId="15986"/>
    <cellStyle name="40% - Énfasis2 2 3 3 4 4" xfId="54957"/>
    <cellStyle name="40% - Énfasis2 2 3 3 5" xfId="6683"/>
    <cellStyle name="40% - Énfasis2 2 3 3 5 2" xfId="19555"/>
    <cellStyle name="40% - Énfasis2 2 3 3 6" xfId="12885"/>
    <cellStyle name="40% - Énfasis2 2 3 3 7" xfId="52308"/>
    <cellStyle name="40% - Énfasis2 2 3 4" xfId="1430"/>
    <cellStyle name="40% - Énfasis2 2 3 4 2" xfId="4555"/>
    <cellStyle name="40% - Énfasis2 2 3 4 2 2" xfId="10758"/>
    <cellStyle name="40% - Énfasis2 2 3 4 2 3" xfId="16960"/>
    <cellStyle name="40% - Énfasis2 2 3 4 2 4" xfId="55842"/>
    <cellStyle name="40% - Énfasis2 2 3 4 3" xfId="7658"/>
    <cellStyle name="40% - Énfasis2 2 3 4 4" xfId="13860"/>
    <cellStyle name="40% - Énfasis2 2 3 4 5" xfId="52960"/>
    <cellStyle name="40% - Énfasis2 2 3 5" xfId="2525"/>
    <cellStyle name="40% - Énfasis2 2 3 5 2" xfId="5649"/>
    <cellStyle name="40% - Énfasis2 2 3 5 2 2" xfId="11852"/>
    <cellStyle name="40% - Énfasis2 2 3 5 2 3" xfId="18054"/>
    <cellStyle name="40% - Énfasis2 2 3 5 2 4" xfId="56882"/>
    <cellStyle name="40% - Énfasis2 2 3 5 3" xfId="8752"/>
    <cellStyle name="40% - Énfasis2 2 3 5 4" xfId="14954"/>
    <cellStyle name="40% - Énfasis2 2 3 5 5" xfId="53987"/>
    <cellStyle name="40% - Énfasis2 2 3 6" xfId="3577"/>
    <cellStyle name="40% - Énfasis2 2 3 6 2" xfId="9781"/>
    <cellStyle name="40% - Énfasis2 2 3 6 3" xfId="15983"/>
    <cellStyle name="40% - Énfasis2 2 3 6 4" xfId="54954"/>
    <cellStyle name="40% - Énfasis2 2 3 7" xfId="6680"/>
    <cellStyle name="40% - Énfasis2 2 3 7 2" xfId="19031"/>
    <cellStyle name="40% - Énfasis2 2 3 8" xfId="12882"/>
    <cellStyle name="40% - Énfasis2 2 3 9" xfId="52077"/>
    <cellStyle name="40% - Énfasis2 2 4" xfId="264"/>
    <cellStyle name="40% - Énfasis2 2 4 2" xfId="265"/>
    <cellStyle name="40% - Énfasis2 2 4 2 2" xfId="2059"/>
    <cellStyle name="40% - Énfasis2 2 4 2 2 2" xfId="5184"/>
    <cellStyle name="40% - Énfasis2 2 4 2 2 2 2" xfId="11387"/>
    <cellStyle name="40% - Énfasis2 2 4 2 2 2 3" xfId="17589"/>
    <cellStyle name="40% - Énfasis2 2 4 2 2 2 4" xfId="56436"/>
    <cellStyle name="40% - Énfasis2 2 4 2 2 3" xfId="8287"/>
    <cellStyle name="40% - Énfasis2 2 4 2 2 4" xfId="14489"/>
    <cellStyle name="40% - Énfasis2 2 4 2 2 5" xfId="53540"/>
    <cellStyle name="40% - Énfasis2 2 4 2 3" xfId="2530"/>
    <cellStyle name="40% - Énfasis2 2 4 2 3 2" xfId="5654"/>
    <cellStyle name="40% - Énfasis2 2 4 2 3 2 2" xfId="11857"/>
    <cellStyle name="40% - Énfasis2 2 4 2 3 2 3" xfId="18059"/>
    <cellStyle name="40% - Énfasis2 2 4 2 3 2 4" xfId="56887"/>
    <cellStyle name="40% - Énfasis2 2 4 2 3 3" xfId="8757"/>
    <cellStyle name="40% - Énfasis2 2 4 2 3 4" xfId="14959"/>
    <cellStyle name="40% - Énfasis2 2 4 2 3 5" xfId="53992"/>
    <cellStyle name="40% - Énfasis2 2 4 2 4" xfId="3582"/>
    <cellStyle name="40% - Énfasis2 2 4 2 4 2" xfId="9786"/>
    <cellStyle name="40% - Énfasis2 2 4 2 4 3" xfId="15988"/>
    <cellStyle name="40% - Énfasis2 2 4 2 4 4" xfId="54959"/>
    <cellStyle name="40% - Énfasis2 2 4 2 5" xfId="6685"/>
    <cellStyle name="40% - Énfasis2 2 4 2 5 2" xfId="19660"/>
    <cellStyle name="40% - Énfasis2 2 4 2 6" xfId="12887"/>
    <cellStyle name="40% - Énfasis2 2 4 2 7" xfId="52309"/>
    <cellStyle name="40% - Énfasis2 2 4 3" xfId="1535"/>
    <cellStyle name="40% - Énfasis2 2 4 3 2" xfId="4660"/>
    <cellStyle name="40% - Énfasis2 2 4 3 2 2" xfId="10863"/>
    <cellStyle name="40% - Énfasis2 2 4 3 2 3" xfId="17065"/>
    <cellStyle name="40% - Énfasis2 2 4 3 2 4" xfId="55941"/>
    <cellStyle name="40% - Énfasis2 2 4 3 3" xfId="7763"/>
    <cellStyle name="40% - Énfasis2 2 4 3 4" xfId="13965"/>
    <cellStyle name="40% - Énfasis2 2 4 3 5" xfId="53056"/>
    <cellStyle name="40% - Énfasis2 2 4 4" xfId="2529"/>
    <cellStyle name="40% - Énfasis2 2 4 4 2" xfId="5653"/>
    <cellStyle name="40% - Énfasis2 2 4 4 2 2" xfId="11856"/>
    <cellStyle name="40% - Énfasis2 2 4 4 2 3" xfId="18058"/>
    <cellStyle name="40% - Énfasis2 2 4 4 2 4" xfId="56886"/>
    <cellStyle name="40% - Énfasis2 2 4 4 3" xfId="8756"/>
    <cellStyle name="40% - Énfasis2 2 4 4 4" xfId="14958"/>
    <cellStyle name="40% - Énfasis2 2 4 4 5" xfId="53991"/>
    <cellStyle name="40% - Énfasis2 2 4 5" xfId="3581"/>
    <cellStyle name="40% - Énfasis2 2 4 5 2" xfId="9785"/>
    <cellStyle name="40% - Énfasis2 2 4 5 3" xfId="15987"/>
    <cellStyle name="40% - Énfasis2 2 4 5 4" xfId="54958"/>
    <cellStyle name="40% - Énfasis2 2 4 6" xfId="6684"/>
    <cellStyle name="40% - Énfasis2 2 4 6 2" xfId="19136"/>
    <cellStyle name="40% - Énfasis2 2 4 7" xfId="12886"/>
    <cellStyle name="40% - Énfasis2 2 4 8" xfId="51939"/>
    <cellStyle name="40% - Énfasis2 2 5" xfId="266"/>
    <cellStyle name="40% - Énfasis2 2 5 2" xfId="1788"/>
    <cellStyle name="40% - Énfasis2 2 5 2 2" xfId="4913"/>
    <cellStyle name="40% - Énfasis2 2 5 2 2 2" xfId="11116"/>
    <cellStyle name="40% - Énfasis2 2 5 2 2 3" xfId="17318"/>
    <cellStyle name="40% - Énfasis2 2 5 2 2 4" xfId="56182"/>
    <cellStyle name="40% - Énfasis2 2 5 2 3" xfId="8016"/>
    <cellStyle name="40% - Énfasis2 2 5 2 4" xfId="14218"/>
    <cellStyle name="40% - Énfasis2 2 5 2 5" xfId="53289"/>
    <cellStyle name="40% - Énfasis2 2 5 3" xfId="2531"/>
    <cellStyle name="40% - Énfasis2 2 5 3 2" xfId="5655"/>
    <cellStyle name="40% - Énfasis2 2 5 3 2 2" xfId="11858"/>
    <cellStyle name="40% - Énfasis2 2 5 3 2 3" xfId="18060"/>
    <cellStyle name="40% - Énfasis2 2 5 3 2 4" xfId="56888"/>
    <cellStyle name="40% - Énfasis2 2 5 3 3" xfId="8758"/>
    <cellStyle name="40% - Énfasis2 2 5 3 4" xfId="14960"/>
    <cellStyle name="40% - Énfasis2 2 5 3 5" xfId="53993"/>
    <cellStyle name="40% - Énfasis2 2 5 4" xfId="3583"/>
    <cellStyle name="40% - Énfasis2 2 5 4 2" xfId="9787"/>
    <cellStyle name="40% - Énfasis2 2 5 4 3" xfId="15989"/>
    <cellStyle name="40% - Énfasis2 2 5 4 4" xfId="54960"/>
    <cellStyle name="40% - Énfasis2 2 5 5" xfId="6686"/>
    <cellStyle name="40% - Énfasis2 2 5 5 2" xfId="19389"/>
    <cellStyle name="40% - Énfasis2 2 5 6" xfId="12888"/>
    <cellStyle name="40% - Énfasis2 2 5 7" xfId="52310"/>
    <cellStyle name="40% - Énfasis2 2 6" xfId="1288"/>
    <cellStyle name="40% - Énfasis2 2 6 2" xfId="4413"/>
    <cellStyle name="40% - Énfasis2 2 6 2 2" xfId="10616"/>
    <cellStyle name="40% - Énfasis2 2 6 2 3" xfId="16818"/>
    <cellStyle name="40% - Énfasis2 2 6 2 4" xfId="55706"/>
    <cellStyle name="40% - Énfasis2 2 6 3" xfId="7516"/>
    <cellStyle name="40% - Énfasis2 2 6 4" xfId="13718"/>
    <cellStyle name="40% - Énfasis2 2 6 5" xfId="52835"/>
    <cellStyle name="40% - Énfasis2 2 7" xfId="2516"/>
    <cellStyle name="40% - Énfasis2 2 7 2" xfId="5640"/>
    <cellStyle name="40% - Énfasis2 2 7 2 2" xfId="11843"/>
    <cellStyle name="40% - Énfasis2 2 7 2 3" xfId="18045"/>
    <cellStyle name="40% - Énfasis2 2 7 2 4" xfId="56873"/>
    <cellStyle name="40% - Énfasis2 2 7 3" xfId="8743"/>
    <cellStyle name="40% - Énfasis2 2 7 4" xfId="14945"/>
    <cellStyle name="40% - Énfasis2 2 7 5" xfId="53978"/>
    <cellStyle name="40% - Énfasis2 2 8" xfId="3568"/>
    <cellStyle name="40% - Énfasis2 2 8 2" xfId="9772"/>
    <cellStyle name="40% - Énfasis2 2 8 3" xfId="15974"/>
    <cellStyle name="40% - Énfasis2 2 8 4" xfId="54945"/>
    <cellStyle name="40% - Énfasis2 2 9" xfId="6671"/>
    <cellStyle name="40% - Énfasis2 2 9 2" xfId="18889"/>
    <cellStyle name="40% - Énfasis2 3" xfId="267"/>
    <cellStyle name="40% - Énfasis2 3 10" xfId="23949"/>
    <cellStyle name="40% - Énfasis2 3 2" xfId="268"/>
    <cellStyle name="40% - Énfasis2 3 2 2" xfId="269"/>
    <cellStyle name="40% - Énfasis2 3 2 2 2" xfId="270"/>
    <cellStyle name="40% - Énfasis2 3 2 2 2 2" xfId="2234"/>
    <cellStyle name="40% - Énfasis2 3 2 2 2 2 2" xfId="5359"/>
    <cellStyle name="40% - Énfasis2 3 2 2 2 2 2 2" xfId="11562"/>
    <cellStyle name="40% - Énfasis2 3 2 2 2 2 2 3" xfId="17764"/>
    <cellStyle name="40% - Énfasis2 3 2 2 2 2 2 4" xfId="56598"/>
    <cellStyle name="40% - Énfasis2 3 2 2 2 2 3" xfId="8462"/>
    <cellStyle name="40% - Énfasis2 3 2 2 2 2 4" xfId="14664"/>
    <cellStyle name="40% - Énfasis2 3 2 2 2 2 5" xfId="53702"/>
    <cellStyle name="40% - Énfasis2 3 2 2 2 3" xfId="2535"/>
    <cellStyle name="40% - Énfasis2 3 2 2 2 3 2" xfId="5659"/>
    <cellStyle name="40% - Énfasis2 3 2 2 2 3 2 2" xfId="11862"/>
    <cellStyle name="40% - Énfasis2 3 2 2 2 3 2 3" xfId="18064"/>
    <cellStyle name="40% - Énfasis2 3 2 2 2 3 2 4" xfId="56892"/>
    <cellStyle name="40% - Énfasis2 3 2 2 2 3 3" xfId="8762"/>
    <cellStyle name="40% - Énfasis2 3 2 2 2 3 4" xfId="14964"/>
    <cellStyle name="40% - Énfasis2 3 2 2 2 3 5" xfId="53997"/>
    <cellStyle name="40% - Énfasis2 3 2 2 2 4" xfId="3587"/>
    <cellStyle name="40% - Énfasis2 3 2 2 2 4 2" xfId="9791"/>
    <cellStyle name="40% - Énfasis2 3 2 2 2 4 3" xfId="15993"/>
    <cellStyle name="40% - Énfasis2 3 2 2 2 4 4" xfId="54964"/>
    <cellStyle name="40% - Énfasis2 3 2 2 2 5" xfId="6690"/>
    <cellStyle name="40% - Énfasis2 3 2 2 2 5 2" xfId="19835"/>
    <cellStyle name="40% - Énfasis2 3 2 2 2 6" xfId="12892"/>
    <cellStyle name="40% - Énfasis2 3 2 2 2 7" xfId="52311"/>
    <cellStyle name="40% - Énfasis2 3 2 2 3" xfId="1710"/>
    <cellStyle name="40% - Énfasis2 3 2 2 3 2" xfId="4835"/>
    <cellStyle name="40% - Énfasis2 3 2 2 3 2 2" xfId="11038"/>
    <cellStyle name="40% - Énfasis2 3 2 2 3 2 3" xfId="17240"/>
    <cellStyle name="40% - Énfasis2 3 2 2 3 2 4" xfId="56107"/>
    <cellStyle name="40% - Énfasis2 3 2 2 3 3" xfId="7938"/>
    <cellStyle name="40% - Énfasis2 3 2 2 3 4" xfId="14140"/>
    <cellStyle name="40% - Énfasis2 3 2 2 3 5" xfId="53217"/>
    <cellStyle name="40% - Énfasis2 3 2 2 4" xfId="2534"/>
    <cellStyle name="40% - Énfasis2 3 2 2 4 2" xfId="5658"/>
    <cellStyle name="40% - Énfasis2 3 2 2 4 2 2" xfId="11861"/>
    <cellStyle name="40% - Énfasis2 3 2 2 4 2 3" xfId="18063"/>
    <cellStyle name="40% - Énfasis2 3 2 2 4 2 4" xfId="56891"/>
    <cellStyle name="40% - Énfasis2 3 2 2 4 3" xfId="8761"/>
    <cellStyle name="40% - Énfasis2 3 2 2 4 4" xfId="14963"/>
    <cellStyle name="40% - Énfasis2 3 2 2 4 5" xfId="53996"/>
    <cellStyle name="40% - Énfasis2 3 2 2 5" xfId="3586"/>
    <cellStyle name="40% - Énfasis2 3 2 2 5 2" xfId="9790"/>
    <cellStyle name="40% - Énfasis2 3 2 2 5 3" xfId="15992"/>
    <cellStyle name="40% - Énfasis2 3 2 2 5 4" xfId="54963"/>
    <cellStyle name="40% - Énfasis2 3 2 2 6" xfId="6689"/>
    <cellStyle name="40% - Énfasis2 3 2 2 6 2" xfId="19311"/>
    <cellStyle name="40% - Énfasis2 3 2 2 7" xfId="12891"/>
    <cellStyle name="40% - Énfasis2 3 2 2 8" xfId="52112"/>
    <cellStyle name="40% - Énfasis2 3 2 3" xfId="271"/>
    <cellStyle name="40% - Énfasis2 3 2 3 2" xfId="1989"/>
    <cellStyle name="40% - Énfasis2 3 2 3 2 2" xfId="5114"/>
    <cellStyle name="40% - Énfasis2 3 2 3 2 2 2" xfId="11317"/>
    <cellStyle name="40% - Énfasis2 3 2 3 2 2 3" xfId="17519"/>
    <cellStyle name="40% - Énfasis2 3 2 3 2 2 4" xfId="56371"/>
    <cellStyle name="40% - Énfasis2 3 2 3 2 3" xfId="8217"/>
    <cellStyle name="40% - Énfasis2 3 2 3 2 4" xfId="14419"/>
    <cellStyle name="40% - Énfasis2 3 2 3 2 5" xfId="53477"/>
    <cellStyle name="40% - Énfasis2 3 2 3 3" xfId="2536"/>
    <cellStyle name="40% - Énfasis2 3 2 3 3 2" xfId="5660"/>
    <cellStyle name="40% - Énfasis2 3 2 3 3 2 2" xfId="11863"/>
    <cellStyle name="40% - Énfasis2 3 2 3 3 2 3" xfId="18065"/>
    <cellStyle name="40% - Énfasis2 3 2 3 3 2 4" xfId="56893"/>
    <cellStyle name="40% - Énfasis2 3 2 3 3 3" xfId="8763"/>
    <cellStyle name="40% - Énfasis2 3 2 3 3 4" xfId="14965"/>
    <cellStyle name="40% - Énfasis2 3 2 3 3 5" xfId="53998"/>
    <cellStyle name="40% - Énfasis2 3 2 3 4" xfId="3588"/>
    <cellStyle name="40% - Énfasis2 3 2 3 4 2" xfId="9792"/>
    <cellStyle name="40% - Énfasis2 3 2 3 4 3" xfId="15994"/>
    <cellStyle name="40% - Énfasis2 3 2 3 4 4" xfId="54965"/>
    <cellStyle name="40% - Énfasis2 3 2 3 5" xfId="6691"/>
    <cellStyle name="40% - Énfasis2 3 2 3 5 2" xfId="19590"/>
    <cellStyle name="40% - Énfasis2 3 2 3 6" xfId="12893"/>
    <cellStyle name="40% - Énfasis2 3 2 3 7" xfId="52312"/>
    <cellStyle name="40% - Énfasis2 3 2 4" xfId="1465"/>
    <cellStyle name="40% - Énfasis2 3 2 4 2" xfId="4590"/>
    <cellStyle name="40% - Énfasis2 3 2 4 2 2" xfId="10793"/>
    <cellStyle name="40% - Énfasis2 3 2 4 2 3" xfId="16995"/>
    <cellStyle name="40% - Énfasis2 3 2 4 2 4" xfId="55875"/>
    <cellStyle name="40% - Énfasis2 3 2 4 3" xfId="7693"/>
    <cellStyle name="40% - Énfasis2 3 2 4 4" xfId="13895"/>
    <cellStyle name="40% - Énfasis2 3 2 4 5" xfId="52993"/>
    <cellStyle name="40% - Énfasis2 3 2 5" xfId="2533"/>
    <cellStyle name="40% - Énfasis2 3 2 5 2" xfId="5657"/>
    <cellStyle name="40% - Énfasis2 3 2 5 2 2" xfId="11860"/>
    <cellStyle name="40% - Énfasis2 3 2 5 2 3" xfId="18062"/>
    <cellStyle name="40% - Énfasis2 3 2 5 2 4" xfId="56890"/>
    <cellStyle name="40% - Énfasis2 3 2 5 3" xfId="8760"/>
    <cellStyle name="40% - Énfasis2 3 2 5 4" xfId="14962"/>
    <cellStyle name="40% - Énfasis2 3 2 5 5" xfId="53995"/>
    <cellStyle name="40% - Énfasis2 3 2 6" xfId="3585"/>
    <cellStyle name="40% - Énfasis2 3 2 6 2" xfId="9789"/>
    <cellStyle name="40% - Énfasis2 3 2 6 3" xfId="15991"/>
    <cellStyle name="40% - Énfasis2 3 2 6 4" xfId="54962"/>
    <cellStyle name="40% - Énfasis2 3 2 7" xfId="6688"/>
    <cellStyle name="40% - Énfasis2 3 2 7 2" xfId="19066"/>
    <cellStyle name="40% - Énfasis2 3 2 8" xfId="12890"/>
    <cellStyle name="40% - Énfasis2 3 2 9" xfId="23950"/>
    <cellStyle name="40% - Énfasis2 3 3" xfId="272"/>
    <cellStyle name="40% - Énfasis2 3 3 2" xfId="273"/>
    <cellStyle name="40% - Énfasis2 3 3 2 2" xfId="2106"/>
    <cellStyle name="40% - Énfasis2 3 3 2 2 2" xfId="5231"/>
    <cellStyle name="40% - Énfasis2 3 3 2 2 2 2" xfId="11434"/>
    <cellStyle name="40% - Énfasis2 3 3 2 2 2 3" xfId="17636"/>
    <cellStyle name="40% - Énfasis2 3 3 2 2 2 4" xfId="56479"/>
    <cellStyle name="40% - Énfasis2 3 3 2 2 3" xfId="8334"/>
    <cellStyle name="40% - Énfasis2 3 3 2 2 4" xfId="14536"/>
    <cellStyle name="40% - Énfasis2 3 3 2 2 5" xfId="53583"/>
    <cellStyle name="40% - Énfasis2 3 3 2 3" xfId="2538"/>
    <cellStyle name="40% - Énfasis2 3 3 2 3 2" xfId="5662"/>
    <cellStyle name="40% - Énfasis2 3 3 2 3 2 2" xfId="11865"/>
    <cellStyle name="40% - Énfasis2 3 3 2 3 2 3" xfId="18067"/>
    <cellStyle name="40% - Énfasis2 3 3 2 3 2 4" xfId="56895"/>
    <cellStyle name="40% - Énfasis2 3 3 2 3 3" xfId="8765"/>
    <cellStyle name="40% - Énfasis2 3 3 2 3 4" xfId="14967"/>
    <cellStyle name="40% - Énfasis2 3 3 2 3 5" xfId="54000"/>
    <cellStyle name="40% - Énfasis2 3 3 2 4" xfId="3590"/>
    <cellStyle name="40% - Énfasis2 3 3 2 4 2" xfId="9794"/>
    <cellStyle name="40% - Énfasis2 3 3 2 4 3" xfId="15996"/>
    <cellStyle name="40% - Énfasis2 3 3 2 4 4" xfId="54967"/>
    <cellStyle name="40% - Énfasis2 3 3 2 5" xfId="6693"/>
    <cellStyle name="40% - Énfasis2 3 3 2 5 2" xfId="19707"/>
    <cellStyle name="40% - Énfasis2 3 3 2 6" xfId="12895"/>
    <cellStyle name="40% - Énfasis2 3 3 2 7" xfId="52313"/>
    <cellStyle name="40% - Énfasis2 3 3 3" xfId="1582"/>
    <cellStyle name="40% - Énfasis2 3 3 3 2" xfId="4707"/>
    <cellStyle name="40% - Énfasis2 3 3 3 2 2" xfId="10910"/>
    <cellStyle name="40% - Énfasis2 3 3 3 2 3" xfId="17112"/>
    <cellStyle name="40% - Énfasis2 3 3 3 2 4" xfId="55985"/>
    <cellStyle name="40% - Énfasis2 3 3 3 3" xfId="7810"/>
    <cellStyle name="40% - Énfasis2 3 3 3 4" xfId="14012"/>
    <cellStyle name="40% - Énfasis2 3 3 3 5" xfId="53098"/>
    <cellStyle name="40% - Énfasis2 3 3 4" xfId="2537"/>
    <cellStyle name="40% - Énfasis2 3 3 4 2" xfId="5661"/>
    <cellStyle name="40% - Énfasis2 3 3 4 2 2" xfId="11864"/>
    <cellStyle name="40% - Énfasis2 3 3 4 2 3" xfId="18066"/>
    <cellStyle name="40% - Énfasis2 3 3 4 2 4" xfId="56894"/>
    <cellStyle name="40% - Énfasis2 3 3 4 3" xfId="8764"/>
    <cellStyle name="40% - Énfasis2 3 3 4 4" xfId="14966"/>
    <cellStyle name="40% - Énfasis2 3 3 4 5" xfId="53999"/>
    <cellStyle name="40% - Énfasis2 3 3 5" xfId="3589"/>
    <cellStyle name="40% - Énfasis2 3 3 5 2" xfId="9793"/>
    <cellStyle name="40% - Énfasis2 3 3 5 3" xfId="15995"/>
    <cellStyle name="40% - Énfasis2 3 3 5 4" xfId="54966"/>
    <cellStyle name="40% - Énfasis2 3 3 6" xfId="6692"/>
    <cellStyle name="40% - Énfasis2 3 3 6 2" xfId="19183"/>
    <cellStyle name="40% - Énfasis2 3 3 7" xfId="12894"/>
    <cellStyle name="40% - Énfasis2 3 3 8" xfId="51981"/>
    <cellStyle name="40% - Énfasis2 3 4" xfId="274"/>
    <cellStyle name="40% - Énfasis2 3 4 2" xfId="1847"/>
    <cellStyle name="40% - Énfasis2 3 4 2 2" xfId="4972"/>
    <cellStyle name="40% - Énfasis2 3 4 2 2 2" xfId="11175"/>
    <cellStyle name="40% - Énfasis2 3 4 2 2 3" xfId="17377"/>
    <cellStyle name="40% - Énfasis2 3 4 2 2 4" xfId="56236"/>
    <cellStyle name="40% - Énfasis2 3 4 2 3" xfId="8075"/>
    <cellStyle name="40% - Énfasis2 3 4 2 4" xfId="14277"/>
    <cellStyle name="40% - Énfasis2 3 4 2 5" xfId="53342"/>
    <cellStyle name="40% - Énfasis2 3 4 3" xfId="2539"/>
    <cellStyle name="40% - Énfasis2 3 4 3 2" xfId="5663"/>
    <cellStyle name="40% - Énfasis2 3 4 3 2 2" xfId="11866"/>
    <cellStyle name="40% - Énfasis2 3 4 3 2 3" xfId="18068"/>
    <cellStyle name="40% - Énfasis2 3 4 3 2 4" xfId="56896"/>
    <cellStyle name="40% - Énfasis2 3 4 3 3" xfId="8766"/>
    <cellStyle name="40% - Énfasis2 3 4 3 4" xfId="14968"/>
    <cellStyle name="40% - Énfasis2 3 4 3 5" xfId="54001"/>
    <cellStyle name="40% - Énfasis2 3 4 4" xfId="3591"/>
    <cellStyle name="40% - Énfasis2 3 4 4 2" xfId="9795"/>
    <cellStyle name="40% - Énfasis2 3 4 4 3" xfId="15997"/>
    <cellStyle name="40% - Énfasis2 3 4 4 4" xfId="54968"/>
    <cellStyle name="40% - Énfasis2 3 4 5" xfId="6694"/>
    <cellStyle name="40% - Énfasis2 3 4 5 2" xfId="19448"/>
    <cellStyle name="40% - Énfasis2 3 4 6" xfId="12896"/>
    <cellStyle name="40% - Énfasis2 3 4 7" xfId="52314"/>
    <cellStyle name="40% - Énfasis2 3 5" xfId="1323"/>
    <cellStyle name="40% - Énfasis2 3 5 2" xfId="4448"/>
    <cellStyle name="40% - Énfasis2 3 5 2 2" xfId="10651"/>
    <cellStyle name="40% - Énfasis2 3 5 2 3" xfId="16853"/>
    <cellStyle name="40% - Énfasis2 3 5 2 4" xfId="55739"/>
    <cellStyle name="40% - Énfasis2 3 5 3" xfId="7551"/>
    <cellStyle name="40% - Énfasis2 3 5 4" xfId="13753"/>
    <cellStyle name="40% - Énfasis2 3 5 5" xfId="52867"/>
    <cellStyle name="40% - Énfasis2 3 6" xfId="2532"/>
    <cellStyle name="40% - Énfasis2 3 6 2" xfId="5656"/>
    <cellStyle name="40% - Énfasis2 3 6 2 2" xfId="11859"/>
    <cellStyle name="40% - Énfasis2 3 6 2 3" xfId="18061"/>
    <cellStyle name="40% - Énfasis2 3 6 2 4" xfId="56889"/>
    <cellStyle name="40% - Énfasis2 3 6 3" xfId="8759"/>
    <cellStyle name="40% - Énfasis2 3 6 4" xfId="14961"/>
    <cellStyle name="40% - Énfasis2 3 6 5" xfId="53994"/>
    <cellStyle name="40% - Énfasis2 3 7" xfId="3584"/>
    <cellStyle name="40% - Énfasis2 3 7 2" xfId="9788"/>
    <cellStyle name="40% - Énfasis2 3 7 3" xfId="15990"/>
    <cellStyle name="40% - Énfasis2 3 7 4" xfId="54961"/>
    <cellStyle name="40% - Énfasis2 3 8" xfId="6687"/>
    <cellStyle name="40% - Énfasis2 3 8 2" xfId="18924"/>
    <cellStyle name="40% - Énfasis2 3 9" xfId="12889"/>
    <cellStyle name="40% - Énfasis2 4" xfId="275"/>
    <cellStyle name="40% - Énfasis2 4 2" xfId="276"/>
    <cellStyle name="40% - Énfasis2 4 2 2" xfId="277"/>
    <cellStyle name="40% - Énfasis2 4 2 2 2" xfId="2166"/>
    <cellStyle name="40% - Énfasis2 4 2 2 2 2" xfId="5291"/>
    <cellStyle name="40% - Énfasis2 4 2 2 2 2 2" xfId="11494"/>
    <cellStyle name="40% - Énfasis2 4 2 2 2 2 3" xfId="17696"/>
    <cellStyle name="40% - Énfasis2 4 2 2 2 2 4" xfId="56534"/>
    <cellStyle name="40% - Énfasis2 4 2 2 2 3" xfId="8394"/>
    <cellStyle name="40% - Énfasis2 4 2 2 2 4" xfId="14596"/>
    <cellStyle name="40% - Énfasis2 4 2 2 2 5" xfId="53638"/>
    <cellStyle name="40% - Énfasis2 4 2 2 3" xfId="2542"/>
    <cellStyle name="40% - Énfasis2 4 2 2 3 2" xfId="5666"/>
    <cellStyle name="40% - Énfasis2 4 2 2 3 2 2" xfId="11869"/>
    <cellStyle name="40% - Énfasis2 4 2 2 3 2 3" xfId="18071"/>
    <cellStyle name="40% - Énfasis2 4 2 2 3 2 4" xfId="56899"/>
    <cellStyle name="40% - Énfasis2 4 2 2 3 3" xfId="8769"/>
    <cellStyle name="40% - Énfasis2 4 2 2 3 4" xfId="14971"/>
    <cellStyle name="40% - Énfasis2 4 2 2 3 5" xfId="54004"/>
    <cellStyle name="40% - Énfasis2 4 2 2 4" xfId="3594"/>
    <cellStyle name="40% - Énfasis2 4 2 2 4 2" xfId="9798"/>
    <cellStyle name="40% - Énfasis2 4 2 2 4 3" xfId="16000"/>
    <cellStyle name="40% - Énfasis2 4 2 2 4 4" xfId="54971"/>
    <cellStyle name="40% - Énfasis2 4 2 2 5" xfId="6697"/>
    <cellStyle name="40% - Énfasis2 4 2 2 5 2" xfId="19767"/>
    <cellStyle name="40% - Énfasis2 4 2 2 6" xfId="12899"/>
    <cellStyle name="40% - Énfasis2 4 2 2 7" xfId="52316"/>
    <cellStyle name="40% - Énfasis2 4 2 3" xfId="1642"/>
    <cellStyle name="40% - Énfasis2 4 2 3 2" xfId="4767"/>
    <cellStyle name="40% - Énfasis2 4 2 3 2 2" xfId="10970"/>
    <cellStyle name="40% - Énfasis2 4 2 3 2 3" xfId="17172"/>
    <cellStyle name="40% - Énfasis2 4 2 3 2 4" xfId="56043"/>
    <cellStyle name="40% - Énfasis2 4 2 3 3" xfId="7870"/>
    <cellStyle name="40% - Énfasis2 4 2 3 4" xfId="14072"/>
    <cellStyle name="40% - Énfasis2 4 2 3 5" xfId="53153"/>
    <cellStyle name="40% - Énfasis2 4 2 4" xfId="2541"/>
    <cellStyle name="40% - Énfasis2 4 2 4 2" xfId="5665"/>
    <cellStyle name="40% - Énfasis2 4 2 4 2 2" xfId="11868"/>
    <cellStyle name="40% - Énfasis2 4 2 4 2 3" xfId="18070"/>
    <cellStyle name="40% - Énfasis2 4 2 4 2 4" xfId="56898"/>
    <cellStyle name="40% - Énfasis2 4 2 4 3" xfId="8768"/>
    <cellStyle name="40% - Énfasis2 4 2 4 4" xfId="14970"/>
    <cellStyle name="40% - Énfasis2 4 2 4 5" xfId="54003"/>
    <cellStyle name="40% - Énfasis2 4 2 5" xfId="3593"/>
    <cellStyle name="40% - Énfasis2 4 2 5 2" xfId="9797"/>
    <cellStyle name="40% - Énfasis2 4 2 5 3" xfId="15999"/>
    <cellStyle name="40% - Énfasis2 4 2 5 4" xfId="54970"/>
    <cellStyle name="40% - Énfasis2 4 2 6" xfId="6696"/>
    <cellStyle name="40% - Énfasis2 4 2 6 2" xfId="19243"/>
    <cellStyle name="40% - Énfasis2 4 2 6 3" xfId="52315"/>
    <cellStyle name="40% - Énfasis2 4 2 7" xfId="12898"/>
    <cellStyle name="40% - Énfasis2 4 2 8" xfId="23952"/>
    <cellStyle name="40% - Énfasis2 4 3" xfId="278"/>
    <cellStyle name="40% - Énfasis2 4 3 2" xfId="1920"/>
    <cellStyle name="40% - Énfasis2 4 3 2 2" xfId="5045"/>
    <cellStyle name="40% - Énfasis2 4 3 2 2 2" xfId="11248"/>
    <cellStyle name="40% - Énfasis2 4 3 2 2 3" xfId="17450"/>
    <cellStyle name="40% - Énfasis2 4 3 2 2 4" xfId="56306"/>
    <cellStyle name="40% - Énfasis2 4 3 2 3" xfId="8148"/>
    <cellStyle name="40% - Énfasis2 4 3 2 4" xfId="14350"/>
    <cellStyle name="40% - Énfasis2 4 3 2 5" xfId="53412"/>
    <cellStyle name="40% - Énfasis2 4 3 3" xfId="2543"/>
    <cellStyle name="40% - Énfasis2 4 3 3 2" xfId="5667"/>
    <cellStyle name="40% - Énfasis2 4 3 3 2 2" xfId="11870"/>
    <cellStyle name="40% - Énfasis2 4 3 3 2 3" xfId="18072"/>
    <cellStyle name="40% - Énfasis2 4 3 3 2 4" xfId="56900"/>
    <cellStyle name="40% - Énfasis2 4 3 3 3" xfId="8770"/>
    <cellStyle name="40% - Énfasis2 4 3 3 4" xfId="14972"/>
    <cellStyle name="40% - Énfasis2 4 3 3 5" xfId="54005"/>
    <cellStyle name="40% - Énfasis2 4 3 4" xfId="3595"/>
    <cellStyle name="40% - Énfasis2 4 3 4 2" xfId="9799"/>
    <cellStyle name="40% - Énfasis2 4 3 4 3" xfId="16001"/>
    <cellStyle name="40% - Énfasis2 4 3 4 4" xfId="54972"/>
    <cellStyle name="40% - Énfasis2 4 3 5" xfId="6698"/>
    <cellStyle name="40% - Énfasis2 4 3 5 2" xfId="19521"/>
    <cellStyle name="40% - Énfasis2 4 3 6" xfId="12900"/>
    <cellStyle name="40% - Énfasis2 4 3 7" xfId="52049"/>
    <cellStyle name="40% - Énfasis2 4 4" xfId="1396"/>
    <cellStyle name="40% - Énfasis2 4 4 2" xfId="4521"/>
    <cellStyle name="40% - Énfasis2 4 4 2 2" xfId="10724"/>
    <cellStyle name="40% - Énfasis2 4 4 2 3" xfId="16926"/>
    <cellStyle name="40% - Énfasis2 4 4 2 4" xfId="55810"/>
    <cellStyle name="40% - Énfasis2 4 4 3" xfId="7624"/>
    <cellStyle name="40% - Énfasis2 4 4 4" xfId="13826"/>
    <cellStyle name="40% - Énfasis2 4 4 5" xfId="52933"/>
    <cellStyle name="40% - Énfasis2 4 5" xfId="2540"/>
    <cellStyle name="40% - Énfasis2 4 5 2" xfId="5664"/>
    <cellStyle name="40% - Énfasis2 4 5 2 2" xfId="11867"/>
    <cellStyle name="40% - Énfasis2 4 5 2 3" xfId="18069"/>
    <cellStyle name="40% - Énfasis2 4 5 2 4" xfId="56897"/>
    <cellStyle name="40% - Énfasis2 4 5 3" xfId="8767"/>
    <cellStyle name="40% - Énfasis2 4 5 4" xfId="14969"/>
    <cellStyle name="40% - Énfasis2 4 5 5" xfId="54002"/>
    <cellStyle name="40% - Énfasis2 4 6" xfId="3592"/>
    <cellStyle name="40% - Énfasis2 4 6 2" xfId="9796"/>
    <cellStyle name="40% - Énfasis2 4 6 3" xfId="15998"/>
    <cellStyle name="40% - Énfasis2 4 6 4" xfId="54969"/>
    <cellStyle name="40% - Énfasis2 4 7" xfId="6695"/>
    <cellStyle name="40% - Énfasis2 4 7 2" xfId="18997"/>
    <cellStyle name="40% - Énfasis2 4 8" xfId="12897"/>
    <cellStyle name="40% - Énfasis2 4 9" xfId="23951"/>
    <cellStyle name="40% - Énfasis2 5" xfId="279"/>
    <cellStyle name="40% - Énfasis2 5 2" xfId="280"/>
    <cellStyle name="40% - Énfasis2 5 2 2" xfId="2058"/>
    <cellStyle name="40% - Énfasis2 5 2 2 2" xfId="5183"/>
    <cellStyle name="40% - Énfasis2 5 2 2 2 2" xfId="11386"/>
    <cellStyle name="40% - Énfasis2 5 2 2 2 3" xfId="17588"/>
    <cellStyle name="40% - Énfasis2 5 2 2 2 4" xfId="56435"/>
    <cellStyle name="40% - Énfasis2 5 2 2 3" xfId="8286"/>
    <cellStyle name="40% - Énfasis2 5 2 2 4" xfId="14488"/>
    <cellStyle name="40% - Énfasis2 5 2 2 5" xfId="53539"/>
    <cellStyle name="40% - Énfasis2 5 2 3" xfId="2545"/>
    <cellStyle name="40% - Énfasis2 5 2 3 2" xfId="5669"/>
    <cellStyle name="40% - Énfasis2 5 2 3 2 2" xfId="11872"/>
    <cellStyle name="40% - Énfasis2 5 2 3 2 3" xfId="18074"/>
    <cellStyle name="40% - Énfasis2 5 2 3 2 4" xfId="56902"/>
    <cellStyle name="40% - Énfasis2 5 2 3 3" xfId="8772"/>
    <cellStyle name="40% - Énfasis2 5 2 3 4" xfId="14974"/>
    <cellStyle name="40% - Énfasis2 5 2 3 5" xfId="54007"/>
    <cellStyle name="40% - Énfasis2 5 2 4" xfId="3597"/>
    <cellStyle name="40% - Énfasis2 5 2 4 2" xfId="9801"/>
    <cellStyle name="40% - Énfasis2 5 2 4 3" xfId="16003"/>
    <cellStyle name="40% - Énfasis2 5 2 4 4" xfId="54974"/>
    <cellStyle name="40% - Énfasis2 5 2 5" xfId="6700"/>
    <cellStyle name="40% - Énfasis2 5 2 5 2" xfId="19659"/>
    <cellStyle name="40% - Énfasis2 5 2 5 3" xfId="52318"/>
    <cellStyle name="40% - Énfasis2 5 2 6" xfId="12902"/>
    <cellStyle name="40% - Énfasis2 5 2 7" xfId="23954"/>
    <cellStyle name="40% - Énfasis2 5 3" xfId="1534"/>
    <cellStyle name="40% - Énfasis2 5 3 2" xfId="4659"/>
    <cellStyle name="40% - Énfasis2 5 3 2 2" xfId="10862"/>
    <cellStyle name="40% - Énfasis2 5 3 2 3" xfId="17064"/>
    <cellStyle name="40% - Énfasis2 5 3 2 4" xfId="55940"/>
    <cellStyle name="40% - Énfasis2 5 3 3" xfId="7762"/>
    <cellStyle name="40% - Énfasis2 5 3 4" xfId="13964"/>
    <cellStyle name="40% - Énfasis2 5 3 5" xfId="53055"/>
    <cellStyle name="40% - Énfasis2 5 4" xfId="2544"/>
    <cellStyle name="40% - Énfasis2 5 4 2" xfId="5668"/>
    <cellStyle name="40% - Énfasis2 5 4 2 2" xfId="11871"/>
    <cellStyle name="40% - Énfasis2 5 4 2 3" xfId="18073"/>
    <cellStyle name="40% - Énfasis2 5 4 2 4" xfId="56901"/>
    <cellStyle name="40% - Énfasis2 5 4 3" xfId="8771"/>
    <cellStyle name="40% - Énfasis2 5 4 4" xfId="14973"/>
    <cellStyle name="40% - Énfasis2 5 4 5" xfId="54006"/>
    <cellStyle name="40% - Énfasis2 5 5" xfId="3596"/>
    <cellStyle name="40% - Énfasis2 5 5 2" xfId="9800"/>
    <cellStyle name="40% - Énfasis2 5 5 3" xfId="16002"/>
    <cellStyle name="40% - Énfasis2 5 5 4" xfId="54973"/>
    <cellStyle name="40% - Énfasis2 5 6" xfId="6699"/>
    <cellStyle name="40% - Énfasis2 5 6 2" xfId="19135"/>
    <cellStyle name="40% - Énfasis2 5 6 3" xfId="52317"/>
    <cellStyle name="40% - Énfasis2 5 7" xfId="12901"/>
    <cellStyle name="40% - Énfasis2 5 8" xfId="23953"/>
    <cellStyle name="40% - Énfasis2 6" xfId="281"/>
    <cellStyle name="40% - Énfasis2 6 2" xfId="1787"/>
    <cellStyle name="40% - Énfasis2 6 2 2" xfId="4912"/>
    <cellStyle name="40% - Énfasis2 6 2 2 2" xfId="11115"/>
    <cellStyle name="40% - Énfasis2 6 2 2 3" xfId="17317"/>
    <cellStyle name="40% - Énfasis2 6 2 2 4" xfId="56181"/>
    <cellStyle name="40% - Énfasis2 6 2 3" xfId="8015"/>
    <cellStyle name="40% - Énfasis2 6 2 4" xfId="14217"/>
    <cellStyle name="40% - Énfasis2 6 2 5" xfId="53288"/>
    <cellStyle name="40% - Énfasis2 6 3" xfId="2546"/>
    <cellStyle name="40% - Énfasis2 6 3 2" xfId="5670"/>
    <cellStyle name="40% - Énfasis2 6 3 2 2" xfId="11873"/>
    <cellStyle name="40% - Énfasis2 6 3 2 3" xfId="18075"/>
    <cellStyle name="40% - Énfasis2 6 3 2 4" xfId="56903"/>
    <cellStyle name="40% - Énfasis2 6 3 3" xfId="8773"/>
    <cellStyle name="40% - Énfasis2 6 3 4" xfId="14975"/>
    <cellStyle name="40% - Énfasis2 6 3 5" xfId="54008"/>
    <cellStyle name="40% - Énfasis2 6 4" xfId="3598"/>
    <cellStyle name="40% - Énfasis2 6 4 2" xfId="9802"/>
    <cellStyle name="40% - Énfasis2 6 4 3" xfId="16004"/>
    <cellStyle name="40% - Énfasis2 6 4 4" xfId="54975"/>
    <cellStyle name="40% - Énfasis2 6 5" xfId="6701"/>
    <cellStyle name="40% - Énfasis2 6 5 2" xfId="19388"/>
    <cellStyle name="40% - Énfasis2 6 5 3" xfId="52319"/>
    <cellStyle name="40% - Énfasis2 6 6" xfId="12903"/>
    <cellStyle name="40% - Énfasis2 6 7" xfId="23955"/>
    <cellStyle name="40% - Énfasis2 7" xfId="1260"/>
    <cellStyle name="40% - Énfasis2 7 2" xfId="4385"/>
    <cellStyle name="40% - Énfasis2 7 2 2" xfId="10588"/>
    <cellStyle name="40% - Énfasis2 7 2 3" xfId="16790"/>
    <cellStyle name="40% - Énfasis2 7 2 4" xfId="55681"/>
    <cellStyle name="40% - Énfasis2 7 3" xfId="7488"/>
    <cellStyle name="40% - Énfasis2 7 3 2" xfId="52812"/>
    <cellStyle name="40% - Énfasis2 7 4" xfId="13690"/>
    <cellStyle name="40% - Énfasis2 7 5" xfId="23956"/>
    <cellStyle name="40% - Énfasis2 8" xfId="18861"/>
    <cellStyle name="40% - Énfasis2 8 10" xfId="23958"/>
    <cellStyle name="40% - Énfasis2 8 10 2" xfId="23959"/>
    <cellStyle name="40% - Énfasis2 8 10 2 2" xfId="23960"/>
    <cellStyle name="40% - Énfasis2 8 10 3" xfId="23961"/>
    <cellStyle name="40% - Énfasis2 8 11" xfId="23962"/>
    <cellStyle name="40% - Énfasis2 8 11 2" xfId="23963"/>
    <cellStyle name="40% - Énfasis2 8 11 2 2" xfId="23964"/>
    <cellStyle name="40% - Énfasis2 8 11 3" xfId="23965"/>
    <cellStyle name="40% - Énfasis2 8 12" xfId="23966"/>
    <cellStyle name="40% - Énfasis2 8 12 2" xfId="23967"/>
    <cellStyle name="40% - Énfasis2 8 13" xfId="23968"/>
    <cellStyle name="40% - Énfasis2 8 13 2" xfId="23969"/>
    <cellStyle name="40% - Énfasis2 8 14" xfId="23970"/>
    <cellStyle name="40% - Énfasis2 8 15" xfId="23971"/>
    <cellStyle name="40% - Énfasis2 8 16" xfId="23957"/>
    <cellStyle name="40% - Énfasis2 8 2" xfId="23972"/>
    <cellStyle name="40% - Énfasis2 8 2 10" xfId="23973"/>
    <cellStyle name="40% - Énfasis2 8 2 10 2" xfId="23974"/>
    <cellStyle name="40% - Énfasis2 8 2 10 2 2" xfId="23975"/>
    <cellStyle name="40% - Énfasis2 8 2 10 3" xfId="23976"/>
    <cellStyle name="40% - Énfasis2 8 2 11" xfId="23977"/>
    <cellStyle name="40% - Énfasis2 8 2 11 2" xfId="23978"/>
    <cellStyle name="40% - Énfasis2 8 2 12" xfId="23979"/>
    <cellStyle name="40% - Énfasis2 8 2 12 2" xfId="23980"/>
    <cellStyle name="40% - Énfasis2 8 2 13" xfId="23981"/>
    <cellStyle name="40% - Énfasis2 8 2 14" xfId="23982"/>
    <cellStyle name="40% - Énfasis2 8 2 2" xfId="23983"/>
    <cellStyle name="40% - Énfasis2 8 2 2 2" xfId="23984"/>
    <cellStyle name="40% - Énfasis2 8 2 2 2 2" xfId="23985"/>
    <cellStyle name="40% - Énfasis2 8 2 2 2 2 2" xfId="23986"/>
    <cellStyle name="40% - Énfasis2 8 2 2 2 2 2 2" xfId="23987"/>
    <cellStyle name="40% - Énfasis2 8 2 2 2 2 2 2 2" xfId="23988"/>
    <cellStyle name="40% - Énfasis2 8 2 2 2 2 2 3" xfId="23989"/>
    <cellStyle name="40% - Énfasis2 8 2 2 2 2 2 3 2" xfId="23990"/>
    <cellStyle name="40% - Énfasis2 8 2 2 2 2 2 4" xfId="23991"/>
    <cellStyle name="40% - Énfasis2 8 2 2 2 2 3" xfId="23992"/>
    <cellStyle name="40% - Énfasis2 8 2 2 2 2 4" xfId="23993"/>
    <cellStyle name="40% - Énfasis2 8 2 2 2 2 4 2" xfId="23994"/>
    <cellStyle name="40% - Énfasis2 8 2 2 2 2 5" xfId="23995"/>
    <cellStyle name="40% - Énfasis2 8 2 2 2 2_IAS" xfId="23996"/>
    <cellStyle name="40% - Énfasis2 8 2 2 2 3" xfId="23997"/>
    <cellStyle name="40% - Énfasis2 8 2 2 2 3 2" xfId="23998"/>
    <cellStyle name="40% - Énfasis2 8 2 2 2 3 2 2" xfId="23999"/>
    <cellStyle name="40% - Énfasis2 8 2 2 2 3 3" xfId="24000"/>
    <cellStyle name="40% - Énfasis2 8 2 2 2 3 3 2" xfId="24001"/>
    <cellStyle name="40% - Énfasis2 8 2 2 2 3 4" xfId="24002"/>
    <cellStyle name="40% - Énfasis2 8 2 2 2 4" xfId="24003"/>
    <cellStyle name="40% - Énfasis2 8 2 2 2 5" xfId="24004"/>
    <cellStyle name="40% - Énfasis2 8 2 2 2 5 2" xfId="24005"/>
    <cellStyle name="40% - Énfasis2 8 2 2 2 6" xfId="24006"/>
    <cellStyle name="40% - Énfasis2 8 2 2 2_IAS" xfId="24007"/>
    <cellStyle name="40% - Énfasis2 8 2 2 3" xfId="24008"/>
    <cellStyle name="40% - Énfasis2 8 2 2 3 2" xfId="24009"/>
    <cellStyle name="40% - Énfasis2 8 2 2 3 2 2" xfId="24010"/>
    <cellStyle name="40% - Énfasis2 8 2 2 3 2 2 2" xfId="24011"/>
    <cellStyle name="40% - Énfasis2 8 2 2 3 2 3" xfId="24012"/>
    <cellStyle name="40% - Énfasis2 8 2 2 3 2 3 2" xfId="24013"/>
    <cellStyle name="40% - Énfasis2 8 2 2 3 2 4" xfId="24014"/>
    <cellStyle name="40% - Énfasis2 8 2 2 3 3" xfId="24015"/>
    <cellStyle name="40% - Énfasis2 8 2 2 3 4" xfId="24016"/>
    <cellStyle name="40% - Énfasis2 8 2 2 3 4 2" xfId="24017"/>
    <cellStyle name="40% - Énfasis2 8 2 2 3 5" xfId="24018"/>
    <cellStyle name="40% - Énfasis2 8 2 2 3_IAS" xfId="24019"/>
    <cellStyle name="40% - Énfasis2 8 2 2 4" xfId="24020"/>
    <cellStyle name="40% - Énfasis2 8 2 2 4 2" xfId="24021"/>
    <cellStyle name="40% - Énfasis2 8 2 2 4 2 2" xfId="24022"/>
    <cellStyle name="40% - Énfasis2 8 2 2 4 3" xfId="24023"/>
    <cellStyle name="40% - Énfasis2 8 2 2 4 3 2" xfId="24024"/>
    <cellStyle name="40% - Énfasis2 8 2 2 4 4" xfId="24025"/>
    <cellStyle name="40% - Énfasis2 8 2 2 5" xfId="24026"/>
    <cellStyle name="40% - Énfasis2 8 2 2 6" xfId="24027"/>
    <cellStyle name="40% - Énfasis2 8 2 2 6 2" xfId="24028"/>
    <cellStyle name="40% - Énfasis2 8 2 2 7" xfId="24029"/>
    <cellStyle name="40% - Énfasis2 8 2 2_IAS" xfId="24030"/>
    <cellStyle name="40% - Énfasis2 8 2 3" xfId="24031"/>
    <cellStyle name="40% - Énfasis2 8 2 3 2" xfId="24032"/>
    <cellStyle name="40% - Énfasis2 8 2 3 2 2" xfId="24033"/>
    <cellStyle name="40% - Énfasis2 8 2 3 2 2 2" xfId="24034"/>
    <cellStyle name="40% - Énfasis2 8 2 3 2 2 2 2" xfId="24035"/>
    <cellStyle name="40% - Énfasis2 8 2 3 2 2 2 2 2" xfId="24036"/>
    <cellStyle name="40% - Énfasis2 8 2 3 2 2 2 2 2 2" xfId="41006"/>
    <cellStyle name="40% - Énfasis2 8 2 3 2 2 2 2 3" xfId="41005"/>
    <cellStyle name="40% - Énfasis2 8 2 3 2 2 2 3" xfId="24037"/>
    <cellStyle name="40% - Énfasis2 8 2 3 2 2 2 3 2" xfId="24038"/>
    <cellStyle name="40% - Énfasis2 8 2 3 2 2 2 3 2 2" xfId="41008"/>
    <cellStyle name="40% - Énfasis2 8 2 3 2 2 2 3 3" xfId="41007"/>
    <cellStyle name="40% - Énfasis2 8 2 3 2 2 2 4" xfId="24039"/>
    <cellStyle name="40% - Énfasis2 8 2 3 2 2 2 4 2" xfId="41009"/>
    <cellStyle name="40% - Énfasis2 8 2 3 2 2 2 5" xfId="41004"/>
    <cellStyle name="40% - Énfasis2 8 2 3 2 2 3" xfId="24040"/>
    <cellStyle name="40% - Énfasis2 8 2 3 2 2 3 2" xfId="41010"/>
    <cellStyle name="40% - Énfasis2 8 2 3 2 2 4" xfId="24041"/>
    <cellStyle name="40% - Énfasis2 8 2 3 2 2 4 2" xfId="24042"/>
    <cellStyle name="40% - Énfasis2 8 2 3 2 2 4 2 2" xfId="41012"/>
    <cellStyle name="40% - Énfasis2 8 2 3 2 2 4 3" xfId="41011"/>
    <cellStyle name="40% - Énfasis2 8 2 3 2 2 5" xfId="24043"/>
    <cellStyle name="40% - Énfasis2 8 2 3 2 2 5 2" xfId="41013"/>
    <cellStyle name="40% - Énfasis2 8 2 3 2 2 6" xfId="41003"/>
    <cellStyle name="40% - Énfasis2 8 2 3 2 2_IAS" xfId="24044"/>
    <cellStyle name="40% - Énfasis2 8 2 3 2 3" xfId="24045"/>
    <cellStyle name="40% - Énfasis2 8 2 3 2 3 2" xfId="24046"/>
    <cellStyle name="40% - Énfasis2 8 2 3 2 3 2 2" xfId="24047"/>
    <cellStyle name="40% - Énfasis2 8 2 3 2 3 2 2 2" xfId="41016"/>
    <cellStyle name="40% - Énfasis2 8 2 3 2 3 2 3" xfId="41015"/>
    <cellStyle name="40% - Énfasis2 8 2 3 2 3 3" xfId="24048"/>
    <cellStyle name="40% - Énfasis2 8 2 3 2 3 3 2" xfId="24049"/>
    <cellStyle name="40% - Énfasis2 8 2 3 2 3 3 2 2" xfId="41018"/>
    <cellStyle name="40% - Énfasis2 8 2 3 2 3 3 3" xfId="41017"/>
    <cellStyle name="40% - Énfasis2 8 2 3 2 3 4" xfId="24050"/>
    <cellStyle name="40% - Énfasis2 8 2 3 2 3 4 2" xfId="41019"/>
    <cellStyle name="40% - Énfasis2 8 2 3 2 3 5" xfId="41014"/>
    <cellStyle name="40% - Énfasis2 8 2 3 2 4" xfId="24051"/>
    <cellStyle name="40% - Énfasis2 8 2 3 2 4 2" xfId="41020"/>
    <cellStyle name="40% - Énfasis2 8 2 3 2 5" xfId="24052"/>
    <cellStyle name="40% - Énfasis2 8 2 3 2 5 2" xfId="24053"/>
    <cellStyle name="40% - Énfasis2 8 2 3 2 5 2 2" xfId="41022"/>
    <cellStyle name="40% - Énfasis2 8 2 3 2 5 3" xfId="41021"/>
    <cellStyle name="40% - Énfasis2 8 2 3 2 6" xfId="24054"/>
    <cellStyle name="40% - Énfasis2 8 2 3 2 6 2" xfId="41023"/>
    <cellStyle name="40% - Énfasis2 8 2 3 2 7" xfId="41002"/>
    <cellStyle name="40% - Énfasis2 8 2 3 2_IAS" xfId="24055"/>
    <cellStyle name="40% - Énfasis2 8 2 3 3" xfId="24056"/>
    <cellStyle name="40% - Énfasis2 8 2 3 3 2" xfId="24057"/>
    <cellStyle name="40% - Énfasis2 8 2 3 3 2 2" xfId="24058"/>
    <cellStyle name="40% - Énfasis2 8 2 3 3 2 2 2" xfId="24059"/>
    <cellStyle name="40% - Énfasis2 8 2 3 3 2 2 2 2" xfId="41027"/>
    <cellStyle name="40% - Énfasis2 8 2 3 3 2 2 3" xfId="41026"/>
    <cellStyle name="40% - Énfasis2 8 2 3 3 2 3" xfId="24060"/>
    <cellStyle name="40% - Énfasis2 8 2 3 3 2 3 2" xfId="24061"/>
    <cellStyle name="40% - Énfasis2 8 2 3 3 2 3 2 2" xfId="41029"/>
    <cellStyle name="40% - Énfasis2 8 2 3 3 2 3 3" xfId="41028"/>
    <cellStyle name="40% - Énfasis2 8 2 3 3 2 4" xfId="24062"/>
    <cellStyle name="40% - Énfasis2 8 2 3 3 2 4 2" xfId="41030"/>
    <cellStyle name="40% - Énfasis2 8 2 3 3 2 5" xfId="41025"/>
    <cellStyle name="40% - Énfasis2 8 2 3 3 3" xfId="24063"/>
    <cellStyle name="40% - Énfasis2 8 2 3 3 3 2" xfId="41031"/>
    <cellStyle name="40% - Énfasis2 8 2 3 3 4" xfId="24064"/>
    <cellStyle name="40% - Énfasis2 8 2 3 3 4 2" xfId="24065"/>
    <cellStyle name="40% - Énfasis2 8 2 3 3 4 2 2" xfId="41033"/>
    <cellStyle name="40% - Énfasis2 8 2 3 3 4 3" xfId="41032"/>
    <cellStyle name="40% - Énfasis2 8 2 3 3 5" xfId="24066"/>
    <cellStyle name="40% - Énfasis2 8 2 3 3 5 2" xfId="41034"/>
    <cellStyle name="40% - Énfasis2 8 2 3 3 6" xfId="41024"/>
    <cellStyle name="40% - Énfasis2 8 2 3 3_IAS" xfId="24067"/>
    <cellStyle name="40% - Énfasis2 8 2 3 4" xfId="24068"/>
    <cellStyle name="40% - Énfasis2 8 2 3 4 2" xfId="24069"/>
    <cellStyle name="40% - Énfasis2 8 2 3 4 2 2" xfId="24070"/>
    <cellStyle name="40% - Énfasis2 8 2 3 4 2 2 2" xfId="41037"/>
    <cellStyle name="40% - Énfasis2 8 2 3 4 2 3" xfId="41036"/>
    <cellStyle name="40% - Énfasis2 8 2 3 4 3" xfId="24071"/>
    <cellStyle name="40% - Énfasis2 8 2 3 4 3 2" xfId="24072"/>
    <cellStyle name="40% - Énfasis2 8 2 3 4 3 2 2" xfId="41039"/>
    <cellStyle name="40% - Énfasis2 8 2 3 4 3 3" xfId="41038"/>
    <cellStyle name="40% - Énfasis2 8 2 3 4 4" xfId="24073"/>
    <cellStyle name="40% - Énfasis2 8 2 3 4 4 2" xfId="41040"/>
    <cellStyle name="40% - Énfasis2 8 2 3 4 5" xfId="41035"/>
    <cellStyle name="40% - Énfasis2 8 2 3 5" xfId="24074"/>
    <cellStyle name="40% - Énfasis2 8 2 3 5 2" xfId="41041"/>
    <cellStyle name="40% - Énfasis2 8 2 3 6" xfId="24075"/>
    <cellStyle name="40% - Énfasis2 8 2 3 6 2" xfId="24076"/>
    <cellStyle name="40% - Énfasis2 8 2 3 6 2 2" xfId="41043"/>
    <cellStyle name="40% - Énfasis2 8 2 3 6 3" xfId="41042"/>
    <cellStyle name="40% - Énfasis2 8 2 3 7" xfId="24077"/>
    <cellStyle name="40% - Énfasis2 8 2 3 7 2" xfId="41044"/>
    <cellStyle name="40% - Énfasis2 8 2 3 8" xfId="41001"/>
    <cellStyle name="40% - Énfasis2 8 2 3_IAS" xfId="24078"/>
    <cellStyle name="40% - Énfasis2 8 2 4" xfId="24079"/>
    <cellStyle name="40% - Énfasis2 8 2 4 2" xfId="41045"/>
    <cellStyle name="40% - Énfasis2 8 2 5" xfId="24080"/>
    <cellStyle name="40% - Énfasis2 8 2 5 2" xfId="24081"/>
    <cellStyle name="40% - Énfasis2 8 2 5 2 2" xfId="24082"/>
    <cellStyle name="40% - Énfasis2 8 2 5 2 2 2" xfId="24083"/>
    <cellStyle name="40% - Énfasis2 8 2 5 2 2 2 2" xfId="24084"/>
    <cellStyle name="40% - Énfasis2 8 2 5 2 2 2 2 2" xfId="41050"/>
    <cellStyle name="40% - Énfasis2 8 2 5 2 2 2 3" xfId="41049"/>
    <cellStyle name="40% - Énfasis2 8 2 5 2 2 3" xfId="24085"/>
    <cellStyle name="40% - Énfasis2 8 2 5 2 2 3 2" xfId="24086"/>
    <cellStyle name="40% - Énfasis2 8 2 5 2 2 3 2 2" xfId="41052"/>
    <cellStyle name="40% - Énfasis2 8 2 5 2 2 3 3" xfId="41051"/>
    <cellStyle name="40% - Énfasis2 8 2 5 2 2 4" xfId="24087"/>
    <cellStyle name="40% - Énfasis2 8 2 5 2 2 4 2" xfId="41053"/>
    <cellStyle name="40% - Énfasis2 8 2 5 2 2 5" xfId="41048"/>
    <cellStyle name="40% - Énfasis2 8 2 5 2 3" xfId="24088"/>
    <cellStyle name="40% - Énfasis2 8 2 5 2 3 2" xfId="41054"/>
    <cellStyle name="40% - Énfasis2 8 2 5 2 4" xfId="24089"/>
    <cellStyle name="40% - Énfasis2 8 2 5 2 4 2" xfId="24090"/>
    <cellStyle name="40% - Énfasis2 8 2 5 2 4 2 2" xfId="41056"/>
    <cellStyle name="40% - Énfasis2 8 2 5 2 4 3" xfId="41055"/>
    <cellStyle name="40% - Énfasis2 8 2 5 2 5" xfId="24091"/>
    <cellStyle name="40% - Énfasis2 8 2 5 2 5 2" xfId="41057"/>
    <cellStyle name="40% - Énfasis2 8 2 5 2 6" xfId="41047"/>
    <cellStyle name="40% - Énfasis2 8 2 5 2_IAS" xfId="24092"/>
    <cellStyle name="40% - Énfasis2 8 2 5 3" xfId="24093"/>
    <cellStyle name="40% - Énfasis2 8 2 5 3 2" xfId="24094"/>
    <cellStyle name="40% - Énfasis2 8 2 5 3 2 2" xfId="24095"/>
    <cellStyle name="40% - Énfasis2 8 2 5 3 2 2 2" xfId="41060"/>
    <cellStyle name="40% - Énfasis2 8 2 5 3 2 3" xfId="41059"/>
    <cellStyle name="40% - Énfasis2 8 2 5 3 3" xfId="24096"/>
    <cellStyle name="40% - Énfasis2 8 2 5 3 3 2" xfId="24097"/>
    <cellStyle name="40% - Énfasis2 8 2 5 3 3 2 2" xfId="41062"/>
    <cellStyle name="40% - Énfasis2 8 2 5 3 3 3" xfId="41061"/>
    <cellStyle name="40% - Énfasis2 8 2 5 3 4" xfId="24098"/>
    <cellStyle name="40% - Énfasis2 8 2 5 3 4 2" xfId="41063"/>
    <cellStyle name="40% - Énfasis2 8 2 5 3 5" xfId="41058"/>
    <cellStyle name="40% - Énfasis2 8 2 5 4" xfId="24099"/>
    <cellStyle name="40% - Énfasis2 8 2 5 4 2" xfId="41064"/>
    <cellStyle name="40% - Énfasis2 8 2 5 5" xfId="24100"/>
    <cellStyle name="40% - Énfasis2 8 2 5 5 2" xfId="24101"/>
    <cellStyle name="40% - Énfasis2 8 2 5 5 2 2" xfId="41066"/>
    <cellStyle name="40% - Énfasis2 8 2 5 5 3" xfId="41065"/>
    <cellStyle name="40% - Énfasis2 8 2 5 6" xfId="24102"/>
    <cellStyle name="40% - Énfasis2 8 2 5 6 2" xfId="41067"/>
    <cellStyle name="40% - Énfasis2 8 2 5 7" xfId="41046"/>
    <cellStyle name="40% - Énfasis2 8 2 5_IAS" xfId="24103"/>
    <cellStyle name="40% - Énfasis2 8 2 6" xfId="24104"/>
    <cellStyle name="40% - Énfasis2 8 2 6 2" xfId="24105"/>
    <cellStyle name="40% - Énfasis2 8 2 6 2 2" xfId="24106"/>
    <cellStyle name="40% - Énfasis2 8 2 6 2 2 2" xfId="24107"/>
    <cellStyle name="40% - Énfasis2 8 2 6 2 2 2 2" xfId="41071"/>
    <cellStyle name="40% - Énfasis2 8 2 6 2 2 3" xfId="41070"/>
    <cellStyle name="40% - Énfasis2 8 2 6 2 3" xfId="24108"/>
    <cellStyle name="40% - Énfasis2 8 2 6 2 3 2" xfId="24109"/>
    <cellStyle name="40% - Énfasis2 8 2 6 2 3 2 2" xfId="41073"/>
    <cellStyle name="40% - Énfasis2 8 2 6 2 3 3" xfId="41072"/>
    <cellStyle name="40% - Énfasis2 8 2 6 2 4" xfId="24110"/>
    <cellStyle name="40% - Énfasis2 8 2 6 2 4 2" xfId="41074"/>
    <cellStyle name="40% - Énfasis2 8 2 6 2 5" xfId="41069"/>
    <cellStyle name="40% - Énfasis2 8 2 6 3" xfId="24111"/>
    <cellStyle name="40% - Énfasis2 8 2 6 3 2" xfId="41075"/>
    <cellStyle name="40% - Énfasis2 8 2 6 4" xfId="24112"/>
    <cellStyle name="40% - Énfasis2 8 2 6 4 2" xfId="24113"/>
    <cellStyle name="40% - Énfasis2 8 2 6 4 2 2" xfId="41077"/>
    <cellStyle name="40% - Énfasis2 8 2 6 4 3" xfId="41076"/>
    <cellStyle name="40% - Énfasis2 8 2 6 5" xfId="24114"/>
    <cellStyle name="40% - Énfasis2 8 2 6 5 2" xfId="41078"/>
    <cellStyle name="40% - Énfasis2 8 2 6 6" xfId="41068"/>
    <cellStyle name="40% - Énfasis2 8 2 6_IAS" xfId="24115"/>
    <cellStyle name="40% - Énfasis2 8 2 7" xfId="24116"/>
    <cellStyle name="40% - Énfasis2 8 2 7 2" xfId="24117"/>
    <cellStyle name="40% - Énfasis2 8 2 7 2 2" xfId="24118"/>
    <cellStyle name="40% - Énfasis2 8 2 7 2 2 2" xfId="41081"/>
    <cellStyle name="40% - Énfasis2 8 2 7 2 3" xfId="41080"/>
    <cellStyle name="40% - Énfasis2 8 2 7 3" xfId="24119"/>
    <cellStyle name="40% - Énfasis2 8 2 7 3 2" xfId="24120"/>
    <cellStyle name="40% - Énfasis2 8 2 7 3 2 2" xfId="41083"/>
    <cellStyle name="40% - Énfasis2 8 2 7 3 3" xfId="41082"/>
    <cellStyle name="40% - Énfasis2 8 2 7 4" xfId="24121"/>
    <cellStyle name="40% - Énfasis2 8 2 7 4 2" xfId="41084"/>
    <cellStyle name="40% - Énfasis2 8 2 7 5" xfId="41079"/>
    <cellStyle name="40% - Énfasis2 8 2 8" xfId="24122"/>
    <cellStyle name="40% - Énfasis2 8 2 8 2" xfId="24123"/>
    <cellStyle name="40% - Énfasis2 8 2 8 2 2" xfId="24124"/>
    <cellStyle name="40% - Énfasis2 8 2 8 2 2 2" xfId="41087"/>
    <cellStyle name="40% - Énfasis2 8 2 8 2 3" xfId="41086"/>
    <cellStyle name="40% - Énfasis2 8 2 8 3" xfId="24125"/>
    <cellStyle name="40% - Énfasis2 8 2 8 3 2" xfId="41088"/>
    <cellStyle name="40% - Énfasis2 8 2 8 4" xfId="41085"/>
    <cellStyle name="40% - Énfasis2 8 2 9" xfId="24126"/>
    <cellStyle name="40% - Énfasis2 8 2 9 2" xfId="24127"/>
    <cellStyle name="40% - Énfasis2 8 2 9 2 2" xfId="24128"/>
    <cellStyle name="40% - Énfasis2 8 2 9 2 2 2" xfId="41091"/>
    <cellStyle name="40% - Énfasis2 8 2 9 2 3" xfId="41090"/>
    <cellStyle name="40% - Énfasis2 8 2 9 3" xfId="24129"/>
    <cellStyle name="40% - Énfasis2 8 2 9 3 2" xfId="41092"/>
    <cellStyle name="40% - Énfasis2 8 2 9 4" xfId="41089"/>
    <cellStyle name="40% - Énfasis2 8 2_IAS" xfId="24130"/>
    <cellStyle name="40% - Énfasis2 8 3" xfId="24131"/>
    <cellStyle name="40% - Énfasis2 8 3 2" xfId="24132"/>
    <cellStyle name="40% - Énfasis2 8 3 2 2" xfId="24133"/>
    <cellStyle name="40% - Énfasis2 8 3 2 2 2" xfId="24134"/>
    <cellStyle name="40% - Énfasis2 8 3 2 2 2 2" xfId="24135"/>
    <cellStyle name="40% - Énfasis2 8 3 2 2 2 2 2" xfId="24136"/>
    <cellStyle name="40% - Énfasis2 8 3 2 2 2 2 2 2" xfId="41098"/>
    <cellStyle name="40% - Énfasis2 8 3 2 2 2 2 3" xfId="41097"/>
    <cellStyle name="40% - Énfasis2 8 3 2 2 2 3" xfId="24137"/>
    <cellStyle name="40% - Énfasis2 8 3 2 2 2 3 2" xfId="24138"/>
    <cellStyle name="40% - Énfasis2 8 3 2 2 2 3 2 2" xfId="41100"/>
    <cellStyle name="40% - Énfasis2 8 3 2 2 2 3 3" xfId="41099"/>
    <cellStyle name="40% - Énfasis2 8 3 2 2 2 4" xfId="24139"/>
    <cellStyle name="40% - Énfasis2 8 3 2 2 2 4 2" xfId="41101"/>
    <cellStyle name="40% - Énfasis2 8 3 2 2 2 5" xfId="41096"/>
    <cellStyle name="40% - Énfasis2 8 3 2 2 3" xfId="24140"/>
    <cellStyle name="40% - Énfasis2 8 3 2 2 3 2" xfId="41102"/>
    <cellStyle name="40% - Énfasis2 8 3 2 2 4" xfId="24141"/>
    <cellStyle name="40% - Énfasis2 8 3 2 2 4 2" xfId="24142"/>
    <cellStyle name="40% - Énfasis2 8 3 2 2 4 2 2" xfId="41104"/>
    <cellStyle name="40% - Énfasis2 8 3 2 2 4 3" xfId="41103"/>
    <cellStyle name="40% - Énfasis2 8 3 2 2 5" xfId="24143"/>
    <cellStyle name="40% - Énfasis2 8 3 2 2 5 2" xfId="41105"/>
    <cellStyle name="40% - Énfasis2 8 3 2 2 6" xfId="41095"/>
    <cellStyle name="40% - Énfasis2 8 3 2 2_IAS" xfId="24144"/>
    <cellStyle name="40% - Énfasis2 8 3 2 3" xfId="24145"/>
    <cellStyle name="40% - Énfasis2 8 3 2 3 2" xfId="24146"/>
    <cellStyle name="40% - Énfasis2 8 3 2 3 2 2" xfId="24147"/>
    <cellStyle name="40% - Énfasis2 8 3 2 3 2 2 2" xfId="41108"/>
    <cellStyle name="40% - Énfasis2 8 3 2 3 2 3" xfId="41107"/>
    <cellStyle name="40% - Énfasis2 8 3 2 3 3" xfId="24148"/>
    <cellStyle name="40% - Énfasis2 8 3 2 3 3 2" xfId="24149"/>
    <cellStyle name="40% - Énfasis2 8 3 2 3 3 2 2" xfId="41110"/>
    <cellStyle name="40% - Énfasis2 8 3 2 3 3 3" xfId="41109"/>
    <cellStyle name="40% - Énfasis2 8 3 2 3 4" xfId="24150"/>
    <cellStyle name="40% - Énfasis2 8 3 2 3 4 2" xfId="41111"/>
    <cellStyle name="40% - Énfasis2 8 3 2 3 5" xfId="41106"/>
    <cellStyle name="40% - Énfasis2 8 3 2 4" xfId="24151"/>
    <cellStyle name="40% - Énfasis2 8 3 2 4 2" xfId="41112"/>
    <cellStyle name="40% - Énfasis2 8 3 2 5" xfId="24152"/>
    <cellStyle name="40% - Énfasis2 8 3 2 5 2" xfId="24153"/>
    <cellStyle name="40% - Énfasis2 8 3 2 5 2 2" xfId="41114"/>
    <cellStyle name="40% - Énfasis2 8 3 2 5 3" xfId="41113"/>
    <cellStyle name="40% - Énfasis2 8 3 2 6" xfId="24154"/>
    <cellStyle name="40% - Énfasis2 8 3 2 6 2" xfId="41115"/>
    <cellStyle name="40% - Énfasis2 8 3 2 7" xfId="41094"/>
    <cellStyle name="40% - Énfasis2 8 3 2_IAS" xfId="24155"/>
    <cellStyle name="40% - Énfasis2 8 3 3" xfId="24156"/>
    <cellStyle name="40% - Énfasis2 8 3 3 2" xfId="24157"/>
    <cellStyle name="40% - Énfasis2 8 3 3 2 2" xfId="24158"/>
    <cellStyle name="40% - Énfasis2 8 3 3 2 2 2" xfId="24159"/>
    <cellStyle name="40% - Énfasis2 8 3 3 2 2 2 2" xfId="41119"/>
    <cellStyle name="40% - Énfasis2 8 3 3 2 2 3" xfId="41118"/>
    <cellStyle name="40% - Énfasis2 8 3 3 2 3" xfId="24160"/>
    <cellStyle name="40% - Énfasis2 8 3 3 2 3 2" xfId="24161"/>
    <cellStyle name="40% - Énfasis2 8 3 3 2 3 2 2" xfId="41121"/>
    <cellStyle name="40% - Énfasis2 8 3 3 2 3 3" xfId="41120"/>
    <cellStyle name="40% - Énfasis2 8 3 3 2 4" xfId="24162"/>
    <cellStyle name="40% - Énfasis2 8 3 3 2 4 2" xfId="41122"/>
    <cellStyle name="40% - Énfasis2 8 3 3 2 5" xfId="41117"/>
    <cellStyle name="40% - Énfasis2 8 3 3 3" xfId="24163"/>
    <cellStyle name="40% - Énfasis2 8 3 3 3 2" xfId="41123"/>
    <cellStyle name="40% - Énfasis2 8 3 3 4" xfId="24164"/>
    <cellStyle name="40% - Énfasis2 8 3 3 4 2" xfId="24165"/>
    <cellStyle name="40% - Énfasis2 8 3 3 4 2 2" xfId="41125"/>
    <cellStyle name="40% - Énfasis2 8 3 3 4 3" xfId="41124"/>
    <cellStyle name="40% - Énfasis2 8 3 3 5" xfId="24166"/>
    <cellStyle name="40% - Énfasis2 8 3 3 5 2" xfId="41126"/>
    <cellStyle name="40% - Énfasis2 8 3 3 6" xfId="41116"/>
    <cellStyle name="40% - Énfasis2 8 3 3_IAS" xfId="24167"/>
    <cellStyle name="40% - Énfasis2 8 3 4" xfId="24168"/>
    <cellStyle name="40% - Énfasis2 8 3 4 2" xfId="24169"/>
    <cellStyle name="40% - Énfasis2 8 3 4 2 2" xfId="24170"/>
    <cellStyle name="40% - Énfasis2 8 3 4 2 2 2" xfId="41129"/>
    <cellStyle name="40% - Énfasis2 8 3 4 2 3" xfId="41128"/>
    <cellStyle name="40% - Énfasis2 8 3 4 3" xfId="24171"/>
    <cellStyle name="40% - Énfasis2 8 3 4 3 2" xfId="24172"/>
    <cellStyle name="40% - Énfasis2 8 3 4 3 2 2" xfId="41131"/>
    <cellStyle name="40% - Énfasis2 8 3 4 3 3" xfId="41130"/>
    <cellStyle name="40% - Énfasis2 8 3 4 4" xfId="24173"/>
    <cellStyle name="40% - Énfasis2 8 3 4 4 2" xfId="41132"/>
    <cellStyle name="40% - Énfasis2 8 3 4 5" xfId="41127"/>
    <cellStyle name="40% - Énfasis2 8 3 5" xfId="24174"/>
    <cellStyle name="40% - Énfasis2 8 3 5 2" xfId="41133"/>
    <cellStyle name="40% - Énfasis2 8 3 6" xfId="24175"/>
    <cellStyle name="40% - Énfasis2 8 3 6 2" xfId="24176"/>
    <cellStyle name="40% - Énfasis2 8 3 6 2 2" xfId="41135"/>
    <cellStyle name="40% - Énfasis2 8 3 6 3" xfId="41134"/>
    <cellStyle name="40% - Énfasis2 8 3 7" xfId="24177"/>
    <cellStyle name="40% - Énfasis2 8 3 7 2" xfId="41136"/>
    <cellStyle name="40% - Énfasis2 8 3 8" xfId="41093"/>
    <cellStyle name="40% - Énfasis2 8 3_IAS" xfId="24178"/>
    <cellStyle name="40% - Énfasis2 8 4" xfId="24179"/>
    <cellStyle name="40% - Énfasis2 8 4 2" xfId="24180"/>
    <cellStyle name="40% - Énfasis2 8 4 2 2" xfId="24181"/>
    <cellStyle name="40% - Énfasis2 8 4 2 2 2" xfId="24182"/>
    <cellStyle name="40% - Énfasis2 8 4 2 2 2 2" xfId="24183"/>
    <cellStyle name="40% - Énfasis2 8 4 2 2 2 2 2" xfId="24184"/>
    <cellStyle name="40% - Énfasis2 8 4 2 2 2 2 2 2" xfId="41142"/>
    <cellStyle name="40% - Énfasis2 8 4 2 2 2 2 3" xfId="41141"/>
    <cellStyle name="40% - Énfasis2 8 4 2 2 2 3" xfId="24185"/>
    <cellStyle name="40% - Énfasis2 8 4 2 2 2 3 2" xfId="24186"/>
    <cellStyle name="40% - Énfasis2 8 4 2 2 2 3 2 2" xfId="41144"/>
    <cellStyle name="40% - Énfasis2 8 4 2 2 2 3 3" xfId="41143"/>
    <cellStyle name="40% - Énfasis2 8 4 2 2 2 4" xfId="24187"/>
    <cellStyle name="40% - Énfasis2 8 4 2 2 2 4 2" xfId="41145"/>
    <cellStyle name="40% - Énfasis2 8 4 2 2 2 5" xfId="41140"/>
    <cellStyle name="40% - Énfasis2 8 4 2 2 3" xfId="24188"/>
    <cellStyle name="40% - Énfasis2 8 4 2 2 3 2" xfId="41146"/>
    <cellStyle name="40% - Énfasis2 8 4 2 2 4" xfId="24189"/>
    <cellStyle name="40% - Énfasis2 8 4 2 2 4 2" xfId="24190"/>
    <cellStyle name="40% - Énfasis2 8 4 2 2 4 2 2" xfId="41148"/>
    <cellStyle name="40% - Énfasis2 8 4 2 2 4 3" xfId="41147"/>
    <cellStyle name="40% - Énfasis2 8 4 2 2 5" xfId="24191"/>
    <cellStyle name="40% - Énfasis2 8 4 2 2 5 2" xfId="41149"/>
    <cellStyle name="40% - Énfasis2 8 4 2 2 6" xfId="41139"/>
    <cellStyle name="40% - Énfasis2 8 4 2 2_IAS" xfId="24192"/>
    <cellStyle name="40% - Énfasis2 8 4 2 3" xfId="24193"/>
    <cellStyle name="40% - Énfasis2 8 4 2 3 2" xfId="24194"/>
    <cellStyle name="40% - Énfasis2 8 4 2 3 2 2" xfId="24195"/>
    <cellStyle name="40% - Énfasis2 8 4 2 3 2 2 2" xfId="41152"/>
    <cellStyle name="40% - Énfasis2 8 4 2 3 2 3" xfId="41151"/>
    <cellStyle name="40% - Énfasis2 8 4 2 3 3" xfId="24196"/>
    <cellStyle name="40% - Énfasis2 8 4 2 3 3 2" xfId="24197"/>
    <cellStyle name="40% - Énfasis2 8 4 2 3 3 2 2" xfId="41154"/>
    <cellStyle name="40% - Énfasis2 8 4 2 3 3 3" xfId="41153"/>
    <cellStyle name="40% - Énfasis2 8 4 2 3 4" xfId="24198"/>
    <cellStyle name="40% - Énfasis2 8 4 2 3 4 2" xfId="41155"/>
    <cellStyle name="40% - Énfasis2 8 4 2 3 5" xfId="41150"/>
    <cellStyle name="40% - Énfasis2 8 4 2 4" xfId="24199"/>
    <cellStyle name="40% - Énfasis2 8 4 2 4 2" xfId="41156"/>
    <cellStyle name="40% - Énfasis2 8 4 2 5" xfId="24200"/>
    <cellStyle name="40% - Énfasis2 8 4 2 5 2" xfId="24201"/>
    <cellStyle name="40% - Énfasis2 8 4 2 5 2 2" xfId="41158"/>
    <cellStyle name="40% - Énfasis2 8 4 2 5 3" xfId="41157"/>
    <cellStyle name="40% - Énfasis2 8 4 2 6" xfId="24202"/>
    <cellStyle name="40% - Énfasis2 8 4 2 6 2" xfId="41159"/>
    <cellStyle name="40% - Énfasis2 8 4 2 7" xfId="41138"/>
    <cellStyle name="40% - Énfasis2 8 4 2_IAS" xfId="24203"/>
    <cellStyle name="40% - Énfasis2 8 4 3" xfId="24204"/>
    <cellStyle name="40% - Énfasis2 8 4 3 2" xfId="24205"/>
    <cellStyle name="40% - Énfasis2 8 4 3 2 2" xfId="24206"/>
    <cellStyle name="40% - Énfasis2 8 4 3 2 2 2" xfId="24207"/>
    <cellStyle name="40% - Énfasis2 8 4 3 2 2 2 2" xfId="41163"/>
    <cellStyle name="40% - Énfasis2 8 4 3 2 2 3" xfId="41162"/>
    <cellStyle name="40% - Énfasis2 8 4 3 2 3" xfId="24208"/>
    <cellStyle name="40% - Énfasis2 8 4 3 2 3 2" xfId="24209"/>
    <cellStyle name="40% - Énfasis2 8 4 3 2 3 2 2" xfId="41165"/>
    <cellStyle name="40% - Énfasis2 8 4 3 2 3 3" xfId="41164"/>
    <cellStyle name="40% - Énfasis2 8 4 3 2 4" xfId="24210"/>
    <cellStyle name="40% - Énfasis2 8 4 3 2 4 2" xfId="41166"/>
    <cellStyle name="40% - Énfasis2 8 4 3 2 5" xfId="41161"/>
    <cellStyle name="40% - Énfasis2 8 4 3 3" xfId="24211"/>
    <cellStyle name="40% - Énfasis2 8 4 3 3 2" xfId="41167"/>
    <cellStyle name="40% - Énfasis2 8 4 3 4" xfId="24212"/>
    <cellStyle name="40% - Énfasis2 8 4 3 4 2" xfId="24213"/>
    <cellStyle name="40% - Énfasis2 8 4 3 4 2 2" xfId="41169"/>
    <cellStyle name="40% - Énfasis2 8 4 3 4 3" xfId="41168"/>
    <cellStyle name="40% - Énfasis2 8 4 3 5" xfId="24214"/>
    <cellStyle name="40% - Énfasis2 8 4 3 5 2" xfId="41170"/>
    <cellStyle name="40% - Énfasis2 8 4 3 6" xfId="41160"/>
    <cellStyle name="40% - Énfasis2 8 4 3_IAS" xfId="24215"/>
    <cellStyle name="40% - Énfasis2 8 4 4" xfId="24216"/>
    <cellStyle name="40% - Énfasis2 8 4 4 2" xfId="24217"/>
    <cellStyle name="40% - Énfasis2 8 4 4 2 2" xfId="24218"/>
    <cellStyle name="40% - Énfasis2 8 4 4 2 2 2" xfId="41173"/>
    <cellStyle name="40% - Énfasis2 8 4 4 2 3" xfId="41172"/>
    <cellStyle name="40% - Énfasis2 8 4 4 3" xfId="24219"/>
    <cellStyle name="40% - Énfasis2 8 4 4 3 2" xfId="24220"/>
    <cellStyle name="40% - Énfasis2 8 4 4 3 2 2" xfId="41175"/>
    <cellStyle name="40% - Énfasis2 8 4 4 3 3" xfId="41174"/>
    <cellStyle name="40% - Énfasis2 8 4 4 4" xfId="24221"/>
    <cellStyle name="40% - Énfasis2 8 4 4 4 2" xfId="41176"/>
    <cellStyle name="40% - Énfasis2 8 4 4 5" xfId="41171"/>
    <cellStyle name="40% - Énfasis2 8 4 5" xfId="24222"/>
    <cellStyle name="40% - Énfasis2 8 4 5 2" xfId="41177"/>
    <cellStyle name="40% - Énfasis2 8 4 6" xfId="24223"/>
    <cellStyle name="40% - Énfasis2 8 4 6 2" xfId="24224"/>
    <cellStyle name="40% - Énfasis2 8 4 6 2 2" xfId="41179"/>
    <cellStyle name="40% - Énfasis2 8 4 6 3" xfId="41178"/>
    <cellStyle name="40% - Énfasis2 8 4 7" xfId="24225"/>
    <cellStyle name="40% - Énfasis2 8 4 7 2" xfId="41180"/>
    <cellStyle name="40% - Énfasis2 8 4 8" xfId="41137"/>
    <cellStyle name="40% - Énfasis2 8 4_IAS" xfId="24226"/>
    <cellStyle name="40% - Énfasis2 8 5" xfId="24227"/>
    <cellStyle name="40% - Énfasis2 8 5 2" xfId="41181"/>
    <cellStyle name="40% - Énfasis2 8 6" xfId="24228"/>
    <cellStyle name="40% - Énfasis2 8 6 2" xfId="24229"/>
    <cellStyle name="40% - Énfasis2 8 6 2 2" xfId="24230"/>
    <cellStyle name="40% - Énfasis2 8 6 2 2 2" xfId="24231"/>
    <cellStyle name="40% - Énfasis2 8 6 2 2 2 2" xfId="24232"/>
    <cellStyle name="40% - Énfasis2 8 6 2 2 2 2 2" xfId="41186"/>
    <cellStyle name="40% - Énfasis2 8 6 2 2 2 3" xfId="41185"/>
    <cellStyle name="40% - Énfasis2 8 6 2 2 3" xfId="24233"/>
    <cellStyle name="40% - Énfasis2 8 6 2 2 3 2" xfId="24234"/>
    <cellStyle name="40% - Énfasis2 8 6 2 2 3 2 2" xfId="41188"/>
    <cellStyle name="40% - Énfasis2 8 6 2 2 3 3" xfId="41187"/>
    <cellStyle name="40% - Énfasis2 8 6 2 2 4" xfId="24235"/>
    <cellStyle name="40% - Énfasis2 8 6 2 2 4 2" xfId="41189"/>
    <cellStyle name="40% - Énfasis2 8 6 2 2 5" xfId="41184"/>
    <cellStyle name="40% - Énfasis2 8 6 2 3" xfId="24236"/>
    <cellStyle name="40% - Énfasis2 8 6 2 3 2" xfId="41190"/>
    <cellStyle name="40% - Énfasis2 8 6 2 4" xfId="24237"/>
    <cellStyle name="40% - Énfasis2 8 6 2 4 2" xfId="24238"/>
    <cellStyle name="40% - Énfasis2 8 6 2 4 2 2" xfId="41192"/>
    <cellStyle name="40% - Énfasis2 8 6 2 4 3" xfId="41191"/>
    <cellStyle name="40% - Énfasis2 8 6 2 5" xfId="24239"/>
    <cellStyle name="40% - Énfasis2 8 6 2 5 2" xfId="41193"/>
    <cellStyle name="40% - Énfasis2 8 6 2 6" xfId="41183"/>
    <cellStyle name="40% - Énfasis2 8 6 2_IAS" xfId="24240"/>
    <cellStyle name="40% - Énfasis2 8 6 3" xfId="24241"/>
    <cellStyle name="40% - Énfasis2 8 6 3 2" xfId="24242"/>
    <cellStyle name="40% - Énfasis2 8 6 3 2 2" xfId="24243"/>
    <cellStyle name="40% - Énfasis2 8 6 3 2 2 2" xfId="41196"/>
    <cellStyle name="40% - Énfasis2 8 6 3 2 3" xfId="41195"/>
    <cellStyle name="40% - Énfasis2 8 6 3 3" xfId="24244"/>
    <cellStyle name="40% - Énfasis2 8 6 3 3 2" xfId="24245"/>
    <cellStyle name="40% - Énfasis2 8 6 3 3 2 2" xfId="41198"/>
    <cellStyle name="40% - Énfasis2 8 6 3 3 3" xfId="41197"/>
    <cellStyle name="40% - Énfasis2 8 6 3 4" xfId="24246"/>
    <cellStyle name="40% - Énfasis2 8 6 3 4 2" xfId="41199"/>
    <cellStyle name="40% - Énfasis2 8 6 3 5" xfId="41194"/>
    <cellStyle name="40% - Énfasis2 8 6 4" xfId="24247"/>
    <cellStyle name="40% - Énfasis2 8 6 4 2" xfId="41200"/>
    <cellStyle name="40% - Énfasis2 8 6 5" xfId="24248"/>
    <cellStyle name="40% - Énfasis2 8 6 5 2" xfId="24249"/>
    <cellStyle name="40% - Énfasis2 8 6 5 2 2" xfId="41202"/>
    <cellStyle name="40% - Énfasis2 8 6 5 3" xfId="41201"/>
    <cellStyle name="40% - Énfasis2 8 6 6" xfId="24250"/>
    <cellStyle name="40% - Énfasis2 8 6 6 2" xfId="41203"/>
    <cellStyle name="40% - Énfasis2 8 6 7" xfId="41182"/>
    <cellStyle name="40% - Énfasis2 8 6_IAS" xfId="24251"/>
    <cellStyle name="40% - Énfasis2 8 7" xfId="24252"/>
    <cellStyle name="40% - Énfasis2 8 7 2" xfId="24253"/>
    <cellStyle name="40% - Énfasis2 8 7 2 2" xfId="24254"/>
    <cellStyle name="40% - Énfasis2 8 7 2 2 2" xfId="24255"/>
    <cellStyle name="40% - Énfasis2 8 7 2 2 2 2" xfId="41207"/>
    <cellStyle name="40% - Énfasis2 8 7 2 2 3" xfId="41206"/>
    <cellStyle name="40% - Énfasis2 8 7 2 3" xfId="24256"/>
    <cellStyle name="40% - Énfasis2 8 7 2 3 2" xfId="24257"/>
    <cellStyle name="40% - Énfasis2 8 7 2 3 2 2" xfId="41209"/>
    <cellStyle name="40% - Énfasis2 8 7 2 3 3" xfId="41208"/>
    <cellStyle name="40% - Énfasis2 8 7 2 4" xfId="24258"/>
    <cellStyle name="40% - Énfasis2 8 7 2 4 2" xfId="41210"/>
    <cellStyle name="40% - Énfasis2 8 7 2 5" xfId="41205"/>
    <cellStyle name="40% - Énfasis2 8 7 3" xfId="24259"/>
    <cellStyle name="40% - Énfasis2 8 7 3 2" xfId="41211"/>
    <cellStyle name="40% - Énfasis2 8 7 4" xfId="24260"/>
    <cellStyle name="40% - Énfasis2 8 7 4 2" xfId="24261"/>
    <cellStyle name="40% - Énfasis2 8 7 4 2 2" xfId="41213"/>
    <cellStyle name="40% - Énfasis2 8 7 4 3" xfId="41212"/>
    <cellStyle name="40% - Énfasis2 8 7 5" xfId="24262"/>
    <cellStyle name="40% - Énfasis2 8 7 5 2" xfId="41214"/>
    <cellStyle name="40% - Énfasis2 8 7 6" xfId="41204"/>
    <cellStyle name="40% - Énfasis2 8 7_IAS" xfId="24263"/>
    <cellStyle name="40% - Énfasis2 8 8" xfId="24264"/>
    <cellStyle name="40% - Énfasis2 8 8 2" xfId="24265"/>
    <cellStyle name="40% - Énfasis2 8 8 2 2" xfId="24266"/>
    <cellStyle name="40% - Énfasis2 8 8 2 2 2" xfId="41217"/>
    <cellStyle name="40% - Énfasis2 8 8 2 3" xfId="41216"/>
    <cellStyle name="40% - Énfasis2 8 8 3" xfId="24267"/>
    <cellStyle name="40% - Énfasis2 8 8 3 2" xfId="24268"/>
    <cellStyle name="40% - Énfasis2 8 8 3 2 2" xfId="41219"/>
    <cellStyle name="40% - Énfasis2 8 8 3 3" xfId="41218"/>
    <cellStyle name="40% - Énfasis2 8 8 4" xfId="24269"/>
    <cellStyle name="40% - Énfasis2 8 8 4 2" xfId="41220"/>
    <cellStyle name="40% - Énfasis2 8 8 5" xfId="41215"/>
    <cellStyle name="40% - Énfasis2 8 9" xfId="24270"/>
    <cellStyle name="40% - Énfasis2 8 9 2" xfId="24271"/>
    <cellStyle name="40% - Énfasis2 8 9 2 2" xfId="24272"/>
    <cellStyle name="40% - Énfasis2 8 9 2 2 2" xfId="41223"/>
    <cellStyle name="40% - Énfasis2 8 9 2 3" xfId="41222"/>
    <cellStyle name="40% - Énfasis2 8 9 3" xfId="24273"/>
    <cellStyle name="40% - Énfasis2 8 9 3 2" xfId="41224"/>
    <cellStyle name="40% - Énfasis2 8 9 4" xfId="41221"/>
    <cellStyle name="40% - Énfasis2 8_AGF" xfId="24274"/>
    <cellStyle name="40% - Énfasis2 9" xfId="24275"/>
    <cellStyle name="40% - Énfasis2 9 10" xfId="24276"/>
    <cellStyle name="40% - Énfasis2 9 10 2" xfId="24277"/>
    <cellStyle name="40% - Énfasis2 9 10 2 2" xfId="24278"/>
    <cellStyle name="40% - Énfasis2 9 10 2 2 2" xfId="41228"/>
    <cellStyle name="40% - Énfasis2 9 10 2 3" xfId="41227"/>
    <cellStyle name="40% - Énfasis2 9 10 3" xfId="24279"/>
    <cellStyle name="40% - Énfasis2 9 10 3 2" xfId="41229"/>
    <cellStyle name="40% - Énfasis2 9 10 4" xfId="41226"/>
    <cellStyle name="40% - Énfasis2 9 11" xfId="24280"/>
    <cellStyle name="40% - Énfasis2 9 11 2" xfId="24281"/>
    <cellStyle name="40% - Énfasis2 9 11 2 2" xfId="41231"/>
    <cellStyle name="40% - Énfasis2 9 11 3" xfId="41230"/>
    <cellStyle name="40% - Énfasis2 9 12" xfId="24282"/>
    <cellStyle name="40% - Énfasis2 9 12 2" xfId="24283"/>
    <cellStyle name="40% - Énfasis2 9 12 2 2" xfId="41233"/>
    <cellStyle name="40% - Énfasis2 9 12 3" xfId="41232"/>
    <cellStyle name="40% - Énfasis2 9 13" xfId="24284"/>
    <cellStyle name="40% - Énfasis2 9 13 2" xfId="41234"/>
    <cellStyle name="40% - Énfasis2 9 14" xfId="24285"/>
    <cellStyle name="40% - Énfasis2 9 14 2" xfId="41235"/>
    <cellStyle name="40% - Énfasis2 9 15" xfId="41225"/>
    <cellStyle name="40% - Énfasis2 9 2" xfId="24286"/>
    <cellStyle name="40% - Énfasis2 9 2 2" xfId="24287"/>
    <cellStyle name="40% - Énfasis2 9 2 2 2" xfId="24288"/>
    <cellStyle name="40% - Énfasis2 9 2 2 2 2" xfId="24289"/>
    <cellStyle name="40% - Énfasis2 9 2 2 2 2 2" xfId="24290"/>
    <cellStyle name="40% - Énfasis2 9 2 2 2 2 2 2" xfId="24291"/>
    <cellStyle name="40% - Énfasis2 9 2 2 2 2 2 2 2" xfId="41241"/>
    <cellStyle name="40% - Énfasis2 9 2 2 2 2 2 3" xfId="41240"/>
    <cellStyle name="40% - Énfasis2 9 2 2 2 2 3" xfId="24292"/>
    <cellStyle name="40% - Énfasis2 9 2 2 2 2 3 2" xfId="24293"/>
    <cellStyle name="40% - Énfasis2 9 2 2 2 2 3 2 2" xfId="41243"/>
    <cellStyle name="40% - Énfasis2 9 2 2 2 2 3 3" xfId="41242"/>
    <cellStyle name="40% - Énfasis2 9 2 2 2 2 4" xfId="24294"/>
    <cellStyle name="40% - Énfasis2 9 2 2 2 2 4 2" xfId="41244"/>
    <cellStyle name="40% - Énfasis2 9 2 2 2 2 5" xfId="41239"/>
    <cellStyle name="40% - Énfasis2 9 2 2 2 3" xfId="24295"/>
    <cellStyle name="40% - Énfasis2 9 2 2 2 3 2" xfId="41245"/>
    <cellStyle name="40% - Énfasis2 9 2 2 2 4" xfId="24296"/>
    <cellStyle name="40% - Énfasis2 9 2 2 2 4 2" xfId="24297"/>
    <cellStyle name="40% - Énfasis2 9 2 2 2 4 2 2" xfId="41247"/>
    <cellStyle name="40% - Énfasis2 9 2 2 2 4 3" xfId="41246"/>
    <cellStyle name="40% - Énfasis2 9 2 2 2 5" xfId="24298"/>
    <cellStyle name="40% - Énfasis2 9 2 2 2 5 2" xfId="41248"/>
    <cellStyle name="40% - Énfasis2 9 2 2 2 6" xfId="41238"/>
    <cellStyle name="40% - Énfasis2 9 2 2 2_IAS" xfId="24299"/>
    <cellStyle name="40% - Énfasis2 9 2 2 3" xfId="24300"/>
    <cellStyle name="40% - Énfasis2 9 2 2 3 2" xfId="24301"/>
    <cellStyle name="40% - Énfasis2 9 2 2 3 2 2" xfId="24302"/>
    <cellStyle name="40% - Énfasis2 9 2 2 3 2 2 2" xfId="41251"/>
    <cellStyle name="40% - Énfasis2 9 2 2 3 2 3" xfId="41250"/>
    <cellStyle name="40% - Énfasis2 9 2 2 3 3" xfId="24303"/>
    <cellStyle name="40% - Énfasis2 9 2 2 3 3 2" xfId="24304"/>
    <cellStyle name="40% - Énfasis2 9 2 2 3 3 2 2" xfId="41253"/>
    <cellStyle name="40% - Énfasis2 9 2 2 3 3 3" xfId="41252"/>
    <cellStyle name="40% - Énfasis2 9 2 2 3 4" xfId="24305"/>
    <cellStyle name="40% - Énfasis2 9 2 2 3 4 2" xfId="41254"/>
    <cellStyle name="40% - Énfasis2 9 2 2 3 5" xfId="41249"/>
    <cellStyle name="40% - Énfasis2 9 2 2 4" xfId="24306"/>
    <cellStyle name="40% - Énfasis2 9 2 2 4 2" xfId="41255"/>
    <cellStyle name="40% - Énfasis2 9 2 2 5" xfId="24307"/>
    <cellStyle name="40% - Énfasis2 9 2 2 5 2" xfId="24308"/>
    <cellStyle name="40% - Énfasis2 9 2 2 5 2 2" xfId="41257"/>
    <cellStyle name="40% - Énfasis2 9 2 2 5 3" xfId="41256"/>
    <cellStyle name="40% - Énfasis2 9 2 2 6" xfId="24309"/>
    <cellStyle name="40% - Énfasis2 9 2 2 6 2" xfId="41258"/>
    <cellStyle name="40% - Énfasis2 9 2 2 7" xfId="41237"/>
    <cellStyle name="40% - Énfasis2 9 2 2_IAS" xfId="24310"/>
    <cellStyle name="40% - Énfasis2 9 2 3" xfId="24311"/>
    <cellStyle name="40% - Énfasis2 9 2 3 2" xfId="24312"/>
    <cellStyle name="40% - Énfasis2 9 2 3 2 2" xfId="24313"/>
    <cellStyle name="40% - Énfasis2 9 2 3 2 2 2" xfId="24314"/>
    <cellStyle name="40% - Énfasis2 9 2 3 2 2 2 2" xfId="41262"/>
    <cellStyle name="40% - Énfasis2 9 2 3 2 2 3" xfId="41261"/>
    <cellStyle name="40% - Énfasis2 9 2 3 2 3" xfId="24315"/>
    <cellStyle name="40% - Énfasis2 9 2 3 2 3 2" xfId="24316"/>
    <cellStyle name="40% - Énfasis2 9 2 3 2 3 2 2" xfId="41264"/>
    <cellStyle name="40% - Énfasis2 9 2 3 2 3 3" xfId="41263"/>
    <cellStyle name="40% - Énfasis2 9 2 3 2 4" xfId="24317"/>
    <cellStyle name="40% - Énfasis2 9 2 3 2 4 2" xfId="41265"/>
    <cellStyle name="40% - Énfasis2 9 2 3 2 5" xfId="41260"/>
    <cellStyle name="40% - Énfasis2 9 2 3 3" xfId="24318"/>
    <cellStyle name="40% - Énfasis2 9 2 3 3 2" xfId="41266"/>
    <cellStyle name="40% - Énfasis2 9 2 3 4" xfId="24319"/>
    <cellStyle name="40% - Énfasis2 9 2 3 4 2" xfId="24320"/>
    <cellStyle name="40% - Énfasis2 9 2 3 4 2 2" xfId="41268"/>
    <cellStyle name="40% - Énfasis2 9 2 3 4 3" xfId="41267"/>
    <cellStyle name="40% - Énfasis2 9 2 3 5" xfId="24321"/>
    <cellStyle name="40% - Énfasis2 9 2 3 5 2" xfId="41269"/>
    <cellStyle name="40% - Énfasis2 9 2 3 6" xfId="41259"/>
    <cellStyle name="40% - Énfasis2 9 2 3_IAS" xfId="24322"/>
    <cellStyle name="40% - Énfasis2 9 2 4" xfId="24323"/>
    <cellStyle name="40% - Énfasis2 9 2 4 2" xfId="24324"/>
    <cellStyle name="40% - Énfasis2 9 2 4 2 2" xfId="24325"/>
    <cellStyle name="40% - Énfasis2 9 2 4 2 2 2" xfId="41272"/>
    <cellStyle name="40% - Énfasis2 9 2 4 2 3" xfId="41271"/>
    <cellStyle name="40% - Énfasis2 9 2 4 3" xfId="24326"/>
    <cellStyle name="40% - Énfasis2 9 2 4 3 2" xfId="24327"/>
    <cellStyle name="40% - Énfasis2 9 2 4 3 2 2" xfId="41274"/>
    <cellStyle name="40% - Énfasis2 9 2 4 3 3" xfId="41273"/>
    <cellStyle name="40% - Énfasis2 9 2 4 4" xfId="24328"/>
    <cellStyle name="40% - Énfasis2 9 2 4 4 2" xfId="41275"/>
    <cellStyle name="40% - Énfasis2 9 2 4 5" xfId="41270"/>
    <cellStyle name="40% - Énfasis2 9 2 5" xfId="24329"/>
    <cellStyle name="40% - Énfasis2 9 2 5 2" xfId="41276"/>
    <cellStyle name="40% - Énfasis2 9 2 6" xfId="24330"/>
    <cellStyle name="40% - Énfasis2 9 2 6 2" xfId="24331"/>
    <cellStyle name="40% - Énfasis2 9 2 6 2 2" xfId="41278"/>
    <cellStyle name="40% - Énfasis2 9 2 6 3" xfId="41277"/>
    <cellStyle name="40% - Énfasis2 9 2 7" xfId="24332"/>
    <cellStyle name="40% - Énfasis2 9 2 7 2" xfId="41279"/>
    <cellStyle name="40% - Énfasis2 9 2 8" xfId="41236"/>
    <cellStyle name="40% - Énfasis2 9 2_IAS" xfId="24333"/>
    <cellStyle name="40% - Énfasis2 9 3" xfId="24334"/>
    <cellStyle name="40% - Énfasis2 9 3 2" xfId="24335"/>
    <cellStyle name="40% - Énfasis2 9 3 2 2" xfId="24336"/>
    <cellStyle name="40% - Énfasis2 9 3 2 2 2" xfId="24337"/>
    <cellStyle name="40% - Énfasis2 9 3 2 2 2 2" xfId="24338"/>
    <cellStyle name="40% - Énfasis2 9 3 2 2 2 2 2" xfId="24339"/>
    <cellStyle name="40% - Énfasis2 9 3 2 2 2 2 2 2" xfId="41285"/>
    <cellStyle name="40% - Énfasis2 9 3 2 2 2 2 3" xfId="41284"/>
    <cellStyle name="40% - Énfasis2 9 3 2 2 2 3" xfId="24340"/>
    <cellStyle name="40% - Énfasis2 9 3 2 2 2 3 2" xfId="24341"/>
    <cellStyle name="40% - Énfasis2 9 3 2 2 2 3 2 2" xfId="41287"/>
    <cellStyle name="40% - Énfasis2 9 3 2 2 2 3 3" xfId="41286"/>
    <cellStyle name="40% - Énfasis2 9 3 2 2 2 4" xfId="24342"/>
    <cellStyle name="40% - Énfasis2 9 3 2 2 2 4 2" xfId="41288"/>
    <cellStyle name="40% - Énfasis2 9 3 2 2 2 5" xfId="41283"/>
    <cellStyle name="40% - Énfasis2 9 3 2 2 3" xfId="24343"/>
    <cellStyle name="40% - Énfasis2 9 3 2 2 3 2" xfId="41289"/>
    <cellStyle name="40% - Énfasis2 9 3 2 2 4" xfId="24344"/>
    <cellStyle name="40% - Énfasis2 9 3 2 2 4 2" xfId="24345"/>
    <cellStyle name="40% - Énfasis2 9 3 2 2 4 2 2" xfId="41291"/>
    <cellStyle name="40% - Énfasis2 9 3 2 2 4 3" xfId="41290"/>
    <cellStyle name="40% - Énfasis2 9 3 2 2 5" xfId="24346"/>
    <cellStyle name="40% - Énfasis2 9 3 2 2 5 2" xfId="41292"/>
    <cellStyle name="40% - Énfasis2 9 3 2 2 6" xfId="41282"/>
    <cellStyle name="40% - Énfasis2 9 3 2 2_IAS" xfId="24347"/>
    <cellStyle name="40% - Énfasis2 9 3 2 3" xfId="24348"/>
    <cellStyle name="40% - Énfasis2 9 3 2 3 2" xfId="24349"/>
    <cellStyle name="40% - Énfasis2 9 3 2 3 2 2" xfId="24350"/>
    <cellStyle name="40% - Énfasis2 9 3 2 3 2 2 2" xfId="41295"/>
    <cellStyle name="40% - Énfasis2 9 3 2 3 2 3" xfId="41294"/>
    <cellStyle name="40% - Énfasis2 9 3 2 3 3" xfId="24351"/>
    <cellStyle name="40% - Énfasis2 9 3 2 3 3 2" xfId="24352"/>
    <cellStyle name="40% - Énfasis2 9 3 2 3 3 2 2" xfId="41297"/>
    <cellStyle name="40% - Énfasis2 9 3 2 3 3 3" xfId="41296"/>
    <cellStyle name="40% - Énfasis2 9 3 2 3 4" xfId="24353"/>
    <cellStyle name="40% - Énfasis2 9 3 2 3 4 2" xfId="41298"/>
    <cellStyle name="40% - Énfasis2 9 3 2 3 5" xfId="41293"/>
    <cellStyle name="40% - Énfasis2 9 3 2 4" xfId="24354"/>
    <cellStyle name="40% - Énfasis2 9 3 2 4 2" xfId="41299"/>
    <cellStyle name="40% - Énfasis2 9 3 2 5" xfId="24355"/>
    <cellStyle name="40% - Énfasis2 9 3 2 5 2" xfId="24356"/>
    <cellStyle name="40% - Énfasis2 9 3 2 5 2 2" xfId="41301"/>
    <cellStyle name="40% - Énfasis2 9 3 2 5 3" xfId="41300"/>
    <cellStyle name="40% - Énfasis2 9 3 2 6" xfId="24357"/>
    <cellStyle name="40% - Énfasis2 9 3 2 6 2" xfId="41302"/>
    <cellStyle name="40% - Énfasis2 9 3 2 7" xfId="41281"/>
    <cellStyle name="40% - Énfasis2 9 3 2_IAS" xfId="24358"/>
    <cellStyle name="40% - Énfasis2 9 3 3" xfId="24359"/>
    <cellStyle name="40% - Énfasis2 9 3 3 2" xfId="24360"/>
    <cellStyle name="40% - Énfasis2 9 3 3 2 2" xfId="24361"/>
    <cellStyle name="40% - Énfasis2 9 3 3 2 2 2" xfId="24362"/>
    <cellStyle name="40% - Énfasis2 9 3 3 2 2 2 2" xfId="41306"/>
    <cellStyle name="40% - Énfasis2 9 3 3 2 2 3" xfId="41305"/>
    <cellStyle name="40% - Énfasis2 9 3 3 2 3" xfId="24363"/>
    <cellStyle name="40% - Énfasis2 9 3 3 2 3 2" xfId="24364"/>
    <cellStyle name="40% - Énfasis2 9 3 3 2 3 2 2" xfId="41308"/>
    <cellStyle name="40% - Énfasis2 9 3 3 2 3 3" xfId="41307"/>
    <cellStyle name="40% - Énfasis2 9 3 3 2 4" xfId="24365"/>
    <cellStyle name="40% - Énfasis2 9 3 3 2 4 2" xfId="41309"/>
    <cellStyle name="40% - Énfasis2 9 3 3 2 5" xfId="41304"/>
    <cellStyle name="40% - Énfasis2 9 3 3 3" xfId="24366"/>
    <cellStyle name="40% - Énfasis2 9 3 3 3 2" xfId="41310"/>
    <cellStyle name="40% - Énfasis2 9 3 3 4" xfId="24367"/>
    <cellStyle name="40% - Énfasis2 9 3 3 4 2" xfId="24368"/>
    <cellStyle name="40% - Énfasis2 9 3 3 4 2 2" xfId="41312"/>
    <cellStyle name="40% - Énfasis2 9 3 3 4 3" xfId="41311"/>
    <cellStyle name="40% - Énfasis2 9 3 3 5" xfId="24369"/>
    <cellStyle name="40% - Énfasis2 9 3 3 5 2" xfId="41313"/>
    <cellStyle name="40% - Énfasis2 9 3 3 6" xfId="41303"/>
    <cellStyle name="40% - Énfasis2 9 3 3_IAS" xfId="24370"/>
    <cellStyle name="40% - Énfasis2 9 3 4" xfId="24371"/>
    <cellStyle name="40% - Énfasis2 9 3 4 2" xfId="24372"/>
    <cellStyle name="40% - Énfasis2 9 3 4 2 2" xfId="24373"/>
    <cellStyle name="40% - Énfasis2 9 3 4 2 2 2" xfId="41316"/>
    <cellStyle name="40% - Énfasis2 9 3 4 2 3" xfId="41315"/>
    <cellStyle name="40% - Énfasis2 9 3 4 3" xfId="24374"/>
    <cellStyle name="40% - Énfasis2 9 3 4 3 2" xfId="24375"/>
    <cellStyle name="40% - Énfasis2 9 3 4 3 2 2" xfId="41318"/>
    <cellStyle name="40% - Énfasis2 9 3 4 3 3" xfId="41317"/>
    <cellStyle name="40% - Énfasis2 9 3 4 4" xfId="24376"/>
    <cellStyle name="40% - Énfasis2 9 3 4 4 2" xfId="41319"/>
    <cellStyle name="40% - Énfasis2 9 3 4 5" xfId="41314"/>
    <cellStyle name="40% - Énfasis2 9 3 5" xfId="24377"/>
    <cellStyle name="40% - Énfasis2 9 3 5 2" xfId="41320"/>
    <cellStyle name="40% - Énfasis2 9 3 6" xfId="24378"/>
    <cellStyle name="40% - Énfasis2 9 3 6 2" xfId="24379"/>
    <cellStyle name="40% - Énfasis2 9 3 6 2 2" xfId="41322"/>
    <cellStyle name="40% - Énfasis2 9 3 6 3" xfId="41321"/>
    <cellStyle name="40% - Énfasis2 9 3 7" xfId="24380"/>
    <cellStyle name="40% - Énfasis2 9 3 7 2" xfId="41323"/>
    <cellStyle name="40% - Énfasis2 9 3 8" xfId="41280"/>
    <cellStyle name="40% - Énfasis2 9 3_IAS" xfId="24381"/>
    <cellStyle name="40% - Énfasis2 9 4" xfId="24382"/>
    <cellStyle name="40% - Énfasis2 9 4 2" xfId="41324"/>
    <cellStyle name="40% - Énfasis2 9 5" xfId="24383"/>
    <cellStyle name="40% - Énfasis2 9 5 2" xfId="24384"/>
    <cellStyle name="40% - Énfasis2 9 5 2 2" xfId="24385"/>
    <cellStyle name="40% - Énfasis2 9 5 2 2 2" xfId="24386"/>
    <cellStyle name="40% - Énfasis2 9 5 2 2 2 2" xfId="24387"/>
    <cellStyle name="40% - Énfasis2 9 5 2 2 2 2 2" xfId="41329"/>
    <cellStyle name="40% - Énfasis2 9 5 2 2 2 3" xfId="41328"/>
    <cellStyle name="40% - Énfasis2 9 5 2 2 3" xfId="24388"/>
    <cellStyle name="40% - Énfasis2 9 5 2 2 3 2" xfId="24389"/>
    <cellStyle name="40% - Énfasis2 9 5 2 2 3 2 2" xfId="41331"/>
    <cellStyle name="40% - Énfasis2 9 5 2 2 3 3" xfId="41330"/>
    <cellStyle name="40% - Énfasis2 9 5 2 2 4" xfId="24390"/>
    <cellStyle name="40% - Énfasis2 9 5 2 2 4 2" xfId="41332"/>
    <cellStyle name="40% - Énfasis2 9 5 2 2 5" xfId="41327"/>
    <cellStyle name="40% - Énfasis2 9 5 2 3" xfId="24391"/>
    <cellStyle name="40% - Énfasis2 9 5 2 3 2" xfId="41333"/>
    <cellStyle name="40% - Énfasis2 9 5 2 4" xfId="24392"/>
    <cellStyle name="40% - Énfasis2 9 5 2 4 2" xfId="24393"/>
    <cellStyle name="40% - Énfasis2 9 5 2 4 2 2" xfId="41335"/>
    <cellStyle name="40% - Énfasis2 9 5 2 4 3" xfId="41334"/>
    <cellStyle name="40% - Énfasis2 9 5 2 5" xfId="24394"/>
    <cellStyle name="40% - Énfasis2 9 5 2 5 2" xfId="41336"/>
    <cellStyle name="40% - Énfasis2 9 5 2 6" xfId="41326"/>
    <cellStyle name="40% - Énfasis2 9 5 2_IAS" xfId="24395"/>
    <cellStyle name="40% - Énfasis2 9 5 3" xfId="24396"/>
    <cellStyle name="40% - Énfasis2 9 5 3 2" xfId="24397"/>
    <cellStyle name="40% - Énfasis2 9 5 3 2 2" xfId="24398"/>
    <cellStyle name="40% - Énfasis2 9 5 3 2 2 2" xfId="41339"/>
    <cellStyle name="40% - Énfasis2 9 5 3 2 3" xfId="41338"/>
    <cellStyle name="40% - Énfasis2 9 5 3 3" xfId="24399"/>
    <cellStyle name="40% - Énfasis2 9 5 3 3 2" xfId="24400"/>
    <cellStyle name="40% - Énfasis2 9 5 3 3 2 2" xfId="41341"/>
    <cellStyle name="40% - Énfasis2 9 5 3 3 3" xfId="41340"/>
    <cellStyle name="40% - Énfasis2 9 5 3 4" xfId="24401"/>
    <cellStyle name="40% - Énfasis2 9 5 3 4 2" xfId="41342"/>
    <cellStyle name="40% - Énfasis2 9 5 3 5" xfId="41337"/>
    <cellStyle name="40% - Énfasis2 9 5 4" xfId="24402"/>
    <cellStyle name="40% - Énfasis2 9 5 4 2" xfId="41343"/>
    <cellStyle name="40% - Énfasis2 9 5 5" xfId="24403"/>
    <cellStyle name="40% - Énfasis2 9 5 5 2" xfId="24404"/>
    <cellStyle name="40% - Énfasis2 9 5 5 2 2" xfId="41345"/>
    <cellStyle name="40% - Énfasis2 9 5 5 3" xfId="41344"/>
    <cellStyle name="40% - Énfasis2 9 5 6" xfId="24405"/>
    <cellStyle name="40% - Énfasis2 9 5 6 2" xfId="41346"/>
    <cellStyle name="40% - Énfasis2 9 5 7" xfId="41325"/>
    <cellStyle name="40% - Énfasis2 9 5_IAS" xfId="24406"/>
    <cellStyle name="40% - Énfasis2 9 6" xfId="24407"/>
    <cellStyle name="40% - Énfasis2 9 6 2" xfId="24408"/>
    <cellStyle name="40% - Énfasis2 9 6 2 2" xfId="24409"/>
    <cellStyle name="40% - Énfasis2 9 6 2 2 2" xfId="24410"/>
    <cellStyle name="40% - Énfasis2 9 6 2 2 2 2" xfId="41350"/>
    <cellStyle name="40% - Énfasis2 9 6 2 2 3" xfId="41349"/>
    <cellStyle name="40% - Énfasis2 9 6 2 3" xfId="24411"/>
    <cellStyle name="40% - Énfasis2 9 6 2 3 2" xfId="24412"/>
    <cellStyle name="40% - Énfasis2 9 6 2 3 2 2" xfId="41352"/>
    <cellStyle name="40% - Énfasis2 9 6 2 3 3" xfId="41351"/>
    <cellStyle name="40% - Énfasis2 9 6 2 4" xfId="24413"/>
    <cellStyle name="40% - Énfasis2 9 6 2 4 2" xfId="41353"/>
    <cellStyle name="40% - Énfasis2 9 6 2 5" xfId="41348"/>
    <cellStyle name="40% - Énfasis2 9 6 3" xfId="24414"/>
    <cellStyle name="40% - Énfasis2 9 6 3 2" xfId="41354"/>
    <cellStyle name="40% - Énfasis2 9 6 4" xfId="24415"/>
    <cellStyle name="40% - Énfasis2 9 6 4 2" xfId="24416"/>
    <cellStyle name="40% - Énfasis2 9 6 4 2 2" xfId="41356"/>
    <cellStyle name="40% - Énfasis2 9 6 4 3" xfId="41355"/>
    <cellStyle name="40% - Énfasis2 9 6 5" xfId="24417"/>
    <cellStyle name="40% - Énfasis2 9 6 5 2" xfId="41357"/>
    <cellStyle name="40% - Énfasis2 9 6 6" xfId="41347"/>
    <cellStyle name="40% - Énfasis2 9 6_IAS" xfId="24418"/>
    <cellStyle name="40% - Énfasis2 9 7" xfId="24419"/>
    <cellStyle name="40% - Énfasis2 9 7 2" xfId="24420"/>
    <cellStyle name="40% - Énfasis2 9 7 2 2" xfId="24421"/>
    <cellStyle name="40% - Énfasis2 9 7 2 2 2" xfId="41360"/>
    <cellStyle name="40% - Énfasis2 9 7 2 3" xfId="41359"/>
    <cellStyle name="40% - Énfasis2 9 7 3" xfId="24422"/>
    <cellStyle name="40% - Énfasis2 9 7 3 2" xfId="24423"/>
    <cellStyle name="40% - Énfasis2 9 7 3 2 2" xfId="41362"/>
    <cellStyle name="40% - Énfasis2 9 7 3 3" xfId="41361"/>
    <cellStyle name="40% - Énfasis2 9 7 4" xfId="24424"/>
    <cellStyle name="40% - Énfasis2 9 7 4 2" xfId="41363"/>
    <cellStyle name="40% - Énfasis2 9 7 5" xfId="41358"/>
    <cellStyle name="40% - Énfasis2 9 8" xfId="24425"/>
    <cellStyle name="40% - Énfasis2 9 8 2" xfId="24426"/>
    <cellStyle name="40% - Énfasis2 9 8 2 2" xfId="24427"/>
    <cellStyle name="40% - Énfasis2 9 8 2 2 2" xfId="41366"/>
    <cellStyle name="40% - Énfasis2 9 8 2 3" xfId="41365"/>
    <cellStyle name="40% - Énfasis2 9 8 3" xfId="24428"/>
    <cellStyle name="40% - Énfasis2 9 8 3 2" xfId="41367"/>
    <cellStyle name="40% - Énfasis2 9 8 4" xfId="41364"/>
    <cellStyle name="40% - Énfasis2 9 9" xfId="24429"/>
    <cellStyle name="40% - Énfasis2 9 9 2" xfId="24430"/>
    <cellStyle name="40% - Énfasis2 9 9 2 2" xfId="24431"/>
    <cellStyle name="40% - Énfasis2 9 9 2 2 2" xfId="41370"/>
    <cellStyle name="40% - Énfasis2 9 9 2 3" xfId="41369"/>
    <cellStyle name="40% - Énfasis2 9 9 3" xfId="24432"/>
    <cellStyle name="40% - Énfasis2 9 9 3 2" xfId="41371"/>
    <cellStyle name="40% - Énfasis2 9 9 4" xfId="41368"/>
    <cellStyle name="40% - Énfasis2 9_IAS" xfId="24433"/>
    <cellStyle name="40% - Énfasis3 10" xfId="24435"/>
    <cellStyle name="40% - Énfasis3 10 2" xfId="24436"/>
    <cellStyle name="40% - Énfasis3 10 2 2" xfId="24437"/>
    <cellStyle name="40% - Énfasis3 10 2 2 2" xfId="24438"/>
    <cellStyle name="40% - Énfasis3 10 2 2 2 2" xfId="41375"/>
    <cellStyle name="40% - Énfasis3 10 2 2 3" xfId="41374"/>
    <cellStyle name="40% - Énfasis3 10 2 3" xfId="24439"/>
    <cellStyle name="40% - Énfasis3 10 2 3 2" xfId="24440"/>
    <cellStyle name="40% - Énfasis3 10 2 3 2 2" xfId="41377"/>
    <cellStyle name="40% - Énfasis3 10 2 3 3" xfId="41376"/>
    <cellStyle name="40% - Énfasis3 10 2 4" xfId="24441"/>
    <cellStyle name="40% - Énfasis3 10 2 4 2" xfId="41378"/>
    <cellStyle name="40% - Énfasis3 10 2 5" xfId="41373"/>
    <cellStyle name="40% - Énfasis3 10 3" xfId="24442"/>
    <cellStyle name="40% - Énfasis3 10 3 2" xfId="41379"/>
    <cellStyle name="40% - Énfasis3 10 4" xfId="24443"/>
    <cellStyle name="40% - Énfasis3 10 4 2" xfId="24444"/>
    <cellStyle name="40% - Énfasis3 10 4 2 2" xfId="41381"/>
    <cellStyle name="40% - Énfasis3 10 4 3" xfId="41380"/>
    <cellStyle name="40% - Énfasis3 10 5" xfId="24445"/>
    <cellStyle name="40% - Énfasis3 10 5 2" xfId="41382"/>
    <cellStyle name="40% - Énfasis3 10 6" xfId="41372"/>
    <cellStyle name="40% - Énfasis3 10_IAS" xfId="24446"/>
    <cellStyle name="40% - Énfasis3 11" xfId="24447"/>
    <cellStyle name="40% - Énfasis3 11 2" xfId="24448"/>
    <cellStyle name="40% - Énfasis3 11 2 2" xfId="24449"/>
    <cellStyle name="40% - Énfasis3 11 2 2 2" xfId="41385"/>
    <cellStyle name="40% - Énfasis3 11 2 3" xfId="41384"/>
    <cellStyle name="40% - Énfasis3 11 3" xfId="24450"/>
    <cellStyle name="40% - Énfasis3 11 3 2" xfId="24451"/>
    <cellStyle name="40% - Énfasis3 11 3 2 2" xfId="41387"/>
    <cellStyle name="40% - Énfasis3 11 3 3" xfId="41386"/>
    <cellStyle name="40% - Énfasis3 11 4" xfId="24452"/>
    <cellStyle name="40% - Énfasis3 11 4 2" xfId="41388"/>
    <cellStyle name="40% - Énfasis3 11 5" xfId="41383"/>
    <cellStyle name="40% - Énfasis3 11_IAS" xfId="24453"/>
    <cellStyle name="40% - Énfasis3 12" xfId="24454"/>
    <cellStyle name="40% - Énfasis3 12 2" xfId="24455"/>
    <cellStyle name="40% - Énfasis3 12 2 2" xfId="41390"/>
    <cellStyle name="40% - Énfasis3 12 3" xfId="41389"/>
    <cellStyle name="40% - Énfasis3 13" xfId="24456"/>
    <cellStyle name="40% - Énfasis3 13 2" xfId="24457"/>
    <cellStyle name="40% - Énfasis3 13 2 2" xfId="41392"/>
    <cellStyle name="40% - Énfasis3 13 3" xfId="41391"/>
    <cellStyle name="40% - Énfasis3 14" xfId="24458"/>
    <cellStyle name="40% - Énfasis3 14 2" xfId="24459"/>
    <cellStyle name="40% - Énfasis3 14 2 2" xfId="41394"/>
    <cellStyle name="40% - Énfasis3 14 3" xfId="41393"/>
    <cellStyle name="40% - Énfasis3 15" xfId="24460"/>
    <cellStyle name="40% - Énfasis3 15 2" xfId="41395"/>
    <cellStyle name="40% - Énfasis3 16" xfId="24434"/>
    <cellStyle name="40% - Énfasis3 17" xfId="19908"/>
    <cellStyle name="40% - Énfasis3 2" xfId="282"/>
    <cellStyle name="40% - Énfasis3 2 10" xfId="12904"/>
    <cellStyle name="40% - Énfasis3 2 11" xfId="24461"/>
    <cellStyle name="40% - Énfasis3 2 2" xfId="283"/>
    <cellStyle name="40% - Énfasis3 2 2 10" xfId="24462"/>
    <cellStyle name="40% - Énfasis3 2 2 2" xfId="284"/>
    <cellStyle name="40% - Énfasis3 2 2 2 2" xfId="285"/>
    <cellStyle name="40% - Énfasis3 2 2 2 2 2" xfId="286"/>
    <cellStyle name="40% - Énfasis3 2 2 2 2 2 2" xfId="2268"/>
    <cellStyle name="40% - Énfasis3 2 2 2 2 2 2 2" xfId="5393"/>
    <cellStyle name="40% - Énfasis3 2 2 2 2 2 2 2 2" xfId="11596"/>
    <cellStyle name="40% - Énfasis3 2 2 2 2 2 2 2 3" xfId="17798"/>
    <cellStyle name="40% - Énfasis3 2 2 2 2 2 2 2 4" xfId="56629"/>
    <cellStyle name="40% - Énfasis3 2 2 2 2 2 2 3" xfId="8496"/>
    <cellStyle name="40% - Énfasis3 2 2 2 2 2 2 4" xfId="14698"/>
    <cellStyle name="40% - Énfasis3 2 2 2 2 2 2 5" xfId="53733"/>
    <cellStyle name="40% - Énfasis3 2 2 2 2 2 3" xfId="2551"/>
    <cellStyle name="40% - Énfasis3 2 2 2 2 2 3 2" xfId="5675"/>
    <cellStyle name="40% - Énfasis3 2 2 2 2 2 3 2 2" xfId="11878"/>
    <cellStyle name="40% - Énfasis3 2 2 2 2 2 3 2 3" xfId="18080"/>
    <cellStyle name="40% - Énfasis3 2 2 2 2 2 3 2 4" xfId="56908"/>
    <cellStyle name="40% - Énfasis3 2 2 2 2 2 3 3" xfId="8778"/>
    <cellStyle name="40% - Énfasis3 2 2 2 2 2 3 4" xfId="14980"/>
    <cellStyle name="40% - Énfasis3 2 2 2 2 2 3 5" xfId="54013"/>
    <cellStyle name="40% - Énfasis3 2 2 2 2 2 4" xfId="3603"/>
    <cellStyle name="40% - Énfasis3 2 2 2 2 2 4 2" xfId="9807"/>
    <cellStyle name="40% - Énfasis3 2 2 2 2 2 4 3" xfId="16009"/>
    <cellStyle name="40% - Énfasis3 2 2 2 2 2 4 4" xfId="54980"/>
    <cellStyle name="40% - Énfasis3 2 2 2 2 2 5" xfId="6706"/>
    <cellStyle name="40% - Énfasis3 2 2 2 2 2 5 2" xfId="19869"/>
    <cellStyle name="40% - Énfasis3 2 2 2 2 2 6" xfId="12908"/>
    <cellStyle name="40% - Énfasis3 2 2 2 2 2 7" xfId="52320"/>
    <cellStyle name="40% - Énfasis3 2 2 2 2 3" xfId="1744"/>
    <cellStyle name="40% - Énfasis3 2 2 2 2 3 2" xfId="4869"/>
    <cellStyle name="40% - Énfasis3 2 2 2 2 3 2 2" xfId="11072"/>
    <cellStyle name="40% - Énfasis3 2 2 2 2 3 2 3" xfId="17274"/>
    <cellStyle name="40% - Énfasis3 2 2 2 2 3 2 4" xfId="56140"/>
    <cellStyle name="40% - Énfasis3 2 2 2 2 3 3" xfId="7972"/>
    <cellStyle name="40% - Énfasis3 2 2 2 2 3 4" xfId="14174"/>
    <cellStyle name="40% - Énfasis3 2 2 2 2 3 5" xfId="53248"/>
    <cellStyle name="40% - Énfasis3 2 2 2 2 4" xfId="2550"/>
    <cellStyle name="40% - Énfasis3 2 2 2 2 4 2" xfId="5674"/>
    <cellStyle name="40% - Énfasis3 2 2 2 2 4 2 2" xfId="11877"/>
    <cellStyle name="40% - Énfasis3 2 2 2 2 4 2 3" xfId="18079"/>
    <cellStyle name="40% - Énfasis3 2 2 2 2 4 2 4" xfId="56907"/>
    <cellStyle name="40% - Énfasis3 2 2 2 2 4 3" xfId="8777"/>
    <cellStyle name="40% - Énfasis3 2 2 2 2 4 4" xfId="14979"/>
    <cellStyle name="40% - Énfasis3 2 2 2 2 4 5" xfId="54012"/>
    <cellStyle name="40% - Énfasis3 2 2 2 2 5" xfId="3602"/>
    <cellStyle name="40% - Énfasis3 2 2 2 2 5 2" xfId="9806"/>
    <cellStyle name="40% - Énfasis3 2 2 2 2 5 3" xfId="16008"/>
    <cellStyle name="40% - Énfasis3 2 2 2 2 5 4" xfId="54979"/>
    <cellStyle name="40% - Énfasis3 2 2 2 2 6" xfId="6705"/>
    <cellStyle name="40% - Énfasis3 2 2 2 2 6 2" xfId="19345"/>
    <cellStyle name="40% - Énfasis3 2 2 2 2 7" xfId="12907"/>
    <cellStyle name="40% - Énfasis3 2 2 2 2 8" xfId="52141"/>
    <cellStyle name="40% - Énfasis3 2 2 2 3" xfId="287"/>
    <cellStyle name="40% - Énfasis3 2 2 2 3 2" xfId="2023"/>
    <cellStyle name="40% - Énfasis3 2 2 2 3 2 2" xfId="5148"/>
    <cellStyle name="40% - Énfasis3 2 2 2 3 2 2 2" xfId="11351"/>
    <cellStyle name="40% - Énfasis3 2 2 2 3 2 2 3" xfId="17553"/>
    <cellStyle name="40% - Énfasis3 2 2 2 3 2 2 4" xfId="56402"/>
    <cellStyle name="40% - Énfasis3 2 2 2 3 2 3" xfId="8251"/>
    <cellStyle name="40% - Énfasis3 2 2 2 3 2 4" xfId="14453"/>
    <cellStyle name="40% - Énfasis3 2 2 2 3 2 5" xfId="53507"/>
    <cellStyle name="40% - Énfasis3 2 2 2 3 3" xfId="2552"/>
    <cellStyle name="40% - Énfasis3 2 2 2 3 3 2" xfId="5676"/>
    <cellStyle name="40% - Énfasis3 2 2 2 3 3 2 2" xfId="11879"/>
    <cellStyle name="40% - Énfasis3 2 2 2 3 3 2 3" xfId="18081"/>
    <cellStyle name="40% - Énfasis3 2 2 2 3 3 2 4" xfId="56909"/>
    <cellStyle name="40% - Énfasis3 2 2 2 3 3 3" xfId="8779"/>
    <cellStyle name="40% - Énfasis3 2 2 2 3 3 4" xfId="14981"/>
    <cellStyle name="40% - Énfasis3 2 2 2 3 3 5" xfId="54014"/>
    <cellStyle name="40% - Énfasis3 2 2 2 3 4" xfId="3604"/>
    <cellStyle name="40% - Énfasis3 2 2 2 3 4 2" xfId="9808"/>
    <cellStyle name="40% - Énfasis3 2 2 2 3 4 3" xfId="16010"/>
    <cellStyle name="40% - Énfasis3 2 2 2 3 4 4" xfId="54981"/>
    <cellStyle name="40% - Énfasis3 2 2 2 3 5" xfId="6707"/>
    <cellStyle name="40% - Énfasis3 2 2 2 3 5 2" xfId="19624"/>
    <cellStyle name="40% - Énfasis3 2 2 2 3 6" xfId="12909"/>
    <cellStyle name="40% - Énfasis3 2 2 2 3 7" xfId="52321"/>
    <cellStyle name="40% - Énfasis3 2 2 2 4" xfId="1499"/>
    <cellStyle name="40% - Énfasis3 2 2 2 4 2" xfId="4624"/>
    <cellStyle name="40% - Énfasis3 2 2 2 4 2 2" xfId="10827"/>
    <cellStyle name="40% - Énfasis3 2 2 2 4 2 3" xfId="17029"/>
    <cellStyle name="40% - Énfasis3 2 2 2 4 2 4" xfId="55907"/>
    <cellStyle name="40% - Énfasis3 2 2 2 4 3" xfId="7727"/>
    <cellStyle name="40% - Énfasis3 2 2 2 4 4" xfId="13929"/>
    <cellStyle name="40% - Énfasis3 2 2 2 4 5" xfId="53023"/>
    <cellStyle name="40% - Énfasis3 2 2 2 5" xfId="2549"/>
    <cellStyle name="40% - Énfasis3 2 2 2 5 2" xfId="5673"/>
    <cellStyle name="40% - Énfasis3 2 2 2 5 2 2" xfId="11876"/>
    <cellStyle name="40% - Énfasis3 2 2 2 5 2 3" xfId="18078"/>
    <cellStyle name="40% - Énfasis3 2 2 2 5 2 4" xfId="56906"/>
    <cellStyle name="40% - Énfasis3 2 2 2 5 3" xfId="8776"/>
    <cellStyle name="40% - Énfasis3 2 2 2 5 4" xfId="14978"/>
    <cellStyle name="40% - Énfasis3 2 2 2 5 5" xfId="54011"/>
    <cellStyle name="40% - Énfasis3 2 2 2 6" xfId="3601"/>
    <cellStyle name="40% - Énfasis3 2 2 2 6 2" xfId="9805"/>
    <cellStyle name="40% - Énfasis3 2 2 2 6 3" xfId="16007"/>
    <cellStyle name="40% - Énfasis3 2 2 2 6 4" xfId="54978"/>
    <cellStyle name="40% - Énfasis3 2 2 2 7" xfId="6704"/>
    <cellStyle name="40% - Énfasis3 2 2 2 7 2" xfId="19100"/>
    <cellStyle name="40% - Énfasis3 2 2 2 8" xfId="12906"/>
    <cellStyle name="40% - Énfasis3 2 2 2 9" xfId="41397"/>
    <cellStyle name="40% - Énfasis3 2 2 3" xfId="288"/>
    <cellStyle name="40% - Énfasis3 2 2 3 2" xfId="289"/>
    <cellStyle name="40% - Énfasis3 2 2 3 2 2" xfId="2140"/>
    <cellStyle name="40% - Énfasis3 2 2 3 2 2 2" xfId="5265"/>
    <cellStyle name="40% - Énfasis3 2 2 3 2 2 2 2" xfId="11468"/>
    <cellStyle name="40% - Énfasis3 2 2 3 2 2 2 3" xfId="17670"/>
    <cellStyle name="40% - Énfasis3 2 2 3 2 2 2 4" xfId="56510"/>
    <cellStyle name="40% - Énfasis3 2 2 3 2 2 3" xfId="8368"/>
    <cellStyle name="40% - Énfasis3 2 2 3 2 2 4" xfId="14570"/>
    <cellStyle name="40% - Énfasis3 2 2 3 2 2 5" xfId="53614"/>
    <cellStyle name="40% - Énfasis3 2 2 3 2 3" xfId="2554"/>
    <cellStyle name="40% - Énfasis3 2 2 3 2 3 2" xfId="5678"/>
    <cellStyle name="40% - Énfasis3 2 2 3 2 3 2 2" xfId="11881"/>
    <cellStyle name="40% - Énfasis3 2 2 3 2 3 2 3" xfId="18083"/>
    <cellStyle name="40% - Énfasis3 2 2 3 2 3 2 4" xfId="56911"/>
    <cellStyle name="40% - Énfasis3 2 2 3 2 3 3" xfId="8781"/>
    <cellStyle name="40% - Énfasis3 2 2 3 2 3 4" xfId="14983"/>
    <cellStyle name="40% - Énfasis3 2 2 3 2 3 5" xfId="54016"/>
    <cellStyle name="40% - Énfasis3 2 2 3 2 4" xfId="3606"/>
    <cellStyle name="40% - Énfasis3 2 2 3 2 4 2" xfId="9810"/>
    <cellStyle name="40% - Énfasis3 2 2 3 2 4 3" xfId="16012"/>
    <cellStyle name="40% - Énfasis3 2 2 3 2 4 4" xfId="54983"/>
    <cellStyle name="40% - Énfasis3 2 2 3 2 5" xfId="6709"/>
    <cellStyle name="40% - Énfasis3 2 2 3 2 5 2" xfId="19741"/>
    <cellStyle name="40% - Énfasis3 2 2 3 2 6" xfId="12911"/>
    <cellStyle name="40% - Énfasis3 2 2 3 2 7" xfId="52322"/>
    <cellStyle name="40% - Énfasis3 2 2 3 3" xfId="1616"/>
    <cellStyle name="40% - Énfasis3 2 2 3 3 2" xfId="4741"/>
    <cellStyle name="40% - Énfasis3 2 2 3 3 2 2" xfId="10944"/>
    <cellStyle name="40% - Énfasis3 2 2 3 3 2 3" xfId="17146"/>
    <cellStyle name="40% - Énfasis3 2 2 3 3 2 4" xfId="56018"/>
    <cellStyle name="40% - Énfasis3 2 2 3 3 3" xfId="7844"/>
    <cellStyle name="40% - Énfasis3 2 2 3 3 4" xfId="14046"/>
    <cellStyle name="40% - Énfasis3 2 2 3 3 5" xfId="53129"/>
    <cellStyle name="40% - Énfasis3 2 2 3 4" xfId="2553"/>
    <cellStyle name="40% - Énfasis3 2 2 3 4 2" xfId="5677"/>
    <cellStyle name="40% - Énfasis3 2 2 3 4 2 2" xfId="11880"/>
    <cellStyle name="40% - Énfasis3 2 2 3 4 2 3" xfId="18082"/>
    <cellStyle name="40% - Énfasis3 2 2 3 4 2 4" xfId="56910"/>
    <cellStyle name="40% - Énfasis3 2 2 3 4 3" xfId="8780"/>
    <cellStyle name="40% - Énfasis3 2 2 3 4 4" xfId="14982"/>
    <cellStyle name="40% - Énfasis3 2 2 3 4 5" xfId="54015"/>
    <cellStyle name="40% - Énfasis3 2 2 3 5" xfId="3605"/>
    <cellStyle name="40% - Énfasis3 2 2 3 5 2" xfId="9809"/>
    <cellStyle name="40% - Énfasis3 2 2 3 5 3" xfId="16011"/>
    <cellStyle name="40% - Énfasis3 2 2 3 5 4" xfId="54982"/>
    <cellStyle name="40% - Énfasis3 2 2 3 6" xfId="6708"/>
    <cellStyle name="40% - Énfasis3 2 2 3 6 2" xfId="19217"/>
    <cellStyle name="40% - Énfasis3 2 2 3 7" xfId="12910"/>
    <cellStyle name="40% - Énfasis3 2 2 3 8" xfId="52009"/>
    <cellStyle name="40% - Énfasis3 2 2 4" xfId="290"/>
    <cellStyle name="40% - Énfasis3 2 2 4 2" xfId="1881"/>
    <cellStyle name="40% - Énfasis3 2 2 4 2 2" xfId="5006"/>
    <cellStyle name="40% - Énfasis3 2 2 4 2 2 2" xfId="11209"/>
    <cellStyle name="40% - Énfasis3 2 2 4 2 2 3" xfId="17411"/>
    <cellStyle name="40% - Énfasis3 2 2 4 2 2 4" xfId="56268"/>
    <cellStyle name="40% - Énfasis3 2 2 4 2 3" xfId="8109"/>
    <cellStyle name="40% - Énfasis3 2 2 4 2 4" xfId="14311"/>
    <cellStyle name="40% - Énfasis3 2 2 4 2 5" xfId="53374"/>
    <cellStyle name="40% - Énfasis3 2 2 4 3" xfId="2555"/>
    <cellStyle name="40% - Énfasis3 2 2 4 3 2" xfId="5679"/>
    <cellStyle name="40% - Énfasis3 2 2 4 3 2 2" xfId="11882"/>
    <cellStyle name="40% - Énfasis3 2 2 4 3 2 3" xfId="18084"/>
    <cellStyle name="40% - Énfasis3 2 2 4 3 2 4" xfId="56912"/>
    <cellStyle name="40% - Énfasis3 2 2 4 3 3" xfId="8782"/>
    <cellStyle name="40% - Énfasis3 2 2 4 3 4" xfId="14984"/>
    <cellStyle name="40% - Énfasis3 2 2 4 3 5" xfId="54017"/>
    <cellStyle name="40% - Énfasis3 2 2 4 4" xfId="3607"/>
    <cellStyle name="40% - Énfasis3 2 2 4 4 2" xfId="9811"/>
    <cellStyle name="40% - Énfasis3 2 2 4 4 3" xfId="16013"/>
    <cellStyle name="40% - Énfasis3 2 2 4 4 4" xfId="54984"/>
    <cellStyle name="40% - Énfasis3 2 2 4 5" xfId="6710"/>
    <cellStyle name="40% - Énfasis3 2 2 4 5 2" xfId="19482"/>
    <cellStyle name="40% - Énfasis3 2 2 4 6" xfId="12912"/>
    <cellStyle name="40% - Énfasis3 2 2 4 7" xfId="52323"/>
    <cellStyle name="40% - Énfasis3 2 2 5" xfId="1357"/>
    <cellStyle name="40% - Énfasis3 2 2 5 2" xfId="4482"/>
    <cellStyle name="40% - Énfasis3 2 2 5 2 2" xfId="10685"/>
    <cellStyle name="40% - Énfasis3 2 2 5 2 3" xfId="16887"/>
    <cellStyle name="40% - Énfasis3 2 2 5 2 4" xfId="55772"/>
    <cellStyle name="40% - Énfasis3 2 2 5 3" xfId="7585"/>
    <cellStyle name="40% - Énfasis3 2 2 5 4" xfId="13787"/>
    <cellStyle name="40% - Énfasis3 2 2 5 5" xfId="52897"/>
    <cellStyle name="40% - Énfasis3 2 2 6" xfId="2548"/>
    <cellStyle name="40% - Énfasis3 2 2 6 2" xfId="5672"/>
    <cellStyle name="40% - Énfasis3 2 2 6 2 2" xfId="11875"/>
    <cellStyle name="40% - Énfasis3 2 2 6 2 3" xfId="18077"/>
    <cellStyle name="40% - Énfasis3 2 2 6 2 4" xfId="56905"/>
    <cellStyle name="40% - Énfasis3 2 2 6 3" xfId="8775"/>
    <cellStyle name="40% - Énfasis3 2 2 6 4" xfId="14977"/>
    <cellStyle name="40% - Énfasis3 2 2 6 5" xfId="54010"/>
    <cellStyle name="40% - Énfasis3 2 2 7" xfId="3600"/>
    <cellStyle name="40% - Énfasis3 2 2 7 2" xfId="9804"/>
    <cellStyle name="40% - Énfasis3 2 2 7 3" xfId="16006"/>
    <cellStyle name="40% - Énfasis3 2 2 7 4" xfId="54977"/>
    <cellStyle name="40% - Énfasis3 2 2 8" xfId="6703"/>
    <cellStyle name="40% - Énfasis3 2 2 8 2" xfId="18958"/>
    <cellStyle name="40% - Énfasis3 2 2 9" xfId="12905"/>
    <cellStyle name="40% - Énfasis3 2 3" xfId="291"/>
    <cellStyle name="40% - Énfasis3 2 3 2" xfId="292"/>
    <cellStyle name="40% - Énfasis3 2 3 2 2" xfId="293"/>
    <cellStyle name="40% - Énfasis3 2 3 2 2 2" xfId="2200"/>
    <cellStyle name="40% - Énfasis3 2 3 2 2 2 2" xfId="5325"/>
    <cellStyle name="40% - Énfasis3 2 3 2 2 2 2 2" xfId="11528"/>
    <cellStyle name="40% - Énfasis3 2 3 2 2 2 2 3" xfId="17730"/>
    <cellStyle name="40% - Énfasis3 2 3 2 2 2 2 4" xfId="56566"/>
    <cellStyle name="40% - Énfasis3 2 3 2 2 2 3" xfId="8428"/>
    <cellStyle name="40% - Énfasis3 2 3 2 2 2 4" xfId="14630"/>
    <cellStyle name="40% - Énfasis3 2 3 2 2 2 5" xfId="53670"/>
    <cellStyle name="40% - Énfasis3 2 3 2 2 3" xfId="2558"/>
    <cellStyle name="40% - Énfasis3 2 3 2 2 3 2" xfId="5682"/>
    <cellStyle name="40% - Énfasis3 2 3 2 2 3 2 2" xfId="11885"/>
    <cellStyle name="40% - Énfasis3 2 3 2 2 3 2 3" xfId="18087"/>
    <cellStyle name="40% - Énfasis3 2 3 2 2 3 2 4" xfId="56915"/>
    <cellStyle name="40% - Énfasis3 2 3 2 2 3 3" xfId="8785"/>
    <cellStyle name="40% - Énfasis3 2 3 2 2 3 4" xfId="14987"/>
    <cellStyle name="40% - Énfasis3 2 3 2 2 3 5" xfId="54020"/>
    <cellStyle name="40% - Énfasis3 2 3 2 2 4" xfId="3610"/>
    <cellStyle name="40% - Énfasis3 2 3 2 2 4 2" xfId="9814"/>
    <cellStyle name="40% - Énfasis3 2 3 2 2 4 3" xfId="16016"/>
    <cellStyle name="40% - Énfasis3 2 3 2 2 4 4" xfId="54987"/>
    <cellStyle name="40% - Énfasis3 2 3 2 2 5" xfId="6713"/>
    <cellStyle name="40% - Énfasis3 2 3 2 2 5 2" xfId="19801"/>
    <cellStyle name="40% - Énfasis3 2 3 2 2 6" xfId="12915"/>
    <cellStyle name="40% - Énfasis3 2 3 2 2 7" xfId="52324"/>
    <cellStyle name="40% - Énfasis3 2 3 2 3" xfId="1676"/>
    <cellStyle name="40% - Énfasis3 2 3 2 3 2" xfId="4801"/>
    <cellStyle name="40% - Énfasis3 2 3 2 3 2 2" xfId="11004"/>
    <cellStyle name="40% - Énfasis3 2 3 2 3 2 3" xfId="17206"/>
    <cellStyle name="40% - Énfasis3 2 3 2 3 2 4" xfId="56075"/>
    <cellStyle name="40% - Énfasis3 2 3 2 3 3" xfId="7904"/>
    <cellStyle name="40% - Énfasis3 2 3 2 3 4" xfId="14106"/>
    <cellStyle name="40% - Énfasis3 2 3 2 3 5" xfId="53185"/>
    <cellStyle name="40% - Énfasis3 2 3 2 4" xfId="2557"/>
    <cellStyle name="40% - Énfasis3 2 3 2 4 2" xfId="5681"/>
    <cellStyle name="40% - Énfasis3 2 3 2 4 2 2" xfId="11884"/>
    <cellStyle name="40% - Énfasis3 2 3 2 4 2 3" xfId="18086"/>
    <cellStyle name="40% - Énfasis3 2 3 2 4 2 4" xfId="56914"/>
    <cellStyle name="40% - Énfasis3 2 3 2 4 3" xfId="8784"/>
    <cellStyle name="40% - Énfasis3 2 3 2 4 4" xfId="14986"/>
    <cellStyle name="40% - Énfasis3 2 3 2 4 5" xfId="54019"/>
    <cellStyle name="40% - Énfasis3 2 3 2 5" xfId="3609"/>
    <cellStyle name="40% - Énfasis3 2 3 2 5 2" xfId="9813"/>
    <cellStyle name="40% - Énfasis3 2 3 2 5 3" xfId="16015"/>
    <cellStyle name="40% - Énfasis3 2 3 2 5 4" xfId="54986"/>
    <cellStyle name="40% - Énfasis3 2 3 2 6" xfId="6712"/>
    <cellStyle name="40% - Énfasis3 2 3 2 6 2" xfId="19277"/>
    <cellStyle name="40% - Énfasis3 2 3 2 7" xfId="12914"/>
    <cellStyle name="40% - Énfasis3 2 3 2 8" xfId="52078"/>
    <cellStyle name="40% - Énfasis3 2 3 3" xfId="294"/>
    <cellStyle name="40% - Énfasis3 2 3 3 2" xfId="1955"/>
    <cellStyle name="40% - Énfasis3 2 3 3 2 2" xfId="5080"/>
    <cellStyle name="40% - Énfasis3 2 3 3 2 2 2" xfId="11283"/>
    <cellStyle name="40% - Énfasis3 2 3 3 2 2 3" xfId="17485"/>
    <cellStyle name="40% - Énfasis3 2 3 3 2 2 4" xfId="56339"/>
    <cellStyle name="40% - Énfasis3 2 3 3 2 3" xfId="8183"/>
    <cellStyle name="40% - Énfasis3 2 3 3 2 4" xfId="14385"/>
    <cellStyle name="40% - Énfasis3 2 3 3 2 5" xfId="53445"/>
    <cellStyle name="40% - Énfasis3 2 3 3 3" xfId="2559"/>
    <cellStyle name="40% - Énfasis3 2 3 3 3 2" xfId="5683"/>
    <cellStyle name="40% - Énfasis3 2 3 3 3 2 2" xfId="11886"/>
    <cellStyle name="40% - Énfasis3 2 3 3 3 2 3" xfId="18088"/>
    <cellStyle name="40% - Énfasis3 2 3 3 3 2 4" xfId="56916"/>
    <cellStyle name="40% - Énfasis3 2 3 3 3 3" xfId="8786"/>
    <cellStyle name="40% - Énfasis3 2 3 3 3 4" xfId="14988"/>
    <cellStyle name="40% - Énfasis3 2 3 3 3 5" xfId="54021"/>
    <cellStyle name="40% - Énfasis3 2 3 3 4" xfId="3611"/>
    <cellStyle name="40% - Énfasis3 2 3 3 4 2" xfId="9815"/>
    <cellStyle name="40% - Énfasis3 2 3 3 4 3" xfId="16017"/>
    <cellStyle name="40% - Énfasis3 2 3 3 4 4" xfId="54988"/>
    <cellStyle name="40% - Énfasis3 2 3 3 5" xfId="6714"/>
    <cellStyle name="40% - Énfasis3 2 3 3 5 2" xfId="19556"/>
    <cellStyle name="40% - Énfasis3 2 3 3 6" xfId="12916"/>
    <cellStyle name="40% - Énfasis3 2 3 3 7" xfId="52325"/>
    <cellStyle name="40% - Énfasis3 2 3 4" xfId="1431"/>
    <cellStyle name="40% - Énfasis3 2 3 4 2" xfId="4556"/>
    <cellStyle name="40% - Énfasis3 2 3 4 2 2" xfId="10759"/>
    <cellStyle name="40% - Énfasis3 2 3 4 2 3" xfId="16961"/>
    <cellStyle name="40% - Énfasis3 2 3 4 2 4" xfId="55843"/>
    <cellStyle name="40% - Énfasis3 2 3 4 3" xfId="7659"/>
    <cellStyle name="40% - Énfasis3 2 3 4 4" xfId="13861"/>
    <cellStyle name="40% - Énfasis3 2 3 4 5" xfId="52961"/>
    <cellStyle name="40% - Énfasis3 2 3 5" xfId="2556"/>
    <cellStyle name="40% - Énfasis3 2 3 5 2" xfId="5680"/>
    <cellStyle name="40% - Énfasis3 2 3 5 2 2" xfId="11883"/>
    <cellStyle name="40% - Énfasis3 2 3 5 2 3" xfId="18085"/>
    <cellStyle name="40% - Énfasis3 2 3 5 2 4" xfId="56913"/>
    <cellStyle name="40% - Énfasis3 2 3 5 3" xfId="8783"/>
    <cellStyle name="40% - Énfasis3 2 3 5 4" xfId="14985"/>
    <cellStyle name="40% - Énfasis3 2 3 5 5" xfId="54018"/>
    <cellStyle name="40% - Énfasis3 2 3 6" xfId="3608"/>
    <cellStyle name="40% - Énfasis3 2 3 6 2" xfId="9812"/>
    <cellStyle name="40% - Énfasis3 2 3 6 3" xfId="16014"/>
    <cellStyle name="40% - Énfasis3 2 3 6 4" xfId="54985"/>
    <cellStyle name="40% - Énfasis3 2 3 7" xfId="6711"/>
    <cellStyle name="40% - Énfasis3 2 3 7 2" xfId="19032"/>
    <cellStyle name="40% - Énfasis3 2 3 8" xfId="12913"/>
    <cellStyle name="40% - Énfasis3 2 3 9" xfId="41396"/>
    <cellStyle name="40% - Énfasis3 2 4" xfId="295"/>
    <cellStyle name="40% - Énfasis3 2 4 2" xfId="296"/>
    <cellStyle name="40% - Énfasis3 2 4 2 2" xfId="2061"/>
    <cellStyle name="40% - Énfasis3 2 4 2 2 2" xfId="5186"/>
    <cellStyle name="40% - Énfasis3 2 4 2 2 2 2" xfId="11389"/>
    <cellStyle name="40% - Énfasis3 2 4 2 2 2 3" xfId="17591"/>
    <cellStyle name="40% - Énfasis3 2 4 2 2 2 4" xfId="56438"/>
    <cellStyle name="40% - Énfasis3 2 4 2 2 3" xfId="8289"/>
    <cellStyle name="40% - Énfasis3 2 4 2 2 4" xfId="14491"/>
    <cellStyle name="40% - Énfasis3 2 4 2 2 5" xfId="53542"/>
    <cellStyle name="40% - Énfasis3 2 4 2 3" xfId="2561"/>
    <cellStyle name="40% - Énfasis3 2 4 2 3 2" xfId="5685"/>
    <cellStyle name="40% - Énfasis3 2 4 2 3 2 2" xfId="11888"/>
    <cellStyle name="40% - Énfasis3 2 4 2 3 2 3" xfId="18090"/>
    <cellStyle name="40% - Énfasis3 2 4 2 3 2 4" xfId="56918"/>
    <cellStyle name="40% - Énfasis3 2 4 2 3 3" xfId="8788"/>
    <cellStyle name="40% - Énfasis3 2 4 2 3 4" xfId="14990"/>
    <cellStyle name="40% - Énfasis3 2 4 2 3 5" xfId="54023"/>
    <cellStyle name="40% - Énfasis3 2 4 2 4" xfId="3613"/>
    <cellStyle name="40% - Énfasis3 2 4 2 4 2" xfId="9817"/>
    <cellStyle name="40% - Énfasis3 2 4 2 4 3" xfId="16019"/>
    <cellStyle name="40% - Énfasis3 2 4 2 4 4" xfId="54990"/>
    <cellStyle name="40% - Énfasis3 2 4 2 5" xfId="6716"/>
    <cellStyle name="40% - Énfasis3 2 4 2 5 2" xfId="19662"/>
    <cellStyle name="40% - Énfasis3 2 4 2 6" xfId="12918"/>
    <cellStyle name="40% - Énfasis3 2 4 2 7" xfId="52326"/>
    <cellStyle name="40% - Énfasis3 2 4 3" xfId="1537"/>
    <cellStyle name="40% - Énfasis3 2 4 3 2" xfId="4662"/>
    <cellStyle name="40% - Énfasis3 2 4 3 2 2" xfId="10865"/>
    <cellStyle name="40% - Énfasis3 2 4 3 2 3" xfId="17067"/>
    <cellStyle name="40% - Énfasis3 2 4 3 2 4" xfId="55943"/>
    <cellStyle name="40% - Énfasis3 2 4 3 3" xfId="7765"/>
    <cellStyle name="40% - Énfasis3 2 4 3 4" xfId="13967"/>
    <cellStyle name="40% - Énfasis3 2 4 3 5" xfId="53058"/>
    <cellStyle name="40% - Énfasis3 2 4 4" xfId="2560"/>
    <cellStyle name="40% - Énfasis3 2 4 4 2" xfId="5684"/>
    <cellStyle name="40% - Énfasis3 2 4 4 2 2" xfId="11887"/>
    <cellStyle name="40% - Énfasis3 2 4 4 2 3" xfId="18089"/>
    <cellStyle name="40% - Énfasis3 2 4 4 2 4" xfId="56917"/>
    <cellStyle name="40% - Énfasis3 2 4 4 3" xfId="8787"/>
    <cellStyle name="40% - Énfasis3 2 4 4 4" xfId="14989"/>
    <cellStyle name="40% - Énfasis3 2 4 4 5" xfId="54022"/>
    <cellStyle name="40% - Énfasis3 2 4 5" xfId="3612"/>
    <cellStyle name="40% - Énfasis3 2 4 5 2" xfId="9816"/>
    <cellStyle name="40% - Énfasis3 2 4 5 3" xfId="16018"/>
    <cellStyle name="40% - Énfasis3 2 4 5 4" xfId="54989"/>
    <cellStyle name="40% - Énfasis3 2 4 6" xfId="6715"/>
    <cellStyle name="40% - Énfasis3 2 4 6 2" xfId="19138"/>
    <cellStyle name="40% - Énfasis3 2 4 7" xfId="12917"/>
    <cellStyle name="40% - Énfasis3 2 4 8" xfId="51940"/>
    <cellStyle name="40% - Énfasis3 2 5" xfId="297"/>
    <cellStyle name="40% - Énfasis3 2 5 2" xfId="1790"/>
    <cellStyle name="40% - Énfasis3 2 5 2 2" xfId="4915"/>
    <cellStyle name="40% - Énfasis3 2 5 2 2 2" xfId="11118"/>
    <cellStyle name="40% - Énfasis3 2 5 2 2 3" xfId="17320"/>
    <cellStyle name="40% - Énfasis3 2 5 2 2 4" xfId="56184"/>
    <cellStyle name="40% - Énfasis3 2 5 2 3" xfId="8018"/>
    <cellStyle name="40% - Énfasis3 2 5 2 4" xfId="14220"/>
    <cellStyle name="40% - Énfasis3 2 5 2 5" xfId="53291"/>
    <cellStyle name="40% - Énfasis3 2 5 3" xfId="2562"/>
    <cellStyle name="40% - Énfasis3 2 5 3 2" xfId="5686"/>
    <cellStyle name="40% - Énfasis3 2 5 3 2 2" xfId="11889"/>
    <cellStyle name="40% - Énfasis3 2 5 3 2 3" xfId="18091"/>
    <cellStyle name="40% - Énfasis3 2 5 3 2 4" xfId="56919"/>
    <cellStyle name="40% - Énfasis3 2 5 3 3" xfId="8789"/>
    <cellStyle name="40% - Énfasis3 2 5 3 4" xfId="14991"/>
    <cellStyle name="40% - Énfasis3 2 5 3 5" xfId="54024"/>
    <cellStyle name="40% - Énfasis3 2 5 4" xfId="3614"/>
    <cellStyle name="40% - Énfasis3 2 5 4 2" xfId="9818"/>
    <cellStyle name="40% - Énfasis3 2 5 4 3" xfId="16020"/>
    <cellStyle name="40% - Énfasis3 2 5 4 4" xfId="54991"/>
    <cellStyle name="40% - Énfasis3 2 5 5" xfId="6717"/>
    <cellStyle name="40% - Énfasis3 2 5 5 2" xfId="19391"/>
    <cellStyle name="40% - Énfasis3 2 5 6" xfId="12919"/>
    <cellStyle name="40% - Énfasis3 2 5 7" xfId="52327"/>
    <cellStyle name="40% - Énfasis3 2 6" xfId="1289"/>
    <cellStyle name="40% - Énfasis3 2 6 2" xfId="4414"/>
    <cellStyle name="40% - Énfasis3 2 6 2 2" xfId="10617"/>
    <cellStyle name="40% - Énfasis3 2 6 2 3" xfId="16819"/>
    <cellStyle name="40% - Énfasis3 2 6 2 4" xfId="55707"/>
    <cellStyle name="40% - Énfasis3 2 6 3" xfId="7517"/>
    <cellStyle name="40% - Énfasis3 2 6 4" xfId="13719"/>
    <cellStyle name="40% - Énfasis3 2 6 5" xfId="52836"/>
    <cellStyle name="40% - Énfasis3 2 7" xfId="2547"/>
    <cellStyle name="40% - Énfasis3 2 7 2" xfId="5671"/>
    <cellStyle name="40% - Énfasis3 2 7 2 2" xfId="11874"/>
    <cellStyle name="40% - Énfasis3 2 7 2 3" xfId="18076"/>
    <cellStyle name="40% - Énfasis3 2 7 2 4" xfId="56904"/>
    <cellStyle name="40% - Énfasis3 2 7 3" xfId="8774"/>
    <cellStyle name="40% - Énfasis3 2 7 4" xfId="14976"/>
    <cellStyle name="40% - Énfasis3 2 7 5" xfId="54009"/>
    <cellStyle name="40% - Énfasis3 2 8" xfId="3599"/>
    <cellStyle name="40% - Énfasis3 2 8 2" xfId="9803"/>
    <cellStyle name="40% - Énfasis3 2 8 3" xfId="16005"/>
    <cellStyle name="40% - Énfasis3 2 8 4" xfId="54976"/>
    <cellStyle name="40% - Énfasis3 2 9" xfId="6702"/>
    <cellStyle name="40% - Énfasis3 2 9 2" xfId="18890"/>
    <cellStyle name="40% - Énfasis3 3" xfId="298"/>
    <cellStyle name="40% - Énfasis3 3 10" xfId="24463"/>
    <cellStyle name="40% - Énfasis3 3 2" xfId="299"/>
    <cellStyle name="40% - Énfasis3 3 2 2" xfId="300"/>
    <cellStyle name="40% - Énfasis3 3 2 2 2" xfId="301"/>
    <cellStyle name="40% - Énfasis3 3 2 2 2 2" xfId="2236"/>
    <cellStyle name="40% - Énfasis3 3 2 2 2 2 2" xfId="5361"/>
    <cellStyle name="40% - Énfasis3 3 2 2 2 2 2 2" xfId="11564"/>
    <cellStyle name="40% - Énfasis3 3 2 2 2 2 2 3" xfId="17766"/>
    <cellStyle name="40% - Énfasis3 3 2 2 2 2 2 4" xfId="56600"/>
    <cellStyle name="40% - Énfasis3 3 2 2 2 2 3" xfId="8464"/>
    <cellStyle name="40% - Énfasis3 3 2 2 2 2 4" xfId="14666"/>
    <cellStyle name="40% - Énfasis3 3 2 2 2 2 5" xfId="53704"/>
    <cellStyle name="40% - Énfasis3 3 2 2 2 3" xfId="2566"/>
    <cellStyle name="40% - Énfasis3 3 2 2 2 3 2" xfId="5690"/>
    <cellStyle name="40% - Énfasis3 3 2 2 2 3 2 2" xfId="11893"/>
    <cellStyle name="40% - Énfasis3 3 2 2 2 3 2 3" xfId="18095"/>
    <cellStyle name="40% - Énfasis3 3 2 2 2 3 2 4" xfId="56923"/>
    <cellStyle name="40% - Énfasis3 3 2 2 2 3 3" xfId="8793"/>
    <cellStyle name="40% - Énfasis3 3 2 2 2 3 4" xfId="14995"/>
    <cellStyle name="40% - Énfasis3 3 2 2 2 3 5" xfId="54028"/>
    <cellStyle name="40% - Énfasis3 3 2 2 2 4" xfId="3618"/>
    <cellStyle name="40% - Énfasis3 3 2 2 2 4 2" xfId="9822"/>
    <cellStyle name="40% - Énfasis3 3 2 2 2 4 3" xfId="16024"/>
    <cellStyle name="40% - Énfasis3 3 2 2 2 4 4" xfId="54995"/>
    <cellStyle name="40% - Énfasis3 3 2 2 2 5" xfId="6721"/>
    <cellStyle name="40% - Énfasis3 3 2 2 2 5 2" xfId="19837"/>
    <cellStyle name="40% - Énfasis3 3 2 2 2 6" xfId="12923"/>
    <cellStyle name="40% - Énfasis3 3 2 2 2 7" xfId="52329"/>
    <cellStyle name="40% - Énfasis3 3 2 2 3" xfId="1712"/>
    <cellStyle name="40% - Énfasis3 3 2 2 3 2" xfId="4837"/>
    <cellStyle name="40% - Énfasis3 3 2 2 3 2 2" xfId="11040"/>
    <cellStyle name="40% - Énfasis3 3 2 2 3 2 3" xfId="17242"/>
    <cellStyle name="40% - Énfasis3 3 2 2 3 2 4" xfId="56109"/>
    <cellStyle name="40% - Énfasis3 3 2 2 3 3" xfId="7940"/>
    <cellStyle name="40% - Énfasis3 3 2 2 3 4" xfId="14142"/>
    <cellStyle name="40% - Énfasis3 3 2 2 3 5" xfId="53219"/>
    <cellStyle name="40% - Énfasis3 3 2 2 4" xfId="2565"/>
    <cellStyle name="40% - Énfasis3 3 2 2 4 2" xfId="5689"/>
    <cellStyle name="40% - Énfasis3 3 2 2 4 2 2" xfId="11892"/>
    <cellStyle name="40% - Énfasis3 3 2 2 4 2 3" xfId="18094"/>
    <cellStyle name="40% - Énfasis3 3 2 2 4 2 4" xfId="56922"/>
    <cellStyle name="40% - Énfasis3 3 2 2 4 3" xfId="8792"/>
    <cellStyle name="40% - Énfasis3 3 2 2 4 4" xfId="14994"/>
    <cellStyle name="40% - Énfasis3 3 2 2 4 5" xfId="54027"/>
    <cellStyle name="40% - Énfasis3 3 2 2 5" xfId="3617"/>
    <cellStyle name="40% - Énfasis3 3 2 2 5 2" xfId="9821"/>
    <cellStyle name="40% - Énfasis3 3 2 2 5 3" xfId="16023"/>
    <cellStyle name="40% - Énfasis3 3 2 2 5 4" xfId="54994"/>
    <cellStyle name="40% - Énfasis3 3 2 2 6" xfId="6720"/>
    <cellStyle name="40% - Énfasis3 3 2 2 6 2" xfId="19313"/>
    <cellStyle name="40% - Énfasis3 3 2 2 6 3" xfId="52328"/>
    <cellStyle name="40% - Énfasis3 3 2 2 7" xfId="12922"/>
    <cellStyle name="40% - Énfasis3 3 2 2 8" xfId="41399"/>
    <cellStyle name="40% - Énfasis3 3 2 3" xfId="302"/>
    <cellStyle name="40% - Énfasis3 3 2 3 2" xfId="1991"/>
    <cellStyle name="40% - Énfasis3 3 2 3 2 2" xfId="5116"/>
    <cellStyle name="40% - Énfasis3 3 2 3 2 2 2" xfId="11319"/>
    <cellStyle name="40% - Énfasis3 3 2 3 2 2 3" xfId="17521"/>
    <cellStyle name="40% - Énfasis3 3 2 3 2 2 4" xfId="56373"/>
    <cellStyle name="40% - Énfasis3 3 2 3 2 3" xfId="8219"/>
    <cellStyle name="40% - Énfasis3 3 2 3 2 4" xfId="14421"/>
    <cellStyle name="40% - Énfasis3 3 2 3 2 5" xfId="53479"/>
    <cellStyle name="40% - Énfasis3 3 2 3 3" xfId="2567"/>
    <cellStyle name="40% - Énfasis3 3 2 3 3 2" xfId="5691"/>
    <cellStyle name="40% - Énfasis3 3 2 3 3 2 2" xfId="11894"/>
    <cellStyle name="40% - Énfasis3 3 2 3 3 2 3" xfId="18096"/>
    <cellStyle name="40% - Énfasis3 3 2 3 3 2 4" xfId="56924"/>
    <cellStyle name="40% - Énfasis3 3 2 3 3 3" xfId="8794"/>
    <cellStyle name="40% - Énfasis3 3 2 3 3 4" xfId="14996"/>
    <cellStyle name="40% - Énfasis3 3 2 3 3 5" xfId="54029"/>
    <cellStyle name="40% - Énfasis3 3 2 3 4" xfId="3619"/>
    <cellStyle name="40% - Énfasis3 3 2 3 4 2" xfId="9823"/>
    <cellStyle name="40% - Énfasis3 3 2 3 4 3" xfId="16025"/>
    <cellStyle name="40% - Énfasis3 3 2 3 4 4" xfId="54996"/>
    <cellStyle name="40% - Énfasis3 3 2 3 5" xfId="6722"/>
    <cellStyle name="40% - Énfasis3 3 2 3 5 2" xfId="19592"/>
    <cellStyle name="40% - Énfasis3 3 2 3 6" xfId="12924"/>
    <cellStyle name="40% - Énfasis3 3 2 3 7" xfId="52114"/>
    <cellStyle name="40% - Énfasis3 3 2 4" xfId="1467"/>
    <cellStyle name="40% - Énfasis3 3 2 4 2" xfId="4592"/>
    <cellStyle name="40% - Énfasis3 3 2 4 2 2" xfId="10795"/>
    <cellStyle name="40% - Énfasis3 3 2 4 2 3" xfId="16997"/>
    <cellStyle name="40% - Énfasis3 3 2 4 2 4" xfId="55877"/>
    <cellStyle name="40% - Énfasis3 3 2 4 3" xfId="7695"/>
    <cellStyle name="40% - Énfasis3 3 2 4 4" xfId="13897"/>
    <cellStyle name="40% - Énfasis3 3 2 4 5" xfId="52995"/>
    <cellStyle name="40% - Énfasis3 3 2 5" xfId="2564"/>
    <cellStyle name="40% - Énfasis3 3 2 5 2" xfId="5688"/>
    <cellStyle name="40% - Énfasis3 3 2 5 2 2" xfId="11891"/>
    <cellStyle name="40% - Énfasis3 3 2 5 2 3" xfId="18093"/>
    <cellStyle name="40% - Énfasis3 3 2 5 2 4" xfId="56921"/>
    <cellStyle name="40% - Énfasis3 3 2 5 3" xfId="8791"/>
    <cellStyle name="40% - Énfasis3 3 2 5 4" xfId="14993"/>
    <cellStyle name="40% - Énfasis3 3 2 5 5" xfId="54026"/>
    <cellStyle name="40% - Énfasis3 3 2 6" xfId="3616"/>
    <cellStyle name="40% - Énfasis3 3 2 6 2" xfId="9820"/>
    <cellStyle name="40% - Énfasis3 3 2 6 3" xfId="16022"/>
    <cellStyle name="40% - Énfasis3 3 2 6 4" xfId="54993"/>
    <cellStyle name="40% - Énfasis3 3 2 7" xfId="6719"/>
    <cellStyle name="40% - Énfasis3 3 2 7 2" xfId="19068"/>
    <cellStyle name="40% - Énfasis3 3 2 8" xfId="12921"/>
    <cellStyle name="40% - Énfasis3 3 2 9" xfId="24464"/>
    <cellStyle name="40% - Énfasis3 3 3" xfId="303"/>
    <cellStyle name="40% - Énfasis3 3 3 2" xfId="304"/>
    <cellStyle name="40% - Énfasis3 3 3 2 2" xfId="2108"/>
    <cellStyle name="40% - Énfasis3 3 3 2 2 2" xfId="5233"/>
    <cellStyle name="40% - Énfasis3 3 3 2 2 2 2" xfId="11436"/>
    <cellStyle name="40% - Énfasis3 3 3 2 2 2 3" xfId="17638"/>
    <cellStyle name="40% - Énfasis3 3 3 2 2 2 4" xfId="56481"/>
    <cellStyle name="40% - Énfasis3 3 3 2 2 3" xfId="8336"/>
    <cellStyle name="40% - Énfasis3 3 3 2 2 4" xfId="14538"/>
    <cellStyle name="40% - Énfasis3 3 3 2 2 5" xfId="53585"/>
    <cellStyle name="40% - Énfasis3 3 3 2 3" xfId="2569"/>
    <cellStyle name="40% - Énfasis3 3 3 2 3 2" xfId="5693"/>
    <cellStyle name="40% - Énfasis3 3 3 2 3 2 2" xfId="11896"/>
    <cellStyle name="40% - Énfasis3 3 3 2 3 2 3" xfId="18098"/>
    <cellStyle name="40% - Énfasis3 3 3 2 3 2 4" xfId="56926"/>
    <cellStyle name="40% - Énfasis3 3 3 2 3 3" xfId="8796"/>
    <cellStyle name="40% - Énfasis3 3 3 2 3 4" xfId="14998"/>
    <cellStyle name="40% - Énfasis3 3 3 2 3 5" xfId="54031"/>
    <cellStyle name="40% - Énfasis3 3 3 2 4" xfId="3621"/>
    <cellStyle name="40% - Énfasis3 3 3 2 4 2" xfId="9825"/>
    <cellStyle name="40% - Énfasis3 3 3 2 4 3" xfId="16027"/>
    <cellStyle name="40% - Énfasis3 3 3 2 4 4" xfId="54998"/>
    <cellStyle name="40% - Énfasis3 3 3 2 5" xfId="6724"/>
    <cellStyle name="40% - Énfasis3 3 3 2 5 2" xfId="19709"/>
    <cellStyle name="40% - Énfasis3 3 3 2 6" xfId="12926"/>
    <cellStyle name="40% - Énfasis3 3 3 2 7" xfId="52331"/>
    <cellStyle name="40% - Énfasis3 3 3 3" xfId="1584"/>
    <cellStyle name="40% - Énfasis3 3 3 3 2" xfId="4709"/>
    <cellStyle name="40% - Énfasis3 3 3 3 2 2" xfId="10912"/>
    <cellStyle name="40% - Énfasis3 3 3 3 2 3" xfId="17114"/>
    <cellStyle name="40% - Énfasis3 3 3 3 2 4" xfId="55987"/>
    <cellStyle name="40% - Énfasis3 3 3 3 3" xfId="7812"/>
    <cellStyle name="40% - Énfasis3 3 3 3 4" xfId="14014"/>
    <cellStyle name="40% - Énfasis3 3 3 3 5" xfId="53100"/>
    <cellStyle name="40% - Énfasis3 3 3 4" xfId="2568"/>
    <cellStyle name="40% - Énfasis3 3 3 4 2" xfId="5692"/>
    <cellStyle name="40% - Énfasis3 3 3 4 2 2" xfId="11895"/>
    <cellStyle name="40% - Énfasis3 3 3 4 2 3" xfId="18097"/>
    <cellStyle name="40% - Énfasis3 3 3 4 2 4" xfId="56925"/>
    <cellStyle name="40% - Énfasis3 3 3 4 3" xfId="8795"/>
    <cellStyle name="40% - Énfasis3 3 3 4 4" xfId="14997"/>
    <cellStyle name="40% - Énfasis3 3 3 4 5" xfId="54030"/>
    <cellStyle name="40% - Énfasis3 3 3 5" xfId="3620"/>
    <cellStyle name="40% - Énfasis3 3 3 5 2" xfId="9824"/>
    <cellStyle name="40% - Énfasis3 3 3 5 3" xfId="16026"/>
    <cellStyle name="40% - Énfasis3 3 3 5 4" xfId="54997"/>
    <cellStyle name="40% - Énfasis3 3 3 6" xfId="6723"/>
    <cellStyle name="40% - Énfasis3 3 3 6 2" xfId="19185"/>
    <cellStyle name="40% - Énfasis3 3 3 6 3" xfId="52330"/>
    <cellStyle name="40% - Énfasis3 3 3 7" xfId="12925"/>
    <cellStyle name="40% - Énfasis3 3 3 8" xfId="41398"/>
    <cellStyle name="40% - Énfasis3 3 4" xfId="305"/>
    <cellStyle name="40% - Énfasis3 3 4 2" xfId="1849"/>
    <cellStyle name="40% - Énfasis3 3 4 2 2" xfId="4974"/>
    <cellStyle name="40% - Énfasis3 3 4 2 2 2" xfId="11177"/>
    <cellStyle name="40% - Énfasis3 3 4 2 2 3" xfId="17379"/>
    <cellStyle name="40% - Énfasis3 3 4 2 2 4" xfId="56238"/>
    <cellStyle name="40% - Énfasis3 3 4 2 3" xfId="8077"/>
    <cellStyle name="40% - Énfasis3 3 4 2 4" xfId="14279"/>
    <cellStyle name="40% - Énfasis3 3 4 2 5" xfId="53344"/>
    <cellStyle name="40% - Énfasis3 3 4 3" xfId="2570"/>
    <cellStyle name="40% - Énfasis3 3 4 3 2" xfId="5694"/>
    <cellStyle name="40% - Énfasis3 3 4 3 2 2" xfId="11897"/>
    <cellStyle name="40% - Énfasis3 3 4 3 2 3" xfId="18099"/>
    <cellStyle name="40% - Énfasis3 3 4 3 2 4" xfId="56927"/>
    <cellStyle name="40% - Énfasis3 3 4 3 3" xfId="8797"/>
    <cellStyle name="40% - Énfasis3 3 4 3 4" xfId="14999"/>
    <cellStyle name="40% - Énfasis3 3 4 3 5" xfId="54032"/>
    <cellStyle name="40% - Énfasis3 3 4 4" xfId="3622"/>
    <cellStyle name="40% - Énfasis3 3 4 4 2" xfId="9826"/>
    <cellStyle name="40% - Énfasis3 3 4 4 3" xfId="16028"/>
    <cellStyle name="40% - Énfasis3 3 4 4 4" xfId="54999"/>
    <cellStyle name="40% - Énfasis3 3 4 5" xfId="6725"/>
    <cellStyle name="40% - Énfasis3 3 4 5 2" xfId="19450"/>
    <cellStyle name="40% - Énfasis3 3 4 6" xfId="12927"/>
    <cellStyle name="40% - Énfasis3 3 4 7" xfId="51983"/>
    <cellStyle name="40% - Énfasis3 3 5" xfId="1325"/>
    <cellStyle name="40% - Énfasis3 3 5 2" xfId="4450"/>
    <cellStyle name="40% - Énfasis3 3 5 2 2" xfId="10653"/>
    <cellStyle name="40% - Énfasis3 3 5 2 3" xfId="16855"/>
    <cellStyle name="40% - Énfasis3 3 5 2 4" xfId="55741"/>
    <cellStyle name="40% - Énfasis3 3 5 3" xfId="7553"/>
    <cellStyle name="40% - Énfasis3 3 5 4" xfId="13755"/>
    <cellStyle name="40% - Énfasis3 3 5 5" xfId="52869"/>
    <cellStyle name="40% - Énfasis3 3 6" xfId="2563"/>
    <cellStyle name="40% - Énfasis3 3 6 2" xfId="5687"/>
    <cellStyle name="40% - Énfasis3 3 6 2 2" xfId="11890"/>
    <cellStyle name="40% - Énfasis3 3 6 2 3" xfId="18092"/>
    <cellStyle name="40% - Énfasis3 3 6 2 4" xfId="56920"/>
    <cellStyle name="40% - Énfasis3 3 6 3" xfId="8790"/>
    <cellStyle name="40% - Énfasis3 3 6 4" xfId="14992"/>
    <cellStyle name="40% - Énfasis3 3 6 5" xfId="54025"/>
    <cellStyle name="40% - Énfasis3 3 7" xfId="3615"/>
    <cellStyle name="40% - Énfasis3 3 7 2" xfId="9819"/>
    <cellStyle name="40% - Énfasis3 3 7 3" xfId="16021"/>
    <cellStyle name="40% - Énfasis3 3 7 4" xfId="54992"/>
    <cellStyle name="40% - Énfasis3 3 8" xfId="6718"/>
    <cellStyle name="40% - Énfasis3 3 8 2" xfId="18926"/>
    <cellStyle name="40% - Énfasis3 3 9" xfId="12920"/>
    <cellStyle name="40% - Énfasis3 4" xfId="306"/>
    <cellStyle name="40% - Énfasis3 4 2" xfId="307"/>
    <cellStyle name="40% - Énfasis3 4 2 2" xfId="308"/>
    <cellStyle name="40% - Énfasis3 4 2 2 2" xfId="2168"/>
    <cellStyle name="40% - Énfasis3 4 2 2 2 2" xfId="5293"/>
    <cellStyle name="40% - Énfasis3 4 2 2 2 2 2" xfId="11496"/>
    <cellStyle name="40% - Énfasis3 4 2 2 2 2 3" xfId="17698"/>
    <cellStyle name="40% - Énfasis3 4 2 2 2 2 4" xfId="56536"/>
    <cellStyle name="40% - Énfasis3 4 2 2 2 3" xfId="8396"/>
    <cellStyle name="40% - Énfasis3 4 2 2 2 4" xfId="14598"/>
    <cellStyle name="40% - Énfasis3 4 2 2 2 5" xfId="53640"/>
    <cellStyle name="40% - Énfasis3 4 2 2 3" xfId="2573"/>
    <cellStyle name="40% - Énfasis3 4 2 2 3 2" xfId="5697"/>
    <cellStyle name="40% - Énfasis3 4 2 2 3 2 2" xfId="11900"/>
    <cellStyle name="40% - Énfasis3 4 2 2 3 2 3" xfId="18102"/>
    <cellStyle name="40% - Énfasis3 4 2 2 3 2 4" xfId="56930"/>
    <cellStyle name="40% - Énfasis3 4 2 2 3 3" xfId="8800"/>
    <cellStyle name="40% - Énfasis3 4 2 2 3 4" xfId="15002"/>
    <cellStyle name="40% - Énfasis3 4 2 2 3 5" xfId="54035"/>
    <cellStyle name="40% - Énfasis3 4 2 2 4" xfId="3625"/>
    <cellStyle name="40% - Énfasis3 4 2 2 4 2" xfId="9829"/>
    <cellStyle name="40% - Énfasis3 4 2 2 4 3" xfId="16031"/>
    <cellStyle name="40% - Énfasis3 4 2 2 4 4" xfId="55002"/>
    <cellStyle name="40% - Énfasis3 4 2 2 5" xfId="6728"/>
    <cellStyle name="40% - Énfasis3 4 2 2 5 2" xfId="19769"/>
    <cellStyle name="40% - Énfasis3 4 2 2 5 3" xfId="52333"/>
    <cellStyle name="40% - Énfasis3 4 2 2 6" xfId="12930"/>
    <cellStyle name="40% - Énfasis3 4 2 2 7" xfId="41401"/>
    <cellStyle name="40% - Énfasis3 4 2 3" xfId="1644"/>
    <cellStyle name="40% - Énfasis3 4 2 3 2" xfId="4769"/>
    <cellStyle name="40% - Énfasis3 4 2 3 2 2" xfId="10972"/>
    <cellStyle name="40% - Énfasis3 4 2 3 2 3" xfId="17174"/>
    <cellStyle name="40% - Énfasis3 4 2 3 2 4" xfId="56045"/>
    <cellStyle name="40% - Énfasis3 4 2 3 3" xfId="7872"/>
    <cellStyle name="40% - Énfasis3 4 2 3 4" xfId="14074"/>
    <cellStyle name="40% - Énfasis3 4 2 3 5" xfId="53155"/>
    <cellStyle name="40% - Énfasis3 4 2 4" xfId="2572"/>
    <cellStyle name="40% - Énfasis3 4 2 4 2" xfId="5696"/>
    <cellStyle name="40% - Énfasis3 4 2 4 2 2" xfId="11899"/>
    <cellStyle name="40% - Énfasis3 4 2 4 2 3" xfId="18101"/>
    <cellStyle name="40% - Énfasis3 4 2 4 2 4" xfId="56929"/>
    <cellStyle name="40% - Énfasis3 4 2 4 3" xfId="8799"/>
    <cellStyle name="40% - Énfasis3 4 2 4 4" xfId="15001"/>
    <cellStyle name="40% - Énfasis3 4 2 4 5" xfId="54034"/>
    <cellStyle name="40% - Énfasis3 4 2 5" xfId="3624"/>
    <cellStyle name="40% - Énfasis3 4 2 5 2" xfId="9828"/>
    <cellStyle name="40% - Énfasis3 4 2 5 3" xfId="16030"/>
    <cellStyle name="40% - Énfasis3 4 2 5 4" xfId="55001"/>
    <cellStyle name="40% - Énfasis3 4 2 6" xfId="6727"/>
    <cellStyle name="40% - Énfasis3 4 2 6 2" xfId="19245"/>
    <cellStyle name="40% - Énfasis3 4 2 6 3" xfId="52332"/>
    <cellStyle name="40% - Énfasis3 4 2 7" xfId="12929"/>
    <cellStyle name="40% - Énfasis3 4 2 8" xfId="24466"/>
    <cellStyle name="40% - Énfasis3 4 3" xfId="309"/>
    <cellStyle name="40% - Énfasis3 4 3 2" xfId="1922"/>
    <cellStyle name="40% - Énfasis3 4 3 2 2" xfId="5047"/>
    <cellStyle name="40% - Énfasis3 4 3 2 2 2" xfId="11250"/>
    <cellStyle name="40% - Énfasis3 4 3 2 2 3" xfId="17452"/>
    <cellStyle name="40% - Énfasis3 4 3 2 2 4" xfId="56308"/>
    <cellStyle name="40% - Énfasis3 4 3 2 3" xfId="8150"/>
    <cellStyle name="40% - Énfasis3 4 3 2 4" xfId="14352"/>
    <cellStyle name="40% - Énfasis3 4 3 2 5" xfId="53414"/>
    <cellStyle name="40% - Énfasis3 4 3 3" xfId="2574"/>
    <cellStyle name="40% - Énfasis3 4 3 3 2" xfId="5698"/>
    <cellStyle name="40% - Énfasis3 4 3 3 2 2" xfId="11901"/>
    <cellStyle name="40% - Énfasis3 4 3 3 2 3" xfId="18103"/>
    <cellStyle name="40% - Énfasis3 4 3 3 2 4" xfId="56931"/>
    <cellStyle name="40% - Énfasis3 4 3 3 3" xfId="8801"/>
    <cellStyle name="40% - Énfasis3 4 3 3 4" xfId="15003"/>
    <cellStyle name="40% - Énfasis3 4 3 3 5" xfId="54036"/>
    <cellStyle name="40% - Énfasis3 4 3 4" xfId="3626"/>
    <cellStyle name="40% - Énfasis3 4 3 4 2" xfId="9830"/>
    <cellStyle name="40% - Énfasis3 4 3 4 3" xfId="16032"/>
    <cellStyle name="40% - Énfasis3 4 3 4 4" xfId="55003"/>
    <cellStyle name="40% - Énfasis3 4 3 5" xfId="6729"/>
    <cellStyle name="40% - Énfasis3 4 3 5 2" xfId="19523"/>
    <cellStyle name="40% - Énfasis3 4 3 5 3" xfId="52334"/>
    <cellStyle name="40% - Énfasis3 4 3 6" xfId="12931"/>
    <cellStyle name="40% - Énfasis3 4 3 7" xfId="41400"/>
    <cellStyle name="40% - Énfasis3 4 4" xfId="1398"/>
    <cellStyle name="40% - Énfasis3 4 4 2" xfId="4523"/>
    <cellStyle name="40% - Énfasis3 4 4 2 2" xfId="10726"/>
    <cellStyle name="40% - Énfasis3 4 4 2 3" xfId="16928"/>
    <cellStyle name="40% - Énfasis3 4 4 2 4" xfId="55812"/>
    <cellStyle name="40% - Énfasis3 4 4 3" xfId="7626"/>
    <cellStyle name="40% - Énfasis3 4 4 4" xfId="13828"/>
    <cellStyle name="40% - Énfasis3 4 4 5" xfId="52051"/>
    <cellStyle name="40% - Énfasis3 4 5" xfId="2571"/>
    <cellStyle name="40% - Énfasis3 4 5 2" xfId="5695"/>
    <cellStyle name="40% - Énfasis3 4 5 2 2" xfId="11898"/>
    <cellStyle name="40% - Énfasis3 4 5 2 3" xfId="18100"/>
    <cellStyle name="40% - Énfasis3 4 5 2 4" xfId="56928"/>
    <cellStyle name="40% - Énfasis3 4 5 3" xfId="8798"/>
    <cellStyle name="40% - Énfasis3 4 5 4" xfId="15000"/>
    <cellStyle name="40% - Énfasis3 4 5 5" xfId="54033"/>
    <cellStyle name="40% - Énfasis3 4 6" xfId="3623"/>
    <cellStyle name="40% - Énfasis3 4 6 2" xfId="9827"/>
    <cellStyle name="40% - Énfasis3 4 6 3" xfId="16029"/>
    <cellStyle name="40% - Énfasis3 4 6 4" xfId="55000"/>
    <cellStyle name="40% - Énfasis3 4 7" xfId="6726"/>
    <cellStyle name="40% - Énfasis3 4 7 2" xfId="18999"/>
    <cellStyle name="40% - Énfasis3 4 8" xfId="12928"/>
    <cellStyle name="40% - Énfasis3 4 9" xfId="24465"/>
    <cellStyle name="40% - Énfasis3 5" xfId="310"/>
    <cellStyle name="40% - Énfasis3 5 2" xfId="311"/>
    <cellStyle name="40% - Énfasis3 5 2 2" xfId="2060"/>
    <cellStyle name="40% - Énfasis3 5 2 2 2" xfId="5185"/>
    <cellStyle name="40% - Énfasis3 5 2 2 2 2" xfId="11388"/>
    <cellStyle name="40% - Énfasis3 5 2 2 2 3" xfId="17590"/>
    <cellStyle name="40% - Énfasis3 5 2 2 2 4" xfId="56437"/>
    <cellStyle name="40% - Énfasis3 5 2 2 3" xfId="8288"/>
    <cellStyle name="40% - Énfasis3 5 2 2 3 2" xfId="53541"/>
    <cellStyle name="40% - Énfasis3 5 2 2 4" xfId="14490"/>
    <cellStyle name="40% - Énfasis3 5 2 2 5" xfId="41403"/>
    <cellStyle name="40% - Énfasis3 5 2 3" xfId="2576"/>
    <cellStyle name="40% - Énfasis3 5 2 3 2" xfId="5700"/>
    <cellStyle name="40% - Énfasis3 5 2 3 2 2" xfId="11903"/>
    <cellStyle name="40% - Énfasis3 5 2 3 2 3" xfId="18105"/>
    <cellStyle name="40% - Énfasis3 5 2 3 2 4" xfId="56933"/>
    <cellStyle name="40% - Énfasis3 5 2 3 3" xfId="8803"/>
    <cellStyle name="40% - Énfasis3 5 2 3 4" xfId="15005"/>
    <cellStyle name="40% - Énfasis3 5 2 3 5" xfId="54038"/>
    <cellStyle name="40% - Énfasis3 5 2 4" xfId="3628"/>
    <cellStyle name="40% - Énfasis3 5 2 4 2" xfId="9832"/>
    <cellStyle name="40% - Énfasis3 5 2 4 3" xfId="16034"/>
    <cellStyle name="40% - Énfasis3 5 2 4 4" xfId="55005"/>
    <cellStyle name="40% - Énfasis3 5 2 5" xfId="6731"/>
    <cellStyle name="40% - Énfasis3 5 2 5 2" xfId="19661"/>
    <cellStyle name="40% - Énfasis3 5 2 5 3" xfId="52336"/>
    <cellStyle name="40% - Énfasis3 5 2 6" xfId="12933"/>
    <cellStyle name="40% - Énfasis3 5 2 7" xfId="24468"/>
    <cellStyle name="40% - Énfasis3 5 3" xfId="1536"/>
    <cellStyle name="40% - Énfasis3 5 3 2" xfId="4661"/>
    <cellStyle name="40% - Énfasis3 5 3 2 2" xfId="10864"/>
    <cellStyle name="40% - Énfasis3 5 3 2 3" xfId="17066"/>
    <cellStyle name="40% - Énfasis3 5 3 2 4" xfId="55942"/>
    <cellStyle name="40% - Énfasis3 5 3 3" xfId="7764"/>
    <cellStyle name="40% - Énfasis3 5 3 3 2" xfId="53057"/>
    <cellStyle name="40% - Énfasis3 5 3 4" xfId="13966"/>
    <cellStyle name="40% - Énfasis3 5 3 5" xfId="41402"/>
    <cellStyle name="40% - Énfasis3 5 4" xfId="2575"/>
    <cellStyle name="40% - Énfasis3 5 4 2" xfId="5699"/>
    <cellStyle name="40% - Énfasis3 5 4 2 2" xfId="11902"/>
    <cellStyle name="40% - Énfasis3 5 4 2 3" xfId="18104"/>
    <cellStyle name="40% - Énfasis3 5 4 2 4" xfId="56932"/>
    <cellStyle name="40% - Énfasis3 5 4 3" xfId="8802"/>
    <cellStyle name="40% - Énfasis3 5 4 4" xfId="15004"/>
    <cellStyle name="40% - Énfasis3 5 4 5" xfId="54037"/>
    <cellStyle name="40% - Énfasis3 5 5" xfId="3627"/>
    <cellStyle name="40% - Énfasis3 5 5 2" xfId="9831"/>
    <cellStyle name="40% - Énfasis3 5 5 3" xfId="16033"/>
    <cellStyle name="40% - Énfasis3 5 5 4" xfId="55004"/>
    <cellStyle name="40% - Énfasis3 5 6" xfId="6730"/>
    <cellStyle name="40% - Énfasis3 5 6 2" xfId="19137"/>
    <cellStyle name="40% - Énfasis3 5 6 3" xfId="52335"/>
    <cellStyle name="40% - Énfasis3 5 7" xfId="12932"/>
    <cellStyle name="40% - Énfasis3 5 8" xfId="24467"/>
    <cellStyle name="40% - Énfasis3 6" xfId="312"/>
    <cellStyle name="40% - Énfasis3 6 2" xfId="1789"/>
    <cellStyle name="40% - Énfasis3 6 2 2" xfId="4914"/>
    <cellStyle name="40% - Énfasis3 6 2 2 2" xfId="11117"/>
    <cellStyle name="40% - Énfasis3 6 2 2 3" xfId="17319"/>
    <cellStyle name="40% - Énfasis3 6 2 2 4" xfId="56183"/>
    <cellStyle name="40% - Énfasis3 6 2 3" xfId="8017"/>
    <cellStyle name="40% - Énfasis3 6 2 3 2" xfId="53290"/>
    <cellStyle name="40% - Énfasis3 6 2 4" xfId="14219"/>
    <cellStyle name="40% - Énfasis3 6 2 5" xfId="41404"/>
    <cellStyle name="40% - Énfasis3 6 3" xfId="2577"/>
    <cellStyle name="40% - Énfasis3 6 3 2" xfId="5701"/>
    <cellStyle name="40% - Énfasis3 6 3 2 2" xfId="11904"/>
    <cellStyle name="40% - Énfasis3 6 3 2 3" xfId="18106"/>
    <cellStyle name="40% - Énfasis3 6 3 2 4" xfId="56934"/>
    <cellStyle name="40% - Énfasis3 6 3 3" xfId="8804"/>
    <cellStyle name="40% - Énfasis3 6 3 4" xfId="15006"/>
    <cellStyle name="40% - Énfasis3 6 3 5" xfId="54039"/>
    <cellStyle name="40% - Énfasis3 6 4" xfId="3629"/>
    <cellStyle name="40% - Énfasis3 6 4 2" xfId="9833"/>
    <cellStyle name="40% - Énfasis3 6 4 3" xfId="16035"/>
    <cellStyle name="40% - Énfasis3 6 4 4" xfId="55006"/>
    <cellStyle name="40% - Énfasis3 6 5" xfId="6732"/>
    <cellStyle name="40% - Énfasis3 6 5 2" xfId="19390"/>
    <cellStyle name="40% - Énfasis3 6 5 3" xfId="52337"/>
    <cellStyle name="40% - Énfasis3 6 6" xfId="12934"/>
    <cellStyle name="40% - Énfasis3 6 7" xfId="24469"/>
    <cellStyle name="40% - Énfasis3 7" xfId="1261"/>
    <cellStyle name="40% - Énfasis3 7 2" xfId="4386"/>
    <cellStyle name="40% - Énfasis3 7 2 2" xfId="10589"/>
    <cellStyle name="40% - Énfasis3 7 2 2 2" xfId="55682"/>
    <cellStyle name="40% - Énfasis3 7 2 3" xfId="16791"/>
    <cellStyle name="40% - Énfasis3 7 2 4" xfId="41405"/>
    <cellStyle name="40% - Énfasis3 7 3" xfId="7489"/>
    <cellStyle name="40% - Énfasis3 7 3 2" xfId="52813"/>
    <cellStyle name="40% - Énfasis3 7 4" xfId="13691"/>
    <cellStyle name="40% - Énfasis3 7 5" xfId="24470"/>
    <cellStyle name="40% - Énfasis3 8" xfId="18862"/>
    <cellStyle name="40% - Énfasis3 8 10" xfId="24472"/>
    <cellStyle name="40% - Énfasis3 8 10 2" xfId="24473"/>
    <cellStyle name="40% - Énfasis3 8 10 2 2" xfId="24474"/>
    <cellStyle name="40% - Énfasis3 8 10 2 2 2" xfId="41409"/>
    <cellStyle name="40% - Énfasis3 8 10 2 3" xfId="41408"/>
    <cellStyle name="40% - Énfasis3 8 10 3" xfId="24475"/>
    <cellStyle name="40% - Énfasis3 8 10 3 2" xfId="41410"/>
    <cellStyle name="40% - Énfasis3 8 10 4" xfId="41407"/>
    <cellStyle name="40% - Énfasis3 8 11" xfId="24476"/>
    <cellStyle name="40% - Énfasis3 8 11 2" xfId="24477"/>
    <cellStyle name="40% - Énfasis3 8 11 2 2" xfId="24478"/>
    <cellStyle name="40% - Énfasis3 8 11 2 2 2" xfId="41413"/>
    <cellStyle name="40% - Énfasis3 8 11 2 3" xfId="41412"/>
    <cellStyle name="40% - Énfasis3 8 11 3" xfId="24479"/>
    <cellStyle name="40% - Énfasis3 8 11 3 2" xfId="41414"/>
    <cellStyle name="40% - Énfasis3 8 11 4" xfId="41411"/>
    <cellStyle name="40% - Énfasis3 8 12" xfId="24480"/>
    <cellStyle name="40% - Énfasis3 8 12 2" xfId="24481"/>
    <cellStyle name="40% - Énfasis3 8 12 2 2" xfId="41416"/>
    <cellStyle name="40% - Énfasis3 8 12 3" xfId="41415"/>
    <cellStyle name="40% - Énfasis3 8 13" xfId="24482"/>
    <cellStyle name="40% - Énfasis3 8 13 2" xfId="24483"/>
    <cellStyle name="40% - Énfasis3 8 13 2 2" xfId="41418"/>
    <cellStyle name="40% - Énfasis3 8 13 3" xfId="41417"/>
    <cellStyle name="40% - Énfasis3 8 14" xfId="24484"/>
    <cellStyle name="40% - Énfasis3 8 14 2" xfId="41419"/>
    <cellStyle name="40% - Énfasis3 8 15" xfId="24485"/>
    <cellStyle name="40% - Énfasis3 8 15 2" xfId="41420"/>
    <cellStyle name="40% - Énfasis3 8 16" xfId="41406"/>
    <cellStyle name="40% - Énfasis3 8 17" xfId="24471"/>
    <cellStyle name="40% - Énfasis3 8 2" xfId="24486"/>
    <cellStyle name="40% - Énfasis3 8 2 10" xfId="24487"/>
    <cellStyle name="40% - Énfasis3 8 2 10 2" xfId="24488"/>
    <cellStyle name="40% - Énfasis3 8 2 10 2 2" xfId="24489"/>
    <cellStyle name="40% - Énfasis3 8 2 10 2 2 2" xfId="41424"/>
    <cellStyle name="40% - Énfasis3 8 2 10 2 3" xfId="41423"/>
    <cellStyle name="40% - Énfasis3 8 2 10 3" xfId="24490"/>
    <cellStyle name="40% - Énfasis3 8 2 10 3 2" xfId="41425"/>
    <cellStyle name="40% - Énfasis3 8 2 10 4" xfId="41422"/>
    <cellStyle name="40% - Énfasis3 8 2 11" xfId="24491"/>
    <cellStyle name="40% - Énfasis3 8 2 11 2" xfId="24492"/>
    <cellStyle name="40% - Énfasis3 8 2 11 2 2" xfId="41427"/>
    <cellStyle name="40% - Énfasis3 8 2 11 3" xfId="41426"/>
    <cellStyle name="40% - Énfasis3 8 2 12" xfId="24493"/>
    <cellStyle name="40% - Énfasis3 8 2 12 2" xfId="24494"/>
    <cellStyle name="40% - Énfasis3 8 2 12 2 2" xfId="41429"/>
    <cellStyle name="40% - Énfasis3 8 2 12 3" xfId="41428"/>
    <cellStyle name="40% - Énfasis3 8 2 13" xfId="24495"/>
    <cellStyle name="40% - Énfasis3 8 2 13 2" xfId="41430"/>
    <cellStyle name="40% - Énfasis3 8 2 14" xfId="24496"/>
    <cellStyle name="40% - Énfasis3 8 2 14 2" xfId="41431"/>
    <cellStyle name="40% - Énfasis3 8 2 15" xfId="41421"/>
    <cellStyle name="40% - Énfasis3 8 2 2" xfId="24497"/>
    <cellStyle name="40% - Énfasis3 8 2 2 2" xfId="24498"/>
    <cellStyle name="40% - Énfasis3 8 2 2 2 2" xfId="24499"/>
    <cellStyle name="40% - Énfasis3 8 2 2 2 2 2" xfId="24500"/>
    <cellStyle name="40% - Énfasis3 8 2 2 2 2 2 2" xfId="24501"/>
    <cellStyle name="40% - Énfasis3 8 2 2 2 2 2 2 2" xfId="24502"/>
    <cellStyle name="40% - Énfasis3 8 2 2 2 2 2 2 2 2" xfId="41437"/>
    <cellStyle name="40% - Énfasis3 8 2 2 2 2 2 2 3" xfId="41436"/>
    <cellStyle name="40% - Énfasis3 8 2 2 2 2 2 3" xfId="24503"/>
    <cellStyle name="40% - Énfasis3 8 2 2 2 2 2 3 2" xfId="24504"/>
    <cellStyle name="40% - Énfasis3 8 2 2 2 2 2 3 2 2" xfId="41439"/>
    <cellStyle name="40% - Énfasis3 8 2 2 2 2 2 3 3" xfId="41438"/>
    <cellStyle name="40% - Énfasis3 8 2 2 2 2 2 4" xfId="24505"/>
    <cellStyle name="40% - Énfasis3 8 2 2 2 2 2 4 2" xfId="41440"/>
    <cellStyle name="40% - Énfasis3 8 2 2 2 2 2 5" xfId="41435"/>
    <cellStyle name="40% - Énfasis3 8 2 2 2 2 3" xfId="24506"/>
    <cellStyle name="40% - Énfasis3 8 2 2 2 2 3 2" xfId="41441"/>
    <cellStyle name="40% - Énfasis3 8 2 2 2 2 4" xfId="24507"/>
    <cellStyle name="40% - Énfasis3 8 2 2 2 2 4 2" xfId="24508"/>
    <cellStyle name="40% - Énfasis3 8 2 2 2 2 4 2 2" xfId="41443"/>
    <cellStyle name="40% - Énfasis3 8 2 2 2 2 4 3" xfId="41442"/>
    <cellStyle name="40% - Énfasis3 8 2 2 2 2 5" xfId="24509"/>
    <cellStyle name="40% - Énfasis3 8 2 2 2 2 5 2" xfId="41444"/>
    <cellStyle name="40% - Énfasis3 8 2 2 2 2 6" xfId="41434"/>
    <cellStyle name="40% - Énfasis3 8 2 2 2 2_IAS" xfId="24510"/>
    <cellStyle name="40% - Énfasis3 8 2 2 2 3" xfId="24511"/>
    <cellStyle name="40% - Énfasis3 8 2 2 2 3 2" xfId="24512"/>
    <cellStyle name="40% - Énfasis3 8 2 2 2 3 2 2" xfId="24513"/>
    <cellStyle name="40% - Énfasis3 8 2 2 2 3 2 2 2" xfId="41447"/>
    <cellStyle name="40% - Énfasis3 8 2 2 2 3 2 3" xfId="41446"/>
    <cellStyle name="40% - Énfasis3 8 2 2 2 3 3" xfId="24514"/>
    <cellStyle name="40% - Énfasis3 8 2 2 2 3 3 2" xfId="24515"/>
    <cellStyle name="40% - Énfasis3 8 2 2 2 3 3 2 2" xfId="41449"/>
    <cellStyle name="40% - Énfasis3 8 2 2 2 3 3 3" xfId="41448"/>
    <cellStyle name="40% - Énfasis3 8 2 2 2 3 4" xfId="24516"/>
    <cellStyle name="40% - Énfasis3 8 2 2 2 3 4 2" xfId="41450"/>
    <cellStyle name="40% - Énfasis3 8 2 2 2 3 5" xfId="41445"/>
    <cellStyle name="40% - Énfasis3 8 2 2 2 4" xfId="24517"/>
    <cellStyle name="40% - Énfasis3 8 2 2 2 4 2" xfId="41451"/>
    <cellStyle name="40% - Énfasis3 8 2 2 2 5" xfId="24518"/>
    <cellStyle name="40% - Énfasis3 8 2 2 2 5 2" xfId="24519"/>
    <cellStyle name="40% - Énfasis3 8 2 2 2 5 2 2" xfId="41453"/>
    <cellStyle name="40% - Énfasis3 8 2 2 2 5 3" xfId="41452"/>
    <cellStyle name="40% - Énfasis3 8 2 2 2 6" xfId="24520"/>
    <cellStyle name="40% - Énfasis3 8 2 2 2 6 2" xfId="41454"/>
    <cellStyle name="40% - Énfasis3 8 2 2 2 7" xfId="41433"/>
    <cellStyle name="40% - Énfasis3 8 2 2 2_IAS" xfId="24521"/>
    <cellStyle name="40% - Énfasis3 8 2 2 3" xfId="24522"/>
    <cellStyle name="40% - Énfasis3 8 2 2 3 2" xfId="24523"/>
    <cellStyle name="40% - Énfasis3 8 2 2 3 2 2" xfId="24524"/>
    <cellStyle name="40% - Énfasis3 8 2 2 3 2 2 2" xfId="24525"/>
    <cellStyle name="40% - Énfasis3 8 2 2 3 2 2 2 2" xfId="41458"/>
    <cellStyle name="40% - Énfasis3 8 2 2 3 2 2 3" xfId="41457"/>
    <cellStyle name="40% - Énfasis3 8 2 2 3 2 3" xfId="24526"/>
    <cellStyle name="40% - Énfasis3 8 2 2 3 2 3 2" xfId="24527"/>
    <cellStyle name="40% - Énfasis3 8 2 2 3 2 3 2 2" xfId="41460"/>
    <cellStyle name="40% - Énfasis3 8 2 2 3 2 3 3" xfId="41459"/>
    <cellStyle name="40% - Énfasis3 8 2 2 3 2 4" xfId="24528"/>
    <cellStyle name="40% - Énfasis3 8 2 2 3 2 4 2" xfId="41461"/>
    <cellStyle name="40% - Énfasis3 8 2 2 3 2 5" xfId="41456"/>
    <cellStyle name="40% - Énfasis3 8 2 2 3 3" xfId="24529"/>
    <cellStyle name="40% - Énfasis3 8 2 2 3 3 2" xfId="41462"/>
    <cellStyle name="40% - Énfasis3 8 2 2 3 4" xfId="24530"/>
    <cellStyle name="40% - Énfasis3 8 2 2 3 4 2" xfId="24531"/>
    <cellStyle name="40% - Énfasis3 8 2 2 3 4 2 2" xfId="41464"/>
    <cellStyle name="40% - Énfasis3 8 2 2 3 4 3" xfId="41463"/>
    <cellStyle name="40% - Énfasis3 8 2 2 3 5" xfId="24532"/>
    <cellStyle name="40% - Énfasis3 8 2 2 3 5 2" xfId="41465"/>
    <cellStyle name="40% - Énfasis3 8 2 2 3 6" xfId="41455"/>
    <cellStyle name="40% - Énfasis3 8 2 2 3_IAS" xfId="24533"/>
    <cellStyle name="40% - Énfasis3 8 2 2 4" xfId="24534"/>
    <cellStyle name="40% - Énfasis3 8 2 2 4 2" xfId="24535"/>
    <cellStyle name="40% - Énfasis3 8 2 2 4 2 2" xfId="24536"/>
    <cellStyle name="40% - Énfasis3 8 2 2 4 2 2 2" xfId="41468"/>
    <cellStyle name="40% - Énfasis3 8 2 2 4 2 3" xfId="41467"/>
    <cellStyle name="40% - Énfasis3 8 2 2 4 3" xfId="24537"/>
    <cellStyle name="40% - Énfasis3 8 2 2 4 3 2" xfId="24538"/>
    <cellStyle name="40% - Énfasis3 8 2 2 4 3 2 2" xfId="41470"/>
    <cellStyle name="40% - Énfasis3 8 2 2 4 3 3" xfId="41469"/>
    <cellStyle name="40% - Énfasis3 8 2 2 4 4" xfId="24539"/>
    <cellStyle name="40% - Énfasis3 8 2 2 4 4 2" xfId="41471"/>
    <cellStyle name="40% - Énfasis3 8 2 2 4 5" xfId="41466"/>
    <cellStyle name="40% - Énfasis3 8 2 2 5" xfId="24540"/>
    <cellStyle name="40% - Énfasis3 8 2 2 5 2" xfId="41472"/>
    <cellStyle name="40% - Énfasis3 8 2 2 6" xfId="24541"/>
    <cellStyle name="40% - Énfasis3 8 2 2 6 2" xfId="24542"/>
    <cellStyle name="40% - Énfasis3 8 2 2 6 2 2" xfId="41474"/>
    <cellStyle name="40% - Énfasis3 8 2 2 6 3" xfId="41473"/>
    <cellStyle name="40% - Énfasis3 8 2 2 7" xfId="24543"/>
    <cellStyle name="40% - Énfasis3 8 2 2 7 2" xfId="41475"/>
    <cellStyle name="40% - Énfasis3 8 2 2 8" xfId="41432"/>
    <cellStyle name="40% - Énfasis3 8 2 2_IAS" xfId="24544"/>
    <cellStyle name="40% - Énfasis3 8 2 3" xfId="24545"/>
    <cellStyle name="40% - Énfasis3 8 2 3 2" xfId="24546"/>
    <cellStyle name="40% - Énfasis3 8 2 3 2 2" xfId="24547"/>
    <cellStyle name="40% - Énfasis3 8 2 3 2 2 2" xfId="24548"/>
    <cellStyle name="40% - Énfasis3 8 2 3 2 2 2 2" xfId="24549"/>
    <cellStyle name="40% - Énfasis3 8 2 3 2 2 2 2 2" xfId="24550"/>
    <cellStyle name="40% - Énfasis3 8 2 3 2 2 2 2 2 2" xfId="41481"/>
    <cellStyle name="40% - Énfasis3 8 2 3 2 2 2 2 3" xfId="41480"/>
    <cellStyle name="40% - Énfasis3 8 2 3 2 2 2 3" xfId="24551"/>
    <cellStyle name="40% - Énfasis3 8 2 3 2 2 2 3 2" xfId="24552"/>
    <cellStyle name="40% - Énfasis3 8 2 3 2 2 2 3 2 2" xfId="41483"/>
    <cellStyle name="40% - Énfasis3 8 2 3 2 2 2 3 3" xfId="41482"/>
    <cellStyle name="40% - Énfasis3 8 2 3 2 2 2 4" xfId="24553"/>
    <cellStyle name="40% - Énfasis3 8 2 3 2 2 2 4 2" xfId="41484"/>
    <cellStyle name="40% - Énfasis3 8 2 3 2 2 2 5" xfId="41479"/>
    <cellStyle name="40% - Énfasis3 8 2 3 2 2 3" xfId="24554"/>
    <cellStyle name="40% - Énfasis3 8 2 3 2 2 3 2" xfId="41485"/>
    <cellStyle name="40% - Énfasis3 8 2 3 2 2 4" xfId="24555"/>
    <cellStyle name="40% - Énfasis3 8 2 3 2 2 4 2" xfId="24556"/>
    <cellStyle name="40% - Énfasis3 8 2 3 2 2 4 2 2" xfId="41487"/>
    <cellStyle name="40% - Énfasis3 8 2 3 2 2 4 3" xfId="41486"/>
    <cellStyle name="40% - Énfasis3 8 2 3 2 2 5" xfId="24557"/>
    <cellStyle name="40% - Énfasis3 8 2 3 2 2 5 2" xfId="41488"/>
    <cellStyle name="40% - Énfasis3 8 2 3 2 2 6" xfId="41478"/>
    <cellStyle name="40% - Énfasis3 8 2 3 2 2_IAS" xfId="24558"/>
    <cellStyle name="40% - Énfasis3 8 2 3 2 3" xfId="24559"/>
    <cellStyle name="40% - Énfasis3 8 2 3 2 3 2" xfId="24560"/>
    <cellStyle name="40% - Énfasis3 8 2 3 2 3 2 2" xfId="24561"/>
    <cellStyle name="40% - Énfasis3 8 2 3 2 3 2 2 2" xfId="41491"/>
    <cellStyle name="40% - Énfasis3 8 2 3 2 3 2 3" xfId="41490"/>
    <cellStyle name="40% - Énfasis3 8 2 3 2 3 3" xfId="24562"/>
    <cellStyle name="40% - Énfasis3 8 2 3 2 3 3 2" xfId="24563"/>
    <cellStyle name="40% - Énfasis3 8 2 3 2 3 3 2 2" xfId="41493"/>
    <cellStyle name="40% - Énfasis3 8 2 3 2 3 3 3" xfId="41492"/>
    <cellStyle name="40% - Énfasis3 8 2 3 2 3 4" xfId="24564"/>
    <cellStyle name="40% - Énfasis3 8 2 3 2 3 4 2" xfId="41494"/>
    <cellStyle name="40% - Énfasis3 8 2 3 2 3 5" xfId="41489"/>
    <cellStyle name="40% - Énfasis3 8 2 3 2 4" xfId="24565"/>
    <cellStyle name="40% - Énfasis3 8 2 3 2 4 2" xfId="41495"/>
    <cellStyle name="40% - Énfasis3 8 2 3 2 5" xfId="24566"/>
    <cellStyle name="40% - Énfasis3 8 2 3 2 5 2" xfId="24567"/>
    <cellStyle name="40% - Énfasis3 8 2 3 2 5 2 2" xfId="41497"/>
    <cellStyle name="40% - Énfasis3 8 2 3 2 5 3" xfId="41496"/>
    <cellStyle name="40% - Énfasis3 8 2 3 2 6" xfId="24568"/>
    <cellStyle name="40% - Énfasis3 8 2 3 2 6 2" xfId="41498"/>
    <cellStyle name="40% - Énfasis3 8 2 3 2 7" xfId="41477"/>
    <cellStyle name="40% - Énfasis3 8 2 3 2_IAS" xfId="24569"/>
    <cellStyle name="40% - Énfasis3 8 2 3 3" xfId="24570"/>
    <cellStyle name="40% - Énfasis3 8 2 3 3 2" xfId="24571"/>
    <cellStyle name="40% - Énfasis3 8 2 3 3 2 2" xfId="24572"/>
    <cellStyle name="40% - Énfasis3 8 2 3 3 2 2 2" xfId="24573"/>
    <cellStyle name="40% - Énfasis3 8 2 3 3 2 2 2 2" xfId="41502"/>
    <cellStyle name="40% - Énfasis3 8 2 3 3 2 2 3" xfId="41501"/>
    <cellStyle name="40% - Énfasis3 8 2 3 3 2 3" xfId="24574"/>
    <cellStyle name="40% - Énfasis3 8 2 3 3 2 3 2" xfId="24575"/>
    <cellStyle name="40% - Énfasis3 8 2 3 3 2 3 2 2" xfId="41504"/>
    <cellStyle name="40% - Énfasis3 8 2 3 3 2 3 3" xfId="41503"/>
    <cellStyle name="40% - Énfasis3 8 2 3 3 2 4" xfId="24576"/>
    <cellStyle name="40% - Énfasis3 8 2 3 3 2 4 2" xfId="41505"/>
    <cellStyle name="40% - Énfasis3 8 2 3 3 2 5" xfId="41500"/>
    <cellStyle name="40% - Énfasis3 8 2 3 3 3" xfId="24577"/>
    <cellStyle name="40% - Énfasis3 8 2 3 3 3 2" xfId="41506"/>
    <cellStyle name="40% - Énfasis3 8 2 3 3 4" xfId="24578"/>
    <cellStyle name="40% - Énfasis3 8 2 3 3 4 2" xfId="24579"/>
    <cellStyle name="40% - Énfasis3 8 2 3 3 4 2 2" xfId="41508"/>
    <cellStyle name="40% - Énfasis3 8 2 3 3 4 3" xfId="41507"/>
    <cellStyle name="40% - Énfasis3 8 2 3 3 5" xfId="24580"/>
    <cellStyle name="40% - Énfasis3 8 2 3 3 5 2" xfId="41509"/>
    <cellStyle name="40% - Énfasis3 8 2 3 3 6" xfId="41499"/>
    <cellStyle name="40% - Énfasis3 8 2 3 3_IAS" xfId="24581"/>
    <cellStyle name="40% - Énfasis3 8 2 3 4" xfId="24582"/>
    <cellStyle name="40% - Énfasis3 8 2 3 4 2" xfId="24583"/>
    <cellStyle name="40% - Énfasis3 8 2 3 4 2 2" xfId="24584"/>
    <cellStyle name="40% - Énfasis3 8 2 3 4 2 2 2" xfId="41512"/>
    <cellStyle name="40% - Énfasis3 8 2 3 4 2 3" xfId="41511"/>
    <cellStyle name="40% - Énfasis3 8 2 3 4 3" xfId="24585"/>
    <cellStyle name="40% - Énfasis3 8 2 3 4 3 2" xfId="24586"/>
    <cellStyle name="40% - Énfasis3 8 2 3 4 3 2 2" xfId="41514"/>
    <cellStyle name="40% - Énfasis3 8 2 3 4 3 3" xfId="41513"/>
    <cellStyle name="40% - Énfasis3 8 2 3 4 4" xfId="24587"/>
    <cellStyle name="40% - Énfasis3 8 2 3 4 4 2" xfId="41515"/>
    <cellStyle name="40% - Énfasis3 8 2 3 4 5" xfId="41510"/>
    <cellStyle name="40% - Énfasis3 8 2 3 5" xfId="24588"/>
    <cellStyle name="40% - Énfasis3 8 2 3 5 2" xfId="41516"/>
    <cellStyle name="40% - Énfasis3 8 2 3 6" xfId="24589"/>
    <cellStyle name="40% - Énfasis3 8 2 3 6 2" xfId="24590"/>
    <cellStyle name="40% - Énfasis3 8 2 3 6 2 2" xfId="41518"/>
    <cellStyle name="40% - Énfasis3 8 2 3 6 3" xfId="41517"/>
    <cellStyle name="40% - Énfasis3 8 2 3 7" xfId="24591"/>
    <cellStyle name="40% - Énfasis3 8 2 3 7 2" xfId="41519"/>
    <cellStyle name="40% - Énfasis3 8 2 3 8" xfId="41476"/>
    <cellStyle name="40% - Énfasis3 8 2 3_IAS" xfId="24592"/>
    <cellStyle name="40% - Énfasis3 8 2 4" xfId="24593"/>
    <cellStyle name="40% - Énfasis3 8 2 4 2" xfId="41520"/>
    <cellStyle name="40% - Énfasis3 8 2 5" xfId="24594"/>
    <cellStyle name="40% - Énfasis3 8 2 5 2" xfId="24595"/>
    <cellStyle name="40% - Énfasis3 8 2 5 2 2" xfId="24596"/>
    <cellStyle name="40% - Énfasis3 8 2 5 2 2 2" xfId="24597"/>
    <cellStyle name="40% - Énfasis3 8 2 5 2 2 2 2" xfId="24598"/>
    <cellStyle name="40% - Énfasis3 8 2 5 2 2 2 2 2" xfId="41525"/>
    <cellStyle name="40% - Énfasis3 8 2 5 2 2 2 3" xfId="41524"/>
    <cellStyle name="40% - Énfasis3 8 2 5 2 2 3" xfId="24599"/>
    <cellStyle name="40% - Énfasis3 8 2 5 2 2 3 2" xfId="24600"/>
    <cellStyle name="40% - Énfasis3 8 2 5 2 2 3 2 2" xfId="41527"/>
    <cellStyle name="40% - Énfasis3 8 2 5 2 2 3 3" xfId="41526"/>
    <cellStyle name="40% - Énfasis3 8 2 5 2 2 4" xfId="24601"/>
    <cellStyle name="40% - Énfasis3 8 2 5 2 2 4 2" xfId="41528"/>
    <cellStyle name="40% - Énfasis3 8 2 5 2 2 5" xfId="41523"/>
    <cellStyle name="40% - Énfasis3 8 2 5 2 3" xfId="24602"/>
    <cellStyle name="40% - Énfasis3 8 2 5 2 3 2" xfId="41529"/>
    <cellStyle name="40% - Énfasis3 8 2 5 2 4" xfId="24603"/>
    <cellStyle name="40% - Énfasis3 8 2 5 2 4 2" xfId="24604"/>
    <cellStyle name="40% - Énfasis3 8 2 5 2 4 2 2" xfId="41531"/>
    <cellStyle name="40% - Énfasis3 8 2 5 2 4 3" xfId="41530"/>
    <cellStyle name="40% - Énfasis3 8 2 5 2 5" xfId="24605"/>
    <cellStyle name="40% - Énfasis3 8 2 5 2 5 2" xfId="41532"/>
    <cellStyle name="40% - Énfasis3 8 2 5 2 6" xfId="41522"/>
    <cellStyle name="40% - Énfasis3 8 2 5 2_IAS" xfId="24606"/>
    <cellStyle name="40% - Énfasis3 8 2 5 3" xfId="24607"/>
    <cellStyle name="40% - Énfasis3 8 2 5 3 2" xfId="24608"/>
    <cellStyle name="40% - Énfasis3 8 2 5 3 2 2" xfId="24609"/>
    <cellStyle name="40% - Énfasis3 8 2 5 3 2 2 2" xfId="41535"/>
    <cellStyle name="40% - Énfasis3 8 2 5 3 2 3" xfId="41534"/>
    <cellStyle name="40% - Énfasis3 8 2 5 3 3" xfId="24610"/>
    <cellStyle name="40% - Énfasis3 8 2 5 3 3 2" xfId="24611"/>
    <cellStyle name="40% - Énfasis3 8 2 5 3 3 2 2" xfId="41537"/>
    <cellStyle name="40% - Énfasis3 8 2 5 3 3 3" xfId="41536"/>
    <cellStyle name="40% - Énfasis3 8 2 5 3 4" xfId="24612"/>
    <cellStyle name="40% - Énfasis3 8 2 5 3 4 2" xfId="41538"/>
    <cellStyle name="40% - Énfasis3 8 2 5 3 5" xfId="41533"/>
    <cellStyle name="40% - Énfasis3 8 2 5 4" xfId="24613"/>
    <cellStyle name="40% - Énfasis3 8 2 5 4 2" xfId="41539"/>
    <cellStyle name="40% - Énfasis3 8 2 5 5" xfId="24614"/>
    <cellStyle name="40% - Énfasis3 8 2 5 5 2" xfId="24615"/>
    <cellStyle name="40% - Énfasis3 8 2 5 5 2 2" xfId="41541"/>
    <cellStyle name="40% - Énfasis3 8 2 5 5 3" xfId="41540"/>
    <cellStyle name="40% - Énfasis3 8 2 5 6" xfId="24616"/>
    <cellStyle name="40% - Énfasis3 8 2 5 6 2" xfId="41542"/>
    <cellStyle name="40% - Énfasis3 8 2 5 7" xfId="41521"/>
    <cellStyle name="40% - Énfasis3 8 2 5_IAS" xfId="24617"/>
    <cellStyle name="40% - Énfasis3 8 2 6" xfId="24618"/>
    <cellStyle name="40% - Énfasis3 8 2 6 2" xfId="24619"/>
    <cellStyle name="40% - Énfasis3 8 2 6 2 2" xfId="24620"/>
    <cellStyle name="40% - Énfasis3 8 2 6 2 2 2" xfId="24621"/>
    <cellStyle name="40% - Énfasis3 8 2 6 2 2 2 2" xfId="41546"/>
    <cellStyle name="40% - Énfasis3 8 2 6 2 2 3" xfId="41545"/>
    <cellStyle name="40% - Énfasis3 8 2 6 2 3" xfId="24622"/>
    <cellStyle name="40% - Énfasis3 8 2 6 2 3 2" xfId="24623"/>
    <cellStyle name="40% - Énfasis3 8 2 6 2 3 2 2" xfId="41548"/>
    <cellStyle name="40% - Énfasis3 8 2 6 2 3 3" xfId="41547"/>
    <cellStyle name="40% - Énfasis3 8 2 6 2 4" xfId="24624"/>
    <cellStyle name="40% - Énfasis3 8 2 6 2 4 2" xfId="41549"/>
    <cellStyle name="40% - Énfasis3 8 2 6 2 5" xfId="41544"/>
    <cellStyle name="40% - Énfasis3 8 2 6 3" xfId="24625"/>
    <cellStyle name="40% - Énfasis3 8 2 6 3 2" xfId="41550"/>
    <cellStyle name="40% - Énfasis3 8 2 6 4" xfId="24626"/>
    <cellStyle name="40% - Énfasis3 8 2 6 4 2" xfId="24627"/>
    <cellStyle name="40% - Énfasis3 8 2 6 4 2 2" xfId="41552"/>
    <cellStyle name="40% - Énfasis3 8 2 6 4 3" xfId="41551"/>
    <cellStyle name="40% - Énfasis3 8 2 6 5" xfId="24628"/>
    <cellStyle name="40% - Énfasis3 8 2 6 5 2" xfId="41553"/>
    <cellStyle name="40% - Énfasis3 8 2 6 6" xfId="41543"/>
    <cellStyle name="40% - Énfasis3 8 2 6_IAS" xfId="24629"/>
    <cellStyle name="40% - Énfasis3 8 2 7" xfId="24630"/>
    <cellStyle name="40% - Énfasis3 8 2 7 2" xfId="24631"/>
    <cellStyle name="40% - Énfasis3 8 2 7 2 2" xfId="24632"/>
    <cellStyle name="40% - Énfasis3 8 2 7 2 2 2" xfId="41556"/>
    <cellStyle name="40% - Énfasis3 8 2 7 2 3" xfId="41555"/>
    <cellStyle name="40% - Énfasis3 8 2 7 3" xfId="24633"/>
    <cellStyle name="40% - Énfasis3 8 2 7 3 2" xfId="24634"/>
    <cellStyle name="40% - Énfasis3 8 2 7 3 2 2" xfId="41558"/>
    <cellStyle name="40% - Énfasis3 8 2 7 3 3" xfId="41557"/>
    <cellStyle name="40% - Énfasis3 8 2 7 4" xfId="24635"/>
    <cellStyle name="40% - Énfasis3 8 2 7 4 2" xfId="41559"/>
    <cellStyle name="40% - Énfasis3 8 2 7 5" xfId="41554"/>
    <cellStyle name="40% - Énfasis3 8 2 8" xfId="24636"/>
    <cellStyle name="40% - Énfasis3 8 2 8 2" xfId="24637"/>
    <cellStyle name="40% - Énfasis3 8 2 8 2 2" xfId="24638"/>
    <cellStyle name="40% - Énfasis3 8 2 8 2 2 2" xfId="41562"/>
    <cellStyle name="40% - Énfasis3 8 2 8 2 3" xfId="41561"/>
    <cellStyle name="40% - Énfasis3 8 2 8 3" xfId="24639"/>
    <cellStyle name="40% - Énfasis3 8 2 8 3 2" xfId="41563"/>
    <cellStyle name="40% - Énfasis3 8 2 8 4" xfId="41560"/>
    <cellStyle name="40% - Énfasis3 8 2 9" xfId="24640"/>
    <cellStyle name="40% - Énfasis3 8 2 9 2" xfId="24641"/>
    <cellStyle name="40% - Énfasis3 8 2 9 2 2" xfId="24642"/>
    <cellStyle name="40% - Énfasis3 8 2 9 2 2 2" xfId="41566"/>
    <cellStyle name="40% - Énfasis3 8 2 9 2 3" xfId="41565"/>
    <cellStyle name="40% - Énfasis3 8 2 9 3" xfId="24643"/>
    <cellStyle name="40% - Énfasis3 8 2 9 3 2" xfId="41567"/>
    <cellStyle name="40% - Énfasis3 8 2 9 4" xfId="41564"/>
    <cellStyle name="40% - Énfasis3 8 2_IAS" xfId="24644"/>
    <cellStyle name="40% - Énfasis3 8 3" xfId="24645"/>
    <cellStyle name="40% - Énfasis3 8 3 2" xfId="24646"/>
    <cellStyle name="40% - Énfasis3 8 3 2 2" xfId="24647"/>
    <cellStyle name="40% - Énfasis3 8 3 2 2 2" xfId="24648"/>
    <cellStyle name="40% - Énfasis3 8 3 2 2 2 2" xfId="24649"/>
    <cellStyle name="40% - Énfasis3 8 3 2 2 2 2 2" xfId="24650"/>
    <cellStyle name="40% - Énfasis3 8 3 2 2 2 2 2 2" xfId="41573"/>
    <cellStyle name="40% - Énfasis3 8 3 2 2 2 2 3" xfId="41572"/>
    <cellStyle name="40% - Énfasis3 8 3 2 2 2 3" xfId="24651"/>
    <cellStyle name="40% - Énfasis3 8 3 2 2 2 3 2" xfId="24652"/>
    <cellStyle name="40% - Énfasis3 8 3 2 2 2 3 2 2" xfId="41575"/>
    <cellStyle name="40% - Énfasis3 8 3 2 2 2 3 3" xfId="41574"/>
    <cellStyle name="40% - Énfasis3 8 3 2 2 2 4" xfId="24653"/>
    <cellStyle name="40% - Énfasis3 8 3 2 2 2 4 2" xfId="41576"/>
    <cellStyle name="40% - Énfasis3 8 3 2 2 2 5" xfId="41571"/>
    <cellStyle name="40% - Énfasis3 8 3 2 2 3" xfId="24654"/>
    <cellStyle name="40% - Énfasis3 8 3 2 2 3 2" xfId="41577"/>
    <cellStyle name="40% - Énfasis3 8 3 2 2 4" xfId="24655"/>
    <cellStyle name="40% - Énfasis3 8 3 2 2 4 2" xfId="24656"/>
    <cellStyle name="40% - Énfasis3 8 3 2 2 4 2 2" xfId="41579"/>
    <cellStyle name="40% - Énfasis3 8 3 2 2 4 3" xfId="41578"/>
    <cellStyle name="40% - Énfasis3 8 3 2 2 5" xfId="24657"/>
    <cellStyle name="40% - Énfasis3 8 3 2 2 5 2" xfId="41580"/>
    <cellStyle name="40% - Énfasis3 8 3 2 2 6" xfId="41570"/>
    <cellStyle name="40% - Énfasis3 8 3 2 2_IAS" xfId="24658"/>
    <cellStyle name="40% - Énfasis3 8 3 2 3" xfId="24659"/>
    <cellStyle name="40% - Énfasis3 8 3 2 3 2" xfId="24660"/>
    <cellStyle name="40% - Énfasis3 8 3 2 3 2 2" xfId="24661"/>
    <cellStyle name="40% - Énfasis3 8 3 2 3 2 2 2" xfId="41583"/>
    <cellStyle name="40% - Énfasis3 8 3 2 3 2 3" xfId="41582"/>
    <cellStyle name="40% - Énfasis3 8 3 2 3 3" xfId="24662"/>
    <cellStyle name="40% - Énfasis3 8 3 2 3 3 2" xfId="24663"/>
    <cellStyle name="40% - Énfasis3 8 3 2 3 3 2 2" xfId="41585"/>
    <cellStyle name="40% - Énfasis3 8 3 2 3 3 3" xfId="41584"/>
    <cellStyle name="40% - Énfasis3 8 3 2 3 4" xfId="24664"/>
    <cellStyle name="40% - Énfasis3 8 3 2 3 4 2" xfId="41586"/>
    <cellStyle name="40% - Énfasis3 8 3 2 3 5" xfId="41581"/>
    <cellStyle name="40% - Énfasis3 8 3 2 4" xfId="24665"/>
    <cellStyle name="40% - Énfasis3 8 3 2 4 2" xfId="41587"/>
    <cellStyle name="40% - Énfasis3 8 3 2 5" xfId="24666"/>
    <cellStyle name="40% - Énfasis3 8 3 2 5 2" xfId="24667"/>
    <cellStyle name="40% - Énfasis3 8 3 2 5 2 2" xfId="41589"/>
    <cellStyle name="40% - Énfasis3 8 3 2 5 3" xfId="41588"/>
    <cellStyle name="40% - Énfasis3 8 3 2 6" xfId="24668"/>
    <cellStyle name="40% - Énfasis3 8 3 2 6 2" xfId="41590"/>
    <cellStyle name="40% - Énfasis3 8 3 2 7" xfId="41569"/>
    <cellStyle name="40% - Énfasis3 8 3 2_IAS" xfId="24669"/>
    <cellStyle name="40% - Énfasis3 8 3 3" xfId="24670"/>
    <cellStyle name="40% - Énfasis3 8 3 3 2" xfId="24671"/>
    <cellStyle name="40% - Énfasis3 8 3 3 2 2" xfId="24672"/>
    <cellStyle name="40% - Énfasis3 8 3 3 2 2 2" xfId="24673"/>
    <cellStyle name="40% - Énfasis3 8 3 3 2 2 2 2" xfId="41594"/>
    <cellStyle name="40% - Énfasis3 8 3 3 2 2 3" xfId="41593"/>
    <cellStyle name="40% - Énfasis3 8 3 3 2 3" xfId="24674"/>
    <cellStyle name="40% - Énfasis3 8 3 3 2 3 2" xfId="24675"/>
    <cellStyle name="40% - Énfasis3 8 3 3 2 3 2 2" xfId="41596"/>
    <cellStyle name="40% - Énfasis3 8 3 3 2 3 3" xfId="41595"/>
    <cellStyle name="40% - Énfasis3 8 3 3 2 4" xfId="24676"/>
    <cellStyle name="40% - Énfasis3 8 3 3 2 4 2" xfId="41597"/>
    <cellStyle name="40% - Énfasis3 8 3 3 2 5" xfId="41592"/>
    <cellStyle name="40% - Énfasis3 8 3 3 3" xfId="24677"/>
    <cellStyle name="40% - Énfasis3 8 3 3 3 2" xfId="41598"/>
    <cellStyle name="40% - Énfasis3 8 3 3 4" xfId="24678"/>
    <cellStyle name="40% - Énfasis3 8 3 3 4 2" xfId="24679"/>
    <cellStyle name="40% - Énfasis3 8 3 3 4 2 2" xfId="41600"/>
    <cellStyle name="40% - Énfasis3 8 3 3 4 3" xfId="41599"/>
    <cellStyle name="40% - Énfasis3 8 3 3 5" xfId="24680"/>
    <cellStyle name="40% - Énfasis3 8 3 3 5 2" xfId="41601"/>
    <cellStyle name="40% - Énfasis3 8 3 3 6" xfId="41591"/>
    <cellStyle name="40% - Énfasis3 8 3 3_IAS" xfId="24681"/>
    <cellStyle name="40% - Énfasis3 8 3 4" xfId="24682"/>
    <cellStyle name="40% - Énfasis3 8 3 4 2" xfId="24683"/>
    <cellStyle name="40% - Énfasis3 8 3 4 2 2" xfId="24684"/>
    <cellStyle name="40% - Énfasis3 8 3 4 2 2 2" xfId="41604"/>
    <cellStyle name="40% - Énfasis3 8 3 4 2 3" xfId="41603"/>
    <cellStyle name="40% - Énfasis3 8 3 4 3" xfId="24685"/>
    <cellStyle name="40% - Énfasis3 8 3 4 3 2" xfId="24686"/>
    <cellStyle name="40% - Énfasis3 8 3 4 3 2 2" xfId="41606"/>
    <cellStyle name="40% - Énfasis3 8 3 4 3 3" xfId="41605"/>
    <cellStyle name="40% - Énfasis3 8 3 4 4" xfId="24687"/>
    <cellStyle name="40% - Énfasis3 8 3 4 4 2" xfId="41607"/>
    <cellStyle name="40% - Énfasis3 8 3 4 5" xfId="41602"/>
    <cellStyle name="40% - Énfasis3 8 3 5" xfId="24688"/>
    <cellStyle name="40% - Énfasis3 8 3 5 2" xfId="41608"/>
    <cellStyle name="40% - Énfasis3 8 3 6" xfId="24689"/>
    <cellStyle name="40% - Énfasis3 8 3 6 2" xfId="24690"/>
    <cellStyle name="40% - Énfasis3 8 3 6 2 2" xfId="41610"/>
    <cellStyle name="40% - Énfasis3 8 3 6 3" xfId="41609"/>
    <cellStyle name="40% - Énfasis3 8 3 7" xfId="24691"/>
    <cellStyle name="40% - Énfasis3 8 3 7 2" xfId="41611"/>
    <cellStyle name="40% - Énfasis3 8 3 8" xfId="41568"/>
    <cellStyle name="40% - Énfasis3 8 3_IAS" xfId="24692"/>
    <cellStyle name="40% - Énfasis3 8 4" xfId="24693"/>
    <cellStyle name="40% - Énfasis3 8 4 2" xfId="24694"/>
    <cellStyle name="40% - Énfasis3 8 4 2 2" xfId="24695"/>
    <cellStyle name="40% - Énfasis3 8 4 2 2 2" xfId="24696"/>
    <cellStyle name="40% - Énfasis3 8 4 2 2 2 2" xfId="24697"/>
    <cellStyle name="40% - Énfasis3 8 4 2 2 2 2 2" xfId="24698"/>
    <cellStyle name="40% - Énfasis3 8 4 2 2 2 2 2 2" xfId="41617"/>
    <cellStyle name="40% - Énfasis3 8 4 2 2 2 2 3" xfId="41616"/>
    <cellStyle name="40% - Énfasis3 8 4 2 2 2 3" xfId="24699"/>
    <cellStyle name="40% - Énfasis3 8 4 2 2 2 3 2" xfId="24700"/>
    <cellStyle name="40% - Énfasis3 8 4 2 2 2 3 2 2" xfId="41619"/>
    <cellStyle name="40% - Énfasis3 8 4 2 2 2 3 3" xfId="41618"/>
    <cellStyle name="40% - Énfasis3 8 4 2 2 2 4" xfId="24701"/>
    <cellStyle name="40% - Énfasis3 8 4 2 2 2 4 2" xfId="41620"/>
    <cellStyle name="40% - Énfasis3 8 4 2 2 2 5" xfId="41615"/>
    <cellStyle name="40% - Énfasis3 8 4 2 2 3" xfId="24702"/>
    <cellStyle name="40% - Énfasis3 8 4 2 2 3 2" xfId="41621"/>
    <cellStyle name="40% - Énfasis3 8 4 2 2 4" xfId="24703"/>
    <cellStyle name="40% - Énfasis3 8 4 2 2 4 2" xfId="24704"/>
    <cellStyle name="40% - Énfasis3 8 4 2 2 4 2 2" xfId="41623"/>
    <cellStyle name="40% - Énfasis3 8 4 2 2 4 3" xfId="41622"/>
    <cellStyle name="40% - Énfasis3 8 4 2 2 5" xfId="24705"/>
    <cellStyle name="40% - Énfasis3 8 4 2 2 5 2" xfId="41624"/>
    <cellStyle name="40% - Énfasis3 8 4 2 2 6" xfId="41614"/>
    <cellStyle name="40% - Énfasis3 8 4 2 2_IAS" xfId="24706"/>
    <cellStyle name="40% - Énfasis3 8 4 2 3" xfId="24707"/>
    <cellStyle name="40% - Énfasis3 8 4 2 3 2" xfId="24708"/>
    <cellStyle name="40% - Énfasis3 8 4 2 3 2 2" xfId="24709"/>
    <cellStyle name="40% - Énfasis3 8 4 2 3 2 2 2" xfId="41627"/>
    <cellStyle name="40% - Énfasis3 8 4 2 3 2 3" xfId="41626"/>
    <cellStyle name="40% - Énfasis3 8 4 2 3 3" xfId="24710"/>
    <cellStyle name="40% - Énfasis3 8 4 2 3 3 2" xfId="24711"/>
    <cellStyle name="40% - Énfasis3 8 4 2 3 3 2 2" xfId="41629"/>
    <cellStyle name="40% - Énfasis3 8 4 2 3 3 3" xfId="41628"/>
    <cellStyle name="40% - Énfasis3 8 4 2 3 4" xfId="24712"/>
    <cellStyle name="40% - Énfasis3 8 4 2 3 4 2" xfId="41630"/>
    <cellStyle name="40% - Énfasis3 8 4 2 3 5" xfId="41625"/>
    <cellStyle name="40% - Énfasis3 8 4 2 4" xfId="24713"/>
    <cellStyle name="40% - Énfasis3 8 4 2 4 2" xfId="41631"/>
    <cellStyle name="40% - Énfasis3 8 4 2 5" xfId="24714"/>
    <cellStyle name="40% - Énfasis3 8 4 2 5 2" xfId="24715"/>
    <cellStyle name="40% - Énfasis3 8 4 2 5 2 2" xfId="41633"/>
    <cellStyle name="40% - Énfasis3 8 4 2 5 3" xfId="41632"/>
    <cellStyle name="40% - Énfasis3 8 4 2 6" xfId="24716"/>
    <cellStyle name="40% - Énfasis3 8 4 2 6 2" xfId="41634"/>
    <cellStyle name="40% - Énfasis3 8 4 2 7" xfId="41613"/>
    <cellStyle name="40% - Énfasis3 8 4 2_IAS" xfId="24717"/>
    <cellStyle name="40% - Énfasis3 8 4 3" xfId="24718"/>
    <cellStyle name="40% - Énfasis3 8 4 3 2" xfId="24719"/>
    <cellStyle name="40% - Énfasis3 8 4 3 2 2" xfId="24720"/>
    <cellStyle name="40% - Énfasis3 8 4 3 2 2 2" xfId="24721"/>
    <cellStyle name="40% - Énfasis3 8 4 3 2 2 2 2" xfId="41638"/>
    <cellStyle name="40% - Énfasis3 8 4 3 2 2 3" xfId="41637"/>
    <cellStyle name="40% - Énfasis3 8 4 3 2 3" xfId="24722"/>
    <cellStyle name="40% - Énfasis3 8 4 3 2 3 2" xfId="24723"/>
    <cellStyle name="40% - Énfasis3 8 4 3 2 3 2 2" xfId="41640"/>
    <cellStyle name="40% - Énfasis3 8 4 3 2 3 3" xfId="41639"/>
    <cellStyle name="40% - Énfasis3 8 4 3 2 4" xfId="24724"/>
    <cellStyle name="40% - Énfasis3 8 4 3 2 4 2" xfId="41641"/>
    <cellStyle name="40% - Énfasis3 8 4 3 2 5" xfId="41636"/>
    <cellStyle name="40% - Énfasis3 8 4 3 3" xfId="24725"/>
    <cellStyle name="40% - Énfasis3 8 4 3 3 2" xfId="41642"/>
    <cellStyle name="40% - Énfasis3 8 4 3 4" xfId="24726"/>
    <cellStyle name="40% - Énfasis3 8 4 3 4 2" xfId="24727"/>
    <cellStyle name="40% - Énfasis3 8 4 3 4 2 2" xfId="41644"/>
    <cellStyle name="40% - Énfasis3 8 4 3 4 3" xfId="41643"/>
    <cellStyle name="40% - Énfasis3 8 4 3 5" xfId="24728"/>
    <cellStyle name="40% - Énfasis3 8 4 3 5 2" xfId="41645"/>
    <cellStyle name="40% - Énfasis3 8 4 3 6" xfId="41635"/>
    <cellStyle name="40% - Énfasis3 8 4 3_IAS" xfId="24729"/>
    <cellStyle name="40% - Énfasis3 8 4 4" xfId="24730"/>
    <cellStyle name="40% - Énfasis3 8 4 4 2" xfId="24731"/>
    <cellStyle name="40% - Énfasis3 8 4 4 2 2" xfId="24732"/>
    <cellStyle name="40% - Énfasis3 8 4 4 2 2 2" xfId="41648"/>
    <cellStyle name="40% - Énfasis3 8 4 4 2 3" xfId="41647"/>
    <cellStyle name="40% - Énfasis3 8 4 4 3" xfId="24733"/>
    <cellStyle name="40% - Énfasis3 8 4 4 3 2" xfId="24734"/>
    <cellStyle name="40% - Énfasis3 8 4 4 3 2 2" xfId="41650"/>
    <cellStyle name="40% - Énfasis3 8 4 4 3 3" xfId="41649"/>
    <cellStyle name="40% - Énfasis3 8 4 4 4" xfId="24735"/>
    <cellStyle name="40% - Énfasis3 8 4 4 4 2" xfId="41651"/>
    <cellStyle name="40% - Énfasis3 8 4 4 5" xfId="41646"/>
    <cellStyle name="40% - Énfasis3 8 4 5" xfId="24736"/>
    <cellStyle name="40% - Énfasis3 8 4 5 2" xfId="41652"/>
    <cellStyle name="40% - Énfasis3 8 4 6" xfId="24737"/>
    <cellStyle name="40% - Énfasis3 8 4 6 2" xfId="24738"/>
    <cellStyle name="40% - Énfasis3 8 4 6 2 2" xfId="41654"/>
    <cellStyle name="40% - Énfasis3 8 4 6 3" xfId="41653"/>
    <cellStyle name="40% - Énfasis3 8 4 7" xfId="24739"/>
    <cellStyle name="40% - Énfasis3 8 4 7 2" xfId="41655"/>
    <cellStyle name="40% - Énfasis3 8 4 8" xfId="41612"/>
    <cellStyle name="40% - Énfasis3 8 4_IAS" xfId="24740"/>
    <cellStyle name="40% - Énfasis3 8 5" xfId="24741"/>
    <cellStyle name="40% - Énfasis3 8 5 2" xfId="41656"/>
    <cellStyle name="40% - Énfasis3 8 6" xfId="24742"/>
    <cellStyle name="40% - Énfasis3 8 6 2" xfId="24743"/>
    <cellStyle name="40% - Énfasis3 8 6 2 2" xfId="24744"/>
    <cellStyle name="40% - Énfasis3 8 6 2 2 2" xfId="24745"/>
    <cellStyle name="40% - Énfasis3 8 6 2 2 2 2" xfId="24746"/>
    <cellStyle name="40% - Énfasis3 8 6 2 2 2 2 2" xfId="41661"/>
    <cellStyle name="40% - Énfasis3 8 6 2 2 2 3" xfId="41660"/>
    <cellStyle name="40% - Énfasis3 8 6 2 2 3" xfId="24747"/>
    <cellStyle name="40% - Énfasis3 8 6 2 2 3 2" xfId="24748"/>
    <cellStyle name="40% - Énfasis3 8 6 2 2 3 2 2" xfId="41663"/>
    <cellStyle name="40% - Énfasis3 8 6 2 2 3 3" xfId="41662"/>
    <cellStyle name="40% - Énfasis3 8 6 2 2 4" xfId="24749"/>
    <cellStyle name="40% - Énfasis3 8 6 2 2 4 2" xfId="41664"/>
    <cellStyle name="40% - Énfasis3 8 6 2 2 5" xfId="41659"/>
    <cellStyle name="40% - Énfasis3 8 6 2 3" xfId="24750"/>
    <cellStyle name="40% - Énfasis3 8 6 2 3 2" xfId="41665"/>
    <cellStyle name="40% - Énfasis3 8 6 2 4" xfId="24751"/>
    <cellStyle name="40% - Énfasis3 8 6 2 4 2" xfId="24752"/>
    <cellStyle name="40% - Énfasis3 8 6 2 4 2 2" xfId="41667"/>
    <cellStyle name="40% - Énfasis3 8 6 2 4 3" xfId="41666"/>
    <cellStyle name="40% - Énfasis3 8 6 2 5" xfId="24753"/>
    <cellStyle name="40% - Énfasis3 8 6 2 5 2" xfId="41668"/>
    <cellStyle name="40% - Énfasis3 8 6 2 6" xfId="41658"/>
    <cellStyle name="40% - Énfasis3 8 6 2_IAS" xfId="24754"/>
    <cellStyle name="40% - Énfasis3 8 6 3" xfId="24755"/>
    <cellStyle name="40% - Énfasis3 8 6 3 2" xfId="24756"/>
    <cellStyle name="40% - Énfasis3 8 6 3 2 2" xfId="24757"/>
    <cellStyle name="40% - Énfasis3 8 6 3 2 2 2" xfId="41671"/>
    <cellStyle name="40% - Énfasis3 8 6 3 2 3" xfId="41670"/>
    <cellStyle name="40% - Énfasis3 8 6 3 3" xfId="24758"/>
    <cellStyle name="40% - Énfasis3 8 6 3 3 2" xfId="24759"/>
    <cellStyle name="40% - Énfasis3 8 6 3 3 2 2" xfId="41673"/>
    <cellStyle name="40% - Énfasis3 8 6 3 3 3" xfId="41672"/>
    <cellStyle name="40% - Énfasis3 8 6 3 4" xfId="24760"/>
    <cellStyle name="40% - Énfasis3 8 6 3 4 2" xfId="41674"/>
    <cellStyle name="40% - Énfasis3 8 6 3 5" xfId="41669"/>
    <cellStyle name="40% - Énfasis3 8 6 4" xfId="24761"/>
    <cellStyle name="40% - Énfasis3 8 6 4 2" xfId="41675"/>
    <cellStyle name="40% - Énfasis3 8 6 5" xfId="24762"/>
    <cellStyle name="40% - Énfasis3 8 6 5 2" xfId="24763"/>
    <cellStyle name="40% - Énfasis3 8 6 5 2 2" xfId="41677"/>
    <cellStyle name="40% - Énfasis3 8 6 5 3" xfId="41676"/>
    <cellStyle name="40% - Énfasis3 8 6 6" xfId="24764"/>
    <cellStyle name="40% - Énfasis3 8 6 6 2" xfId="41678"/>
    <cellStyle name="40% - Énfasis3 8 6 7" xfId="41657"/>
    <cellStyle name="40% - Énfasis3 8 6_IAS" xfId="24765"/>
    <cellStyle name="40% - Énfasis3 8 7" xfId="24766"/>
    <cellStyle name="40% - Énfasis3 8 7 2" xfId="24767"/>
    <cellStyle name="40% - Énfasis3 8 7 2 2" xfId="24768"/>
    <cellStyle name="40% - Énfasis3 8 7 2 2 2" xfId="24769"/>
    <cellStyle name="40% - Énfasis3 8 7 2 2 2 2" xfId="41682"/>
    <cellStyle name="40% - Énfasis3 8 7 2 2 3" xfId="41681"/>
    <cellStyle name="40% - Énfasis3 8 7 2 3" xfId="24770"/>
    <cellStyle name="40% - Énfasis3 8 7 2 3 2" xfId="24771"/>
    <cellStyle name="40% - Énfasis3 8 7 2 3 2 2" xfId="41684"/>
    <cellStyle name="40% - Énfasis3 8 7 2 3 3" xfId="41683"/>
    <cellStyle name="40% - Énfasis3 8 7 2 4" xfId="24772"/>
    <cellStyle name="40% - Énfasis3 8 7 2 4 2" xfId="41685"/>
    <cellStyle name="40% - Énfasis3 8 7 2 5" xfId="41680"/>
    <cellStyle name="40% - Énfasis3 8 7 3" xfId="24773"/>
    <cellStyle name="40% - Énfasis3 8 7 3 2" xfId="41686"/>
    <cellStyle name="40% - Énfasis3 8 7 4" xfId="24774"/>
    <cellStyle name="40% - Énfasis3 8 7 4 2" xfId="24775"/>
    <cellStyle name="40% - Énfasis3 8 7 4 2 2" xfId="41688"/>
    <cellStyle name="40% - Énfasis3 8 7 4 3" xfId="41687"/>
    <cellStyle name="40% - Énfasis3 8 7 5" xfId="24776"/>
    <cellStyle name="40% - Énfasis3 8 7 5 2" xfId="41689"/>
    <cellStyle name="40% - Énfasis3 8 7 6" xfId="41679"/>
    <cellStyle name="40% - Énfasis3 8 7_IAS" xfId="24777"/>
    <cellStyle name="40% - Énfasis3 8 8" xfId="24778"/>
    <cellStyle name="40% - Énfasis3 8 8 2" xfId="24779"/>
    <cellStyle name="40% - Énfasis3 8 8 2 2" xfId="24780"/>
    <cellStyle name="40% - Énfasis3 8 8 2 2 2" xfId="41692"/>
    <cellStyle name="40% - Énfasis3 8 8 2 3" xfId="41691"/>
    <cellStyle name="40% - Énfasis3 8 8 3" xfId="24781"/>
    <cellStyle name="40% - Énfasis3 8 8 3 2" xfId="24782"/>
    <cellStyle name="40% - Énfasis3 8 8 3 2 2" xfId="41694"/>
    <cellStyle name="40% - Énfasis3 8 8 3 3" xfId="41693"/>
    <cellStyle name="40% - Énfasis3 8 8 4" xfId="24783"/>
    <cellStyle name="40% - Énfasis3 8 8 4 2" xfId="41695"/>
    <cellStyle name="40% - Énfasis3 8 8 5" xfId="41690"/>
    <cellStyle name="40% - Énfasis3 8 9" xfId="24784"/>
    <cellStyle name="40% - Énfasis3 8 9 2" xfId="24785"/>
    <cellStyle name="40% - Énfasis3 8 9 2 2" xfId="24786"/>
    <cellStyle name="40% - Énfasis3 8 9 2 2 2" xfId="41698"/>
    <cellStyle name="40% - Énfasis3 8 9 2 3" xfId="41697"/>
    <cellStyle name="40% - Énfasis3 8 9 3" xfId="24787"/>
    <cellStyle name="40% - Énfasis3 8 9 3 2" xfId="41699"/>
    <cellStyle name="40% - Énfasis3 8 9 4" xfId="41696"/>
    <cellStyle name="40% - Énfasis3 8_AGF" xfId="24788"/>
    <cellStyle name="40% - Énfasis3 9" xfId="24789"/>
    <cellStyle name="40% - Énfasis3 9 10" xfId="24790"/>
    <cellStyle name="40% - Énfasis3 9 10 2" xfId="24791"/>
    <cellStyle name="40% - Énfasis3 9 10 2 2" xfId="24792"/>
    <cellStyle name="40% - Énfasis3 9 10 2 2 2" xfId="41703"/>
    <cellStyle name="40% - Énfasis3 9 10 2 3" xfId="41702"/>
    <cellStyle name="40% - Énfasis3 9 10 3" xfId="24793"/>
    <cellStyle name="40% - Énfasis3 9 10 3 2" xfId="41704"/>
    <cellStyle name="40% - Énfasis3 9 10 4" xfId="41701"/>
    <cellStyle name="40% - Énfasis3 9 11" xfId="24794"/>
    <cellStyle name="40% - Énfasis3 9 11 2" xfId="24795"/>
    <cellStyle name="40% - Énfasis3 9 11 2 2" xfId="41706"/>
    <cellStyle name="40% - Énfasis3 9 11 3" xfId="41705"/>
    <cellStyle name="40% - Énfasis3 9 12" xfId="24796"/>
    <cellStyle name="40% - Énfasis3 9 12 2" xfId="24797"/>
    <cellStyle name="40% - Énfasis3 9 12 2 2" xfId="41708"/>
    <cellStyle name="40% - Énfasis3 9 12 3" xfId="41707"/>
    <cellStyle name="40% - Énfasis3 9 13" xfId="24798"/>
    <cellStyle name="40% - Énfasis3 9 13 2" xfId="41709"/>
    <cellStyle name="40% - Énfasis3 9 14" xfId="24799"/>
    <cellStyle name="40% - Énfasis3 9 14 2" xfId="41710"/>
    <cellStyle name="40% - Énfasis3 9 15" xfId="41700"/>
    <cellStyle name="40% - Énfasis3 9 2" xfId="24800"/>
    <cellStyle name="40% - Énfasis3 9 2 2" xfId="24801"/>
    <cellStyle name="40% - Énfasis3 9 2 2 2" xfId="24802"/>
    <cellStyle name="40% - Énfasis3 9 2 2 2 2" xfId="24803"/>
    <cellStyle name="40% - Énfasis3 9 2 2 2 2 2" xfId="24804"/>
    <cellStyle name="40% - Énfasis3 9 2 2 2 2 2 2" xfId="24805"/>
    <cellStyle name="40% - Énfasis3 9 2 2 2 2 2 2 2" xfId="41716"/>
    <cellStyle name="40% - Énfasis3 9 2 2 2 2 2 3" xfId="41715"/>
    <cellStyle name="40% - Énfasis3 9 2 2 2 2 3" xfId="24806"/>
    <cellStyle name="40% - Énfasis3 9 2 2 2 2 3 2" xfId="24807"/>
    <cellStyle name="40% - Énfasis3 9 2 2 2 2 3 2 2" xfId="41718"/>
    <cellStyle name="40% - Énfasis3 9 2 2 2 2 3 3" xfId="41717"/>
    <cellStyle name="40% - Énfasis3 9 2 2 2 2 4" xfId="24808"/>
    <cellStyle name="40% - Énfasis3 9 2 2 2 2 4 2" xfId="41719"/>
    <cellStyle name="40% - Énfasis3 9 2 2 2 2 5" xfId="41714"/>
    <cellStyle name="40% - Énfasis3 9 2 2 2 3" xfId="24809"/>
    <cellStyle name="40% - Énfasis3 9 2 2 2 3 2" xfId="41720"/>
    <cellStyle name="40% - Énfasis3 9 2 2 2 4" xfId="24810"/>
    <cellStyle name="40% - Énfasis3 9 2 2 2 4 2" xfId="24811"/>
    <cellStyle name="40% - Énfasis3 9 2 2 2 4 2 2" xfId="41722"/>
    <cellStyle name="40% - Énfasis3 9 2 2 2 4 3" xfId="41721"/>
    <cellStyle name="40% - Énfasis3 9 2 2 2 5" xfId="24812"/>
    <cellStyle name="40% - Énfasis3 9 2 2 2 5 2" xfId="41723"/>
    <cellStyle name="40% - Énfasis3 9 2 2 2 6" xfId="41713"/>
    <cellStyle name="40% - Énfasis3 9 2 2 2_IAS" xfId="24813"/>
    <cellStyle name="40% - Énfasis3 9 2 2 3" xfId="24814"/>
    <cellStyle name="40% - Énfasis3 9 2 2 3 2" xfId="24815"/>
    <cellStyle name="40% - Énfasis3 9 2 2 3 2 2" xfId="24816"/>
    <cellStyle name="40% - Énfasis3 9 2 2 3 2 2 2" xfId="41726"/>
    <cellStyle name="40% - Énfasis3 9 2 2 3 2 3" xfId="41725"/>
    <cellStyle name="40% - Énfasis3 9 2 2 3 3" xfId="24817"/>
    <cellStyle name="40% - Énfasis3 9 2 2 3 3 2" xfId="24818"/>
    <cellStyle name="40% - Énfasis3 9 2 2 3 3 2 2" xfId="41728"/>
    <cellStyle name="40% - Énfasis3 9 2 2 3 3 3" xfId="41727"/>
    <cellStyle name="40% - Énfasis3 9 2 2 3 4" xfId="24819"/>
    <cellStyle name="40% - Énfasis3 9 2 2 3 4 2" xfId="41729"/>
    <cellStyle name="40% - Énfasis3 9 2 2 3 5" xfId="41724"/>
    <cellStyle name="40% - Énfasis3 9 2 2 4" xfId="24820"/>
    <cellStyle name="40% - Énfasis3 9 2 2 4 2" xfId="41730"/>
    <cellStyle name="40% - Énfasis3 9 2 2 5" xfId="24821"/>
    <cellStyle name="40% - Énfasis3 9 2 2 5 2" xfId="24822"/>
    <cellStyle name="40% - Énfasis3 9 2 2 5 2 2" xfId="41732"/>
    <cellStyle name="40% - Énfasis3 9 2 2 5 3" xfId="41731"/>
    <cellStyle name="40% - Énfasis3 9 2 2 6" xfId="24823"/>
    <cellStyle name="40% - Énfasis3 9 2 2 6 2" xfId="41733"/>
    <cellStyle name="40% - Énfasis3 9 2 2 7" xfId="41712"/>
    <cellStyle name="40% - Énfasis3 9 2 2_IAS" xfId="24824"/>
    <cellStyle name="40% - Énfasis3 9 2 3" xfId="24825"/>
    <cellStyle name="40% - Énfasis3 9 2 3 2" xfId="24826"/>
    <cellStyle name="40% - Énfasis3 9 2 3 2 2" xfId="24827"/>
    <cellStyle name="40% - Énfasis3 9 2 3 2 2 2" xfId="24828"/>
    <cellStyle name="40% - Énfasis3 9 2 3 2 2 2 2" xfId="41737"/>
    <cellStyle name="40% - Énfasis3 9 2 3 2 2 3" xfId="41736"/>
    <cellStyle name="40% - Énfasis3 9 2 3 2 3" xfId="24829"/>
    <cellStyle name="40% - Énfasis3 9 2 3 2 3 2" xfId="24830"/>
    <cellStyle name="40% - Énfasis3 9 2 3 2 3 2 2" xfId="41739"/>
    <cellStyle name="40% - Énfasis3 9 2 3 2 3 3" xfId="41738"/>
    <cellStyle name="40% - Énfasis3 9 2 3 2 4" xfId="24831"/>
    <cellStyle name="40% - Énfasis3 9 2 3 2 4 2" xfId="41740"/>
    <cellStyle name="40% - Énfasis3 9 2 3 2 5" xfId="41735"/>
    <cellStyle name="40% - Énfasis3 9 2 3 3" xfId="24832"/>
    <cellStyle name="40% - Énfasis3 9 2 3 3 2" xfId="41741"/>
    <cellStyle name="40% - Énfasis3 9 2 3 4" xfId="24833"/>
    <cellStyle name="40% - Énfasis3 9 2 3 4 2" xfId="24834"/>
    <cellStyle name="40% - Énfasis3 9 2 3 4 2 2" xfId="41743"/>
    <cellStyle name="40% - Énfasis3 9 2 3 4 3" xfId="41742"/>
    <cellStyle name="40% - Énfasis3 9 2 3 5" xfId="24835"/>
    <cellStyle name="40% - Énfasis3 9 2 3 5 2" xfId="41744"/>
    <cellStyle name="40% - Énfasis3 9 2 3 6" xfId="41734"/>
    <cellStyle name="40% - Énfasis3 9 2 3_IAS" xfId="24836"/>
    <cellStyle name="40% - Énfasis3 9 2 4" xfId="24837"/>
    <cellStyle name="40% - Énfasis3 9 2 4 2" xfId="24838"/>
    <cellStyle name="40% - Énfasis3 9 2 4 2 2" xfId="24839"/>
    <cellStyle name="40% - Énfasis3 9 2 4 2 2 2" xfId="41747"/>
    <cellStyle name="40% - Énfasis3 9 2 4 2 3" xfId="41746"/>
    <cellStyle name="40% - Énfasis3 9 2 4 3" xfId="24840"/>
    <cellStyle name="40% - Énfasis3 9 2 4 3 2" xfId="24841"/>
    <cellStyle name="40% - Énfasis3 9 2 4 3 2 2" xfId="41749"/>
    <cellStyle name="40% - Énfasis3 9 2 4 3 3" xfId="41748"/>
    <cellStyle name="40% - Énfasis3 9 2 4 4" xfId="24842"/>
    <cellStyle name="40% - Énfasis3 9 2 4 4 2" xfId="41750"/>
    <cellStyle name="40% - Énfasis3 9 2 4 5" xfId="41745"/>
    <cellStyle name="40% - Énfasis3 9 2 5" xfId="24843"/>
    <cellStyle name="40% - Énfasis3 9 2 5 2" xfId="41751"/>
    <cellStyle name="40% - Énfasis3 9 2 6" xfId="24844"/>
    <cellStyle name="40% - Énfasis3 9 2 6 2" xfId="24845"/>
    <cellStyle name="40% - Énfasis3 9 2 6 2 2" xfId="41753"/>
    <cellStyle name="40% - Énfasis3 9 2 6 3" xfId="41752"/>
    <cellStyle name="40% - Énfasis3 9 2 7" xfId="24846"/>
    <cellStyle name="40% - Énfasis3 9 2 7 2" xfId="41754"/>
    <cellStyle name="40% - Énfasis3 9 2 8" xfId="41711"/>
    <cellStyle name="40% - Énfasis3 9 2_IAS" xfId="24847"/>
    <cellStyle name="40% - Énfasis3 9 3" xfId="24848"/>
    <cellStyle name="40% - Énfasis3 9 3 2" xfId="24849"/>
    <cellStyle name="40% - Énfasis3 9 3 2 2" xfId="24850"/>
    <cellStyle name="40% - Énfasis3 9 3 2 2 2" xfId="24851"/>
    <cellStyle name="40% - Énfasis3 9 3 2 2 2 2" xfId="24852"/>
    <cellStyle name="40% - Énfasis3 9 3 2 2 2 2 2" xfId="24853"/>
    <cellStyle name="40% - Énfasis3 9 3 2 2 2 2 2 2" xfId="41760"/>
    <cellStyle name="40% - Énfasis3 9 3 2 2 2 2 3" xfId="41759"/>
    <cellStyle name="40% - Énfasis3 9 3 2 2 2 3" xfId="24854"/>
    <cellStyle name="40% - Énfasis3 9 3 2 2 2 3 2" xfId="24855"/>
    <cellStyle name="40% - Énfasis3 9 3 2 2 2 3 2 2" xfId="41762"/>
    <cellStyle name="40% - Énfasis3 9 3 2 2 2 3 3" xfId="41761"/>
    <cellStyle name="40% - Énfasis3 9 3 2 2 2 4" xfId="24856"/>
    <cellStyle name="40% - Énfasis3 9 3 2 2 2 4 2" xfId="41763"/>
    <cellStyle name="40% - Énfasis3 9 3 2 2 2 5" xfId="41758"/>
    <cellStyle name="40% - Énfasis3 9 3 2 2 3" xfId="24857"/>
    <cellStyle name="40% - Énfasis3 9 3 2 2 3 2" xfId="41764"/>
    <cellStyle name="40% - Énfasis3 9 3 2 2 4" xfId="24858"/>
    <cellStyle name="40% - Énfasis3 9 3 2 2 4 2" xfId="24859"/>
    <cellStyle name="40% - Énfasis3 9 3 2 2 4 2 2" xfId="41766"/>
    <cellStyle name="40% - Énfasis3 9 3 2 2 4 3" xfId="41765"/>
    <cellStyle name="40% - Énfasis3 9 3 2 2 5" xfId="24860"/>
    <cellStyle name="40% - Énfasis3 9 3 2 2 5 2" xfId="41767"/>
    <cellStyle name="40% - Énfasis3 9 3 2 2 6" xfId="41757"/>
    <cellStyle name="40% - Énfasis3 9 3 2 2_IAS" xfId="24861"/>
    <cellStyle name="40% - Énfasis3 9 3 2 3" xfId="24862"/>
    <cellStyle name="40% - Énfasis3 9 3 2 3 2" xfId="24863"/>
    <cellStyle name="40% - Énfasis3 9 3 2 3 2 2" xfId="24864"/>
    <cellStyle name="40% - Énfasis3 9 3 2 3 2 2 2" xfId="41770"/>
    <cellStyle name="40% - Énfasis3 9 3 2 3 2 3" xfId="41769"/>
    <cellStyle name="40% - Énfasis3 9 3 2 3 3" xfId="24865"/>
    <cellStyle name="40% - Énfasis3 9 3 2 3 3 2" xfId="24866"/>
    <cellStyle name="40% - Énfasis3 9 3 2 3 3 2 2" xfId="41772"/>
    <cellStyle name="40% - Énfasis3 9 3 2 3 3 3" xfId="41771"/>
    <cellStyle name="40% - Énfasis3 9 3 2 3 4" xfId="24867"/>
    <cellStyle name="40% - Énfasis3 9 3 2 3 4 2" xfId="41773"/>
    <cellStyle name="40% - Énfasis3 9 3 2 3 5" xfId="41768"/>
    <cellStyle name="40% - Énfasis3 9 3 2 4" xfId="24868"/>
    <cellStyle name="40% - Énfasis3 9 3 2 4 2" xfId="41774"/>
    <cellStyle name="40% - Énfasis3 9 3 2 5" xfId="24869"/>
    <cellStyle name="40% - Énfasis3 9 3 2 5 2" xfId="24870"/>
    <cellStyle name="40% - Énfasis3 9 3 2 5 2 2" xfId="41776"/>
    <cellStyle name="40% - Énfasis3 9 3 2 5 3" xfId="41775"/>
    <cellStyle name="40% - Énfasis3 9 3 2 6" xfId="24871"/>
    <cellStyle name="40% - Énfasis3 9 3 2 6 2" xfId="41777"/>
    <cellStyle name="40% - Énfasis3 9 3 2 7" xfId="41756"/>
    <cellStyle name="40% - Énfasis3 9 3 2_IAS" xfId="24872"/>
    <cellStyle name="40% - Énfasis3 9 3 3" xfId="24873"/>
    <cellStyle name="40% - Énfasis3 9 3 3 2" xfId="24874"/>
    <cellStyle name="40% - Énfasis3 9 3 3 2 2" xfId="24875"/>
    <cellStyle name="40% - Énfasis3 9 3 3 2 2 2" xfId="24876"/>
    <cellStyle name="40% - Énfasis3 9 3 3 2 2 2 2" xfId="41781"/>
    <cellStyle name="40% - Énfasis3 9 3 3 2 2 3" xfId="41780"/>
    <cellStyle name="40% - Énfasis3 9 3 3 2 3" xfId="24877"/>
    <cellStyle name="40% - Énfasis3 9 3 3 2 3 2" xfId="24878"/>
    <cellStyle name="40% - Énfasis3 9 3 3 2 3 2 2" xfId="41783"/>
    <cellStyle name="40% - Énfasis3 9 3 3 2 3 3" xfId="41782"/>
    <cellStyle name="40% - Énfasis3 9 3 3 2 4" xfId="24879"/>
    <cellStyle name="40% - Énfasis3 9 3 3 2 4 2" xfId="41784"/>
    <cellStyle name="40% - Énfasis3 9 3 3 2 5" xfId="41779"/>
    <cellStyle name="40% - Énfasis3 9 3 3 3" xfId="24880"/>
    <cellStyle name="40% - Énfasis3 9 3 3 3 2" xfId="41785"/>
    <cellStyle name="40% - Énfasis3 9 3 3 4" xfId="24881"/>
    <cellStyle name="40% - Énfasis3 9 3 3 4 2" xfId="24882"/>
    <cellStyle name="40% - Énfasis3 9 3 3 4 2 2" xfId="41787"/>
    <cellStyle name="40% - Énfasis3 9 3 3 4 3" xfId="41786"/>
    <cellStyle name="40% - Énfasis3 9 3 3 5" xfId="24883"/>
    <cellStyle name="40% - Énfasis3 9 3 3 5 2" xfId="41788"/>
    <cellStyle name="40% - Énfasis3 9 3 3 6" xfId="41778"/>
    <cellStyle name="40% - Énfasis3 9 3 3_IAS" xfId="24884"/>
    <cellStyle name="40% - Énfasis3 9 3 4" xfId="24885"/>
    <cellStyle name="40% - Énfasis3 9 3 4 2" xfId="24886"/>
    <cellStyle name="40% - Énfasis3 9 3 4 2 2" xfId="24887"/>
    <cellStyle name="40% - Énfasis3 9 3 4 2 2 2" xfId="41791"/>
    <cellStyle name="40% - Énfasis3 9 3 4 2 3" xfId="41790"/>
    <cellStyle name="40% - Énfasis3 9 3 4 3" xfId="24888"/>
    <cellStyle name="40% - Énfasis3 9 3 4 3 2" xfId="24889"/>
    <cellStyle name="40% - Énfasis3 9 3 4 3 2 2" xfId="41793"/>
    <cellStyle name="40% - Énfasis3 9 3 4 3 3" xfId="41792"/>
    <cellStyle name="40% - Énfasis3 9 3 4 4" xfId="24890"/>
    <cellStyle name="40% - Énfasis3 9 3 4 4 2" xfId="41794"/>
    <cellStyle name="40% - Énfasis3 9 3 4 5" xfId="41789"/>
    <cellStyle name="40% - Énfasis3 9 3 5" xfId="24891"/>
    <cellStyle name="40% - Énfasis3 9 3 5 2" xfId="41795"/>
    <cellStyle name="40% - Énfasis3 9 3 6" xfId="24892"/>
    <cellStyle name="40% - Énfasis3 9 3 6 2" xfId="24893"/>
    <cellStyle name="40% - Énfasis3 9 3 6 2 2" xfId="41797"/>
    <cellStyle name="40% - Énfasis3 9 3 6 3" xfId="41796"/>
    <cellStyle name="40% - Énfasis3 9 3 7" xfId="24894"/>
    <cellStyle name="40% - Énfasis3 9 3 7 2" xfId="41798"/>
    <cellStyle name="40% - Énfasis3 9 3 8" xfId="41755"/>
    <cellStyle name="40% - Énfasis3 9 3_IAS" xfId="24895"/>
    <cellStyle name="40% - Énfasis3 9 4" xfId="24896"/>
    <cellStyle name="40% - Énfasis3 9 4 2" xfId="41799"/>
    <cellStyle name="40% - Énfasis3 9 5" xfId="24897"/>
    <cellStyle name="40% - Énfasis3 9 5 2" xfId="24898"/>
    <cellStyle name="40% - Énfasis3 9 5 2 2" xfId="24899"/>
    <cellStyle name="40% - Énfasis3 9 5 2 2 2" xfId="24900"/>
    <cellStyle name="40% - Énfasis3 9 5 2 2 2 2" xfId="24901"/>
    <cellStyle name="40% - Énfasis3 9 5 2 2 2 2 2" xfId="41804"/>
    <cellStyle name="40% - Énfasis3 9 5 2 2 2 3" xfId="41803"/>
    <cellStyle name="40% - Énfasis3 9 5 2 2 3" xfId="24902"/>
    <cellStyle name="40% - Énfasis3 9 5 2 2 3 2" xfId="24903"/>
    <cellStyle name="40% - Énfasis3 9 5 2 2 3 2 2" xfId="41806"/>
    <cellStyle name="40% - Énfasis3 9 5 2 2 3 3" xfId="41805"/>
    <cellStyle name="40% - Énfasis3 9 5 2 2 4" xfId="24904"/>
    <cellStyle name="40% - Énfasis3 9 5 2 2 4 2" xfId="41807"/>
    <cellStyle name="40% - Énfasis3 9 5 2 2 5" xfId="41802"/>
    <cellStyle name="40% - Énfasis3 9 5 2 3" xfId="24905"/>
    <cellStyle name="40% - Énfasis3 9 5 2 3 2" xfId="41808"/>
    <cellStyle name="40% - Énfasis3 9 5 2 4" xfId="24906"/>
    <cellStyle name="40% - Énfasis3 9 5 2 4 2" xfId="24907"/>
    <cellStyle name="40% - Énfasis3 9 5 2 4 2 2" xfId="41810"/>
    <cellStyle name="40% - Énfasis3 9 5 2 4 3" xfId="41809"/>
    <cellStyle name="40% - Énfasis3 9 5 2 5" xfId="24908"/>
    <cellStyle name="40% - Énfasis3 9 5 2 5 2" xfId="41811"/>
    <cellStyle name="40% - Énfasis3 9 5 2 6" xfId="41801"/>
    <cellStyle name="40% - Énfasis3 9 5 2_IAS" xfId="24909"/>
    <cellStyle name="40% - Énfasis3 9 5 3" xfId="24910"/>
    <cellStyle name="40% - Énfasis3 9 5 3 2" xfId="24911"/>
    <cellStyle name="40% - Énfasis3 9 5 3 2 2" xfId="24912"/>
    <cellStyle name="40% - Énfasis3 9 5 3 2 2 2" xfId="41814"/>
    <cellStyle name="40% - Énfasis3 9 5 3 2 3" xfId="41813"/>
    <cellStyle name="40% - Énfasis3 9 5 3 3" xfId="24913"/>
    <cellStyle name="40% - Énfasis3 9 5 3 3 2" xfId="24914"/>
    <cellStyle name="40% - Énfasis3 9 5 3 3 2 2" xfId="41816"/>
    <cellStyle name="40% - Énfasis3 9 5 3 3 3" xfId="41815"/>
    <cellStyle name="40% - Énfasis3 9 5 3 4" xfId="24915"/>
    <cellStyle name="40% - Énfasis3 9 5 3 4 2" xfId="41817"/>
    <cellStyle name="40% - Énfasis3 9 5 3 5" xfId="41812"/>
    <cellStyle name="40% - Énfasis3 9 5 4" xfId="24916"/>
    <cellStyle name="40% - Énfasis3 9 5 4 2" xfId="41818"/>
    <cellStyle name="40% - Énfasis3 9 5 5" xfId="24917"/>
    <cellStyle name="40% - Énfasis3 9 5 5 2" xfId="24918"/>
    <cellStyle name="40% - Énfasis3 9 5 5 2 2" xfId="41820"/>
    <cellStyle name="40% - Énfasis3 9 5 5 3" xfId="41819"/>
    <cellStyle name="40% - Énfasis3 9 5 6" xfId="24919"/>
    <cellStyle name="40% - Énfasis3 9 5 6 2" xfId="41821"/>
    <cellStyle name="40% - Énfasis3 9 5 7" xfId="41800"/>
    <cellStyle name="40% - Énfasis3 9 5_IAS" xfId="24920"/>
    <cellStyle name="40% - Énfasis3 9 6" xfId="24921"/>
    <cellStyle name="40% - Énfasis3 9 6 2" xfId="24922"/>
    <cellStyle name="40% - Énfasis3 9 6 2 2" xfId="24923"/>
    <cellStyle name="40% - Énfasis3 9 6 2 2 2" xfId="24924"/>
    <cellStyle name="40% - Énfasis3 9 6 2 2 2 2" xfId="41825"/>
    <cellStyle name="40% - Énfasis3 9 6 2 2 3" xfId="41824"/>
    <cellStyle name="40% - Énfasis3 9 6 2 3" xfId="24925"/>
    <cellStyle name="40% - Énfasis3 9 6 2 3 2" xfId="24926"/>
    <cellStyle name="40% - Énfasis3 9 6 2 3 2 2" xfId="41827"/>
    <cellStyle name="40% - Énfasis3 9 6 2 3 3" xfId="41826"/>
    <cellStyle name="40% - Énfasis3 9 6 2 4" xfId="24927"/>
    <cellStyle name="40% - Énfasis3 9 6 2 4 2" xfId="41828"/>
    <cellStyle name="40% - Énfasis3 9 6 2 5" xfId="41823"/>
    <cellStyle name="40% - Énfasis3 9 6 3" xfId="24928"/>
    <cellStyle name="40% - Énfasis3 9 6 3 2" xfId="41829"/>
    <cellStyle name="40% - Énfasis3 9 6 4" xfId="24929"/>
    <cellStyle name="40% - Énfasis3 9 6 4 2" xfId="24930"/>
    <cellStyle name="40% - Énfasis3 9 6 4 2 2" xfId="41831"/>
    <cellStyle name="40% - Énfasis3 9 6 4 3" xfId="41830"/>
    <cellStyle name="40% - Énfasis3 9 6 5" xfId="24931"/>
    <cellStyle name="40% - Énfasis3 9 6 5 2" xfId="41832"/>
    <cellStyle name="40% - Énfasis3 9 6 6" xfId="41822"/>
    <cellStyle name="40% - Énfasis3 9 6_IAS" xfId="24932"/>
    <cellStyle name="40% - Énfasis3 9 7" xfId="24933"/>
    <cellStyle name="40% - Énfasis3 9 7 2" xfId="24934"/>
    <cellStyle name="40% - Énfasis3 9 7 2 2" xfId="24935"/>
    <cellStyle name="40% - Énfasis3 9 7 2 2 2" xfId="41835"/>
    <cellStyle name="40% - Énfasis3 9 7 2 3" xfId="41834"/>
    <cellStyle name="40% - Énfasis3 9 7 3" xfId="24936"/>
    <cellStyle name="40% - Énfasis3 9 7 3 2" xfId="24937"/>
    <cellStyle name="40% - Énfasis3 9 7 3 2 2" xfId="41837"/>
    <cellStyle name="40% - Énfasis3 9 7 3 3" xfId="41836"/>
    <cellStyle name="40% - Énfasis3 9 7 4" xfId="24938"/>
    <cellStyle name="40% - Énfasis3 9 7 4 2" xfId="41838"/>
    <cellStyle name="40% - Énfasis3 9 7 5" xfId="41833"/>
    <cellStyle name="40% - Énfasis3 9 8" xfId="24939"/>
    <cellStyle name="40% - Énfasis3 9 8 2" xfId="24940"/>
    <cellStyle name="40% - Énfasis3 9 8 2 2" xfId="24941"/>
    <cellStyle name="40% - Énfasis3 9 8 2 2 2" xfId="41841"/>
    <cellStyle name="40% - Énfasis3 9 8 2 3" xfId="41840"/>
    <cellStyle name="40% - Énfasis3 9 8 3" xfId="24942"/>
    <cellStyle name="40% - Énfasis3 9 8 3 2" xfId="41842"/>
    <cellStyle name="40% - Énfasis3 9 8 4" xfId="41839"/>
    <cellStyle name="40% - Énfasis3 9 9" xfId="24943"/>
    <cellStyle name="40% - Énfasis3 9 9 2" xfId="24944"/>
    <cellStyle name="40% - Énfasis3 9 9 2 2" xfId="24945"/>
    <cellStyle name="40% - Énfasis3 9 9 2 2 2" xfId="41845"/>
    <cellStyle name="40% - Énfasis3 9 9 2 3" xfId="41844"/>
    <cellStyle name="40% - Énfasis3 9 9 3" xfId="24946"/>
    <cellStyle name="40% - Énfasis3 9 9 3 2" xfId="41846"/>
    <cellStyle name="40% - Énfasis3 9 9 4" xfId="41843"/>
    <cellStyle name="40% - Énfasis3 9_IAS" xfId="24947"/>
    <cellStyle name="40% - Énfasis4 10" xfId="24949"/>
    <cellStyle name="40% - Énfasis4 10 2" xfId="24950"/>
    <cellStyle name="40% - Énfasis4 10 2 2" xfId="24951"/>
    <cellStyle name="40% - Énfasis4 10 2 2 2" xfId="24952"/>
    <cellStyle name="40% - Énfasis4 10 2 2 2 2" xfId="41850"/>
    <cellStyle name="40% - Énfasis4 10 2 2 3" xfId="41849"/>
    <cellStyle name="40% - Énfasis4 10 2 3" xfId="24953"/>
    <cellStyle name="40% - Énfasis4 10 2 3 2" xfId="24954"/>
    <cellStyle name="40% - Énfasis4 10 2 3 2 2" xfId="41852"/>
    <cellStyle name="40% - Énfasis4 10 2 3 3" xfId="41851"/>
    <cellStyle name="40% - Énfasis4 10 2 4" xfId="24955"/>
    <cellStyle name="40% - Énfasis4 10 2 4 2" xfId="41853"/>
    <cellStyle name="40% - Énfasis4 10 2 5" xfId="41848"/>
    <cellStyle name="40% - Énfasis4 10 3" xfId="24956"/>
    <cellStyle name="40% - Énfasis4 10 3 2" xfId="41854"/>
    <cellStyle name="40% - Énfasis4 10 4" xfId="24957"/>
    <cellStyle name="40% - Énfasis4 10 4 2" xfId="24958"/>
    <cellStyle name="40% - Énfasis4 10 4 2 2" xfId="41856"/>
    <cellStyle name="40% - Énfasis4 10 4 3" xfId="41855"/>
    <cellStyle name="40% - Énfasis4 10 5" xfId="24959"/>
    <cellStyle name="40% - Énfasis4 10 5 2" xfId="41857"/>
    <cellStyle name="40% - Énfasis4 10 6" xfId="41847"/>
    <cellStyle name="40% - Énfasis4 10_IAS" xfId="24960"/>
    <cellStyle name="40% - Énfasis4 11" xfId="24961"/>
    <cellStyle name="40% - Énfasis4 11 2" xfId="24962"/>
    <cellStyle name="40% - Énfasis4 11 2 2" xfId="24963"/>
    <cellStyle name="40% - Énfasis4 11 2 2 2" xfId="41860"/>
    <cellStyle name="40% - Énfasis4 11 2 3" xfId="41859"/>
    <cellStyle name="40% - Énfasis4 11 3" xfId="24964"/>
    <cellStyle name="40% - Énfasis4 11 3 2" xfId="24965"/>
    <cellStyle name="40% - Énfasis4 11 3 2 2" xfId="41862"/>
    <cellStyle name="40% - Énfasis4 11 3 3" xfId="41861"/>
    <cellStyle name="40% - Énfasis4 11 4" xfId="24966"/>
    <cellStyle name="40% - Énfasis4 11 4 2" xfId="41863"/>
    <cellStyle name="40% - Énfasis4 11 5" xfId="41858"/>
    <cellStyle name="40% - Énfasis4 11_IAS" xfId="24967"/>
    <cellStyle name="40% - Énfasis4 12" xfId="24968"/>
    <cellStyle name="40% - Énfasis4 12 2" xfId="24969"/>
    <cellStyle name="40% - Énfasis4 12 2 2" xfId="41865"/>
    <cellStyle name="40% - Énfasis4 12 3" xfId="41864"/>
    <cellStyle name="40% - Énfasis4 13" xfId="24970"/>
    <cellStyle name="40% - Énfasis4 13 2" xfId="24971"/>
    <cellStyle name="40% - Énfasis4 13 2 2" xfId="41867"/>
    <cellStyle name="40% - Énfasis4 13 3" xfId="41866"/>
    <cellStyle name="40% - Énfasis4 14" xfId="24972"/>
    <cellStyle name="40% - Énfasis4 14 2" xfId="24973"/>
    <cellStyle name="40% - Énfasis4 14 2 2" xfId="41869"/>
    <cellStyle name="40% - Énfasis4 14 3" xfId="41868"/>
    <cellStyle name="40% - Énfasis4 15" xfId="24974"/>
    <cellStyle name="40% - Énfasis4 15 2" xfId="41870"/>
    <cellStyle name="40% - Énfasis4 16" xfId="24948"/>
    <cellStyle name="40% - Énfasis4 17" xfId="19909"/>
    <cellStyle name="40% - Énfasis4 2" xfId="313"/>
    <cellStyle name="40% - Énfasis4 2 10" xfId="12935"/>
    <cellStyle name="40% - Énfasis4 2 11" xfId="24975"/>
    <cellStyle name="40% - Énfasis4 2 2" xfId="314"/>
    <cellStyle name="40% - Énfasis4 2 2 10" xfId="24976"/>
    <cellStyle name="40% - Énfasis4 2 2 2" xfId="315"/>
    <cellStyle name="40% - Énfasis4 2 2 2 2" xfId="316"/>
    <cellStyle name="40% - Énfasis4 2 2 2 2 2" xfId="317"/>
    <cellStyle name="40% - Énfasis4 2 2 2 2 2 2" xfId="2269"/>
    <cellStyle name="40% - Énfasis4 2 2 2 2 2 2 2" xfId="5394"/>
    <cellStyle name="40% - Énfasis4 2 2 2 2 2 2 2 2" xfId="11597"/>
    <cellStyle name="40% - Énfasis4 2 2 2 2 2 2 2 3" xfId="17799"/>
    <cellStyle name="40% - Énfasis4 2 2 2 2 2 2 2 4" xfId="56630"/>
    <cellStyle name="40% - Énfasis4 2 2 2 2 2 2 3" xfId="8497"/>
    <cellStyle name="40% - Énfasis4 2 2 2 2 2 2 4" xfId="14699"/>
    <cellStyle name="40% - Énfasis4 2 2 2 2 2 2 5" xfId="53734"/>
    <cellStyle name="40% - Énfasis4 2 2 2 2 2 3" xfId="2582"/>
    <cellStyle name="40% - Énfasis4 2 2 2 2 2 3 2" xfId="5706"/>
    <cellStyle name="40% - Énfasis4 2 2 2 2 2 3 2 2" xfId="11909"/>
    <cellStyle name="40% - Énfasis4 2 2 2 2 2 3 2 3" xfId="18111"/>
    <cellStyle name="40% - Énfasis4 2 2 2 2 2 3 2 4" xfId="56939"/>
    <cellStyle name="40% - Énfasis4 2 2 2 2 2 3 3" xfId="8809"/>
    <cellStyle name="40% - Énfasis4 2 2 2 2 2 3 4" xfId="15011"/>
    <cellStyle name="40% - Énfasis4 2 2 2 2 2 3 5" xfId="54044"/>
    <cellStyle name="40% - Énfasis4 2 2 2 2 2 4" xfId="3634"/>
    <cellStyle name="40% - Énfasis4 2 2 2 2 2 4 2" xfId="9838"/>
    <cellStyle name="40% - Énfasis4 2 2 2 2 2 4 3" xfId="16040"/>
    <cellStyle name="40% - Énfasis4 2 2 2 2 2 4 4" xfId="55011"/>
    <cellStyle name="40% - Énfasis4 2 2 2 2 2 5" xfId="6737"/>
    <cellStyle name="40% - Énfasis4 2 2 2 2 2 5 2" xfId="19870"/>
    <cellStyle name="40% - Énfasis4 2 2 2 2 2 6" xfId="12939"/>
    <cellStyle name="40% - Énfasis4 2 2 2 2 2 7" xfId="52338"/>
    <cellStyle name="40% - Énfasis4 2 2 2 2 3" xfId="1745"/>
    <cellStyle name="40% - Énfasis4 2 2 2 2 3 2" xfId="4870"/>
    <cellStyle name="40% - Énfasis4 2 2 2 2 3 2 2" xfId="11073"/>
    <cellStyle name="40% - Énfasis4 2 2 2 2 3 2 3" xfId="17275"/>
    <cellStyle name="40% - Énfasis4 2 2 2 2 3 2 4" xfId="56141"/>
    <cellStyle name="40% - Énfasis4 2 2 2 2 3 3" xfId="7973"/>
    <cellStyle name="40% - Énfasis4 2 2 2 2 3 4" xfId="14175"/>
    <cellStyle name="40% - Énfasis4 2 2 2 2 3 5" xfId="53249"/>
    <cellStyle name="40% - Énfasis4 2 2 2 2 4" xfId="2581"/>
    <cellStyle name="40% - Énfasis4 2 2 2 2 4 2" xfId="5705"/>
    <cellStyle name="40% - Énfasis4 2 2 2 2 4 2 2" xfId="11908"/>
    <cellStyle name="40% - Énfasis4 2 2 2 2 4 2 3" xfId="18110"/>
    <cellStyle name="40% - Énfasis4 2 2 2 2 4 2 4" xfId="56938"/>
    <cellStyle name="40% - Énfasis4 2 2 2 2 4 3" xfId="8808"/>
    <cellStyle name="40% - Énfasis4 2 2 2 2 4 4" xfId="15010"/>
    <cellStyle name="40% - Énfasis4 2 2 2 2 4 5" xfId="54043"/>
    <cellStyle name="40% - Énfasis4 2 2 2 2 5" xfId="3633"/>
    <cellStyle name="40% - Énfasis4 2 2 2 2 5 2" xfId="9837"/>
    <cellStyle name="40% - Énfasis4 2 2 2 2 5 3" xfId="16039"/>
    <cellStyle name="40% - Énfasis4 2 2 2 2 5 4" xfId="55010"/>
    <cellStyle name="40% - Énfasis4 2 2 2 2 6" xfId="6736"/>
    <cellStyle name="40% - Énfasis4 2 2 2 2 6 2" xfId="19346"/>
    <cellStyle name="40% - Énfasis4 2 2 2 2 7" xfId="12938"/>
    <cellStyle name="40% - Énfasis4 2 2 2 2 8" xfId="52142"/>
    <cellStyle name="40% - Énfasis4 2 2 2 3" xfId="318"/>
    <cellStyle name="40% - Énfasis4 2 2 2 3 2" xfId="2024"/>
    <cellStyle name="40% - Énfasis4 2 2 2 3 2 2" xfId="5149"/>
    <cellStyle name="40% - Énfasis4 2 2 2 3 2 2 2" xfId="11352"/>
    <cellStyle name="40% - Énfasis4 2 2 2 3 2 2 3" xfId="17554"/>
    <cellStyle name="40% - Énfasis4 2 2 2 3 2 2 4" xfId="56403"/>
    <cellStyle name="40% - Énfasis4 2 2 2 3 2 3" xfId="8252"/>
    <cellStyle name="40% - Énfasis4 2 2 2 3 2 4" xfId="14454"/>
    <cellStyle name="40% - Énfasis4 2 2 2 3 2 5" xfId="53508"/>
    <cellStyle name="40% - Énfasis4 2 2 2 3 3" xfId="2583"/>
    <cellStyle name="40% - Énfasis4 2 2 2 3 3 2" xfId="5707"/>
    <cellStyle name="40% - Énfasis4 2 2 2 3 3 2 2" xfId="11910"/>
    <cellStyle name="40% - Énfasis4 2 2 2 3 3 2 3" xfId="18112"/>
    <cellStyle name="40% - Énfasis4 2 2 2 3 3 2 4" xfId="56940"/>
    <cellStyle name="40% - Énfasis4 2 2 2 3 3 3" xfId="8810"/>
    <cellStyle name="40% - Énfasis4 2 2 2 3 3 4" xfId="15012"/>
    <cellStyle name="40% - Énfasis4 2 2 2 3 3 5" xfId="54045"/>
    <cellStyle name="40% - Énfasis4 2 2 2 3 4" xfId="3635"/>
    <cellStyle name="40% - Énfasis4 2 2 2 3 4 2" xfId="9839"/>
    <cellStyle name="40% - Énfasis4 2 2 2 3 4 3" xfId="16041"/>
    <cellStyle name="40% - Énfasis4 2 2 2 3 4 4" xfId="55012"/>
    <cellStyle name="40% - Énfasis4 2 2 2 3 5" xfId="6738"/>
    <cellStyle name="40% - Énfasis4 2 2 2 3 5 2" xfId="19625"/>
    <cellStyle name="40% - Énfasis4 2 2 2 3 6" xfId="12940"/>
    <cellStyle name="40% - Énfasis4 2 2 2 3 7" xfId="52339"/>
    <cellStyle name="40% - Énfasis4 2 2 2 4" xfId="1500"/>
    <cellStyle name="40% - Énfasis4 2 2 2 4 2" xfId="4625"/>
    <cellStyle name="40% - Énfasis4 2 2 2 4 2 2" xfId="10828"/>
    <cellStyle name="40% - Énfasis4 2 2 2 4 2 3" xfId="17030"/>
    <cellStyle name="40% - Énfasis4 2 2 2 4 2 4" xfId="55908"/>
    <cellStyle name="40% - Énfasis4 2 2 2 4 3" xfId="7728"/>
    <cellStyle name="40% - Énfasis4 2 2 2 4 4" xfId="13930"/>
    <cellStyle name="40% - Énfasis4 2 2 2 4 5" xfId="53024"/>
    <cellStyle name="40% - Énfasis4 2 2 2 5" xfId="2580"/>
    <cellStyle name="40% - Énfasis4 2 2 2 5 2" xfId="5704"/>
    <cellStyle name="40% - Énfasis4 2 2 2 5 2 2" xfId="11907"/>
    <cellStyle name="40% - Énfasis4 2 2 2 5 2 3" xfId="18109"/>
    <cellStyle name="40% - Énfasis4 2 2 2 5 2 4" xfId="56937"/>
    <cellStyle name="40% - Énfasis4 2 2 2 5 3" xfId="8807"/>
    <cellStyle name="40% - Énfasis4 2 2 2 5 4" xfId="15009"/>
    <cellStyle name="40% - Énfasis4 2 2 2 5 5" xfId="54042"/>
    <cellStyle name="40% - Énfasis4 2 2 2 6" xfId="3632"/>
    <cellStyle name="40% - Énfasis4 2 2 2 6 2" xfId="9836"/>
    <cellStyle name="40% - Énfasis4 2 2 2 6 3" xfId="16038"/>
    <cellStyle name="40% - Énfasis4 2 2 2 6 4" xfId="55009"/>
    <cellStyle name="40% - Énfasis4 2 2 2 7" xfId="6735"/>
    <cellStyle name="40% - Énfasis4 2 2 2 7 2" xfId="19101"/>
    <cellStyle name="40% - Énfasis4 2 2 2 8" xfId="12937"/>
    <cellStyle name="40% - Énfasis4 2 2 2 9" xfId="41872"/>
    <cellStyle name="40% - Énfasis4 2 2 3" xfId="319"/>
    <cellStyle name="40% - Énfasis4 2 2 3 2" xfId="320"/>
    <cellStyle name="40% - Énfasis4 2 2 3 2 2" xfId="2141"/>
    <cellStyle name="40% - Énfasis4 2 2 3 2 2 2" xfId="5266"/>
    <cellStyle name="40% - Énfasis4 2 2 3 2 2 2 2" xfId="11469"/>
    <cellStyle name="40% - Énfasis4 2 2 3 2 2 2 3" xfId="17671"/>
    <cellStyle name="40% - Énfasis4 2 2 3 2 2 2 4" xfId="56511"/>
    <cellStyle name="40% - Énfasis4 2 2 3 2 2 3" xfId="8369"/>
    <cellStyle name="40% - Énfasis4 2 2 3 2 2 4" xfId="14571"/>
    <cellStyle name="40% - Énfasis4 2 2 3 2 2 5" xfId="53615"/>
    <cellStyle name="40% - Énfasis4 2 2 3 2 3" xfId="2585"/>
    <cellStyle name="40% - Énfasis4 2 2 3 2 3 2" xfId="5709"/>
    <cellStyle name="40% - Énfasis4 2 2 3 2 3 2 2" xfId="11912"/>
    <cellStyle name="40% - Énfasis4 2 2 3 2 3 2 3" xfId="18114"/>
    <cellStyle name="40% - Énfasis4 2 2 3 2 3 2 4" xfId="56942"/>
    <cellStyle name="40% - Énfasis4 2 2 3 2 3 3" xfId="8812"/>
    <cellStyle name="40% - Énfasis4 2 2 3 2 3 4" xfId="15014"/>
    <cellStyle name="40% - Énfasis4 2 2 3 2 3 5" xfId="54047"/>
    <cellStyle name="40% - Énfasis4 2 2 3 2 4" xfId="3637"/>
    <cellStyle name="40% - Énfasis4 2 2 3 2 4 2" xfId="9841"/>
    <cellStyle name="40% - Énfasis4 2 2 3 2 4 3" xfId="16043"/>
    <cellStyle name="40% - Énfasis4 2 2 3 2 4 4" xfId="55014"/>
    <cellStyle name="40% - Énfasis4 2 2 3 2 5" xfId="6740"/>
    <cellStyle name="40% - Énfasis4 2 2 3 2 5 2" xfId="19742"/>
    <cellStyle name="40% - Énfasis4 2 2 3 2 6" xfId="12942"/>
    <cellStyle name="40% - Énfasis4 2 2 3 2 7" xfId="52340"/>
    <cellStyle name="40% - Énfasis4 2 2 3 3" xfId="1617"/>
    <cellStyle name="40% - Énfasis4 2 2 3 3 2" xfId="4742"/>
    <cellStyle name="40% - Énfasis4 2 2 3 3 2 2" xfId="10945"/>
    <cellStyle name="40% - Énfasis4 2 2 3 3 2 3" xfId="17147"/>
    <cellStyle name="40% - Énfasis4 2 2 3 3 2 4" xfId="56019"/>
    <cellStyle name="40% - Énfasis4 2 2 3 3 3" xfId="7845"/>
    <cellStyle name="40% - Énfasis4 2 2 3 3 4" xfId="14047"/>
    <cellStyle name="40% - Énfasis4 2 2 3 3 5" xfId="53130"/>
    <cellStyle name="40% - Énfasis4 2 2 3 4" xfId="2584"/>
    <cellStyle name="40% - Énfasis4 2 2 3 4 2" xfId="5708"/>
    <cellStyle name="40% - Énfasis4 2 2 3 4 2 2" xfId="11911"/>
    <cellStyle name="40% - Énfasis4 2 2 3 4 2 3" xfId="18113"/>
    <cellStyle name="40% - Énfasis4 2 2 3 4 2 4" xfId="56941"/>
    <cellStyle name="40% - Énfasis4 2 2 3 4 3" xfId="8811"/>
    <cellStyle name="40% - Énfasis4 2 2 3 4 4" xfId="15013"/>
    <cellStyle name="40% - Énfasis4 2 2 3 4 5" xfId="54046"/>
    <cellStyle name="40% - Énfasis4 2 2 3 5" xfId="3636"/>
    <cellStyle name="40% - Énfasis4 2 2 3 5 2" xfId="9840"/>
    <cellStyle name="40% - Énfasis4 2 2 3 5 3" xfId="16042"/>
    <cellStyle name="40% - Énfasis4 2 2 3 5 4" xfId="55013"/>
    <cellStyle name="40% - Énfasis4 2 2 3 6" xfId="6739"/>
    <cellStyle name="40% - Énfasis4 2 2 3 6 2" xfId="19218"/>
    <cellStyle name="40% - Énfasis4 2 2 3 7" xfId="12941"/>
    <cellStyle name="40% - Énfasis4 2 2 3 8" xfId="52010"/>
    <cellStyle name="40% - Énfasis4 2 2 4" xfId="321"/>
    <cellStyle name="40% - Énfasis4 2 2 4 2" xfId="1882"/>
    <cellStyle name="40% - Énfasis4 2 2 4 2 2" xfId="5007"/>
    <cellStyle name="40% - Énfasis4 2 2 4 2 2 2" xfId="11210"/>
    <cellStyle name="40% - Énfasis4 2 2 4 2 2 3" xfId="17412"/>
    <cellStyle name="40% - Énfasis4 2 2 4 2 2 4" xfId="56269"/>
    <cellStyle name="40% - Énfasis4 2 2 4 2 3" xfId="8110"/>
    <cellStyle name="40% - Énfasis4 2 2 4 2 4" xfId="14312"/>
    <cellStyle name="40% - Énfasis4 2 2 4 2 5" xfId="53375"/>
    <cellStyle name="40% - Énfasis4 2 2 4 3" xfId="2586"/>
    <cellStyle name="40% - Énfasis4 2 2 4 3 2" xfId="5710"/>
    <cellStyle name="40% - Énfasis4 2 2 4 3 2 2" xfId="11913"/>
    <cellStyle name="40% - Énfasis4 2 2 4 3 2 3" xfId="18115"/>
    <cellStyle name="40% - Énfasis4 2 2 4 3 2 4" xfId="56943"/>
    <cellStyle name="40% - Énfasis4 2 2 4 3 3" xfId="8813"/>
    <cellStyle name="40% - Énfasis4 2 2 4 3 4" xfId="15015"/>
    <cellStyle name="40% - Énfasis4 2 2 4 3 5" xfId="54048"/>
    <cellStyle name="40% - Énfasis4 2 2 4 4" xfId="3638"/>
    <cellStyle name="40% - Énfasis4 2 2 4 4 2" xfId="9842"/>
    <cellStyle name="40% - Énfasis4 2 2 4 4 3" xfId="16044"/>
    <cellStyle name="40% - Énfasis4 2 2 4 4 4" xfId="55015"/>
    <cellStyle name="40% - Énfasis4 2 2 4 5" xfId="6741"/>
    <cellStyle name="40% - Énfasis4 2 2 4 5 2" xfId="19483"/>
    <cellStyle name="40% - Énfasis4 2 2 4 6" xfId="12943"/>
    <cellStyle name="40% - Énfasis4 2 2 4 7" xfId="52341"/>
    <cellStyle name="40% - Énfasis4 2 2 5" xfId="1358"/>
    <cellStyle name="40% - Énfasis4 2 2 5 2" xfId="4483"/>
    <cellStyle name="40% - Énfasis4 2 2 5 2 2" xfId="10686"/>
    <cellStyle name="40% - Énfasis4 2 2 5 2 3" xfId="16888"/>
    <cellStyle name="40% - Énfasis4 2 2 5 2 4" xfId="55773"/>
    <cellStyle name="40% - Énfasis4 2 2 5 3" xfId="7586"/>
    <cellStyle name="40% - Énfasis4 2 2 5 4" xfId="13788"/>
    <cellStyle name="40% - Énfasis4 2 2 5 5" xfId="52898"/>
    <cellStyle name="40% - Énfasis4 2 2 6" xfId="2579"/>
    <cellStyle name="40% - Énfasis4 2 2 6 2" xfId="5703"/>
    <cellStyle name="40% - Énfasis4 2 2 6 2 2" xfId="11906"/>
    <cellStyle name="40% - Énfasis4 2 2 6 2 3" xfId="18108"/>
    <cellStyle name="40% - Énfasis4 2 2 6 2 4" xfId="56936"/>
    <cellStyle name="40% - Énfasis4 2 2 6 3" xfId="8806"/>
    <cellStyle name="40% - Énfasis4 2 2 6 4" xfId="15008"/>
    <cellStyle name="40% - Énfasis4 2 2 6 5" xfId="54041"/>
    <cellStyle name="40% - Énfasis4 2 2 7" xfId="3631"/>
    <cellStyle name="40% - Énfasis4 2 2 7 2" xfId="9835"/>
    <cellStyle name="40% - Énfasis4 2 2 7 3" xfId="16037"/>
    <cellStyle name="40% - Énfasis4 2 2 7 4" xfId="55008"/>
    <cellStyle name="40% - Énfasis4 2 2 8" xfId="6734"/>
    <cellStyle name="40% - Énfasis4 2 2 8 2" xfId="18959"/>
    <cellStyle name="40% - Énfasis4 2 2 9" xfId="12936"/>
    <cellStyle name="40% - Énfasis4 2 3" xfId="322"/>
    <cellStyle name="40% - Énfasis4 2 3 2" xfId="323"/>
    <cellStyle name="40% - Énfasis4 2 3 2 2" xfId="324"/>
    <cellStyle name="40% - Énfasis4 2 3 2 2 2" xfId="2201"/>
    <cellStyle name="40% - Énfasis4 2 3 2 2 2 2" xfId="5326"/>
    <cellStyle name="40% - Énfasis4 2 3 2 2 2 2 2" xfId="11529"/>
    <cellStyle name="40% - Énfasis4 2 3 2 2 2 2 3" xfId="17731"/>
    <cellStyle name="40% - Énfasis4 2 3 2 2 2 2 4" xfId="56567"/>
    <cellStyle name="40% - Énfasis4 2 3 2 2 2 3" xfId="8429"/>
    <cellStyle name="40% - Énfasis4 2 3 2 2 2 4" xfId="14631"/>
    <cellStyle name="40% - Énfasis4 2 3 2 2 2 5" xfId="53671"/>
    <cellStyle name="40% - Énfasis4 2 3 2 2 3" xfId="2589"/>
    <cellStyle name="40% - Énfasis4 2 3 2 2 3 2" xfId="5713"/>
    <cellStyle name="40% - Énfasis4 2 3 2 2 3 2 2" xfId="11916"/>
    <cellStyle name="40% - Énfasis4 2 3 2 2 3 2 3" xfId="18118"/>
    <cellStyle name="40% - Énfasis4 2 3 2 2 3 2 4" xfId="56946"/>
    <cellStyle name="40% - Énfasis4 2 3 2 2 3 3" xfId="8816"/>
    <cellStyle name="40% - Énfasis4 2 3 2 2 3 4" xfId="15018"/>
    <cellStyle name="40% - Énfasis4 2 3 2 2 3 5" xfId="54051"/>
    <cellStyle name="40% - Énfasis4 2 3 2 2 4" xfId="3641"/>
    <cellStyle name="40% - Énfasis4 2 3 2 2 4 2" xfId="9845"/>
    <cellStyle name="40% - Énfasis4 2 3 2 2 4 3" xfId="16047"/>
    <cellStyle name="40% - Énfasis4 2 3 2 2 4 4" xfId="55018"/>
    <cellStyle name="40% - Énfasis4 2 3 2 2 5" xfId="6744"/>
    <cellStyle name="40% - Énfasis4 2 3 2 2 5 2" xfId="19802"/>
    <cellStyle name="40% - Énfasis4 2 3 2 2 6" xfId="12946"/>
    <cellStyle name="40% - Énfasis4 2 3 2 2 7" xfId="52342"/>
    <cellStyle name="40% - Énfasis4 2 3 2 3" xfId="1677"/>
    <cellStyle name="40% - Énfasis4 2 3 2 3 2" xfId="4802"/>
    <cellStyle name="40% - Énfasis4 2 3 2 3 2 2" xfId="11005"/>
    <cellStyle name="40% - Énfasis4 2 3 2 3 2 3" xfId="17207"/>
    <cellStyle name="40% - Énfasis4 2 3 2 3 2 4" xfId="56076"/>
    <cellStyle name="40% - Énfasis4 2 3 2 3 3" xfId="7905"/>
    <cellStyle name="40% - Énfasis4 2 3 2 3 4" xfId="14107"/>
    <cellStyle name="40% - Énfasis4 2 3 2 3 5" xfId="53186"/>
    <cellStyle name="40% - Énfasis4 2 3 2 4" xfId="2588"/>
    <cellStyle name="40% - Énfasis4 2 3 2 4 2" xfId="5712"/>
    <cellStyle name="40% - Énfasis4 2 3 2 4 2 2" xfId="11915"/>
    <cellStyle name="40% - Énfasis4 2 3 2 4 2 3" xfId="18117"/>
    <cellStyle name="40% - Énfasis4 2 3 2 4 2 4" xfId="56945"/>
    <cellStyle name="40% - Énfasis4 2 3 2 4 3" xfId="8815"/>
    <cellStyle name="40% - Énfasis4 2 3 2 4 4" xfId="15017"/>
    <cellStyle name="40% - Énfasis4 2 3 2 4 5" xfId="54050"/>
    <cellStyle name="40% - Énfasis4 2 3 2 5" xfId="3640"/>
    <cellStyle name="40% - Énfasis4 2 3 2 5 2" xfId="9844"/>
    <cellStyle name="40% - Énfasis4 2 3 2 5 3" xfId="16046"/>
    <cellStyle name="40% - Énfasis4 2 3 2 5 4" xfId="55017"/>
    <cellStyle name="40% - Énfasis4 2 3 2 6" xfId="6743"/>
    <cellStyle name="40% - Énfasis4 2 3 2 6 2" xfId="19278"/>
    <cellStyle name="40% - Énfasis4 2 3 2 7" xfId="12945"/>
    <cellStyle name="40% - Énfasis4 2 3 2 8" xfId="52079"/>
    <cellStyle name="40% - Énfasis4 2 3 3" xfId="325"/>
    <cellStyle name="40% - Énfasis4 2 3 3 2" xfId="1956"/>
    <cellStyle name="40% - Énfasis4 2 3 3 2 2" xfId="5081"/>
    <cellStyle name="40% - Énfasis4 2 3 3 2 2 2" xfId="11284"/>
    <cellStyle name="40% - Énfasis4 2 3 3 2 2 3" xfId="17486"/>
    <cellStyle name="40% - Énfasis4 2 3 3 2 2 4" xfId="56340"/>
    <cellStyle name="40% - Énfasis4 2 3 3 2 3" xfId="8184"/>
    <cellStyle name="40% - Énfasis4 2 3 3 2 4" xfId="14386"/>
    <cellStyle name="40% - Énfasis4 2 3 3 2 5" xfId="53446"/>
    <cellStyle name="40% - Énfasis4 2 3 3 3" xfId="2590"/>
    <cellStyle name="40% - Énfasis4 2 3 3 3 2" xfId="5714"/>
    <cellStyle name="40% - Énfasis4 2 3 3 3 2 2" xfId="11917"/>
    <cellStyle name="40% - Énfasis4 2 3 3 3 2 3" xfId="18119"/>
    <cellStyle name="40% - Énfasis4 2 3 3 3 2 4" xfId="56947"/>
    <cellStyle name="40% - Énfasis4 2 3 3 3 3" xfId="8817"/>
    <cellStyle name="40% - Énfasis4 2 3 3 3 4" xfId="15019"/>
    <cellStyle name="40% - Énfasis4 2 3 3 3 5" xfId="54052"/>
    <cellStyle name="40% - Énfasis4 2 3 3 4" xfId="3642"/>
    <cellStyle name="40% - Énfasis4 2 3 3 4 2" xfId="9846"/>
    <cellStyle name="40% - Énfasis4 2 3 3 4 3" xfId="16048"/>
    <cellStyle name="40% - Énfasis4 2 3 3 4 4" xfId="55019"/>
    <cellStyle name="40% - Énfasis4 2 3 3 5" xfId="6745"/>
    <cellStyle name="40% - Énfasis4 2 3 3 5 2" xfId="19557"/>
    <cellStyle name="40% - Énfasis4 2 3 3 6" xfId="12947"/>
    <cellStyle name="40% - Énfasis4 2 3 3 7" xfId="52343"/>
    <cellStyle name="40% - Énfasis4 2 3 4" xfId="1432"/>
    <cellStyle name="40% - Énfasis4 2 3 4 2" xfId="4557"/>
    <cellStyle name="40% - Énfasis4 2 3 4 2 2" xfId="10760"/>
    <cellStyle name="40% - Énfasis4 2 3 4 2 3" xfId="16962"/>
    <cellStyle name="40% - Énfasis4 2 3 4 2 4" xfId="55844"/>
    <cellStyle name="40% - Énfasis4 2 3 4 3" xfId="7660"/>
    <cellStyle name="40% - Énfasis4 2 3 4 4" xfId="13862"/>
    <cellStyle name="40% - Énfasis4 2 3 4 5" xfId="52962"/>
    <cellStyle name="40% - Énfasis4 2 3 5" xfId="2587"/>
    <cellStyle name="40% - Énfasis4 2 3 5 2" xfId="5711"/>
    <cellStyle name="40% - Énfasis4 2 3 5 2 2" xfId="11914"/>
    <cellStyle name="40% - Énfasis4 2 3 5 2 3" xfId="18116"/>
    <cellStyle name="40% - Énfasis4 2 3 5 2 4" xfId="56944"/>
    <cellStyle name="40% - Énfasis4 2 3 5 3" xfId="8814"/>
    <cellStyle name="40% - Énfasis4 2 3 5 4" xfId="15016"/>
    <cellStyle name="40% - Énfasis4 2 3 5 5" xfId="54049"/>
    <cellStyle name="40% - Énfasis4 2 3 6" xfId="3639"/>
    <cellStyle name="40% - Énfasis4 2 3 6 2" xfId="9843"/>
    <cellStyle name="40% - Énfasis4 2 3 6 3" xfId="16045"/>
    <cellStyle name="40% - Énfasis4 2 3 6 4" xfId="55016"/>
    <cellStyle name="40% - Énfasis4 2 3 7" xfId="6742"/>
    <cellStyle name="40% - Énfasis4 2 3 7 2" xfId="19033"/>
    <cellStyle name="40% - Énfasis4 2 3 8" xfId="12944"/>
    <cellStyle name="40% - Énfasis4 2 3 9" xfId="41871"/>
    <cellStyle name="40% - Énfasis4 2 4" xfId="326"/>
    <cellStyle name="40% - Énfasis4 2 4 2" xfId="327"/>
    <cellStyle name="40% - Énfasis4 2 4 2 2" xfId="2063"/>
    <cellStyle name="40% - Énfasis4 2 4 2 2 2" xfId="5188"/>
    <cellStyle name="40% - Énfasis4 2 4 2 2 2 2" xfId="11391"/>
    <cellStyle name="40% - Énfasis4 2 4 2 2 2 3" xfId="17593"/>
    <cellStyle name="40% - Énfasis4 2 4 2 2 2 4" xfId="56440"/>
    <cellStyle name="40% - Énfasis4 2 4 2 2 3" xfId="8291"/>
    <cellStyle name="40% - Énfasis4 2 4 2 2 4" xfId="14493"/>
    <cellStyle name="40% - Énfasis4 2 4 2 2 5" xfId="53544"/>
    <cellStyle name="40% - Énfasis4 2 4 2 3" xfId="2592"/>
    <cellStyle name="40% - Énfasis4 2 4 2 3 2" xfId="5716"/>
    <cellStyle name="40% - Énfasis4 2 4 2 3 2 2" xfId="11919"/>
    <cellStyle name="40% - Énfasis4 2 4 2 3 2 3" xfId="18121"/>
    <cellStyle name="40% - Énfasis4 2 4 2 3 2 4" xfId="56949"/>
    <cellStyle name="40% - Énfasis4 2 4 2 3 3" xfId="8819"/>
    <cellStyle name="40% - Énfasis4 2 4 2 3 4" xfId="15021"/>
    <cellStyle name="40% - Énfasis4 2 4 2 3 5" xfId="54054"/>
    <cellStyle name="40% - Énfasis4 2 4 2 4" xfId="3644"/>
    <cellStyle name="40% - Énfasis4 2 4 2 4 2" xfId="9848"/>
    <cellStyle name="40% - Énfasis4 2 4 2 4 3" xfId="16050"/>
    <cellStyle name="40% - Énfasis4 2 4 2 4 4" xfId="55021"/>
    <cellStyle name="40% - Énfasis4 2 4 2 5" xfId="6747"/>
    <cellStyle name="40% - Énfasis4 2 4 2 5 2" xfId="19664"/>
    <cellStyle name="40% - Énfasis4 2 4 2 6" xfId="12949"/>
    <cellStyle name="40% - Énfasis4 2 4 2 7" xfId="52344"/>
    <cellStyle name="40% - Énfasis4 2 4 3" xfId="1539"/>
    <cellStyle name="40% - Énfasis4 2 4 3 2" xfId="4664"/>
    <cellStyle name="40% - Énfasis4 2 4 3 2 2" xfId="10867"/>
    <cellStyle name="40% - Énfasis4 2 4 3 2 3" xfId="17069"/>
    <cellStyle name="40% - Énfasis4 2 4 3 2 4" xfId="55945"/>
    <cellStyle name="40% - Énfasis4 2 4 3 3" xfId="7767"/>
    <cellStyle name="40% - Énfasis4 2 4 3 4" xfId="13969"/>
    <cellStyle name="40% - Énfasis4 2 4 3 5" xfId="53060"/>
    <cellStyle name="40% - Énfasis4 2 4 4" xfId="2591"/>
    <cellStyle name="40% - Énfasis4 2 4 4 2" xfId="5715"/>
    <cellStyle name="40% - Énfasis4 2 4 4 2 2" xfId="11918"/>
    <cellStyle name="40% - Énfasis4 2 4 4 2 3" xfId="18120"/>
    <cellStyle name="40% - Énfasis4 2 4 4 2 4" xfId="56948"/>
    <cellStyle name="40% - Énfasis4 2 4 4 3" xfId="8818"/>
    <cellStyle name="40% - Énfasis4 2 4 4 4" xfId="15020"/>
    <cellStyle name="40% - Énfasis4 2 4 4 5" xfId="54053"/>
    <cellStyle name="40% - Énfasis4 2 4 5" xfId="3643"/>
    <cellStyle name="40% - Énfasis4 2 4 5 2" xfId="9847"/>
    <cellStyle name="40% - Énfasis4 2 4 5 3" xfId="16049"/>
    <cellStyle name="40% - Énfasis4 2 4 5 4" xfId="55020"/>
    <cellStyle name="40% - Énfasis4 2 4 6" xfId="6746"/>
    <cellStyle name="40% - Énfasis4 2 4 6 2" xfId="19140"/>
    <cellStyle name="40% - Énfasis4 2 4 7" xfId="12948"/>
    <cellStyle name="40% - Énfasis4 2 4 8" xfId="51941"/>
    <cellStyle name="40% - Énfasis4 2 5" xfId="328"/>
    <cellStyle name="40% - Énfasis4 2 5 2" xfId="1792"/>
    <cellStyle name="40% - Énfasis4 2 5 2 2" xfId="4917"/>
    <cellStyle name="40% - Énfasis4 2 5 2 2 2" xfId="11120"/>
    <cellStyle name="40% - Énfasis4 2 5 2 2 3" xfId="17322"/>
    <cellStyle name="40% - Énfasis4 2 5 2 2 4" xfId="56186"/>
    <cellStyle name="40% - Énfasis4 2 5 2 3" xfId="8020"/>
    <cellStyle name="40% - Énfasis4 2 5 2 4" xfId="14222"/>
    <cellStyle name="40% - Énfasis4 2 5 2 5" xfId="53293"/>
    <cellStyle name="40% - Énfasis4 2 5 3" xfId="2593"/>
    <cellStyle name="40% - Énfasis4 2 5 3 2" xfId="5717"/>
    <cellStyle name="40% - Énfasis4 2 5 3 2 2" xfId="11920"/>
    <cellStyle name="40% - Énfasis4 2 5 3 2 3" xfId="18122"/>
    <cellStyle name="40% - Énfasis4 2 5 3 2 4" xfId="56950"/>
    <cellStyle name="40% - Énfasis4 2 5 3 3" xfId="8820"/>
    <cellStyle name="40% - Énfasis4 2 5 3 4" xfId="15022"/>
    <cellStyle name="40% - Énfasis4 2 5 3 5" xfId="54055"/>
    <cellStyle name="40% - Énfasis4 2 5 4" xfId="3645"/>
    <cellStyle name="40% - Énfasis4 2 5 4 2" xfId="9849"/>
    <cellStyle name="40% - Énfasis4 2 5 4 3" xfId="16051"/>
    <cellStyle name="40% - Énfasis4 2 5 4 4" xfId="55022"/>
    <cellStyle name="40% - Énfasis4 2 5 5" xfId="6748"/>
    <cellStyle name="40% - Énfasis4 2 5 5 2" xfId="19393"/>
    <cellStyle name="40% - Énfasis4 2 5 6" xfId="12950"/>
    <cellStyle name="40% - Énfasis4 2 5 7" xfId="52345"/>
    <cellStyle name="40% - Énfasis4 2 6" xfId="1290"/>
    <cellStyle name="40% - Énfasis4 2 6 2" xfId="4415"/>
    <cellStyle name="40% - Énfasis4 2 6 2 2" xfId="10618"/>
    <cellStyle name="40% - Énfasis4 2 6 2 3" xfId="16820"/>
    <cellStyle name="40% - Énfasis4 2 6 2 4" xfId="55708"/>
    <cellStyle name="40% - Énfasis4 2 6 3" xfId="7518"/>
    <cellStyle name="40% - Énfasis4 2 6 4" xfId="13720"/>
    <cellStyle name="40% - Énfasis4 2 6 5" xfId="52837"/>
    <cellStyle name="40% - Énfasis4 2 7" xfId="2578"/>
    <cellStyle name="40% - Énfasis4 2 7 2" xfId="5702"/>
    <cellStyle name="40% - Énfasis4 2 7 2 2" xfId="11905"/>
    <cellStyle name="40% - Énfasis4 2 7 2 3" xfId="18107"/>
    <cellStyle name="40% - Énfasis4 2 7 2 4" xfId="56935"/>
    <cellStyle name="40% - Énfasis4 2 7 3" xfId="8805"/>
    <cellStyle name="40% - Énfasis4 2 7 4" xfId="15007"/>
    <cellStyle name="40% - Énfasis4 2 7 5" xfId="54040"/>
    <cellStyle name="40% - Énfasis4 2 8" xfId="3630"/>
    <cellStyle name="40% - Énfasis4 2 8 2" xfId="9834"/>
    <cellStyle name="40% - Énfasis4 2 8 3" xfId="16036"/>
    <cellStyle name="40% - Énfasis4 2 8 4" xfId="55007"/>
    <cellStyle name="40% - Énfasis4 2 9" xfId="6733"/>
    <cellStyle name="40% - Énfasis4 2 9 2" xfId="18891"/>
    <cellStyle name="40% - Énfasis4 3" xfId="329"/>
    <cellStyle name="40% - Énfasis4 3 10" xfId="24977"/>
    <cellStyle name="40% - Énfasis4 3 2" xfId="330"/>
    <cellStyle name="40% - Énfasis4 3 2 2" xfId="331"/>
    <cellStyle name="40% - Énfasis4 3 2 2 2" xfId="332"/>
    <cellStyle name="40% - Énfasis4 3 2 2 2 2" xfId="2238"/>
    <cellStyle name="40% - Énfasis4 3 2 2 2 2 2" xfId="5363"/>
    <cellStyle name="40% - Énfasis4 3 2 2 2 2 2 2" xfId="11566"/>
    <cellStyle name="40% - Énfasis4 3 2 2 2 2 2 3" xfId="17768"/>
    <cellStyle name="40% - Énfasis4 3 2 2 2 2 2 4" xfId="56602"/>
    <cellStyle name="40% - Énfasis4 3 2 2 2 2 3" xfId="8466"/>
    <cellStyle name="40% - Énfasis4 3 2 2 2 2 4" xfId="14668"/>
    <cellStyle name="40% - Énfasis4 3 2 2 2 2 5" xfId="53706"/>
    <cellStyle name="40% - Énfasis4 3 2 2 2 3" xfId="2597"/>
    <cellStyle name="40% - Énfasis4 3 2 2 2 3 2" xfId="5721"/>
    <cellStyle name="40% - Énfasis4 3 2 2 2 3 2 2" xfId="11924"/>
    <cellStyle name="40% - Énfasis4 3 2 2 2 3 2 3" xfId="18126"/>
    <cellStyle name="40% - Énfasis4 3 2 2 2 3 2 4" xfId="56954"/>
    <cellStyle name="40% - Énfasis4 3 2 2 2 3 3" xfId="8824"/>
    <cellStyle name="40% - Énfasis4 3 2 2 2 3 4" xfId="15026"/>
    <cellStyle name="40% - Énfasis4 3 2 2 2 3 5" xfId="54059"/>
    <cellStyle name="40% - Énfasis4 3 2 2 2 4" xfId="3649"/>
    <cellStyle name="40% - Énfasis4 3 2 2 2 4 2" xfId="9853"/>
    <cellStyle name="40% - Énfasis4 3 2 2 2 4 3" xfId="16055"/>
    <cellStyle name="40% - Énfasis4 3 2 2 2 4 4" xfId="55026"/>
    <cellStyle name="40% - Énfasis4 3 2 2 2 5" xfId="6752"/>
    <cellStyle name="40% - Énfasis4 3 2 2 2 5 2" xfId="19839"/>
    <cellStyle name="40% - Énfasis4 3 2 2 2 6" xfId="12954"/>
    <cellStyle name="40% - Énfasis4 3 2 2 2 7" xfId="52347"/>
    <cellStyle name="40% - Énfasis4 3 2 2 3" xfId="1714"/>
    <cellStyle name="40% - Énfasis4 3 2 2 3 2" xfId="4839"/>
    <cellStyle name="40% - Énfasis4 3 2 2 3 2 2" xfId="11042"/>
    <cellStyle name="40% - Énfasis4 3 2 2 3 2 3" xfId="17244"/>
    <cellStyle name="40% - Énfasis4 3 2 2 3 2 4" xfId="56111"/>
    <cellStyle name="40% - Énfasis4 3 2 2 3 3" xfId="7942"/>
    <cellStyle name="40% - Énfasis4 3 2 2 3 4" xfId="14144"/>
    <cellStyle name="40% - Énfasis4 3 2 2 3 5" xfId="53221"/>
    <cellStyle name="40% - Énfasis4 3 2 2 4" xfId="2596"/>
    <cellStyle name="40% - Énfasis4 3 2 2 4 2" xfId="5720"/>
    <cellStyle name="40% - Énfasis4 3 2 2 4 2 2" xfId="11923"/>
    <cellStyle name="40% - Énfasis4 3 2 2 4 2 3" xfId="18125"/>
    <cellStyle name="40% - Énfasis4 3 2 2 4 2 4" xfId="56953"/>
    <cellStyle name="40% - Énfasis4 3 2 2 4 3" xfId="8823"/>
    <cellStyle name="40% - Énfasis4 3 2 2 4 4" xfId="15025"/>
    <cellStyle name="40% - Énfasis4 3 2 2 4 5" xfId="54058"/>
    <cellStyle name="40% - Énfasis4 3 2 2 5" xfId="3648"/>
    <cellStyle name="40% - Énfasis4 3 2 2 5 2" xfId="9852"/>
    <cellStyle name="40% - Énfasis4 3 2 2 5 3" xfId="16054"/>
    <cellStyle name="40% - Énfasis4 3 2 2 5 4" xfId="55025"/>
    <cellStyle name="40% - Énfasis4 3 2 2 6" xfId="6751"/>
    <cellStyle name="40% - Énfasis4 3 2 2 6 2" xfId="19315"/>
    <cellStyle name="40% - Énfasis4 3 2 2 6 3" xfId="52346"/>
    <cellStyle name="40% - Énfasis4 3 2 2 7" xfId="12953"/>
    <cellStyle name="40% - Énfasis4 3 2 2 8" xfId="41874"/>
    <cellStyle name="40% - Énfasis4 3 2 3" xfId="333"/>
    <cellStyle name="40% - Énfasis4 3 2 3 2" xfId="1993"/>
    <cellStyle name="40% - Énfasis4 3 2 3 2 2" xfId="5118"/>
    <cellStyle name="40% - Énfasis4 3 2 3 2 2 2" xfId="11321"/>
    <cellStyle name="40% - Énfasis4 3 2 3 2 2 3" xfId="17523"/>
    <cellStyle name="40% - Énfasis4 3 2 3 2 2 4" xfId="56375"/>
    <cellStyle name="40% - Énfasis4 3 2 3 2 3" xfId="8221"/>
    <cellStyle name="40% - Énfasis4 3 2 3 2 4" xfId="14423"/>
    <cellStyle name="40% - Énfasis4 3 2 3 2 5" xfId="53481"/>
    <cellStyle name="40% - Énfasis4 3 2 3 3" xfId="2598"/>
    <cellStyle name="40% - Énfasis4 3 2 3 3 2" xfId="5722"/>
    <cellStyle name="40% - Énfasis4 3 2 3 3 2 2" xfId="11925"/>
    <cellStyle name="40% - Énfasis4 3 2 3 3 2 3" xfId="18127"/>
    <cellStyle name="40% - Énfasis4 3 2 3 3 2 4" xfId="56955"/>
    <cellStyle name="40% - Énfasis4 3 2 3 3 3" xfId="8825"/>
    <cellStyle name="40% - Énfasis4 3 2 3 3 4" xfId="15027"/>
    <cellStyle name="40% - Énfasis4 3 2 3 3 5" xfId="54060"/>
    <cellStyle name="40% - Énfasis4 3 2 3 4" xfId="3650"/>
    <cellStyle name="40% - Énfasis4 3 2 3 4 2" xfId="9854"/>
    <cellStyle name="40% - Énfasis4 3 2 3 4 3" xfId="16056"/>
    <cellStyle name="40% - Énfasis4 3 2 3 4 4" xfId="55027"/>
    <cellStyle name="40% - Énfasis4 3 2 3 5" xfId="6753"/>
    <cellStyle name="40% - Énfasis4 3 2 3 5 2" xfId="19594"/>
    <cellStyle name="40% - Énfasis4 3 2 3 6" xfId="12955"/>
    <cellStyle name="40% - Énfasis4 3 2 3 7" xfId="52116"/>
    <cellStyle name="40% - Énfasis4 3 2 4" xfId="1469"/>
    <cellStyle name="40% - Énfasis4 3 2 4 2" xfId="4594"/>
    <cellStyle name="40% - Énfasis4 3 2 4 2 2" xfId="10797"/>
    <cellStyle name="40% - Énfasis4 3 2 4 2 3" xfId="16999"/>
    <cellStyle name="40% - Énfasis4 3 2 4 2 4" xfId="55879"/>
    <cellStyle name="40% - Énfasis4 3 2 4 3" xfId="7697"/>
    <cellStyle name="40% - Énfasis4 3 2 4 4" xfId="13899"/>
    <cellStyle name="40% - Énfasis4 3 2 4 5" xfId="52997"/>
    <cellStyle name="40% - Énfasis4 3 2 5" xfId="2595"/>
    <cellStyle name="40% - Énfasis4 3 2 5 2" xfId="5719"/>
    <cellStyle name="40% - Énfasis4 3 2 5 2 2" xfId="11922"/>
    <cellStyle name="40% - Énfasis4 3 2 5 2 3" xfId="18124"/>
    <cellStyle name="40% - Énfasis4 3 2 5 2 4" xfId="56952"/>
    <cellStyle name="40% - Énfasis4 3 2 5 3" xfId="8822"/>
    <cellStyle name="40% - Énfasis4 3 2 5 4" xfId="15024"/>
    <cellStyle name="40% - Énfasis4 3 2 5 5" xfId="54057"/>
    <cellStyle name="40% - Énfasis4 3 2 6" xfId="3647"/>
    <cellStyle name="40% - Énfasis4 3 2 6 2" xfId="9851"/>
    <cellStyle name="40% - Énfasis4 3 2 6 3" xfId="16053"/>
    <cellStyle name="40% - Énfasis4 3 2 6 4" xfId="55024"/>
    <cellStyle name="40% - Énfasis4 3 2 7" xfId="6750"/>
    <cellStyle name="40% - Énfasis4 3 2 7 2" xfId="19070"/>
    <cellStyle name="40% - Énfasis4 3 2 8" xfId="12952"/>
    <cellStyle name="40% - Énfasis4 3 2 9" xfId="24978"/>
    <cellStyle name="40% - Énfasis4 3 3" xfId="334"/>
    <cellStyle name="40% - Énfasis4 3 3 2" xfId="335"/>
    <cellStyle name="40% - Énfasis4 3 3 2 2" xfId="2110"/>
    <cellStyle name="40% - Énfasis4 3 3 2 2 2" xfId="5235"/>
    <cellStyle name="40% - Énfasis4 3 3 2 2 2 2" xfId="11438"/>
    <cellStyle name="40% - Énfasis4 3 3 2 2 2 3" xfId="17640"/>
    <cellStyle name="40% - Énfasis4 3 3 2 2 2 4" xfId="56483"/>
    <cellStyle name="40% - Énfasis4 3 3 2 2 3" xfId="8338"/>
    <cellStyle name="40% - Énfasis4 3 3 2 2 4" xfId="14540"/>
    <cellStyle name="40% - Énfasis4 3 3 2 2 5" xfId="53587"/>
    <cellStyle name="40% - Énfasis4 3 3 2 3" xfId="2600"/>
    <cellStyle name="40% - Énfasis4 3 3 2 3 2" xfId="5724"/>
    <cellStyle name="40% - Énfasis4 3 3 2 3 2 2" xfId="11927"/>
    <cellStyle name="40% - Énfasis4 3 3 2 3 2 3" xfId="18129"/>
    <cellStyle name="40% - Énfasis4 3 3 2 3 2 4" xfId="56957"/>
    <cellStyle name="40% - Énfasis4 3 3 2 3 3" xfId="8827"/>
    <cellStyle name="40% - Énfasis4 3 3 2 3 4" xfId="15029"/>
    <cellStyle name="40% - Énfasis4 3 3 2 3 5" xfId="54062"/>
    <cellStyle name="40% - Énfasis4 3 3 2 4" xfId="3652"/>
    <cellStyle name="40% - Énfasis4 3 3 2 4 2" xfId="9856"/>
    <cellStyle name="40% - Énfasis4 3 3 2 4 3" xfId="16058"/>
    <cellStyle name="40% - Énfasis4 3 3 2 4 4" xfId="55029"/>
    <cellStyle name="40% - Énfasis4 3 3 2 5" xfId="6755"/>
    <cellStyle name="40% - Énfasis4 3 3 2 5 2" xfId="19711"/>
    <cellStyle name="40% - Énfasis4 3 3 2 6" xfId="12957"/>
    <cellStyle name="40% - Énfasis4 3 3 2 7" xfId="52349"/>
    <cellStyle name="40% - Énfasis4 3 3 3" xfId="1586"/>
    <cellStyle name="40% - Énfasis4 3 3 3 2" xfId="4711"/>
    <cellStyle name="40% - Énfasis4 3 3 3 2 2" xfId="10914"/>
    <cellStyle name="40% - Énfasis4 3 3 3 2 3" xfId="17116"/>
    <cellStyle name="40% - Énfasis4 3 3 3 2 4" xfId="55989"/>
    <cellStyle name="40% - Énfasis4 3 3 3 3" xfId="7814"/>
    <cellStyle name="40% - Énfasis4 3 3 3 4" xfId="14016"/>
    <cellStyle name="40% - Énfasis4 3 3 3 5" xfId="53102"/>
    <cellStyle name="40% - Énfasis4 3 3 4" xfId="2599"/>
    <cellStyle name="40% - Énfasis4 3 3 4 2" xfId="5723"/>
    <cellStyle name="40% - Énfasis4 3 3 4 2 2" xfId="11926"/>
    <cellStyle name="40% - Énfasis4 3 3 4 2 3" xfId="18128"/>
    <cellStyle name="40% - Énfasis4 3 3 4 2 4" xfId="56956"/>
    <cellStyle name="40% - Énfasis4 3 3 4 3" xfId="8826"/>
    <cellStyle name="40% - Énfasis4 3 3 4 4" xfId="15028"/>
    <cellStyle name="40% - Énfasis4 3 3 4 5" xfId="54061"/>
    <cellStyle name="40% - Énfasis4 3 3 5" xfId="3651"/>
    <cellStyle name="40% - Énfasis4 3 3 5 2" xfId="9855"/>
    <cellStyle name="40% - Énfasis4 3 3 5 3" xfId="16057"/>
    <cellStyle name="40% - Énfasis4 3 3 5 4" xfId="55028"/>
    <cellStyle name="40% - Énfasis4 3 3 6" xfId="6754"/>
    <cellStyle name="40% - Énfasis4 3 3 6 2" xfId="19187"/>
    <cellStyle name="40% - Énfasis4 3 3 6 3" xfId="52348"/>
    <cellStyle name="40% - Énfasis4 3 3 7" xfId="12956"/>
    <cellStyle name="40% - Énfasis4 3 3 8" xfId="41873"/>
    <cellStyle name="40% - Énfasis4 3 4" xfId="336"/>
    <cellStyle name="40% - Énfasis4 3 4 2" xfId="1851"/>
    <cellStyle name="40% - Énfasis4 3 4 2 2" xfId="4976"/>
    <cellStyle name="40% - Énfasis4 3 4 2 2 2" xfId="11179"/>
    <cellStyle name="40% - Énfasis4 3 4 2 2 3" xfId="17381"/>
    <cellStyle name="40% - Énfasis4 3 4 2 2 4" xfId="56240"/>
    <cellStyle name="40% - Énfasis4 3 4 2 3" xfId="8079"/>
    <cellStyle name="40% - Énfasis4 3 4 2 4" xfId="14281"/>
    <cellStyle name="40% - Énfasis4 3 4 2 5" xfId="53346"/>
    <cellStyle name="40% - Énfasis4 3 4 3" xfId="2601"/>
    <cellStyle name="40% - Énfasis4 3 4 3 2" xfId="5725"/>
    <cellStyle name="40% - Énfasis4 3 4 3 2 2" xfId="11928"/>
    <cellStyle name="40% - Énfasis4 3 4 3 2 3" xfId="18130"/>
    <cellStyle name="40% - Énfasis4 3 4 3 2 4" xfId="56958"/>
    <cellStyle name="40% - Énfasis4 3 4 3 3" xfId="8828"/>
    <cellStyle name="40% - Énfasis4 3 4 3 4" xfId="15030"/>
    <cellStyle name="40% - Énfasis4 3 4 3 5" xfId="54063"/>
    <cellStyle name="40% - Énfasis4 3 4 4" xfId="3653"/>
    <cellStyle name="40% - Énfasis4 3 4 4 2" xfId="9857"/>
    <cellStyle name="40% - Énfasis4 3 4 4 3" xfId="16059"/>
    <cellStyle name="40% - Énfasis4 3 4 4 4" xfId="55030"/>
    <cellStyle name="40% - Énfasis4 3 4 5" xfId="6756"/>
    <cellStyle name="40% - Énfasis4 3 4 5 2" xfId="19452"/>
    <cellStyle name="40% - Énfasis4 3 4 6" xfId="12958"/>
    <cellStyle name="40% - Énfasis4 3 4 7" xfId="51985"/>
    <cellStyle name="40% - Énfasis4 3 5" xfId="1327"/>
    <cellStyle name="40% - Énfasis4 3 5 2" xfId="4452"/>
    <cellStyle name="40% - Énfasis4 3 5 2 2" xfId="10655"/>
    <cellStyle name="40% - Énfasis4 3 5 2 3" xfId="16857"/>
    <cellStyle name="40% - Énfasis4 3 5 2 4" xfId="55743"/>
    <cellStyle name="40% - Énfasis4 3 5 3" xfId="7555"/>
    <cellStyle name="40% - Énfasis4 3 5 4" xfId="13757"/>
    <cellStyle name="40% - Énfasis4 3 5 5" xfId="52871"/>
    <cellStyle name="40% - Énfasis4 3 6" xfId="2594"/>
    <cellStyle name="40% - Énfasis4 3 6 2" xfId="5718"/>
    <cellStyle name="40% - Énfasis4 3 6 2 2" xfId="11921"/>
    <cellStyle name="40% - Énfasis4 3 6 2 3" xfId="18123"/>
    <cellStyle name="40% - Énfasis4 3 6 2 4" xfId="56951"/>
    <cellStyle name="40% - Énfasis4 3 6 3" xfId="8821"/>
    <cellStyle name="40% - Énfasis4 3 6 4" xfId="15023"/>
    <cellStyle name="40% - Énfasis4 3 6 5" xfId="54056"/>
    <cellStyle name="40% - Énfasis4 3 7" xfId="3646"/>
    <cellStyle name="40% - Énfasis4 3 7 2" xfId="9850"/>
    <cellStyle name="40% - Énfasis4 3 7 3" xfId="16052"/>
    <cellStyle name="40% - Énfasis4 3 7 4" xfId="55023"/>
    <cellStyle name="40% - Énfasis4 3 8" xfId="6749"/>
    <cellStyle name="40% - Énfasis4 3 8 2" xfId="18928"/>
    <cellStyle name="40% - Énfasis4 3 9" xfId="12951"/>
    <cellStyle name="40% - Énfasis4 4" xfId="337"/>
    <cellStyle name="40% - Énfasis4 4 2" xfId="338"/>
    <cellStyle name="40% - Énfasis4 4 2 2" xfId="339"/>
    <cellStyle name="40% - Énfasis4 4 2 2 2" xfId="2170"/>
    <cellStyle name="40% - Énfasis4 4 2 2 2 2" xfId="5295"/>
    <cellStyle name="40% - Énfasis4 4 2 2 2 2 2" xfId="11498"/>
    <cellStyle name="40% - Énfasis4 4 2 2 2 2 3" xfId="17700"/>
    <cellStyle name="40% - Énfasis4 4 2 2 2 2 4" xfId="56538"/>
    <cellStyle name="40% - Énfasis4 4 2 2 2 3" xfId="8398"/>
    <cellStyle name="40% - Énfasis4 4 2 2 2 4" xfId="14600"/>
    <cellStyle name="40% - Énfasis4 4 2 2 2 5" xfId="53642"/>
    <cellStyle name="40% - Énfasis4 4 2 2 3" xfId="2604"/>
    <cellStyle name="40% - Énfasis4 4 2 2 3 2" xfId="5728"/>
    <cellStyle name="40% - Énfasis4 4 2 2 3 2 2" xfId="11931"/>
    <cellStyle name="40% - Énfasis4 4 2 2 3 2 3" xfId="18133"/>
    <cellStyle name="40% - Énfasis4 4 2 2 3 2 4" xfId="56961"/>
    <cellStyle name="40% - Énfasis4 4 2 2 3 3" xfId="8831"/>
    <cellStyle name="40% - Énfasis4 4 2 2 3 4" xfId="15033"/>
    <cellStyle name="40% - Énfasis4 4 2 2 3 5" xfId="54066"/>
    <cellStyle name="40% - Énfasis4 4 2 2 4" xfId="3656"/>
    <cellStyle name="40% - Énfasis4 4 2 2 4 2" xfId="9860"/>
    <cellStyle name="40% - Énfasis4 4 2 2 4 3" xfId="16062"/>
    <cellStyle name="40% - Énfasis4 4 2 2 4 4" xfId="55033"/>
    <cellStyle name="40% - Énfasis4 4 2 2 5" xfId="6759"/>
    <cellStyle name="40% - Énfasis4 4 2 2 5 2" xfId="19771"/>
    <cellStyle name="40% - Énfasis4 4 2 2 5 3" xfId="52351"/>
    <cellStyle name="40% - Énfasis4 4 2 2 6" xfId="12961"/>
    <cellStyle name="40% - Énfasis4 4 2 2 7" xfId="41876"/>
    <cellStyle name="40% - Énfasis4 4 2 3" xfId="1646"/>
    <cellStyle name="40% - Énfasis4 4 2 3 2" xfId="4771"/>
    <cellStyle name="40% - Énfasis4 4 2 3 2 2" xfId="10974"/>
    <cellStyle name="40% - Énfasis4 4 2 3 2 3" xfId="17176"/>
    <cellStyle name="40% - Énfasis4 4 2 3 2 4" xfId="56047"/>
    <cellStyle name="40% - Énfasis4 4 2 3 3" xfId="7874"/>
    <cellStyle name="40% - Énfasis4 4 2 3 4" xfId="14076"/>
    <cellStyle name="40% - Énfasis4 4 2 3 5" xfId="53157"/>
    <cellStyle name="40% - Énfasis4 4 2 4" xfId="2603"/>
    <cellStyle name="40% - Énfasis4 4 2 4 2" xfId="5727"/>
    <cellStyle name="40% - Énfasis4 4 2 4 2 2" xfId="11930"/>
    <cellStyle name="40% - Énfasis4 4 2 4 2 3" xfId="18132"/>
    <cellStyle name="40% - Énfasis4 4 2 4 2 4" xfId="56960"/>
    <cellStyle name="40% - Énfasis4 4 2 4 3" xfId="8830"/>
    <cellStyle name="40% - Énfasis4 4 2 4 4" xfId="15032"/>
    <cellStyle name="40% - Énfasis4 4 2 4 5" xfId="54065"/>
    <cellStyle name="40% - Énfasis4 4 2 5" xfId="3655"/>
    <cellStyle name="40% - Énfasis4 4 2 5 2" xfId="9859"/>
    <cellStyle name="40% - Énfasis4 4 2 5 3" xfId="16061"/>
    <cellStyle name="40% - Énfasis4 4 2 5 4" xfId="55032"/>
    <cellStyle name="40% - Énfasis4 4 2 6" xfId="6758"/>
    <cellStyle name="40% - Énfasis4 4 2 6 2" xfId="19247"/>
    <cellStyle name="40% - Énfasis4 4 2 6 3" xfId="52350"/>
    <cellStyle name="40% - Énfasis4 4 2 7" xfId="12960"/>
    <cellStyle name="40% - Énfasis4 4 2 8" xfId="24980"/>
    <cellStyle name="40% - Énfasis4 4 3" xfId="340"/>
    <cellStyle name="40% - Énfasis4 4 3 2" xfId="1924"/>
    <cellStyle name="40% - Énfasis4 4 3 2 2" xfId="5049"/>
    <cellStyle name="40% - Énfasis4 4 3 2 2 2" xfId="11252"/>
    <cellStyle name="40% - Énfasis4 4 3 2 2 3" xfId="17454"/>
    <cellStyle name="40% - Énfasis4 4 3 2 2 4" xfId="56310"/>
    <cellStyle name="40% - Énfasis4 4 3 2 3" xfId="8152"/>
    <cellStyle name="40% - Énfasis4 4 3 2 4" xfId="14354"/>
    <cellStyle name="40% - Énfasis4 4 3 2 5" xfId="53416"/>
    <cellStyle name="40% - Énfasis4 4 3 3" xfId="2605"/>
    <cellStyle name="40% - Énfasis4 4 3 3 2" xfId="5729"/>
    <cellStyle name="40% - Énfasis4 4 3 3 2 2" xfId="11932"/>
    <cellStyle name="40% - Énfasis4 4 3 3 2 3" xfId="18134"/>
    <cellStyle name="40% - Énfasis4 4 3 3 2 4" xfId="56962"/>
    <cellStyle name="40% - Énfasis4 4 3 3 3" xfId="8832"/>
    <cellStyle name="40% - Énfasis4 4 3 3 4" xfId="15034"/>
    <cellStyle name="40% - Énfasis4 4 3 3 5" xfId="54067"/>
    <cellStyle name="40% - Énfasis4 4 3 4" xfId="3657"/>
    <cellStyle name="40% - Énfasis4 4 3 4 2" xfId="9861"/>
    <cellStyle name="40% - Énfasis4 4 3 4 3" xfId="16063"/>
    <cellStyle name="40% - Énfasis4 4 3 4 4" xfId="55034"/>
    <cellStyle name="40% - Énfasis4 4 3 5" xfId="6760"/>
    <cellStyle name="40% - Énfasis4 4 3 5 2" xfId="19525"/>
    <cellStyle name="40% - Énfasis4 4 3 5 3" xfId="52352"/>
    <cellStyle name="40% - Énfasis4 4 3 6" xfId="12962"/>
    <cellStyle name="40% - Énfasis4 4 3 7" xfId="41875"/>
    <cellStyle name="40% - Énfasis4 4 4" xfId="1400"/>
    <cellStyle name="40% - Énfasis4 4 4 2" xfId="4525"/>
    <cellStyle name="40% - Énfasis4 4 4 2 2" xfId="10728"/>
    <cellStyle name="40% - Énfasis4 4 4 2 3" xfId="16930"/>
    <cellStyle name="40% - Énfasis4 4 4 2 4" xfId="55814"/>
    <cellStyle name="40% - Énfasis4 4 4 3" xfId="7628"/>
    <cellStyle name="40% - Énfasis4 4 4 4" xfId="13830"/>
    <cellStyle name="40% - Énfasis4 4 4 5" xfId="52053"/>
    <cellStyle name="40% - Énfasis4 4 5" xfId="2602"/>
    <cellStyle name="40% - Énfasis4 4 5 2" xfId="5726"/>
    <cellStyle name="40% - Énfasis4 4 5 2 2" xfId="11929"/>
    <cellStyle name="40% - Énfasis4 4 5 2 3" xfId="18131"/>
    <cellStyle name="40% - Énfasis4 4 5 2 4" xfId="56959"/>
    <cellStyle name="40% - Énfasis4 4 5 3" xfId="8829"/>
    <cellStyle name="40% - Énfasis4 4 5 4" xfId="15031"/>
    <cellStyle name="40% - Énfasis4 4 5 5" xfId="54064"/>
    <cellStyle name="40% - Énfasis4 4 6" xfId="3654"/>
    <cellStyle name="40% - Énfasis4 4 6 2" xfId="9858"/>
    <cellStyle name="40% - Énfasis4 4 6 3" xfId="16060"/>
    <cellStyle name="40% - Énfasis4 4 6 4" xfId="55031"/>
    <cellStyle name="40% - Énfasis4 4 7" xfId="6757"/>
    <cellStyle name="40% - Énfasis4 4 7 2" xfId="19001"/>
    <cellStyle name="40% - Énfasis4 4 8" xfId="12959"/>
    <cellStyle name="40% - Énfasis4 4 9" xfId="24979"/>
    <cellStyle name="40% - Énfasis4 5" xfId="341"/>
    <cellStyle name="40% - Énfasis4 5 2" xfId="342"/>
    <cellStyle name="40% - Énfasis4 5 2 2" xfId="2062"/>
    <cellStyle name="40% - Énfasis4 5 2 2 2" xfId="5187"/>
    <cellStyle name="40% - Énfasis4 5 2 2 2 2" xfId="11390"/>
    <cellStyle name="40% - Énfasis4 5 2 2 2 3" xfId="17592"/>
    <cellStyle name="40% - Énfasis4 5 2 2 2 4" xfId="56439"/>
    <cellStyle name="40% - Énfasis4 5 2 2 3" xfId="8290"/>
    <cellStyle name="40% - Énfasis4 5 2 2 3 2" xfId="53543"/>
    <cellStyle name="40% - Énfasis4 5 2 2 4" xfId="14492"/>
    <cellStyle name="40% - Énfasis4 5 2 2 5" xfId="41878"/>
    <cellStyle name="40% - Énfasis4 5 2 3" xfId="2607"/>
    <cellStyle name="40% - Énfasis4 5 2 3 2" xfId="5731"/>
    <cellStyle name="40% - Énfasis4 5 2 3 2 2" xfId="11934"/>
    <cellStyle name="40% - Énfasis4 5 2 3 2 3" xfId="18136"/>
    <cellStyle name="40% - Énfasis4 5 2 3 2 4" xfId="56964"/>
    <cellStyle name="40% - Énfasis4 5 2 3 3" xfId="8834"/>
    <cellStyle name="40% - Énfasis4 5 2 3 4" xfId="15036"/>
    <cellStyle name="40% - Énfasis4 5 2 3 5" xfId="54069"/>
    <cellStyle name="40% - Énfasis4 5 2 4" xfId="3659"/>
    <cellStyle name="40% - Énfasis4 5 2 4 2" xfId="9863"/>
    <cellStyle name="40% - Énfasis4 5 2 4 3" xfId="16065"/>
    <cellStyle name="40% - Énfasis4 5 2 4 4" xfId="55036"/>
    <cellStyle name="40% - Énfasis4 5 2 5" xfId="6762"/>
    <cellStyle name="40% - Énfasis4 5 2 5 2" xfId="19663"/>
    <cellStyle name="40% - Énfasis4 5 2 5 3" xfId="52354"/>
    <cellStyle name="40% - Énfasis4 5 2 6" xfId="12964"/>
    <cellStyle name="40% - Énfasis4 5 2 7" xfId="24982"/>
    <cellStyle name="40% - Énfasis4 5 3" xfId="1538"/>
    <cellStyle name="40% - Énfasis4 5 3 2" xfId="4663"/>
    <cellStyle name="40% - Énfasis4 5 3 2 2" xfId="10866"/>
    <cellStyle name="40% - Énfasis4 5 3 2 3" xfId="17068"/>
    <cellStyle name="40% - Énfasis4 5 3 2 4" xfId="55944"/>
    <cellStyle name="40% - Énfasis4 5 3 3" xfId="7766"/>
    <cellStyle name="40% - Énfasis4 5 3 3 2" xfId="53059"/>
    <cellStyle name="40% - Énfasis4 5 3 4" xfId="13968"/>
    <cellStyle name="40% - Énfasis4 5 3 5" xfId="41877"/>
    <cellStyle name="40% - Énfasis4 5 4" xfId="2606"/>
    <cellStyle name="40% - Énfasis4 5 4 2" xfId="5730"/>
    <cellStyle name="40% - Énfasis4 5 4 2 2" xfId="11933"/>
    <cellStyle name="40% - Énfasis4 5 4 2 3" xfId="18135"/>
    <cellStyle name="40% - Énfasis4 5 4 2 4" xfId="56963"/>
    <cellStyle name="40% - Énfasis4 5 4 3" xfId="8833"/>
    <cellStyle name="40% - Énfasis4 5 4 4" xfId="15035"/>
    <cellStyle name="40% - Énfasis4 5 4 5" xfId="54068"/>
    <cellStyle name="40% - Énfasis4 5 5" xfId="3658"/>
    <cellStyle name="40% - Énfasis4 5 5 2" xfId="9862"/>
    <cellStyle name="40% - Énfasis4 5 5 3" xfId="16064"/>
    <cellStyle name="40% - Énfasis4 5 5 4" xfId="55035"/>
    <cellStyle name="40% - Énfasis4 5 6" xfId="6761"/>
    <cellStyle name="40% - Énfasis4 5 6 2" xfId="19139"/>
    <cellStyle name="40% - Énfasis4 5 6 3" xfId="52353"/>
    <cellStyle name="40% - Énfasis4 5 7" xfId="12963"/>
    <cellStyle name="40% - Énfasis4 5 8" xfId="24981"/>
    <cellStyle name="40% - Énfasis4 6" xfId="343"/>
    <cellStyle name="40% - Énfasis4 6 2" xfId="1791"/>
    <cellStyle name="40% - Énfasis4 6 2 2" xfId="4916"/>
    <cellStyle name="40% - Énfasis4 6 2 2 2" xfId="11119"/>
    <cellStyle name="40% - Énfasis4 6 2 2 3" xfId="17321"/>
    <cellStyle name="40% - Énfasis4 6 2 2 4" xfId="56185"/>
    <cellStyle name="40% - Énfasis4 6 2 3" xfId="8019"/>
    <cellStyle name="40% - Énfasis4 6 2 3 2" xfId="53292"/>
    <cellStyle name="40% - Énfasis4 6 2 4" xfId="14221"/>
    <cellStyle name="40% - Énfasis4 6 2 5" xfId="41879"/>
    <cellStyle name="40% - Énfasis4 6 3" xfId="2608"/>
    <cellStyle name="40% - Énfasis4 6 3 2" xfId="5732"/>
    <cellStyle name="40% - Énfasis4 6 3 2 2" xfId="11935"/>
    <cellStyle name="40% - Énfasis4 6 3 2 3" xfId="18137"/>
    <cellStyle name="40% - Énfasis4 6 3 2 4" xfId="56965"/>
    <cellStyle name="40% - Énfasis4 6 3 3" xfId="8835"/>
    <cellStyle name="40% - Énfasis4 6 3 4" xfId="15037"/>
    <cellStyle name="40% - Énfasis4 6 3 5" xfId="54070"/>
    <cellStyle name="40% - Énfasis4 6 4" xfId="3660"/>
    <cellStyle name="40% - Énfasis4 6 4 2" xfId="9864"/>
    <cellStyle name="40% - Énfasis4 6 4 3" xfId="16066"/>
    <cellStyle name="40% - Énfasis4 6 4 4" xfId="55037"/>
    <cellStyle name="40% - Énfasis4 6 5" xfId="6763"/>
    <cellStyle name="40% - Énfasis4 6 5 2" xfId="19392"/>
    <cellStyle name="40% - Énfasis4 6 5 3" xfId="52355"/>
    <cellStyle name="40% - Énfasis4 6 6" xfId="12965"/>
    <cellStyle name="40% - Énfasis4 6 7" xfId="24983"/>
    <cellStyle name="40% - Énfasis4 7" xfId="1262"/>
    <cellStyle name="40% - Énfasis4 7 2" xfId="4387"/>
    <cellStyle name="40% - Énfasis4 7 2 2" xfId="10590"/>
    <cellStyle name="40% - Énfasis4 7 2 2 2" xfId="55683"/>
    <cellStyle name="40% - Énfasis4 7 2 3" xfId="16792"/>
    <cellStyle name="40% - Énfasis4 7 2 4" xfId="41880"/>
    <cellStyle name="40% - Énfasis4 7 3" xfId="7490"/>
    <cellStyle name="40% - Énfasis4 7 3 2" xfId="52814"/>
    <cellStyle name="40% - Énfasis4 7 4" xfId="13692"/>
    <cellStyle name="40% - Énfasis4 7 5" xfId="24984"/>
    <cellStyle name="40% - Énfasis4 8" xfId="18863"/>
    <cellStyle name="40% - Énfasis4 8 10" xfId="24986"/>
    <cellStyle name="40% - Énfasis4 8 10 2" xfId="24987"/>
    <cellStyle name="40% - Énfasis4 8 10 2 2" xfId="24988"/>
    <cellStyle name="40% - Énfasis4 8 10 2 2 2" xfId="41884"/>
    <cellStyle name="40% - Énfasis4 8 10 2 3" xfId="41883"/>
    <cellStyle name="40% - Énfasis4 8 10 3" xfId="24989"/>
    <cellStyle name="40% - Énfasis4 8 10 3 2" xfId="41885"/>
    <cellStyle name="40% - Énfasis4 8 10 4" xfId="41882"/>
    <cellStyle name="40% - Énfasis4 8 11" xfId="24990"/>
    <cellStyle name="40% - Énfasis4 8 11 2" xfId="24991"/>
    <cellStyle name="40% - Énfasis4 8 11 2 2" xfId="24992"/>
    <cellStyle name="40% - Énfasis4 8 11 2 2 2" xfId="41888"/>
    <cellStyle name="40% - Énfasis4 8 11 2 3" xfId="41887"/>
    <cellStyle name="40% - Énfasis4 8 11 3" xfId="24993"/>
    <cellStyle name="40% - Énfasis4 8 11 3 2" xfId="41889"/>
    <cellStyle name="40% - Énfasis4 8 11 4" xfId="41886"/>
    <cellStyle name="40% - Énfasis4 8 12" xfId="24994"/>
    <cellStyle name="40% - Énfasis4 8 12 2" xfId="24995"/>
    <cellStyle name="40% - Énfasis4 8 12 2 2" xfId="41891"/>
    <cellStyle name="40% - Énfasis4 8 12 3" xfId="41890"/>
    <cellStyle name="40% - Énfasis4 8 13" xfId="24996"/>
    <cellStyle name="40% - Énfasis4 8 13 2" xfId="24997"/>
    <cellStyle name="40% - Énfasis4 8 13 2 2" xfId="41893"/>
    <cellStyle name="40% - Énfasis4 8 13 3" xfId="41892"/>
    <cellStyle name="40% - Énfasis4 8 14" xfId="24998"/>
    <cellStyle name="40% - Énfasis4 8 14 2" xfId="41894"/>
    <cellStyle name="40% - Énfasis4 8 15" xfId="24999"/>
    <cellStyle name="40% - Énfasis4 8 15 2" xfId="41895"/>
    <cellStyle name="40% - Énfasis4 8 16" xfId="41881"/>
    <cellStyle name="40% - Énfasis4 8 17" xfId="24985"/>
    <cellStyle name="40% - Énfasis4 8 2" xfId="25000"/>
    <cellStyle name="40% - Énfasis4 8 2 10" xfId="25001"/>
    <cellStyle name="40% - Énfasis4 8 2 10 2" xfId="25002"/>
    <cellStyle name="40% - Énfasis4 8 2 10 2 2" xfId="25003"/>
    <cellStyle name="40% - Énfasis4 8 2 10 2 2 2" xfId="41899"/>
    <cellStyle name="40% - Énfasis4 8 2 10 2 3" xfId="41898"/>
    <cellStyle name="40% - Énfasis4 8 2 10 3" xfId="25004"/>
    <cellStyle name="40% - Énfasis4 8 2 10 3 2" xfId="41900"/>
    <cellStyle name="40% - Énfasis4 8 2 10 4" xfId="41897"/>
    <cellStyle name="40% - Énfasis4 8 2 11" xfId="25005"/>
    <cellStyle name="40% - Énfasis4 8 2 11 2" xfId="25006"/>
    <cellStyle name="40% - Énfasis4 8 2 11 2 2" xfId="41902"/>
    <cellStyle name="40% - Énfasis4 8 2 11 3" xfId="41901"/>
    <cellStyle name="40% - Énfasis4 8 2 12" xfId="25007"/>
    <cellStyle name="40% - Énfasis4 8 2 12 2" xfId="25008"/>
    <cellStyle name="40% - Énfasis4 8 2 12 2 2" xfId="41904"/>
    <cellStyle name="40% - Énfasis4 8 2 12 3" xfId="41903"/>
    <cellStyle name="40% - Énfasis4 8 2 13" xfId="25009"/>
    <cellStyle name="40% - Énfasis4 8 2 13 2" xfId="41905"/>
    <cellStyle name="40% - Énfasis4 8 2 14" xfId="25010"/>
    <cellStyle name="40% - Énfasis4 8 2 14 2" xfId="41906"/>
    <cellStyle name="40% - Énfasis4 8 2 15" xfId="41896"/>
    <cellStyle name="40% - Énfasis4 8 2 2" xfId="25011"/>
    <cellStyle name="40% - Énfasis4 8 2 2 2" xfId="25012"/>
    <cellStyle name="40% - Énfasis4 8 2 2 2 2" xfId="25013"/>
    <cellStyle name="40% - Énfasis4 8 2 2 2 2 2" xfId="25014"/>
    <cellStyle name="40% - Énfasis4 8 2 2 2 2 2 2" xfId="25015"/>
    <cellStyle name="40% - Énfasis4 8 2 2 2 2 2 2 2" xfId="25016"/>
    <cellStyle name="40% - Énfasis4 8 2 2 2 2 2 2 2 2" xfId="41912"/>
    <cellStyle name="40% - Énfasis4 8 2 2 2 2 2 2 3" xfId="41911"/>
    <cellStyle name="40% - Énfasis4 8 2 2 2 2 2 3" xfId="25017"/>
    <cellStyle name="40% - Énfasis4 8 2 2 2 2 2 3 2" xfId="25018"/>
    <cellStyle name="40% - Énfasis4 8 2 2 2 2 2 3 2 2" xfId="41914"/>
    <cellStyle name="40% - Énfasis4 8 2 2 2 2 2 3 3" xfId="41913"/>
    <cellStyle name="40% - Énfasis4 8 2 2 2 2 2 4" xfId="25019"/>
    <cellStyle name="40% - Énfasis4 8 2 2 2 2 2 4 2" xfId="41915"/>
    <cellStyle name="40% - Énfasis4 8 2 2 2 2 2 5" xfId="41910"/>
    <cellStyle name="40% - Énfasis4 8 2 2 2 2 3" xfId="25020"/>
    <cellStyle name="40% - Énfasis4 8 2 2 2 2 3 2" xfId="41916"/>
    <cellStyle name="40% - Énfasis4 8 2 2 2 2 4" xfId="25021"/>
    <cellStyle name="40% - Énfasis4 8 2 2 2 2 4 2" xfId="25022"/>
    <cellStyle name="40% - Énfasis4 8 2 2 2 2 4 2 2" xfId="41918"/>
    <cellStyle name="40% - Énfasis4 8 2 2 2 2 4 3" xfId="41917"/>
    <cellStyle name="40% - Énfasis4 8 2 2 2 2 5" xfId="25023"/>
    <cellStyle name="40% - Énfasis4 8 2 2 2 2 5 2" xfId="41919"/>
    <cellStyle name="40% - Énfasis4 8 2 2 2 2 6" xfId="41909"/>
    <cellStyle name="40% - Énfasis4 8 2 2 2 2_IAS" xfId="25024"/>
    <cellStyle name="40% - Énfasis4 8 2 2 2 3" xfId="25025"/>
    <cellStyle name="40% - Énfasis4 8 2 2 2 3 2" xfId="25026"/>
    <cellStyle name="40% - Énfasis4 8 2 2 2 3 2 2" xfId="25027"/>
    <cellStyle name="40% - Énfasis4 8 2 2 2 3 2 2 2" xfId="41922"/>
    <cellStyle name="40% - Énfasis4 8 2 2 2 3 2 3" xfId="41921"/>
    <cellStyle name="40% - Énfasis4 8 2 2 2 3 3" xfId="25028"/>
    <cellStyle name="40% - Énfasis4 8 2 2 2 3 3 2" xfId="25029"/>
    <cellStyle name="40% - Énfasis4 8 2 2 2 3 3 2 2" xfId="41924"/>
    <cellStyle name="40% - Énfasis4 8 2 2 2 3 3 3" xfId="41923"/>
    <cellStyle name="40% - Énfasis4 8 2 2 2 3 4" xfId="25030"/>
    <cellStyle name="40% - Énfasis4 8 2 2 2 3 4 2" xfId="41925"/>
    <cellStyle name="40% - Énfasis4 8 2 2 2 3 5" xfId="41920"/>
    <cellStyle name="40% - Énfasis4 8 2 2 2 4" xfId="25031"/>
    <cellStyle name="40% - Énfasis4 8 2 2 2 4 2" xfId="41926"/>
    <cellStyle name="40% - Énfasis4 8 2 2 2 5" xfId="25032"/>
    <cellStyle name="40% - Énfasis4 8 2 2 2 5 2" xfId="25033"/>
    <cellStyle name="40% - Énfasis4 8 2 2 2 5 2 2" xfId="41928"/>
    <cellStyle name="40% - Énfasis4 8 2 2 2 5 3" xfId="41927"/>
    <cellStyle name="40% - Énfasis4 8 2 2 2 6" xfId="25034"/>
    <cellStyle name="40% - Énfasis4 8 2 2 2 6 2" xfId="41929"/>
    <cellStyle name="40% - Énfasis4 8 2 2 2 7" xfId="41908"/>
    <cellStyle name="40% - Énfasis4 8 2 2 2_IAS" xfId="25035"/>
    <cellStyle name="40% - Énfasis4 8 2 2 3" xfId="25036"/>
    <cellStyle name="40% - Énfasis4 8 2 2 3 2" xfId="25037"/>
    <cellStyle name="40% - Énfasis4 8 2 2 3 2 2" xfId="25038"/>
    <cellStyle name="40% - Énfasis4 8 2 2 3 2 2 2" xfId="25039"/>
    <cellStyle name="40% - Énfasis4 8 2 2 3 2 2 2 2" xfId="41933"/>
    <cellStyle name="40% - Énfasis4 8 2 2 3 2 2 3" xfId="41932"/>
    <cellStyle name="40% - Énfasis4 8 2 2 3 2 3" xfId="25040"/>
    <cellStyle name="40% - Énfasis4 8 2 2 3 2 3 2" xfId="25041"/>
    <cellStyle name="40% - Énfasis4 8 2 2 3 2 3 2 2" xfId="41935"/>
    <cellStyle name="40% - Énfasis4 8 2 2 3 2 3 3" xfId="41934"/>
    <cellStyle name="40% - Énfasis4 8 2 2 3 2 4" xfId="25042"/>
    <cellStyle name="40% - Énfasis4 8 2 2 3 2 4 2" xfId="41936"/>
    <cellStyle name="40% - Énfasis4 8 2 2 3 2 5" xfId="41931"/>
    <cellStyle name="40% - Énfasis4 8 2 2 3 3" xfId="25043"/>
    <cellStyle name="40% - Énfasis4 8 2 2 3 3 2" xfId="41937"/>
    <cellStyle name="40% - Énfasis4 8 2 2 3 4" xfId="25044"/>
    <cellStyle name="40% - Énfasis4 8 2 2 3 4 2" xfId="25045"/>
    <cellStyle name="40% - Énfasis4 8 2 2 3 4 2 2" xfId="41939"/>
    <cellStyle name="40% - Énfasis4 8 2 2 3 4 3" xfId="41938"/>
    <cellStyle name="40% - Énfasis4 8 2 2 3 5" xfId="25046"/>
    <cellStyle name="40% - Énfasis4 8 2 2 3 5 2" xfId="41940"/>
    <cellStyle name="40% - Énfasis4 8 2 2 3 6" xfId="41930"/>
    <cellStyle name="40% - Énfasis4 8 2 2 3_IAS" xfId="25047"/>
    <cellStyle name="40% - Énfasis4 8 2 2 4" xfId="25048"/>
    <cellStyle name="40% - Énfasis4 8 2 2 4 2" xfId="25049"/>
    <cellStyle name="40% - Énfasis4 8 2 2 4 2 2" xfId="25050"/>
    <cellStyle name="40% - Énfasis4 8 2 2 4 2 2 2" xfId="41943"/>
    <cellStyle name="40% - Énfasis4 8 2 2 4 2 3" xfId="41942"/>
    <cellStyle name="40% - Énfasis4 8 2 2 4 3" xfId="25051"/>
    <cellStyle name="40% - Énfasis4 8 2 2 4 3 2" xfId="25052"/>
    <cellStyle name="40% - Énfasis4 8 2 2 4 3 2 2" xfId="41945"/>
    <cellStyle name="40% - Énfasis4 8 2 2 4 3 3" xfId="41944"/>
    <cellStyle name="40% - Énfasis4 8 2 2 4 4" xfId="25053"/>
    <cellStyle name="40% - Énfasis4 8 2 2 4 4 2" xfId="41946"/>
    <cellStyle name="40% - Énfasis4 8 2 2 4 5" xfId="41941"/>
    <cellStyle name="40% - Énfasis4 8 2 2 5" xfId="25054"/>
    <cellStyle name="40% - Énfasis4 8 2 2 5 2" xfId="41947"/>
    <cellStyle name="40% - Énfasis4 8 2 2 6" xfId="25055"/>
    <cellStyle name="40% - Énfasis4 8 2 2 6 2" xfId="25056"/>
    <cellStyle name="40% - Énfasis4 8 2 2 6 2 2" xfId="41949"/>
    <cellStyle name="40% - Énfasis4 8 2 2 6 3" xfId="41948"/>
    <cellStyle name="40% - Énfasis4 8 2 2 7" xfId="25057"/>
    <cellStyle name="40% - Énfasis4 8 2 2 7 2" xfId="41950"/>
    <cellStyle name="40% - Énfasis4 8 2 2 8" xfId="41907"/>
    <cellStyle name="40% - Énfasis4 8 2 2_IAS" xfId="25058"/>
    <cellStyle name="40% - Énfasis4 8 2 3" xfId="25059"/>
    <cellStyle name="40% - Énfasis4 8 2 3 2" xfId="25060"/>
    <cellStyle name="40% - Énfasis4 8 2 3 2 2" xfId="25061"/>
    <cellStyle name="40% - Énfasis4 8 2 3 2 2 2" xfId="25062"/>
    <cellStyle name="40% - Énfasis4 8 2 3 2 2 2 2" xfId="25063"/>
    <cellStyle name="40% - Énfasis4 8 2 3 2 2 2 2 2" xfId="25064"/>
    <cellStyle name="40% - Énfasis4 8 2 3 2 2 2 2 2 2" xfId="41956"/>
    <cellStyle name="40% - Énfasis4 8 2 3 2 2 2 2 3" xfId="41955"/>
    <cellStyle name="40% - Énfasis4 8 2 3 2 2 2 3" xfId="25065"/>
    <cellStyle name="40% - Énfasis4 8 2 3 2 2 2 3 2" xfId="25066"/>
    <cellStyle name="40% - Énfasis4 8 2 3 2 2 2 3 2 2" xfId="41958"/>
    <cellStyle name="40% - Énfasis4 8 2 3 2 2 2 3 3" xfId="41957"/>
    <cellStyle name="40% - Énfasis4 8 2 3 2 2 2 4" xfId="25067"/>
    <cellStyle name="40% - Énfasis4 8 2 3 2 2 2 4 2" xfId="41959"/>
    <cellStyle name="40% - Énfasis4 8 2 3 2 2 2 5" xfId="41954"/>
    <cellStyle name="40% - Énfasis4 8 2 3 2 2 3" xfId="25068"/>
    <cellStyle name="40% - Énfasis4 8 2 3 2 2 3 2" xfId="41960"/>
    <cellStyle name="40% - Énfasis4 8 2 3 2 2 4" xfId="25069"/>
    <cellStyle name="40% - Énfasis4 8 2 3 2 2 4 2" xfId="25070"/>
    <cellStyle name="40% - Énfasis4 8 2 3 2 2 4 2 2" xfId="41962"/>
    <cellStyle name="40% - Énfasis4 8 2 3 2 2 4 3" xfId="41961"/>
    <cellStyle name="40% - Énfasis4 8 2 3 2 2 5" xfId="25071"/>
    <cellStyle name="40% - Énfasis4 8 2 3 2 2 5 2" xfId="41963"/>
    <cellStyle name="40% - Énfasis4 8 2 3 2 2 6" xfId="41953"/>
    <cellStyle name="40% - Énfasis4 8 2 3 2 2_IAS" xfId="25072"/>
    <cellStyle name="40% - Énfasis4 8 2 3 2 3" xfId="25073"/>
    <cellStyle name="40% - Énfasis4 8 2 3 2 3 2" xfId="25074"/>
    <cellStyle name="40% - Énfasis4 8 2 3 2 3 2 2" xfId="25075"/>
    <cellStyle name="40% - Énfasis4 8 2 3 2 3 2 2 2" xfId="41966"/>
    <cellStyle name="40% - Énfasis4 8 2 3 2 3 2 3" xfId="41965"/>
    <cellStyle name="40% - Énfasis4 8 2 3 2 3 3" xfId="25076"/>
    <cellStyle name="40% - Énfasis4 8 2 3 2 3 3 2" xfId="25077"/>
    <cellStyle name="40% - Énfasis4 8 2 3 2 3 3 2 2" xfId="41968"/>
    <cellStyle name="40% - Énfasis4 8 2 3 2 3 3 3" xfId="41967"/>
    <cellStyle name="40% - Énfasis4 8 2 3 2 3 4" xfId="25078"/>
    <cellStyle name="40% - Énfasis4 8 2 3 2 3 4 2" xfId="41969"/>
    <cellStyle name="40% - Énfasis4 8 2 3 2 3 5" xfId="41964"/>
    <cellStyle name="40% - Énfasis4 8 2 3 2 4" xfId="25079"/>
    <cellStyle name="40% - Énfasis4 8 2 3 2 4 2" xfId="41970"/>
    <cellStyle name="40% - Énfasis4 8 2 3 2 5" xfId="25080"/>
    <cellStyle name="40% - Énfasis4 8 2 3 2 5 2" xfId="25081"/>
    <cellStyle name="40% - Énfasis4 8 2 3 2 5 2 2" xfId="41972"/>
    <cellStyle name="40% - Énfasis4 8 2 3 2 5 3" xfId="41971"/>
    <cellStyle name="40% - Énfasis4 8 2 3 2 6" xfId="25082"/>
    <cellStyle name="40% - Énfasis4 8 2 3 2 6 2" xfId="41973"/>
    <cellStyle name="40% - Énfasis4 8 2 3 2 7" xfId="41952"/>
    <cellStyle name="40% - Énfasis4 8 2 3 2_IAS" xfId="25083"/>
    <cellStyle name="40% - Énfasis4 8 2 3 3" xfId="25084"/>
    <cellStyle name="40% - Énfasis4 8 2 3 3 2" xfId="25085"/>
    <cellStyle name="40% - Énfasis4 8 2 3 3 2 2" xfId="25086"/>
    <cellStyle name="40% - Énfasis4 8 2 3 3 2 2 2" xfId="25087"/>
    <cellStyle name="40% - Énfasis4 8 2 3 3 2 2 2 2" xfId="41977"/>
    <cellStyle name="40% - Énfasis4 8 2 3 3 2 2 3" xfId="41976"/>
    <cellStyle name="40% - Énfasis4 8 2 3 3 2 3" xfId="25088"/>
    <cellStyle name="40% - Énfasis4 8 2 3 3 2 3 2" xfId="25089"/>
    <cellStyle name="40% - Énfasis4 8 2 3 3 2 3 2 2" xfId="41979"/>
    <cellStyle name="40% - Énfasis4 8 2 3 3 2 3 3" xfId="41978"/>
    <cellStyle name="40% - Énfasis4 8 2 3 3 2 4" xfId="25090"/>
    <cellStyle name="40% - Énfasis4 8 2 3 3 2 4 2" xfId="41980"/>
    <cellStyle name="40% - Énfasis4 8 2 3 3 2 5" xfId="41975"/>
    <cellStyle name="40% - Énfasis4 8 2 3 3 3" xfId="25091"/>
    <cellStyle name="40% - Énfasis4 8 2 3 3 3 2" xfId="41981"/>
    <cellStyle name="40% - Énfasis4 8 2 3 3 4" xfId="25092"/>
    <cellStyle name="40% - Énfasis4 8 2 3 3 4 2" xfId="25093"/>
    <cellStyle name="40% - Énfasis4 8 2 3 3 4 2 2" xfId="41983"/>
    <cellStyle name="40% - Énfasis4 8 2 3 3 4 3" xfId="41982"/>
    <cellStyle name="40% - Énfasis4 8 2 3 3 5" xfId="25094"/>
    <cellStyle name="40% - Énfasis4 8 2 3 3 5 2" xfId="41984"/>
    <cellStyle name="40% - Énfasis4 8 2 3 3 6" xfId="41974"/>
    <cellStyle name="40% - Énfasis4 8 2 3 3_IAS" xfId="25095"/>
    <cellStyle name="40% - Énfasis4 8 2 3 4" xfId="25096"/>
    <cellStyle name="40% - Énfasis4 8 2 3 4 2" xfId="25097"/>
    <cellStyle name="40% - Énfasis4 8 2 3 4 2 2" xfId="25098"/>
    <cellStyle name="40% - Énfasis4 8 2 3 4 2 2 2" xfId="41987"/>
    <cellStyle name="40% - Énfasis4 8 2 3 4 2 3" xfId="41986"/>
    <cellStyle name="40% - Énfasis4 8 2 3 4 3" xfId="25099"/>
    <cellStyle name="40% - Énfasis4 8 2 3 4 3 2" xfId="25100"/>
    <cellStyle name="40% - Énfasis4 8 2 3 4 3 2 2" xfId="41989"/>
    <cellStyle name="40% - Énfasis4 8 2 3 4 3 3" xfId="41988"/>
    <cellStyle name="40% - Énfasis4 8 2 3 4 4" xfId="25101"/>
    <cellStyle name="40% - Énfasis4 8 2 3 4 4 2" xfId="41990"/>
    <cellStyle name="40% - Énfasis4 8 2 3 4 5" xfId="41985"/>
    <cellStyle name="40% - Énfasis4 8 2 3 5" xfId="25102"/>
    <cellStyle name="40% - Énfasis4 8 2 3 5 2" xfId="41991"/>
    <cellStyle name="40% - Énfasis4 8 2 3 6" xfId="25103"/>
    <cellStyle name="40% - Énfasis4 8 2 3 6 2" xfId="25104"/>
    <cellStyle name="40% - Énfasis4 8 2 3 6 2 2" xfId="41993"/>
    <cellStyle name="40% - Énfasis4 8 2 3 6 3" xfId="41992"/>
    <cellStyle name="40% - Énfasis4 8 2 3 7" xfId="25105"/>
    <cellStyle name="40% - Énfasis4 8 2 3 7 2" xfId="41994"/>
    <cellStyle name="40% - Énfasis4 8 2 3 8" xfId="41951"/>
    <cellStyle name="40% - Énfasis4 8 2 3_IAS" xfId="25106"/>
    <cellStyle name="40% - Énfasis4 8 2 4" xfId="25107"/>
    <cellStyle name="40% - Énfasis4 8 2 4 2" xfId="41995"/>
    <cellStyle name="40% - Énfasis4 8 2 5" xfId="25108"/>
    <cellStyle name="40% - Énfasis4 8 2 5 2" xfId="25109"/>
    <cellStyle name="40% - Énfasis4 8 2 5 2 2" xfId="25110"/>
    <cellStyle name="40% - Énfasis4 8 2 5 2 2 2" xfId="25111"/>
    <cellStyle name="40% - Énfasis4 8 2 5 2 2 2 2" xfId="25112"/>
    <cellStyle name="40% - Énfasis4 8 2 5 2 2 2 2 2" xfId="42000"/>
    <cellStyle name="40% - Énfasis4 8 2 5 2 2 2 3" xfId="41999"/>
    <cellStyle name="40% - Énfasis4 8 2 5 2 2 3" xfId="25113"/>
    <cellStyle name="40% - Énfasis4 8 2 5 2 2 3 2" xfId="25114"/>
    <cellStyle name="40% - Énfasis4 8 2 5 2 2 3 2 2" xfId="42002"/>
    <cellStyle name="40% - Énfasis4 8 2 5 2 2 3 3" xfId="42001"/>
    <cellStyle name="40% - Énfasis4 8 2 5 2 2 4" xfId="25115"/>
    <cellStyle name="40% - Énfasis4 8 2 5 2 2 4 2" xfId="42003"/>
    <cellStyle name="40% - Énfasis4 8 2 5 2 2 5" xfId="41998"/>
    <cellStyle name="40% - Énfasis4 8 2 5 2 3" xfId="25116"/>
    <cellStyle name="40% - Énfasis4 8 2 5 2 3 2" xfId="42004"/>
    <cellStyle name="40% - Énfasis4 8 2 5 2 4" xfId="25117"/>
    <cellStyle name="40% - Énfasis4 8 2 5 2 4 2" xfId="25118"/>
    <cellStyle name="40% - Énfasis4 8 2 5 2 4 2 2" xfId="42006"/>
    <cellStyle name="40% - Énfasis4 8 2 5 2 4 3" xfId="42005"/>
    <cellStyle name="40% - Énfasis4 8 2 5 2 5" xfId="25119"/>
    <cellStyle name="40% - Énfasis4 8 2 5 2 5 2" xfId="42007"/>
    <cellStyle name="40% - Énfasis4 8 2 5 2 6" xfId="41997"/>
    <cellStyle name="40% - Énfasis4 8 2 5 2_IAS" xfId="25120"/>
    <cellStyle name="40% - Énfasis4 8 2 5 3" xfId="25121"/>
    <cellStyle name="40% - Énfasis4 8 2 5 3 2" xfId="25122"/>
    <cellStyle name="40% - Énfasis4 8 2 5 3 2 2" xfId="25123"/>
    <cellStyle name="40% - Énfasis4 8 2 5 3 2 2 2" xfId="42010"/>
    <cellStyle name="40% - Énfasis4 8 2 5 3 2 3" xfId="42009"/>
    <cellStyle name="40% - Énfasis4 8 2 5 3 3" xfId="25124"/>
    <cellStyle name="40% - Énfasis4 8 2 5 3 3 2" xfId="25125"/>
    <cellStyle name="40% - Énfasis4 8 2 5 3 3 2 2" xfId="42012"/>
    <cellStyle name="40% - Énfasis4 8 2 5 3 3 3" xfId="42011"/>
    <cellStyle name="40% - Énfasis4 8 2 5 3 4" xfId="25126"/>
    <cellStyle name="40% - Énfasis4 8 2 5 3 4 2" xfId="42013"/>
    <cellStyle name="40% - Énfasis4 8 2 5 3 5" xfId="42008"/>
    <cellStyle name="40% - Énfasis4 8 2 5 4" xfId="25127"/>
    <cellStyle name="40% - Énfasis4 8 2 5 4 2" xfId="42014"/>
    <cellStyle name="40% - Énfasis4 8 2 5 5" xfId="25128"/>
    <cellStyle name="40% - Énfasis4 8 2 5 5 2" xfId="25129"/>
    <cellStyle name="40% - Énfasis4 8 2 5 5 2 2" xfId="42016"/>
    <cellStyle name="40% - Énfasis4 8 2 5 5 3" xfId="42015"/>
    <cellStyle name="40% - Énfasis4 8 2 5 6" xfId="25130"/>
    <cellStyle name="40% - Énfasis4 8 2 5 6 2" xfId="42017"/>
    <cellStyle name="40% - Énfasis4 8 2 5 7" xfId="41996"/>
    <cellStyle name="40% - Énfasis4 8 2 5_IAS" xfId="25131"/>
    <cellStyle name="40% - Énfasis4 8 2 6" xfId="25132"/>
    <cellStyle name="40% - Énfasis4 8 2 6 2" xfId="25133"/>
    <cellStyle name="40% - Énfasis4 8 2 6 2 2" xfId="25134"/>
    <cellStyle name="40% - Énfasis4 8 2 6 2 2 2" xfId="25135"/>
    <cellStyle name="40% - Énfasis4 8 2 6 2 2 2 2" xfId="42021"/>
    <cellStyle name="40% - Énfasis4 8 2 6 2 2 3" xfId="42020"/>
    <cellStyle name="40% - Énfasis4 8 2 6 2 3" xfId="25136"/>
    <cellStyle name="40% - Énfasis4 8 2 6 2 3 2" xfId="25137"/>
    <cellStyle name="40% - Énfasis4 8 2 6 2 3 2 2" xfId="42023"/>
    <cellStyle name="40% - Énfasis4 8 2 6 2 3 3" xfId="42022"/>
    <cellStyle name="40% - Énfasis4 8 2 6 2 4" xfId="25138"/>
    <cellStyle name="40% - Énfasis4 8 2 6 2 4 2" xfId="42024"/>
    <cellStyle name="40% - Énfasis4 8 2 6 2 5" xfId="42019"/>
    <cellStyle name="40% - Énfasis4 8 2 6 3" xfId="25139"/>
    <cellStyle name="40% - Énfasis4 8 2 6 3 2" xfId="42025"/>
    <cellStyle name="40% - Énfasis4 8 2 6 4" xfId="25140"/>
    <cellStyle name="40% - Énfasis4 8 2 6 4 2" xfId="25141"/>
    <cellStyle name="40% - Énfasis4 8 2 6 4 2 2" xfId="42027"/>
    <cellStyle name="40% - Énfasis4 8 2 6 4 3" xfId="42026"/>
    <cellStyle name="40% - Énfasis4 8 2 6 5" xfId="25142"/>
    <cellStyle name="40% - Énfasis4 8 2 6 5 2" xfId="42028"/>
    <cellStyle name="40% - Énfasis4 8 2 6 6" xfId="42018"/>
    <cellStyle name="40% - Énfasis4 8 2 6_IAS" xfId="25143"/>
    <cellStyle name="40% - Énfasis4 8 2 7" xfId="25144"/>
    <cellStyle name="40% - Énfasis4 8 2 7 2" xfId="25145"/>
    <cellStyle name="40% - Énfasis4 8 2 7 2 2" xfId="25146"/>
    <cellStyle name="40% - Énfasis4 8 2 7 2 2 2" xfId="42031"/>
    <cellStyle name="40% - Énfasis4 8 2 7 2 3" xfId="42030"/>
    <cellStyle name="40% - Énfasis4 8 2 7 3" xfId="25147"/>
    <cellStyle name="40% - Énfasis4 8 2 7 3 2" xfId="25148"/>
    <cellStyle name="40% - Énfasis4 8 2 7 3 2 2" xfId="42033"/>
    <cellStyle name="40% - Énfasis4 8 2 7 3 3" xfId="42032"/>
    <cellStyle name="40% - Énfasis4 8 2 7 4" xfId="25149"/>
    <cellStyle name="40% - Énfasis4 8 2 7 4 2" xfId="42034"/>
    <cellStyle name="40% - Énfasis4 8 2 7 5" xfId="42029"/>
    <cellStyle name="40% - Énfasis4 8 2 8" xfId="25150"/>
    <cellStyle name="40% - Énfasis4 8 2 8 2" xfId="25151"/>
    <cellStyle name="40% - Énfasis4 8 2 8 2 2" xfId="25152"/>
    <cellStyle name="40% - Énfasis4 8 2 8 2 2 2" xfId="42037"/>
    <cellStyle name="40% - Énfasis4 8 2 8 2 3" xfId="42036"/>
    <cellStyle name="40% - Énfasis4 8 2 8 3" xfId="25153"/>
    <cellStyle name="40% - Énfasis4 8 2 8 3 2" xfId="42038"/>
    <cellStyle name="40% - Énfasis4 8 2 8 4" xfId="42035"/>
    <cellStyle name="40% - Énfasis4 8 2 9" xfId="25154"/>
    <cellStyle name="40% - Énfasis4 8 2 9 2" xfId="25155"/>
    <cellStyle name="40% - Énfasis4 8 2 9 2 2" xfId="25156"/>
    <cellStyle name="40% - Énfasis4 8 2 9 2 2 2" xfId="42041"/>
    <cellStyle name="40% - Énfasis4 8 2 9 2 3" xfId="42040"/>
    <cellStyle name="40% - Énfasis4 8 2 9 3" xfId="25157"/>
    <cellStyle name="40% - Énfasis4 8 2 9 3 2" xfId="42042"/>
    <cellStyle name="40% - Énfasis4 8 2 9 4" xfId="42039"/>
    <cellStyle name="40% - Énfasis4 8 2_IAS" xfId="25158"/>
    <cellStyle name="40% - Énfasis4 8 3" xfId="25159"/>
    <cellStyle name="40% - Énfasis4 8 3 2" xfId="25160"/>
    <cellStyle name="40% - Énfasis4 8 3 2 2" xfId="25161"/>
    <cellStyle name="40% - Énfasis4 8 3 2 2 2" xfId="25162"/>
    <cellStyle name="40% - Énfasis4 8 3 2 2 2 2" xfId="25163"/>
    <cellStyle name="40% - Énfasis4 8 3 2 2 2 2 2" xfId="25164"/>
    <cellStyle name="40% - Énfasis4 8 3 2 2 2 2 2 2" xfId="42048"/>
    <cellStyle name="40% - Énfasis4 8 3 2 2 2 2 3" xfId="42047"/>
    <cellStyle name="40% - Énfasis4 8 3 2 2 2 3" xfId="25165"/>
    <cellStyle name="40% - Énfasis4 8 3 2 2 2 3 2" xfId="25166"/>
    <cellStyle name="40% - Énfasis4 8 3 2 2 2 3 2 2" xfId="42050"/>
    <cellStyle name="40% - Énfasis4 8 3 2 2 2 3 3" xfId="42049"/>
    <cellStyle name="40% - Énfasis4 8 3 2 2 2 4" xfId="25167"/>
    <cellStyle name="40% - Énfasis4 8 3 2 2 2 4 2" xfId="42051"/>
    <cellStyle name="40% - Énfasis4 8 3 2 2 2 5" xfId="42046"/>
    <cellStyle name="40% - Énfasis4 8 3 2 2 3" xfId="25168"/>
    <cellStyle name="40% - Énfasis4 8 3 2 2 3 2" xfId="42052"/>
    <cellStyle name="40% - Énfasis4 8 3 2 2 4" xfId="25169"/>
    <cellStyle name="40% - Énfasis4 8 3 2 2 4 2" xfId="25170"/>
    <cellStyle name="40% - Énfasis4 8 3 2 2 4 2 2" xfId="42054"/>
    <cellStyle name="40% - Énfasis4 8 3 2 2 4 3" xfId="42053"/>
    <cellStyle name="40% - Énfasis4 8 3 2 2 5" xfId="25171"/>
    <cellStyle name="40% - Énfasis4 8 3 2 2 5 2" xfId="42055"/>
    <cellStyle name="40% - Énfasis4 8 3 2 2 6" xfId="42045"/>
    <cellStyle name="40% - Énfasis4 8 3 2 2_IAS" xfId="25172"/>
    <cellStyle name="40% - Énfasis4 8 3 2 3" xfId="25173"/>
    <cellStyle name="40% - Énfasis4 8 3 2 3 2" xfId="25174"/>
    <cellStyle name="40% - Énfasis4 8 3 2 3 2 2" xfId="25175"/>
    <cellStyle name="40% - Énfasis4 8 3 2 3 2 2 2" xfId="42058"/>
    <cellStyle name="40% - Énfasis4 8 3 2 3 2 3" xfId="42057"/>
    <cellStyle name="40% - Énfasis4 8 3 2 3 3" xfId="25176"/>
    <cellStyle name="40% - Énfasis4 8 3 2 3 3 2" xfId="25177"/>
    <cellStyle name="40% - Énfasis4 8 3 2 3 3 2 2" xfId="42060"/>
    <cellStyle name="40% - Énfasis4 8 3 2 3 3 3" xfId="42059"/>
    <cellStyle name="40% - Énfasis4 8 3 2 3 4" xfId="25178"/>
    <cellStyle name="40% - Énfasis4 8 3 2 3 4 2" xfId="42061"/>
    <cellStyle name="40% - Énfasis4 8 3 2 3 5" xfId="42056"/>
    <cellStyle name="40% - Énfasis4 8 3 2 4" xfId="25179"/>
    <cellStyle name="40% - Énfasis4 8 3 2 4 2" xfId="42062"/>
    <cellStyle name="40% - Énfasis4 8 3 2 5" xfId="25180"/>
    <cellStyle name="40% - Énfasis4 8 3 2 5 2" xfId="25181"/>
    <cellStyle name="40% - Énfasis4 8 3 2 5 2 2" xfId="42064"/>
    <cellStyle name="40% - Énfasis4 8 3 2 5 3" xfId="42063"/>
    <cellStyle name="40% - Énfasis4 8 3 2 6" xfId="25182"/>
    <cellStyle name="40% - Énfasis4 8 3 2 6 2" xfId="42065"/>
    <cellStyle name="40% - Énfasis4 8 3 2 7" xfId="42044"/>
    <cellStyle name="40% - Énfasis4 8 3 2_IAS" xfId="25183"/>
    <cellStyle name="40% - Énfasis4 8 3 3" xfId="25184"/>
    <cellStyle name="40% - Énfasis4 8 3 3 2" xfId="25185"/>
    <cellStyle name="40% - Énfasis4 8 3 3 2 2" xfId="25186"/>
    <cellStyle name="40% - Énfasis4 8 3 3 2 2 2" xfId="25187"/>
    <cellStyle name="40% - Énfasis4 8 3 3 2 2 2 2" xfId="42069"/>
    <cellStyle name="40% - Énfasis4 8 3 3 2 2 3" xfId="42068"/>
    <cellStyle name="40% - Énfasis4 8 3 3 2 3" xfId="25188"/>
    <cellStyle name="40% - Énfasis4 8 3 3 2 3 2" xfId="25189"/>
    <cellStyle name="40% - Énfasis4 8 3 3 2 3 2 2" xfId="42071"/>
    <cellStyle name="40% - Énfasis4 8 3 3 2 3 3" xfId="42070"/>
    <cellStyle name="40% - Énfasis4 8 3 3 2 4" xfId="25190"/>
    <cellStyle name="40% - Énfasis4 8 3 3 2 4 2" xfId="42072"/>
    <cellStyle name="40% - Énfasis4 8 3 3 2 5" xfId="42067"/>
    <cellStyle name="40% - Énfasis4 8 3 3 3" xfId="25191"/>
    <cellStyle name="40% - Énfasis4 8 3 3 3 2" xfId="42073"/>
    <cellStyle name="40% - Énfasis4 8 3 3 4" xfId="25192"/>
    <cellStyle name="40% - Énfasis4 8 3 3 4 2" xfId="25193"/>
    <cellStyle name="40% - Énfasis4 8 3 3 4 2 2" xfId="42075"/>
    <cellStyle name="40% - Énfasis4 8 3 3 4 3" xfId="42074"/>
    <cellStyle name="40% - Énfasis4 8 3 3 5" xfId="25194"/>
    <cellStyle name="40% - Énfasis4 8 3 3 5 2" xfId="42076"/>
    <cellStyle name="40% - Énfasis4 8 3 3 6" xfId="42066"/>
    <cellStyle name="40% - Énfasis4 8 3 3_IAS" xfId="25195"/>
    <cellStyle name="40% - Énfasis4 8 3 4" xfId="25196"/>
    <cellStyle name="40% - Énfasis4 8 3 4 2" xfId="25197"/>
    <cellStyle name="40% - Énfasis4 8 3 4 2 2" xfId="25198"/>
    <cellStyle name="40% - Énfasis4 8 3 4 2 2 2" xfId="42079"/>
    <cellStyle name="40% - Énfasis4 8 3 4 2 3" xfId="42078"/>
    <cellStyle name="40% - Énfasis4 8 3 4 3" xfId="25199"/>
    <cellStyle name="40% - Énfasis4 8 3 4 3 2" xfId="25200"/>
    <cellStyle name="40% - Énfasis4 8 3 4 3 2 2" xfId="42081"/>
    <cellStyle name="40% - Énfasis4 8 3 4 3 3" xfId="42080"/>
    <cellStyle name="40% - Énfasis4 8 3 4 4" xfId="25201"/>
    <cellStyle name="40% - Énfasis4 8 3 4 4 2" xfId="42082"/>
    <cellStyle name="40% - Énfasis4 8 3 4 5" xfId="42077"/>
    <cellStyle name="40% - Énfasis4 8 3 5" xfId="25202"/>
    <cellStyle name="40% - Énfasis4 8 3 5 2" xfId="42083"/>
    <cellStyle name="40% - Énfasis4 8 3 6" xfId="25203"/>
    <cellStyle name="40% - Énfasis4 8 3 6 2" xfId="25204"/>
    <cellStyle name="40% - Énfasis4 8 3 6 2 2" xfId="42085"/>
    <cellStyle name="40% - Énfasis4 8 3 6 3" xfId="42084"/>
    <cellStyle name="40% - Énfasis4 8 3 7" xfId="25205"/>
    <cellStyle name="40% - Énfasis4 8 3 7 2" xfId="42086"/>
    <cellStyle name="40% - Énfasis4 8 3 8" xfId="42043"/>
    <cellStyle name="40% - Énfasis4 8 3_IAS" xfId="25206"/>
    <cellStyle name="40% - Énfasis4 8 4" xfId="25207"/>
    <cellStyle name="40% - Énfasis4 8 4 2" xfId="25208"/>
    <cellStyle name="40% - Énfasis4 8 4 2 2" xfId="25209"/>
    <cellStyle name="40% - Énfasis4 8 4 2 2 2" xfId="25210"/>
    <cellStyle name="40% - Énfasis4 8 4 2 2 2 2" xfId="25211"/>
    <cellStyle name="40% - Énfasis4 8 4 2 2 2 2 2" xfId="25212"/>
    <cellStyle name="40% - Énfasis4 8 4 2 2 2 2 2 2" xfId="42092"/>
    <cellStyle name="40% - Énfasis4 8 4 2 2 2 2 3" xfId="42091"/>
    <cellStyle name="40% - Énfasis4 8 4 2 2 2 3" xfId="25213"/>
    <cellStyle name="40% - Énfasis4 8 4 2 2 2 3 2" xfId="25214"/>
    <cellStyle name="40% - Énfasis4 8 4 2 2 2 3 2 2" xfId="42094"/>
    <cellStyle name="40% - Énfasis4 8 4 2 2 2 3 3" xfId="42093"/>
    <cellStyle name="40% - Énfasis4 8 4 2 2 2 4" xfId="25215"/>
    <cellStyle name="40% - Énfasis4 8 4 2 2 2 4 2" xfId="42095"/>
    <cellStyle name="40% - Énfasis4 8 4 2 2 2 5" xfId="42090"/>
    <cellStyle name="40% - Énfasis4 8 4 2 2 3" xfId="25216"/>
    <cellStyle name="40% - Énfasis4 8 4 2 2 3 2" xfId="42096"/>
    <cellStyle name="40% - Énfasis4 8 4 2 2 4" xfId="25217"/>
    <cellStyle name="40% - Énfasis4 8 4 2 2 4 2" xfId="25218"/>
    <cellStyle name="40% - Énfasis4 8 4 2 2 4 2 2" xfId="42098"/>
    <cellStyle name="40% - Énfasis4 8 4 2 2 4 3" xfId="42097"/>
    <cellStyle name="40% - Énfasis4 8 4 2 2 5" xfId="25219"/>
    <cellStyle name="40% - Énfasis4 8 4 2 2 5 2" xfId="42099"/>
    <cellStyle name="40% - Énfasis4 8 4 2 2 6" xfId="42089"/>
    <cellStyle name="40% - Énfasis4 8 4 2 2_IAS" xfId="25220"/>
    <cellStyle name="40% - Énfasis4 8 4 2 3" xfId="25221"/>
    <cellStyle name="40% - Énfasis4 8 4 2 3 2" xfId="25222"/>
    <cellStyle name="40% - Énfasis4 8 4 2 3 2 2" xfId="25223"/>
    <cellStyle name="40% - Énfasis4 8 4 2 3 2 2 2" xfId="42102"/>
    <cellStyle name="40% - Énfasis4 8 4 2 3 2 3" xfId="42101"/>
    <cellStyle name="40% - Énfasis4 8 4 2 3 3" xfId="25224"/>
    <cellStyle name="40% - Énfasis4 8 4 2 3 3 2" xfId="25225"/>
    <cellStyle name="40% - Énfasis4 8 4 2 3 3 2 2" xfId="42104"/>
    <cellStyle name="40% - Énfasis4 8 4 2 3 3 3" xfId="42103"/>
    <cellStyle name="40% - Énfasis4 8 4 2 3 4" xfId="25226"/>
    <cellStyle name="40% - Énfasis4 8 4 2 3 4 2" xfId="42105"/>
    <cellStyle name="40% - Énfasis4 8 4 2 3 5" xfId="42100"/>
    <cellStyle name="40% - Énfasis4 8 4 2 4" xfId="25227"/>
    <cellStyle name="40% - Énfasis4 8 4 2 4 2" xfId="42106"/>
    <cellStyle name="40% - Énfasis4 8 4 2 5" xfId="25228"/>
    <cellStyle name="40% - Énfasis4 8 4 2 5 2" xfId="25229"/>
    <cellStyle name="40% - Énfasis4 8 4 2 5 2 2" xfId="42108"/>
    <cellStyle name="40% - Énfasis4 8 4 2 5 3" xfId="42107"/>
    <cellStyle name="40% - Énfasis4 8 4 2 6" xfId="25230"/>
    <cellStyle name="40% - Énfasis4 8 4 2 6 2" xfId="42109"/>
    <cellStyle name="40% - Énfasis4 8 4 2 7" xfId="42088"/>
    <cellStyle name="40% - Énfasis4 8 4 2_IAS" xfId="25231"/>
    <cellStyle name="40% - Énfasis4 8 4 3" xfId="25232"/>
    <cellStyle name="40% - Énfasis4 8 4 3 2" xfId="25233"/>
    <cellStyle name="40% - Énfasis4 8 4 3 2 2" xfId="25234"/>
    <cellStyle name="40% - Énfasis4 8 4 3 2 2 2" xfId="25235"/>
    <cellStyle name="40% - Énfasis4 8 4 3 2 2 2 2" xfId="42113"/>
    <cellStyle name="40% - Énfasis4 8 4 3 2 2 3" xfId="42112"/>
    <cellStyle name="40% - Énfasis4 8 4 3 2 3" xfId="25236"/>
    <cellStyle name="40% - Énfasis4 8 4 3 2 3 2" xfId="25237"/>
    <cellStyle name="40% - Énfasis4 8 4 3 2 3 2 2" xfId="42115"/>
    <cellStyle name="40% - Énfasis4 8 4 3 2 3 3" xfId="42114"/>
    <cellStyle name="40% - Énfasis4 8 4 3 2 4" xfId="25238"/>
    <cellStyle name="40% - Énfasis4 8 4 3 2 4 2" xfId="42116"/>
    <cellStyle name="40% - Énfasis4 8 4 3 2 5" xfId="42111"/>
    <cellStyle name="40% - Énfasis4 8 4 3 3" xfId="25239"/>
    <cellStyle name="40% - Énfasis4 8 4 3 3 2" xfId="42117"/>
    <cellStyle name="40% - Énfasis4 8 4 3 4" xfId="25240"/>
    <cellStyle name="40% - Énfasis4 8 4 3 4 2" xfId="25241"/>
    <cellStyle name="40% - Énfasis4 8 4 3 4 2 2" xfId="42119"/>
    <cellStyle name="40% - Énfasis4 8 4 3 4 3" xfId="42118"/>
    <cellStyle name="40% - Énfasis4 8 4 3 5" xfId="25242"/>
    <cellStyle name="40% - Énfasis4 8 4 3 5 2" xfId="42120"/>
    <cellStyle name="40% - Énfasis4 8 4 3 6" xfId="42110"/>
    <cellStyle name="40% - Énfasis4 8 4 3_IAS" xfId="25243"/>
    <cellStyle name="40% - Énfasis4 8 4 4" xfId="25244"/>
    <cellStyle name="40% - Énfasis4 8 4 4 2" xfId="25245"/>
    <cellStyle name="40% - Énfasis4 8 4 4 2 2" xfId="25246"/>
    <cellStyle name="40% - Énfasis4 8 4 4 2 2 2" xfId="42123"/>
    <cellStyle name="40% - Énfasis4 8 4 4 2 3" xfId="42122"/>
    <cellStyle name="40% - Énfasis4 8 4 4 3" xfId="25247"/>
    <cellStyle name="40% - Énfasis4 8 4 4 3 2" xfId="25248"/>
    <cellStyle name="40% - Énfasis4 8 4 4 3 2 2" xfId="42125"/>
    <cellStyle name="40% - Énfasis4 8 4 4 3 3" xfId="42124"/>
    <cellStyle name="40% - Énfasis4 8 4 4 4" xfId="25249"/>
    <cellStyle name="40% - Énfasis4 8 4 4 4 2" xfId="42126"/>
    <cellStyle name="40% - Énfasis4 8 4 4 5" xfId="42121"/>
    <cellStyle name="40% - Énfasis4 8 4 5" xfId="25250"/>
    <cellStyle name="40% - Énfasis4 8 4 5 2" xfId="42127"/>
    <cellStyle name="40% - Énfasis4 8 4 6" xfId="25251"/>
    <cellStyle name="40% - Énfasis4 8 4 6 2" xfId="25252"/>
    <cellStyle name="40% - Énfasis4 8 4 6 2 2" xfId="42129"/>
    <cellStyle name="40% - Énfasis4 8 4 6 3" xfId="42128"/>
    <cellStyle name="40% - Énfasis4 8 4 7" xfId="25253"/>
    <cellStyle name="40% - Énfasis4 8 4 7 2" xfId="42130"/>
    <cellStyle name="40% - Énfasis4 8 4 8" xfId="42087"/>
    <cellStyle name="40% - Énfasis4 8 4_IAS" xfId="25254"/>
    <cellStyle name="40% - Énfasis4 8 5" xfId="25255"/>
    <cellStyle name="40% - Énfasis4 8 5 2" xfId="42131"/>
    <cellStyle name="40% - Énfasis4 8 6" xfId="25256"/>
    <cellStyle name="40% - Énfasis4 8 6 2" xfId="25257"/>
    <cellStyle name="40% - Énfasis4 8 6 2 2" xfId="25258"/>
    <cellStyle name="40% - Énfasis4 8 6 2 2 2" xfId="25259"/>
    <cellStyle name="40% - Énfasis4 8 6 2 2 2 2" xfId="25260"/>
    <cellStyle name="40% - Énfasis4 8 6 2 2 2 2 2" xfId="42136"/>
    <cellStyle name="40% - Énfasis4 8 6 2 2 2 3" xfId="42135"/>
    <cellStyle name="40% - Énfasis4 8 6 2 2 3" xfId="25261"/>
    <cellStyle name="40% - Énfasis4 8 6 2 2 3 2" xfId="25262"/>
    <cellStyle name="40% - Énfasis4 8 6 2 2 3 2 2" xfId="42138"/>
    <cellStyle name="40% - Énfasis4 8 6 2 2 3 3" xfId="42137"/>
    <cellStyle name="40% - Énfasis4 8 6 2 2 4" xfId="25263"/>
    <cellStyle name="40% - Énfasis4 8 6 2 2 4 2" xfId="42139"/>
    <cellStyle name="40% - Énfasis4 8 6 2 2 5" xfId="42134"/>
    <cellStyle name="40% - Énfasis4 8 6 2 3" xfId="25264"/>
    <cellStyle name="40% - Énfasis4 8 6 2 3 2" xfId="42140"/>
    <cellStyle name="40% - Énfasis4 8 6 2 4" xfId="25265"/>
    <cellStyle name="40% - Énfasis4 8 6 2 4 2" xfId="25266"/>
    <cellStyle name="40% - Énfasis4 8 6 2 4 2 2" xfId="42142"/>
    <cellStyle name="40% - Énfasis4 8 6 2 4 3" xfId="42141"/>
    <cellStyle name="40% - Énfasis4 8 6 2 5" xfId="25267"/>
    <cellStyle name="40% - Énfasis4 8 6 2 5 2" xfId="42143"/>
    <cellStyle name="40% - Énfasis4 8 6 2 6" xfId="42133"/>
    <cellStyle name="40% - Énfasis4 8 6 2_IAS" xfId="25268"/>
    <cellStyle name="40% - Énfasis4 8 6 3" xfId="25269"/>
    <cellStyle name="40% - Énfasis4 8 6 3 2" xfId="25270"/>
    <cellStyle name="40% - Énfasis4 8 6 3 2 2" xfId="25271"/>
    <cellStyle name="40% - Énfasis4 8 6 3 2 2 2" xfId="42146"/>
    <cellStyle name="40% - Énfasis4 8 6 3 2 3" xfId="42145"/>
    <cellStyle name="40% - Énfasis4 8 6 3 3" xfId="25272"/>
    <cellStyle name="40% - Énfasis4 8 6 3 3 2" xfId="25273"/>
    <cellStyle name="40% - Énfasis4 8 6 3 3 2 2" xfId="42148"/>
    <cellStyle name="40% - Énfasis4 8 6 3 3 3" xfId="42147"/>
    <cellStyle name="40% - Énfasis4 8 6 3 4" xfId="25274"/>
    <cellStyle name="40% - Énfasis4 8 6 3 4 2" xfId="42149"/>
    <cellStyle name="40% - Énfasis4 8 6 3 5" xfId="42144"/>
    <cellStyle name="40% - Énfasis4 8 6 4" xfId="25275"/>
    <cellStyle name="40% - Énfasis4 8 6 4 2" xfId="42150"/>
    <cellStyle name="40% - Énfasis4 8 6 5" xfId="25276"/>
    <cellStyle name="40% - Énfasis4 8 6 5 2" xfId="25277"/>
    <cellStyle name="40% - Énfasis4 8 6 5 2 2" xfId="42152"/>
    <cellStyle name="40% - Énfasis4 8 6 5 3" xfId="42151"/>
    <cellStyle name="40% - Énfasis4 8 6 6" xfId="25278"/>
    <cellStyle name="40% - Énfasis4 8 6 6 2" xfId="42153"/>
    <cellStyle name="40% - Énfasis4 8 6 7" xfId="42132"/>
    <cellStyle name="40% - Énfasis4 8 6_IAS" xfId="25279"/>
    <cellStyle name="40% - Énfasis4 8 7" xfId="25280"/>
    <cellStyle name="40% - Énfasis4 8 7 2" xfId="25281"/>
    <cellStyle name="40% - Énfasis4 8 7 2 2" xfId="25282"/>
    <cellStyle name="40% - Énfasis4 8 7 2 2 2" xfId="25283"/>
    <cellStyle name="40% - Énfasis4 8 7 2 2 2 2" xfId="42157"/>
    <cellStyle name="40% - Énfasis4 8 7 2 2 3" xfId="42156"/>
    <cellStyle name="40% - Énfasis4 8 7 2 3" xfId="25284"/>
    <cellStyle name="40% - Énfasis4 8 7 2 3 2" xfId="25285"/>
    <cellStyle name="40% - Énfasis4 8 7 2 3 2 2" xfId="42159"/>
    <cellStyle name="40% - Énfasis4 8 7 2 3 3" xfId="42158"/>
    <cellStyle name="40% - Énfasis4 8 7 2 4" xfId="25286"/>
    <cellStyle name="40% - Énfasis4 8 7 2 4 2" xfId="42160"/>
    <cellStyle name="40% - Énfasis4 8 7 2 5" xfId="42155"/>
    <cellStyle name="40% - Énfasis4 8 7 3" xfId="25287"/>
    <cellStyle name="40% - Énfasis4 8 7 3 2" xfId="42161"/>
    <cellStyle name="40% - Énfasis4 8 7 4" xfId="25288"/>
    <cellStyle name="40% - Énfasis4 8 7 4 2" xfId="25289"/>
    <cellStyle name="40% - Énfasis4 8 7 4 2 2" xfId="42163"/>
    <cellStyle name="40% - Énfasis4 8 7 4 3" xfId="42162"/>
    <cellStyle name="40% - Énfasis4 8 7 5" xfId="25290"/>
    <cellStyle name="40% - Énfasis4 8 7 5 2" xfId="42164"/>
    <cellStyle name="40% - Énfasis4 8 7 6" xfId="42154"/>
    <cellStyle name="40% - Énfasis4 8 7_IAS" xfId="25291"/>
    <cellStyle name="40% - Énfasis4 8 8" xfId="25292"/>
    <cellStyle name="40% - Énfasis4 8 8 2" xfId="25293"/>
    <cellStyle name="40% - Énfasis4 8 8 2 2" xfId="25294"/>
    <cellStyle name="40% - Énfasis4 8 8 2 2 2" xfId="42167"/>
    <cellStyle name="40% - Énfasis4 8 8 2 3" xfId="42166"/>
    <cellStyle name="40% - Énfasis4 8 8 3" xfId="25295"/>
    <cellStyle name="40% - Énfasis4 8 8 3 2" xfId="25296"/>
    <cellStyle name="40% - Énfasis4 8 8 3 2 2" xfId="42169"/>
    <cellStyle name="40% - Énfasis4 8 8 3 3" xfId="42168"/>
    <cellStyle name="40% - Énfasis4 8 8 4" xfId="25297"/>
    <cellStyle name="40% - Énfasis4 8 8 4 2" xfId="42170"/>
    <cellStyle name="40% - Énfasis4 8 8 5" xfId="42165"/>
    <cellStyle name="40% - Énfasis4 8 9" xfId="25298"/>
    <cellStyle name="40% - Énfasis4 8 9 2" xfId="25299"/>
    <cellStyle name="40% - Énfasis4 8 9 2 2" xfId="25300"/>
    <cellStyle name="40% - Énfasis4 8 9 2 2 2" xfId="42173"/>
    <cellStyle name="40% - Énfasis4 8 9 2 3" xfId="42172"/>
    <cellStyle name="40% - Énfasis4 8 9 3" xfId="25301"/>
    <cellStyle name="40% - Énfasis4 8 9 3 2" xfId="42174"/>
    <cellStyle name="40% - Énfasis4 8 9 4" xfId="42171"/>
    <cellStyle name="40% - Énfasis4 8_AGF" xfId="25302"/>
    <cellStyle name="40% - Énfasis4 9" xfId="25303"/>
    <cellStyle name="40% - Énfasis4 9 10" xfId="25304"/>
    <cellStyle name="40% - Énfasis4 9 10 2" xfId="25305"/>
    <cellStyle name="40% - Énfasis4 9 10 2 2" xfId="25306"/>
    <cellStyle name="40% - Énfasis4 9 10 2 2 2" xfId="42178"/>
    <cellStyle name="40% - Énfasis4 9 10 2 3" xfId="42177"/>
    <cellStyle name="40% - Énfasis4 9 10 3" xfId="25307"/>
    <cellStyle name="40% - Énfasis4 9 10 3 2" xfId="42179"/>
    <cellStyle name="40% - Énfasis4 9 10 4" xfId="42176"/>
    <cellStyle name="40% - Énfasis4 9 11" xfId="25308"/>
    <cellStyle name="40% - Énfasis4 9 11 2" xfId="25309"/>
    <cellStyle name="40% - Énfasis4 9 11 2 2" xfId="42181"/>
    <cellStyle name="40% - Énfasis4 9 11 3" xfId="42180"/>
    <cellStyle name="40% - Énfasis4 9 12" xfId="25310"/>
    <cellStyle name="40% - Énfasis4 9 12 2" xfId="25311"/>
    <cellStyle name="40% - Énfasis4 9 12 2 2" xfId="42183"/>
    <cellStyle name="40% - Énfasis4 9 12 3" xfId="42182"/>
    <cellStyle name="40% - Énfasis4 9 13" xfId="25312"/>
    <cellStyle name="40% - Énfasis4 9 13 2" xfId="42184"/>
    <cellStyle name="40% - Énfasis4 9 14" xfId="25313"/>
    <cellStyle name="40% - Énfasis4 9 14 2" xfId="42185"/>
    <cellStyle name="40% - Énfasis4 9 15" xfId="42175"/>
    <cellStyle name="40% - Énfasis4 9 2" xfId="25314"/>
    <cellStyle name="40% - Énfasis4 9 2 2" xfId="25315"/>
    <cellStyle name="40% - Énfasis4 9 2 2 2" xfId="25316"/>
    <cellStyle name="40% - Énfasis4 9 2 2 2 2" xfId="25317"/>
    <cellStyle name="40% - Énfasis4 9 2 2 2 2 2" xfId="25318"/>
    <cellStyle name="40% - Énfasis4 9 2 2 2 2 2 2" xfId="25319"/>
    <cellStyle name="40% - Énfasis4 9 2 2 2 2 2 2 2" xfId="42191"/>
    <cellStyle name="40% - Énfasis4 9 2 2 2 2 2 3" xfId="42190"/>
    <cellStyle name="40% - Énfasis4 9 2 2 2 2 3" xfId="25320"/>
    <cellStyle name="40% - Énfasis4 9 2 2 2 2 3 2" xfId="25321"/>
    <cellStyle name="40% - Énfasis4 9 2 2 2 2 3 2 2" xfId="42193"/>
    <cellStyle name="40% - Énfasis4 9 2 2 2 2 3 3" xfId="42192"/>
    <cellStyle name="40% - Énfasis4 9 2 2 2 2 4" xfId="25322"/>
    <cellStyle name="40% - Énfasis4 9 2 2 2 2 4 2" xfId="42194"/>
    <cellStyle name="40% - Énfasis4 9 2 2 2 2 5" xfId="42189"/>
    <cellStyle name="40% - Énfasis4 9 2 2 2 3" xfId="25323"/>
    <cellStyle name="40% - Énfasis4 9 2 2 2 3 2" xfId="42195"/>
    <cellStyle name="40% - Énfasis4 9 2 2 2 4" xfId="25324"/>
    <cellStyle name="40% - Énfasis4 9 2 2 2 4 2" xfId="25325"/>
    <cellStyle name="40% - Énfasis4 9 2 2 2 4 2 2" xfId="42197"/>
    <cellStyle name="40% - Énfasis4 9 2 2 2 4 3" xfId="42196"/>
    <cellStyle name="40% - Énfasis4 9 2 2 2 5" xfId="25326"/>
    <cellStyle name="40% - Énfasis4 9 2 2 2 5 2" xfId="42198"/>
    <cellStyle name="40% - Énfasis4 9 2 2 2 6" xfId="42188"/>
    <cellStyle name="40% - Énfasis4 9 2 2 2_IAS" xfId="25327"/>
    <cellStyle name="40% - Énfasis4 9 2 2 3" xfId="25328"/>
    <cellStyle name="40% - Énfasis4 9 2 2 3 2" xfId="25329"/>
    <cellStyle name="40% - Énfasis4 9 2 2 3 2 2" xfId="25330"/>
    <cellStyle name="40% - Énfasis4 9 2 2 3 2 2 2" xfId="42201"/>
    <cellStyle name="40% - Énfasis4 9 2 2 3 2 3" xfId="42200"/>
    <cellStyle name="40% - Énfasis4 9 2 2 3 3" xfId="25331"/>
    <cellStyle name="40% - Énfasis4 9 2 2 3 3 2" xfId="25332"/>
    <cellStyle name="40% - Énfasis4 9 2 2 3 3 2 2" xfId="42203"/>
    <cellStyle name="40% - Énfasis4 9 2 2 3 3 3" xfId="42202"/>
    <cellStyle name="40% - Énfasis4 9 2 2 3 4" xfId="25333"/>
    <cellStyle name="40% - Énfasis4 9 2 2 3 4 2" xfId="42204"/>
    <cellStyle name="40% - Énfasis4 9 2 2 3 5" xfId="42199"/>
    <cellStyle name="40% - Énfasis4 9 2 2 4" xfId="25334"/>
    <cellStyle name="40% - Énfasis4 9 2 2 4 2" xfId="42205"/>
    <cellStyle name="40% - Énfasis4 9 2 2 5" xfId="25335"/>
    <cellStyle name="40% - Énfasis4 9 2 2 5 2" xfId="25336"/>
    <cellStyle name="40% - Énfasis4 9 2 2 5 2 2" xfId="42207"/>
    <cellStyle name="40% - Énfasis4 9 2 2 5 3" xfId="42206"/>
    <cellStyle name="40% - Énfasis4 9 2 2 6" xfId="25337"/>
    <cellStyle name="40% - Énfasis4 9 2 2 6 2" xfId="42208"/>
    <cellStyle name="40% - Énfasis4 9 2 2 7" xfId="42187"/>
    <cellStyle name="40% - Énfasis4 9 2 2_IAS" xfId="25338"/>
    <cellStyle name="40% - Énfasis4 9 2 3" xfId="25339"/>
    <cellStyle name="40% - Énfasis4 9 2 3 2" xfId="25340"/>
    <cellStyle name="40% - Énfasis4 9 2 3 2 2" xfId="25341"/>
    <cellStyle name="40% - Énfasis4 9 2 3 2 2 2" xfId="25342"/>
    <cellStyle name="40% - Énfasis4 9 2 3 2 2 2 2" xfId="42212"/>
    <cellStyle name="40% - Énfasis4 9 2 3 2 2 3" xfId="42211"/>
    <cellStyle name="40% - Énfasis4 9 2 3 2 3" xfId="25343"/>
    <cellStyle name="40% - Énfasis4 9 2 3 2 3 2" xfId="25344"/>
    <cellStyle name="40% - Énfasis4 9 2 3 2 3 2 2" xfId="42214"/>
    <cellStyle name="40% - Énfasis4 9 2 3 2 3 3" xfId="42213"/>
    <cellStyle name="40% - Énfasis4 9 2 3 2 4" xfId="25345"/>
    <cellStyle name="40% - Énfasis4 9 2 3 2 4 2" xfId="42215"/>
    <cellStyle name="40% - Énfasis4 9 2 3 2 5" xfId="42210"/>
    <cellStyle name="40% - Énfasis4 9 2 3 3" xfId="25346"/>
    <cellStyle name="40% - Énfasis4 9 2 3 3 2" xfId="42216"/>
    <cellStyle name="40% - Énfasis4 9 2 3 4" xfId="25347"/>
    <cellStyle name="40% - Énfasis4 9 2 3 4 2" xfId="25348"/>
    <cellStyle name="40% - Énfasis4 9 2 3 4 2 2" xfId="42218"/>
    <cellStyle name="40% - Énfasis4 9 2 3 4 3" xfId="42217"/>
    <cellStyle name="40% - Énfasis4 9 2 3 5" xfId="25349"/>
    <cellStyle name="40% - Énfasis4 9 2 3 5 2" xfId="42219"/>
    <cellStyle name="40% - Énfasis4 9 2 3 6" xfId="42209"/>
    <cellStyle name="40% - Énfasis4 9 2 3_IAS" xfId="25350"/>
    <cellStyle name="40% - Énfasis4 9 2 4" xfId="25351"/>
    <cellStyle name="40% - Énfasis4 9 2 4 2" xfId="25352"/>
    <cellStyle name="40% - Énfasis4 9 2 4 2 2" xfId="25353"/>
    <cellStyle name="40% - Énfasis4 9 2 4 2 2 2" xfId="42222"/>
    <cellStyle name="40% - Énfasis4 9 2 4 2 3" xfId="42221"/>
    <cellStyle name="40% - Énfasis4 9 2 4 3" xfId="25354"/>
    <cellStyle name="40% - Énfasis4 9 2 4 3 2" xfId="25355"/>
    <cellStyle name="40% - Énfasis4 9 2 4 3 2 2" xfId="42224"/>
    <cellStyle name="40% - Énfasis4 9 2 4 3 3" xfId="42223"/>
    <cellStyle name="40% - Énfasis4 9 2 4 4" xfId="25356"/>
    <cellStyle name="40% - Énfasis4 9 2 4 4 2" xfId="42225"/>
    <cellStyle name="40% - Énfasis4 9 2 4 5" xfId="42220"/>
    <cellStyle name="40% - Énfasis4 9 2 5" xfId="25357"/>
    <cellStyle name="40% - Énfasis4 9 2 5 2" xfId="42226"/>
    <cellStyle name="40% - Énfasis4 9 2 6" xfId="25358"/>
    <cellStyle name="40% - Énfasis4 9 2 6 2" xfId="25359"/>
    <cellStyle name="40% - Énfasis4 9 2 6 2 2" xfId="42228"/>
    <cellStyle name="40% - Énfasis4 9 2 6 3" xfId="42227"/>
    <cellStyle name="40% - Énfasis4 9 2 7" xfId="25360"/>
    <cellStyle name="40% - Énfasis4 9 2 7 2" xfId="42229"/>
    <cellStyle name="40% - Énfasis4 9 2 8" xfId="42186"/>
    <cellStyle name="40% - Énfasis4 9 2_IAS" xfId="25361"/>
    <cellStyle name="40% - Énfasis4 9 3" xfId="25362"/>
    <cellStyle name="40% - Énfasis4 9 3 2" xfId="25363"/>
    <cellStyle name="40% - Énfasis4 9 3 2 2" xfId="25364"/>
    <cellStyle name="40% - Énfasis4 9 3 2 2 2" xfId="25365"/>
    <cellStyle name="40% - Énfasis4 9 3 2 2 2 2" xfId="25366"/>
    <cellStyle name="40% - Énfasis4 9 3 2 2 2 2 2" xfId="25367"/>
    <cellStyle name="40% - Énfasis4 9 3 2 2 2 2 2 2" xfId="42235"/>
    <cellStyle name="40% - Énfasis4 9 3 2 2 2 2 3" xfId="42234"/>
    <cellStyle name="40% - Énfasis4 9 3 2 2 2 3" xfId="25368"/>
    <cellStyle name="40% - Énfasis4 9 3 2 2 2 3 2" xfId="25369"/>
    <cellStyle name="40% - Énfasis4 9 3 2 2 2 3 2 2" xfId="42237"/>
    <cellStyle name="40% - Énfasis4 9 3 2 2 2 3 3" xfId="42236"/>
    <cellStyle name="40% - Énfasis4 9 3 2 2 2 4" xfId="25370"/>
    <cellStyle name="40% - Énfasis4 9 3 2 2 2 4 2" xfId="42238"/>
    <cellStyle name="40% - Énfasis4 9 3 2 2 2 5" xfId="42233"/>
    <cellStyle name="40% - Énfasis4 9 3 2 2 3" xfId="25371"/>
    <cellStyle name="40% - Énfasis4 9 3 2 2 3 2" xfId="42239"/>
    <cellStyle name="40% - Énfasis4 9 3 2 2 4" xfId="25372"/>
    <cellStyle name="40% - Énfasis4 9 3 2 2 4 2" xfId="25373"/>
    <cellStyle name="40% - Énfasis4 9 3 2 2 4 2 2" xfId="42241"/>
    <cellStyle name="40% - Énfasis4 9 3 2 2 4 3" xfId="42240"/>
    <cellStyle name="40% - Énfasis4 9 3 2 2 5" xfId="25374"/>
    <cellStyle name="40% - Énfasis4 9 3 2 2 5 2" xfId="42242"/>
    <cellStyle name="40% - Énfasis4 9 3 2 2 6" xfId="42232"/>
    <cellStyle name="40% - Énfasis4 9 3 2 2_IAS" xfId="25375"/>
    <cellStyle name="40% - Énfasis4 9 3 2 3" xfId="25376"/>
    <cellStyle name="40% - Énfasis4 9 3 2 3 2" xfId="25377"/>
    <cellStyle name="40% - Énfasis4 9 3 2 3 2 2" xfId="25378"/>
    <cellStyle name="40% - Énfasis4 9 3 2 3 2 2 2" xfId="42245"/>
    <cellStyle name="40% - Énfasis4 9 3 2 3 2 3" xfId="42244"/>
    <cellStyle name="40% - Énfasis4 9 3 2 3 3" xfId="25379"/>
    <cellStyle name="40% - Énfasis4 9 3 2 3 3 2" xfId="25380"/>
    <cellStyle name="40% - Énfasis4 9 3 2 3 3 2 2" xfId="42247"/>
    <cellStyle name="40% - Énfasis4 9 3 2 3 3 3" xfId="42246"/>
    <cellStyle name="40% - Énfasis4 9 3 2 3 4" xfId="25381"/>
    <cellStyle name="40% - Énfasis4 9 3 2 3 4 2" xfId="42248"/>
    <cellStyle name="40% - Énfasis4 9 3 2 3 5" xfId="42243"/>
    <cellStyle name="40% - Énfasis4 9 3 2 4" xfId="25382"/>
    <cellStyle name="40% - Énfasis4 9 3 2 4 2" xfId="42249"/>
    <cellStyle name="40% - Énfasis4 9 3 2 5" xfId="25383"/>
    <cellStyle name="40% - Énfasis4 9 3 2 5 2" xfId="25384"/>
    <cellStyle name="40% - Énfasis4 9 3 2 5 2 2" xfId="42251"/>
    <cellStyle name="40% - Énfasis4 9 3 2 5 3" xfId="42250"/>
    <cellStyle name="40% - Énfasis4 9 3 2 6" xfId="25385"/>
    <cellStyle name="40% - Énfasis4 9 3 2 6 2" xfId="42252"/>
    <cellStyle name="40% - Énfasis4 9 3 2 7" xfId="42231"/>
    <cellStyle name="40% - Énfasis4 9 3 2_IAS" xfId="25386"/>
    <cellStyle name="40% - Énfasis4 9 3 3" xfId="25387"/>
    <cellStyle name="40% - Énfasis4 9 3 3 2" xfId="25388"/>
    <cellStyle name="40% - Énfasis4 9 3 3 2 2" xfId="25389"/>
    <cellStyle name="40% - Énfasis4 9 3 3 2 2 2" xfId="25390"/>
    <cellStyle name="40% - Énfasis4 9 3 3 2 2 2 2" xfId="42256"/>
    <cellStyle name="40% - Énfasis4 9 3 3 2 2 3" xfId="42255"/>
    <cellStyle name="40% - Énfasis4 9 3 3 2 3" xfId="25391"/>
    <cellStyle name="40% - Énfasis4 9 3 3 2 3 2" xfId="25392"/>
    <cellStyle name="40% - Énfasis4 9 3 3 2 3 2 2" xfId="42258"/>
    <cellStyle name="40% - Énfasis4 9 3 3 2 3 3" xfId="42257"/>
    <cellStyle name="40% - Énfasis4 9 3 3 2 4" xfId="25393"/>
    <cellStyle name="40% - Énfasis4 9 3 3 2 4 2" xfId="42259"/>
    <cellStyle name="40% - Énfasis4 9 3 3 2 5" xfId="42254"/>
    <cellStyle name="40% - Énfasis4 9 3 3 3" xfId="25394"/>
    <cellStyle name="40% - Énfasis4 9 3 3 3 2" xfId="42260"/>
    <cellStyle name="40% - Énfasis4 9 3 3 4" xfId="25395"/>
    <cellStyle name="40% - Énfasis4 9 3 3 4 2" xfId="25396"/>
    <cellStyle name="40% - Énfasis4 9 3 3 4 2 2" xfId="42262"/>
    <cellStyle name="40% - Énfasis4 9 3 3 4 3" xfId="42261"/>
    <cellStyle name="40% - Énfasis4 9 3 3 5" xfId="25397"/>
    <cellStyle name="40% - Énfasis4 9 3 3 5 2" xfId="42263"/>
    <cellStyle name="40% - Énfasis4 9 3 3 6" xfId="42253"/>
    <cellStyle name="40% - Énfasis4 9 3 3_IAS" xfId="25398"/>
    <cellStyle name="40% - Énfasis4 9 3 4" xfId="25399"/>
    <cellStyle name="40% - Énfasis4 9 3 4 2" xfId="25400"/>
    <cellStyle name="40% - Énfasis4 9 3 4 2 2" xfId="25401"/>
    <cellStyle name="40% - Énfasis4 9 3 4 2 2 2" xfId="42266"/>
    <cellStyle name="40% - Énfasis4 9 3 4 2 3" xfId="42265"/>
    <cellStyle name="40% - Énfasis4 9 3 4 3" xfId="25402"/>
    <cellStyle name="40% - Énfasis4 9 3 4 3 2" xfId="25403"/>
    <cellStyle name="40% - Énfasis4 9 3 4 3 2 2" xfId="42268"/>
    <cellStyle name="40% - Énfasis4 9 3 4 3 3" xfId="42267"/>
    <cellStyle name="40% - Énfasis4 9 3 4 4" xfId="25404"/>
    <cellStyle name="40% - Énfasis4 9 3 4 4 2" xfId="42269"/>
    <cellStyle name="40% - Énfasis4 9 3 4 5" xfId="42264"/>
    <cellStyle name="40% - Énfasis4 9 3 5" xfId="25405"/>
    <cellStyle name="40% - Énfasis4 9 3 5 2" xfId="42270"/>
    <cellStyle name="40% - Énfasis4 9 3 6" xfId="25406"/>
    <cellStyle name="40% - Énfasis4 9 3 6 2" xfId="25407"/>
    <cellStyle name="40% - Énfasis4 9 3 6 2 2" xfId="42272"/>
    <cellStyle name="40% - Énfasis4 9 3 6 3" xfId="42271"/>
    <cellStyle name="40% - Énfasis4 9 3 7" xfId="25408"/>
    <cellStyle name="40% - Énfasis4 9 3 7 2" xfId="42273"/>
    <cellStyle name="40% - Énfasis4 9 3 8" xfId="42230"/>
    <cellStyle name="40% - Énfasis4 9 3_IAS" xfId="25409"/>
    <cellStyle name="40% - Énfasis4 9 4" xfId="25410"/>
    <cellStyle name="40% - Énfasis4 9 4 2" xfId="42274"/>
    <cellStyle name="40% - Énfasis4 9 5" xfId="25411"/>
    <cellStyle name="40% - Énfasis4 9 5 2" xfId="25412"/>
    <cellStyle name="40% - Énfasis4 9 5 2 2" xfId="25413"/>
    <cellStyle name="40% - Énfasis4 9 5 2 2 2" xfId="25414"/>
    <cellStyle name="40% - Énfasis4 9 5 2 2 2 2" xfId="25415"/>
    <cellStyle name="40% - Énfasis4 9 5 2 2 2 2 2" xfId="42279"/>
    <cellStyle name="40% - Énfasis4 9 5 2 2 2 3" xfId="42278"/>
    <cellStyle name="40% - Énfasis4 9 5 2 2 3" xfId="25416"/>
    <cellStyle name="40% - Énfasis4 9 5 2 2 3 2" xfId="25417"/>
    <cellStyle name="40% - Énfasis4 9 5 2 2 3 2 2" xfId="42281"/>
    <cellStyle name="40% - Énfasis4 9 5 2 2 3 3" xfId="42280"/>
    <cellStyle name="40% - Énfasis4 9 5 2 2 4" xfId="25418"/>
    <cellStyle name="40% - Énfasis4 9 5 2 2 4 2" xfId="42282"/>
    <cellStyle name="40% - Énfasis4 9 5 2 2 5" xfId="42277"/>
    <cellStyle name="40% - Énfasis4 9 5 2 3" xfId="25419"/>
    <cellStyle name="40% - Énfasis4 9 5 2 3 2" xfId="42283"/>
    <cellStyle name="40% - Énfasis4 9 5 2 4" xfId="25420"/>
    <cellStyle name="40% - Énfasis4 9 5 2 4 2" xfId="25421"/>
    <cellStyle name="40% - Énfasis4 9 5 2 4 2 2" xfId="42285"/>
    <cellStyle name="40% - Énfasis4 9 5 2 4 3" xfId="42284"/>
    <cellStyle name="40% - Énfasis4 9 5 2 5" xfId="25422"/>
    <cellStyle name="40% - Énfasis4 9 5 2 5 2" xfId="42286"/>
    <cellStyle name="40% - Énfasis4 9 5 2 6" xfId="42276"/>
    <cellStyle name="40% - Énfasis4 9 5 2_IAS" xfId="25423"/>
    <cellStyle name="40% - Énfasis4 9 5 3" xfId="25424"/>
    <cellStyle name="40% - Énfasis4 9 5 3 2" xfId="25425"/>
    <cellStyle name="40% - Énfasis4 9 5 3 2 2" xfId="25426"/>
    <cellStyle name="40% - Énfasis4 9 5 3 2 2 2" xfId="42289"/>
    <cellStyle name="40% - Énfasis4 9 5 3 2 3" xfId="42288"/>
    <cellStyle name="40% - Énfasis4 9 5 3 3" xfId="25427"/>
    <cellStyle name="40% - Énfasis4 9 5 3 3 2" xfId="25428"/>
    <cellStyle name="40% - Énfasis4 9 5 3 3 2 2" xfId="42291"/>
    <cellStyle name="40% - Énfasis4 9 5 3 3 3" xfId="42290"/>
    <cellStyle name="40% - Énfasis4 9 5 3 4" xfId="25429"/>
    <cellStyle name="40% - Énfasis4 9 5 3 4 2" xfId="42292"/>
    <cellStyle name="40% - Énfasis4 9 5 3 5" xfId="42287"/>
    <cellStyle name="40% - Énfasis4 9 5 4" xfId="25430"/>
    <cellStyle name="40% - Énfasis4 9 5 4 2" xfId="42293"/>
    <cellStyle name="40% - Énfasis4 9 5 5" xfId="25431"/>
    <cellStyle name="40% - Énfasis4 9 5 5 2" xfId="25432"/>
    <cellStyle name="40% - Énfasis4 9 5 5 2 2" xfId="42295"/>
    <cellStyle name="40% - Énfasis4 9 5 5 3" xfId="42294"/>
    <cellStyle name="40% - Énfasis4 9 5 6" xfId="25433"/>
    <cellStyle name="40% - Énfasis4 9 5 6 2" xfId="42296"/>
    <cellStyle name="40% - Énfasis4 9 5 7" xfId="42275"/>
    <cellStyle name="40% - Énfasis4 9 5_IAS" xfId="25434"/>
    <cellStyle name="40% - Énfasis4 9 6" xfId="25435"/>
    <cellStyle name="40% - Énfasis4 9 6 2" xfId="25436"/>
    <cellStyle name="40% - Énfasis4 9 6 2 2" xfId="25437"/>
    <cellStyle name="40% - Énfasis4 9 6 2 2 2" xfId="25438"/>
    <cellStyle name="40% - Énfasis4 9 6 2 2 2 2" xfId="42300"/>
    <cellStyle name="40% - Énfasis4 9 6 2 2 3" xfId="42299"/>
    <cellStyle name="40% - Énfasis4 9 6 2 3" xfId="25439"/>
    <cellStyle name="40% - Énfasis4 9 6 2 3 2" xfId="25440"/>
    <cellStyle name="40% - Énfasis4 9 6 2 3 2 2" xfId="42302"/>
    <cellStyle name="40% - Énfasis4 9 6 2 3 3" xfId="42301"/>
    <cellStyle name="40% - Énfasis4 9 6 2 4" xfId="25441"/>
    <cellStyle name="40% - Énfasis4 9 6 2 4 2" xfId="42303"/>
    <cellStyle name="40% - Énfasis4 9 6 2 5" xfId="42298"/>
    <cellStyle name="40% - Énfasis4 9 6 3" xfId="25442"/>
    <cellStyle name="40% - Énfasis4 9 6 3 2" xfId="42304"/>
    <cellStyle name="40% - Énfasis4 9 6 4" xfId="25443"/>
    <cellStyle name="40% - Énfasis4 9 6 4 2" xfId="25444"/>
    <cellStyle name="40% - Énfasis4 9 6 4 2 2" xfId="42306"/>
    <cellStyle name="40% - Énfasis4 9 6 4 3" xfId="42305"/>
    <cellStyle name="40% - Énfasis4 9 6 5" xfId="25445"/>
    <cellStyle name="40% - Énfasis4 9 6 5 2" xfId="42307"/>
    <cellStyle name="40% - Énfasis4 9 6 6" xfId="42297"/>
    <cellStyle name="40% - Énfasis4 9 6_IAS" xfId="25446"/>
    <cellStyle name="40% - Énfasis4 9 7" xfId="25447"/>
    <cellStyle name="40% - Énfasis4 9 7 2" xfId="25448"/>
    <cellStyle name="40% - Énfasis4 9 7 2 2" xfId="25449"/>
    <cellStyle name="40% - Énfasis4 9 7 2 2 2" xfId="42310"/>
    <cellStyle name="40% - Énfasis4 9 7 2 3" xfId="42309"/>
    <cellStyle name="40% - Énfasis4 9 7 3" xfId="25450"/>
    <cellStyle name="40% - Énfasis4 9 7 3 2" xfId="25451"/>
    <cellStyle name="40% - Énfasis4 9 7 3 2 2" xfId="42312"/>
    <cellStyle name="40% - Énfasis4 9 7 3 3" xfId="42311"/>
    <cellStyle name="40% - Énfasis4 9 7 4" xfId="25452"/>
    <cellStyle name="40% - Énfasis4 9 7 4 2" xfId="42313"/>
    <cellStyle name="40% - Énfasis4 9 7 5" xfId="42308"/>
    <cellStyle name="40% - Énfasis4 9 8" xfId="25453"/>
    <cellStyle name="40% - Énfasis4 9 8 2" xfId="25454"/>
    <cellStyle name="40% - Énfasis4 9 8 2 2" xfId="25455"/>
    <cellStyle name="40% - Énfasis4 9 8 2 2 2" xfId="42316"/>
    <cellStyle name="40% - Énfasis4 9 8 2 3" xfId="42315"/>
    <cellStyle name="40% - Énfasis4 9 8 3" xfId="25456"/>
    <cellStyle name="40% - Énfasis4 9 8 3 2" xfId="42317"/>
    <cellStyle name="40% - Énfasis4 9 8 4" xfId="42314"/>
    <cellStyle name="40% - Énfasis4 9 9" xfId="25457"/>
    <cellStyle name="40% - Énfasis4 9 9 2" xfId="25458"/>
    <cellStyle name="40% - Énfasis4 9 9 2 2" xfId="25459"/>
    <cellStyle name="40% - Énfasis4 9 9 2 2 2" xfId="42320"/>
    <cellStyle name="40% - Énfasis4 9 9 2 3" xfId="42319"/>
    <cellStyle name="40% - Énfasis4 9 9 3" xfId="25460"/>
    <cellStyle name="40% - Énfasis4 9 9 3 2" xfId="42321"/>
    <cellStyle name="40% - Énfasis4 9 9 4" xfId="42318"/>
    <cellStyle name="40% - Énfasis4 9_IAS" xfId="25461"/>
    <cellStyle name="40% - Énfasis5 10" xfId="25463"/>
    <cellStyle name="40% - Énfasis5 10 2" xfId="25464"/>
    <cellStyle name="40% - Énfasis5 10 2 2" xfId="25465"/>
    <cellStyle name="40% - Énfasis5 10 2 2 2" xfId="25466"/>
    <cellStyle name="40% - Énfasis5 10 2 2 2 2" xfId="42325"/>
    <cellStyle name="40% - Énfasis5 10 2 2 3" xfId="42324"/>
    <cellStyle name="40% - Énfasis5 10 2 3" xfId="25467"/>
    <cellStyle name="40% - Énfasis5 10 2 3 2" xfId="25468"/>
    <cellStyle name="40% - Énfasis5 10 2 3 2 2" xfId="42327"/>
    <cellStyle name="40% - Énfasis5 10 2 3 3" xfId="42326"/>
    <cellStyle name="40% - Énfasis5 10 2 4" xfId="25469"/>
    <cellStyle name="40% - Énfasis5 10 2 4 2" xfId="42328"/>
    <cellStyle name="40% - Énfasis5 10 2 5" xfId="42323"/>
    <cellStyle name="40% - Énfasis5 10 3" xfId="25470"/>
    <cellStyle name="40% - Énfasis5 10 3 2" xfId="42329"/>
    <cellStyle name="40% - Énfasis5 10 4" xfId="25471"/>
    <cellStyle name="40% - Énfasis5 10 4 2" xfId="25472"/>
    <cellStyle name="40% - Énfasis5 10 4 2 2" xfId="42331"/>
    <cellStyle name="40% - Énfasis5 10 4 3" xfId="42330"/>
    <cellStyle name="40% - Énfasis5 10 5" xfId="25473"/>
    <cellStyle name="40% - Énfasis5 10 5 2" xfId="42332"/>
    <cellStyle name="40% - Énfasis5 10 6" xfId="42322"/>
    <cellStyle name="40% - Énfasis5 10_IAS" xfId="25474"/>
    <cellStyle name="40% - Énfasis5 11" xfId="25475"/>
    <cellStyle name="40% - Énfasis5 11 2" xfId="25476"/>
    <cellStyle name="40% - Énfasis5 11 2 2" xfId="25477"/>
    <cellStyle name="40% - Énfasis5 11 2 2 2" xfId="42335"/>
    <cellStyle name="40% - Énfasis5 11 2 3" xfId="42334"/>
    <cellStyle name="40% - Énfasis5 11 3" xfId="25478"/>
    <cellStyle name="40% - Énfasis5 11 3 2" xfId="25479"/>
    <cellStyle name="40% - Énfasis5 11 3 2 2" xfId="42337"/>
    <cellStyle name="40% - Énfasis5 11 3 3" xfId="42336"/>
    <cellStyle name="40% - Énfasis5 11 4" xfId="25480"/>
    <cellStyle name="40% - Énfasis5 11 4 2" xfId="42338"/>
    <cellStyle name="40% - Énfasis5 11 5" xfId="42333"/>
    <cellStyle name="40% - Énfasis5 11_IAS" xfId="25481"/>
    <cellStyle name="40% - Énfasis5 12" xfId="25482"/>
    <cellStyle name="40% - Énfasis5 12 2" xfId="25483"/>
    <cellStyle name="40% - Énfasis5 12 2 2" xfId="42340"/>
    <cellStyle name="40% - Énfasis5 12 3" xfId="42339"/>
    <cellStyle name="40% - Énfasis5 13" xfId="25484"/>
    <cellStyle name="40% - Énfasis5 13 2" xfId="25485"/>
    <cellStyle name="40% - Énfasis5 13 2 2" xfId="42342"/>
    <cellStyle name="40% - Énfasis5 13 3" xfId="42341"/>
    <cellStyle name="40% - Énfasis5 14" xfId="25486"/>
    <cellStyle name="40% - Énfasis5 14 2" xfId="25487"/>
    <cellStyle name="40% - Énfasis5 14 2 2" xfId="42344"/>
    <cellStyle name="40% - Énfasis5 14 3" xfId="42343"/>
    <cellStyle name="40% - Énfasis5 15" xfId="25488"/>
    <cellStyle name="40% - Énfasis5 15 2" xfId="42345"/>
    <cellStyle name="40% - Énfasis5 16" xfId="25462"/>
    <cellStyle name="40% - Énfasis5 17" xfId="19910"/>
    <cellStyle name="40% - Énfasis5 2" xfId="344"/>
    <cellStyle name="40% - Énfasis5 2 10" xfId="12966"/>
    <cellStyle name="40% - Énfasis5 2 11" xfId="25489"/>
    <cellStyle name="40% - Énfasis5 2 2" xfId="345"/>
    <cellStyle name="40% - Énfasis5 2 2 10" xfId="25490"/>
    <cellStyle name="40% - Énfasis5 2 2 2" xfId="346"/>
    <cellStyle name="40% - Énfasis5 2 2 2 2" xfId="347"/>
    <cellStyle name="40% - Énfasis5 2 2 2 2 2" xfId="348"/>
    <cellStyle name="40% - Énfasis5 2 2 2 2 2 2" xfId="2270"/>
    <cellStyle name="40% - Énfasis5 2 2 2 2 2 2 2" xfId="5395"/>
    <cellStyle name="40% - Énfasis5 2 2 2 2 2 2 2 2" xfId="11598"/>
    <cellStyle name="40% - Énfasis5 2 2 2 2 2 2 2 3" xfId="17800"/>
    <cellStyle name="40% - Énfasis5 2 2 2 2 2 2 2 4" xfId="56631"/>
    <cellStyle name="40% - Énfasis5 2 2 2 2 2 2 3" xfId="8498"/>
    <cellStyle name="40% - Énfasis5 2 2 2 2 2 2 4" xfId="14700"/>
    <cellStyle name="40% - Énfasis5 2 2 2 2 2 2 5" xfId="53735"/>
    <cellStyle name="40% - Énfasis5 2 2 2 2 2 3" xfId="2613"/>
    <cellStyle name="40% - Énfasis5 2 2 2 2 2 3 2" xfId="5737"/>
    <cellStyle name="40% - Énfasis5 2 2 2 2 2 3 2 2" xfId="11940"/>
    <cellStyle name="40% - Énfasis5 2 2 2 2 2 3 2 3" xfId="18142"/>
    <cellStyle name="40% - Énfasis5 2 2 2 2 2 3 2 4" xfId="56970"/>
    <cellStyle name="40% - Énfasis5 2 2 2 2 2 3 3" xfId="8840"/>
    <cellStyle name="40% - Énfasis5 2 2 2 2 2 3 4" xfId="15042"/>
    <cellStyle name="40% - Énfasis5 2 2 2 2 2 3 5" xfId="54075"/>
    <cellStyle name="40% - Énfasis5 2 2 2 2 2 4" xfId="3665"/>
    <cellStyle name="40% - Énfasis5 2 2 2 2 2 4 2" xfId="9869"/>
    <cellStyle name="40% - Énfasis5 2 2 2 2 2 4 3" xfId="16071"/>
    <cellStyle name="40% - Énfasis5 2 2 2 2 2 4 4" xfId="55042"/>
    <cellStyle name="40% - Énfasis5 2 2 2 2 2 5" xfId="6768"/>
    <cellStyle name="40% - Énfasis5 2 2 2 2 2 5 2" xfId="19871"/>
    <cellStyle name="40% - Énfasis5 2 2 2 2 2 6" xfId="12970"/>
    <cellStyle name="40% - Énfasis5 2 2 2 2 2 7" xfId="52356"/>
    <cellStyle name="40% - Énfasis5 2 2 2 2 3" xfId="1746"/>
    <cellStyle name="40% - Énfasis5 2 2 2 2 3 2" xfId="4871"/>
    <cellStyle name="40% - Énfasis5 2 2 2 2 3 2 2" xfId="11074"/>
    <cellStyle name="40% - Énfasis5 2 2 2 2 3 2 3" xfId="17276"/>
    <cellStyle name="40% - Énfasis5 2 2 2 2 3 2 4" xfId="56142"/>
    <cellStyle name="40% - Énfasis5 2 2 2 2 3 3" xfId="7974"/>
    <cellStyle name="40% - Énfasis5 2 2 2 2 3 4" xfId="14176"/>
    <cellStyle name="40% - Énfasis5 2 2 2 2 3 5" xfId="53250"/>
    <cellStyle name="40% - Énfasis5 2 2 2 2 4" xfId="2612"/>
    <cellStyle name="40% - Énfasis5 2 2 2 2 4 2" xfId="5736"/>
    <cellStyle name="40% - Énfasis5 2 2 2 2 4 2 2" xfId="11939"/>
    <cellStyle name="40% - Énfasis5 2 2 2 2 4 2 3" xfId="18141"/>
    <cellStyle name="40% - Énfasis5 2 2 2 2 4 2 4" xfId="56969"/>
    <cellStyle name="40% - Énfasis5 2 2 2 2 4 3" xfId="8839"/>
    <cellStyle name="40% - Énfasis5 2 2 2 2 4 4" xfId="15041"/>
    <cellStyle name="40% - Énfasis5 2 2 2 2 4 5" xfId="54074"/>
    <cellStyle name="40% - Énfasis5 2 2 2 2 5" xfId="3664"/>
    <cellStyle name="40% - Énfasis5 2 2 2 2 5 2" xfId="9868"/>
    <cellStyle name="40% - Énfasis5 2 2 2 2 5 3" xfId="16070"/>
    <cellStyle name="40% - Énfasis5 2 2 2 2 5 4" xfId="55041"/>
    <cellStyle name="40% - Énfasis5 2 2 2 2 6" xfId="6767"/>
    <cellStyle name="40% - Énfasis5 2 2 2 2 6 2" xfId="19347"/>
    <cellStyle name="40% - Énfasis5 2 2 2 2 7" xfId="12969"/>
    <cellStyle name="40% - Énfasis5 2 2 2 2 8" xfId="52143"/>
    <cellStyle name="40% - Énfasis5 2 2 2 3" xfId="349"/>
    <cellStyle name="40% - Énfasis5 2 2 2 3 2" xfId="2025"/>
    <cellStyle name="40% - Énfasis5 2 2 2 3 2 2" xfId="5150"/>
    <cellStyle name="40% - Énfasis5 2 2 2 3 2 2 2" xfId="11353"/>
    <cellStyle name="40% - Énfasis5 2 2 2 3 2 2 3" xfId="17555"/>
    <cellStyle name="40% - Énfasis5 2 2 2 3 2 2 4" xfId="56404"/>
    <cellStyle name="40% - Énfasis5 2 2 2 3 2 3" xfId="8253"/>
    <cellStyle name="40% - Énfasis5 2 2 2 3 2 4" xfId="14455"/>
    <cellStyle name="40% - Énfasis5 2 2 2 3 2 5" xfId="53509"/>
    <cellStyle name="40% - Énfasis5 2 2 2 3 3" xfId="2614"/>
    <cellStyle name="40% - Énfasis5 2 2 2 3 3 2" xfId="5738"/>
    <cellStyle name="40% - Énfasis5 2 2 2 3 3 2 2" xfId="11941"/>
    <cellStyle name="40% - Énfasis5 2 2 2 3 3 2 3" xfId="18143"/>
    <cellStyle name="40% - Énfasis5 2 2 2 3 3 2 4" xfId="56971"/>
    <cellStyle name="40% - Énfasis5 2 2 2 3 3 3" xfId="8841"/>
    <cellStyle name="40% - Énfasis5 2 2 2 3 3 4" xfId="15043"/>
    <cellStyle name="40% - Énfasis5 2 2 2 3 3 5" xfId="54076"/>
    <cellStyle name="40% - Énfasis5 2 2 2 3 4" xfId="3666"/>
    <cellStyle name="40% - Énfasis5 2 2 2 3 4 2" xfId="9870"/>
    <cellStyle name="40% - Énfasis5 2 2 2 3 4 3" xfId="16072"/>
    <cellStyle name="40% - Énfasis5 2 2 2 3 4 4" xfId="55043"/>
    <cellStyle name="40% - Énfasis5 2 2 2 3 5" xfId="6769"/>
    <cellStyle name="40% - Énfasis5 2 2 2 3 5 2" xfId="19626"/>
    <cellStyle name="40% - Énfasis5 2 2 2 3 6" xfId="12971"/>
    <cellStyle name="40% - Énfasis5 2 2 2 3 7" xfId="52357"/>
    <cellStyle name="40% - Énfasis5 2 2 2 4" xfId="1501"/>
    <cellStyle name="40% - Énfasis5 2 2 2 4 2" xfId="4626"/>
    <cellStyle name="40% - Énfasis5 2 2 2 4 2 2" xfId="10829"/>
    <cellStyle name="40% - Énfasis5 2 2 2 4 2 3" xfId="17031"/>
    <cellStyle name="40% - Énfasis5 2 2 2 4 2 4" xfId="55909"/>
    <cellStyle name="40% - Énfasis5 2 2 2 4 3" xfId="7729"/>
    <cellStyle name="40% - Énfasis5 2 2 2 4 4" xfId="13931"/>
    <cellStyle name="40% - Énfasis5 2 2 2 4 5" xfId="53025"/>
    <cellStyle name="40% - Énfasis5 2 2 2 5" xfId="2611"/>
    <cellStyle name="40% - Énfasis5 2 2 2 5 2" xfId="5735"/>
    <cellStyle name="40% - Énfasis5 2 2 2 5 2 2" xfId="11938"/>
    <cellStyle name="40% - Énfasis5 2 2 2 5 2 3" xfId="18140"/>
    <cellStyle name="40% - Énfasis5 2 2 2 5 2 4" xfId="56968"/>
    <cellStyle name="40% - Énfasis5 2 2 2 5 3" xfId="8838"/>
    <cellStyle name="40% - Énfasis5 2 2 2 5 4" xfId="15040"/>
    <cellStyle name="40% - Énfasis5 2 2 2 5 5" xfId="54073"/>
    <cellStyle name="40% - Énfasis5 2 2 2 6" xfId="3663"/>
    <cellStyle name="40% - Énfasis5 2 2 2 6 2" xfId="9867"/>
    <cellStyle name="40% - Énfasis5 2 2 2 6 3" xfId="16069"/>
    <cellStyle name="40% - Énfasis5 2 2 2 6 4" xfId="55040"/>
    <cellStyle name="40% - Énfasis5 2 2 2 7" xfId="6766"/>
    <cellStyle name="40% - Énfasis5 2 2 2 7 2" xfId="19102"/>
    <cellStyle name="40% - Énfasis5 2 2 2 8" xfId="12968"/>
    <cellStyle name="40% - Énfasis5 2 2 2 9" xfId="42347"/>
    <cellStyle name="40% - Énfasis5 2 2 3" xfId="350"/>
    <cellStyle name="40% - Énfasis5 2 2 3 2" xfId="351"/>
    <cellStyle name="40% - Énfasis5 2 2 3 2 2" xfId="2142"/>
    <cellStyle name="40% - Énfasis5 2 2 3 2 2 2" xfId="5267"/>
    <cellStyle name="40% - Énfasis5 2 2 3 2 2 2 2" xfId="11470"/>
    <cellStyle name="40% - Énfasis5 2 2 3 2 2 2 3" xfId="17672"/>
    <cellStyle name="40% - Énfasis5 2 2 3 2 2 2 4" xfId="56512"/>
    <cellStyle name="40% - Énfasis5 2 2 3 2 2 3" xfId="8370"/>
    <cellStyle name="40% - Énfasis5 2 2 3 2 2 4" xfId="14572"/>
    <cellStyle name="40% - Énfasis5 2 2 3 2 2 5" xfId="53616"/>
    <cellStyle name="40% - Énfasis5 2 2 3 2 3" xfId="2616"/>
    <cellStyle name="40% - Énfasis5 2 2 3 2 3 2" xfId="5740"/>
    <cellStyle name="40% - Énfasis5 2 2 3 2 3 2 2" xfId="11943"/>
    <cellStyle name="40% - Énfasis5 2 2 3 2 3 2 3" xfId="18145"/>
    <cellStyle name="40% - Énfasis5 2 2 3 2 3 2 4" xfId="56973"/>
    <cellStyle name="40% - Énfasis5 2 2 3 2 3 3" xfId="8843"/>
    <cellStyle name="40% - Énfasis5 2 2 3 2 3 4" xfId="15045"/>
    <cellStyle name="40% - Énfasis5 2 2 3 2 3 5" xfId="54078"/>
    <cellStyle name="40% - Énfasis5 2 2 3 2 4" xfId="3668"/>
    <cellStyle name="40% - Énfasis5 2 2 3 2 4 2" xfId="9872"/>
    <cellStyle name="40% - Énfasis5 2 2 3 2 4 3" xfId="16074"/>
    <cellStyle name="40% - Énfasis5 2 2 3 2 4 4" xfId="55045"/>
    <cellStyle name="40% - Énfasis5 2 2 3 2 5" xfId="6771"/>
    <cellStyle name="40% - Énfasis5 2 2 3 2 5 2" xfId="19743"/>
    <cellStyle name="40% - Énfasis5 2 2 3 2 6" xfId="12973"/>
    <cellStyle name="40% - Énfasis5 2 2 3 2 7" xfId="52358"/>
    <cellStyle name="40% - Énfasis5 2 2 3 3" xfId="1618"/>
    <cellStyle name="40% - Énfasis5 2 2 3 3 2" xfId="4743"/>
    <cellStyle name="40% - Énfasis5 2 2 3 3 2 2" xfId="10946"/>
    <cellStyle name="40% - Énfasis5 2 2 3 3 2 3" xfId="17148"/>
    <cellStyle name="40% - Énfasis5 2 2 3 3 2 4" xfId="56020"/>
    <cellStyle name="40% - Énfasis5 2 2 3 3 3" xfId="7846"/>
    <cellStyle name="40% - Énfasis5 2 2 3 3 4" xfId="14048"/>
    <cellStyle name="40% - Énfasis5 2 2 3 3 5" xfId="53131"/>
    <cellStyle name="40% - Énfasis5 2 2 3 4" xfId="2615"/>
    <cellStyle name="40% - Énfasis5 2 2 3 4 2" xfId="5739"/>
    <cellStyle name="40% - Énfasis5 2 2 3 4 2 2" xfId="11942"/>
    <cellStyle name="40% - Énfasis5 2 2 3 4 2 3" xfId="18144"/>
    <cellStyle name="40% - Énfasis5 2 2 3 4 2 4" xfId="56972"/>
    <cellStyle name="40% - Énfasis5 2 2 3 4 3" xfId="8842"/>
    <cellStyle name="40% - Énfasis5 2 2 3 4 4" xfId="15044"/>
    <cellStyle name="40% - Énfasis5 2 2 3 4 5" xfId="54077"/>
    <cellStyle name="40% - Énfasis5 2 2 3 5" xfId="3667"/>
    <cellStyle name="40% - Énfasis5 2 2 3 5 2" xfId="9871"/>
    <cellStyle name="40% - Énfasis5 2 2 3 5 3" xfId="16073"/>
    <cellStyle name="40% - Énfasis5 2 2 3 5 4" xfId="55044"/>
    <cellStyle name="40% - Énfasis5 2 2 3 6" xfId="6770"/>
    <cellStyle name="40% - Énfasis5 2 2 3 6 2" xfId="19219"/>
    <cellStyle name="40% - Énfasis5 2 2 3 7" xfId="12972"/>
    <cellStyle name="40% - Énfasis5 2 2 3 8" xfId="52011"/>
    <cellStyle name="40% - Énfasis5 2 2 4" xfId="352"/>
    <cellStyle name="40% - Énfasis5 2 2 4 2" xfId="1883"/>
    <cellStyle name="40% - Énfasis5 2 2 4 2 2" xfId="5008"/>
    <cellStyle name="40% - Énfasis5 2 2 4 2 2 2" xfId="11211"/>
    <cellStyle name="40% - Énfasis5 2 2 4 2 2 3" xfId="17413"/>
    <cellStyle name="40% - Énfasis5 2 2 4 2 2 4" xfId="56270"/>
    <cellStyle name="40% - Énfasis5 2 2 4 2 3" xfId="8111"/>
    <cellStyle name="40% - Énfasis5 2 2 4 2 4" xfId="14313"/>
    <cellStyle name="40% - Énfasis5 2 2 4 2 5" xfId="53376"/>
    <cellStyle name="40% - Énfasis5 2 2 4 3" xfId="2617"/>
    <cellStyle name="40% - Énfasis5 2 2 4 3 2" xfId="5741"/>
    <cellStyle name="40% - Énfasis5 2 2 4 3 2 2" xfId="11944"/>
    <cellStyle name="40% - Énfasis5 2 2 4 3 2 3" xfId="18146"/>
    <cellStyle name="40% - Énfasis5 2 2 4 3 2 4" xfId="56974"/>
    <cellStyle name="40% - Énfasis5 2 2 4 3 3" xfId="8844"/>
    <cellStyle name="40% - Énfasis5 2 2 4 3 4" xfId="15046"/>
    <cellStyle name="40% - Énfasis5 2 2 4 3 5" xfId="54079"/>
    <cellStyle name="40% - Énfasis5 2 2 4 4" xfId="3669"/>
    <cellStyle name="40% - Énfasis5 2 2 4 4 2" xfId="9873"/>
    <cellStyle name="40% - Énfasis5 2 2 4 4 3" xfId="16075"/>
    <cellStyle name="40% - Énfasis5 2 2 4 4 4" xfId="55046"/>
    <cellStyle name="40% - Énfasis5 2 2 4 5" xfId="6772"/>
    <cellStyle name="40% - Énfasis5 2 2 4 5 2" xfId="19484"/>
    <cellStyle name="40% - Énfasis5 2 2 4 6" xfId="12974"/>
    <cellStyle name="40% - Énfasis5 2 2 4 7" xfId="52359"/>
    <cellStyle name="40% - Énfasis5 2 2 5" xfId="1359"/>
    <cellStyle name="40% - Énfasis5 2 2 5 2" xfId="4484"/>
    <cellStyle name="40% - Énfasis5 2 2 5 2 2" xfId="10687"/>
    <cellStyle name="40% - Énfasis5 2 2 5 2 3" xfId="16889"/>
    <cellStyle name="40% - Énfasis5 2 2 5 2 4" xfId="55774"/>
    <cellStyle name="40% - Énfasis5 2 2 5 3" xfId="7587"/>
    <cellStyle name="40% - Énfasis5 2 2 5 4" xfId="13789"/>
    <cellStyle name="40% - Énfasis5 2 2 5 5" xfId="52899"/>
    <cellStyle name="40% - Énfasis5 2 2 6" xfId="2610"/>
    <cellStyle name="40% - Énfasis5 2 2 6 2" xfId="5734"/>
    <cellStyle name="40% - Énfasis5 2 2 6 2 2" xfId="11937"/>
    <cellStyle name="40% - Énfasis5 2 2 6 2 3" xfId="18139"/>
    <cellStyle name="40% - Énfasis5 2 2 6 2 4" xfId="56967"/>
    <cellStyle name="40% - Énfasis5 2 2 6 3" xfId="8837"/>
    <cellStyle name="40% - Énfasis5 2 2 6 4" xfId="15039"/>
    <cellStyle name="40% - Énfasis5 2 2 6 5" xfId="54072"/>
    <cellStyle name="40% - Énfasis5 2 2 7" xfId="3662"/>
    <cellStyle name="40% - Énfasis5 2 2 7 2" xfId="9866"/>
    <cellStyle name="40% - Énfasis5 2 2 7 3" xfId="16068"/>
    <cellStyle name="40% - Énfasis5 2 2 7 4" xfId="55039"/>
    <cellStyle name="40% - Énfasis5 2 2 8" xfId="6765"/>
    <cellStyle name="40% - Énfasis5 2 2 8 2" xfId="18960"/>
    <cellStyle name="40% - Énfasis5 2 2 9" xfId="12967"/>
    <cellStyle name="40% - Énfasis5 2 3" xfId="353"/>
    <cellStyle name="40% - Énfasis5 2 3 2" xfId="354"/>
    <cellStyle name="40% - Énfasis5 2 3 2 2" xfId="355"/>
    <cellStyle name="40% - Énfasis5 2 3 2 2 2" xfId="2202"/>
    <cellStyle name="40% - Énfasis5 2 3 2 2 2 2" xfId="5327"/>
    <cellStyle name="40% - Énfasis5 2 3 2 2 2 2 2" xfId="11530"/>
    <cellStyle name="40% - Énfasis5 2 3 2 2 2 2 3" xfId="17732"/>
    <cellStyle name="40% - Énfasis5 2 3 2 2 2 2 4" xfId="56568"/>
    <cellStyle name="40% - Énfasis5 2 3 2 2 2 3" xfId="8430"/>
    <cellStyle name="40% - Énfasis5 2 3 2 2 2 4" xfId="14632"/>
    <cellStyle name="40% - Énfasis5 2 3 2 2 2 5" xfId="53672"/>
    <cellStyle name="40% - Énfasis5 2 3 2 2 3" xfId="2620"/>
    <cellStyle name="40% - Énfasis5 2 3 2 2 3 2" xfId="5744"/>
    <cellStyle name="40% - Énfasis5 2 3 2 2 3 2 2" xfId="11947"/>
    <cellStyle name="40% - Énfasis5 2 3 2 2 3 2 3" xfId="18149"/>
    <cellStyle name="40% - Énfasis5 2 3 2 2 3 2 4" xfId="56977"/>
    <cellStyle name="40% - Énfasis5 2 3 2 2 3 3" xfId="8847"/>
    <cellStyle name="40% - Énfasis5 2 3 2 2 3 4" xfId="15049"/>
    <cellStyle name="40% - Énfasis5 2 3 2 2 3 5" xfId="54082"/>
    <cellStyle name="40% - Énfasis5 2 3 2 2 4" xfId="3672"/>
    <cellStyle name="40% - Énfasis5 2 3 2 2 4 2" xfId="9876"/>
    <cellStyle name="40% - Énfasis5 2 3 2 2 4 3" xfId="16078"/>
    <cellStyle name="40% - Énfasis5 2 3 2 2 4 4" xfId="55049"/>
    <cellStyle name="40% - Énfasis5 2 3 2 2 5" xfId="6775"/>
    <cellStyle name="40% - Énfasis5 2 3 2 2 5 2" xfId="19803"/>
    <cellStyle name="40% - Énfasis5 2 3 2 2 6" xfId="12977"/>
    <cellStyle name="40% - Énfasis5 2 3 2 2 7" xfId="52360"/>
    <cellStyle name="40% - Énfasis5 2 3 2 3" xfId="1678"/>
    <cellStyle name="40% - Énfasis5 2 3 2 3 2" xfId="4803"/>
    <cellStyle name="40% - Énfasis5 2 3 2 3 2 2" xfId="11006"/>
    <cellStyle name="40% - Énfasis5 2 3 2 3 2 3" xfId="17208"/>
    <cellStyle name="40% - Énfasis5 2 3 2 3 2 4" xfId="56077"/>
    <cellStyle name="40% - Énfasis5 2 3 2 3 3" xfId="7906"/>
    <cellStyle name="40% - Énfasis5 2 3 2 3 4" xfId="14108"/>
    <cellStyle name="40% - Énfasis5 2 3 2 3 5" xfId="53187"/>
    <cellStyle name="40% - Énfasis5 2 3 2 4" xfId="2619"/>
    <cellStyle name="40% - Énfasis5 2 3 2 4 2" xfId="5743"/>
    <cellStyle name="40% - Énfasis5 2 3 2 4 2 2" xfId="11946"/>
    <cellStyle name="40% - Énfasis5 2 3 2 4 2 3" xfId="18148"/>
    <cellStyle name="40% - Énfasis5 2 3 2 4 2 4" xfId="56976"/>
    <cellStyle name="40% - Énfasis5 2 3 2 4 3" xfId="8846"/>
    <cellStyle name="40% - Énfasis5 2 3 2 4 4" xfId="15048"/>
    <cellStyle name="40% - Énfasis5 2 3 2 4 5" xfId="54081"/>
    <cellStyle name="40% - Énfasis5 2 3 2 5" xfId="3671"/>
    <cellStyle name="40% - Énfasis5 2 3 2 5 2" xfId="9875"/>
    <cellStyle name="40% - Énfasis5 2 3 2 5 3" xfId="16077"/>
    <cellStyle name="40% - Énfasis5 2 3 2 5 4" xfId="55048"/>
    <cellStyle name="40% - Énfasis5 2 3 2 6" xfId="6774"/>
    <cellStyle name="40% - Énfasis5 2 3 2 6 2" xfId="19279"/>
    <cellStyle name="40% - Énfasis5 2 3 2 7" xfId="12976"/>
    <cellStyle name="40% - Énfasis5 2 3 2 8" xfId="52080"/>
    <cellStyle name="40% - Énfasis5 2 3 3" xfId="356"/>
    <cellStyle name="40% - Énfasis5 2 3 3 2" xfId="1957"/>
    <cellStyle name="40% - Énfasis5 2 3 3 2 2" xfId="5082"/>
    <cellStyle name="40% - Énfasis5 2 3 3 2 2 2" xfId="11285"/>
    <cellStyle name="40% - Énfasis5 2 3 3 2 2 3" xfId="17487"/>
    <cellStyle name="40% - Énfasis5 2 3 3 2 2 4" xfId="56341"/>
    <cellStyle name="40% - Énfasis5 2 3 3 2 3" xfId="8185"/>
    <cellStyle name="40% - Énfasis5 2 3 3 2 4" xfId="14387"/>
    <cellStyle name="40% - Énfasis5 2 3 3 2 5" xfId="53447"/>
    <cellStyle name="40% - Énfasis5 2 3 3 3" xfId="2621"/>
    <cellStyle name="40% - Énfasis5 2 3 3 3 2" xfId="5745"/>
    <cellStyle name="40% - Énfasis5 2 3 3 3 2 2" xfId="11948"/>
    <cellStyle name="40% - Énfasis5 2 3 3 3 2 3" xfId="18150"/>
    <cellStyle name="40% - Énfasis5 2 3 3 3 2 4" xfId="56978"/>
    <cellStyle name="40% - Énfasis5 2 3 3 3 3" xfId="8848"/>
    <cellStyle name="40% - Énfasis5 2 3 3 3 4" xfId="15050"/>
    <cellStyle name="40% - Énfasis5 2 3 3 3 5" xfId="54083"/>
    <cellStyle name="40% - Énfasis5 2 3 3 4" xfId="3673"/>
    <cellStyle name="40% - Énfasis5 2 3 3 4 2" xfId="9877"/>
    <cellStyle name="40% - Énfasis5 2 3 3 4 3" xfId="16079"/>
    <cellStyle name="40% - Énfasis5 2 3 3 4 4" xfId="55050"/>
    <cellStyle name="40% - Énfasis5 2 3 3 5" xfId="6776"/>
    <cellStyle name="40% - Énfasis5 2 3 3 5 2" xfId="19558"/>
    <cellStyle name="40% - Énfasis5 2 3 3 6" xfId="12978"/>
    <cellStyle name="40% - Énfasis5 2 3 3 7" xfId="52361"/>
    <cellStyle name="40% - Énfasis5 2 3 4" xfId="1433"/>
    <cellStyle name="40% - Énfasis5 2 3 4 2" xfId="4558"/>
    <cellStyle name="40% - Énfasis5 2 3 4 2 2" xfId="10761"/>
    <cellStyle name="40% - Énfasis5 2 3 4 2 3" xfId="16963"/>
    <cellStyle name="40% - Énfasis5 2 3 4 2 4" xfId="55845"/>
    <cellStyle name="40% - Énfasis5 2 3 4 3" xfId="7661"/>
    <cellStyle name="40% - Énfasis5 2 3 4 4" xfId="13863"/>
    <cellStyle name="40% - Énfasis5 2 3 4 5" xfId="52963"/>
    <cellStyle name="40% - Énfasis5 2 3 5" xfId="2618"/>
    <cellStyle name="40% - Énfasis5 2 3 5 2" xfId="5742"/>
    <cellStyle name="40% - Énfasis5 2 3 5 2 2" xfId="11945"/>
    <cellStyle name="40% - Énfasis5 2 3 5 2 3" xfId="18147"/>
    <cellStyle name="40% - Énfasis5 2 3 5 2 4" xfId="56975"/>
    <cellStyle name="40% - Énfasis5 2 3 5 3" xfId="8845"/>
    <cellStyle name="40% - Énfasis5 2 3 5 4" xfId="15047"/>
    <cellStyle name="40% - Énfasis5 2 3 5 5" xfId="54080"/>
    <cellStyle name="40% - Énfasis5 2 3 6" xfId="3670"/>
    <cellStyle name="40% - Énfasis5 2 3 6 2" xfId="9874"/>
    <cellStyle name="40% - Énfasis5 2 3 6 3" xfId="16076"/>
    <cellStyle name="40% - Énfasis5 2 3 6 4" xfId="55047"/>
    <cellStyle name="40% - Énfasis5 2 3 7" xfId="6773"/>
    <cellStyle name="40% - Énfasis5 2 3 7 2" xfId="19034"/>
    <cellStyle name="40% - Énfasis5 2 3 8" xfId="12975"/>
    <cellStyle name="40% - Énfasis5 2 3 9" xfId="42346"/>
    <cellStyle name="40% - Énfasis5 2 4" xfId="357"/>
    <cellStyle name="40% - Énfasis5 2 4 2" xfId="358"/>
    <cellStyle name="40% - Énfasis5 2 4 2 2" xfId="2065"/>
    <cellStyle name="40% - Énfasis5 2 4 2 2 2" xfId="5190"/>
    <cellStyle name="40% - Énfasis5 2 4 2 2 2 2" xfId="11393"/>
    <cellStyle name="40% - Énfasis5 2 4 2 2 2 3" xfId="17595"/>
    <cellStyle name="40% - Énfasis5 2 4 2 2 2 4" xfId="56442"/>
    <cellStyle name="40% - Énfasis5 2 4 2 2 3" xfId="8293"/>
    <cellStyle name="40% - Énfasis5 2 4 2 2 4" xfId="14495"/>
    <cellStyle name="40% - Énfasis5 2 4 2 2 5" xfId="53546"/>
    <cellStyle name="40% - Énfasis5 2 4 2 3" xfId="2623"/>
    <cellStyle name="40% - Énfasis5 2 4 2 3 2" xfId="5747"/>
    <cellStyle name="40% - Énfasis5 2 4 2 3 2 2" xfId="11950"/>
    <cellStyle name="40% - Énfasis5 2 4 2 3 2 3" xfId="18152"/>
    <cellStyle name="40% - Énfasis5 2 4 2 3 2 4" xfId="56980"/>
    <cellStyle name="40% - Énfasis5 2 4 2 3 3" xfId="8850"/>
    <cellStyle name="40% - Énfasis5 2 4 2 3 4" xfId="15052"/>
    <cellStyle name="40% - Énfasis5 2 4 2 3 5" xfId="54085"/>
    <cellStyle name="40% - Énfasis5 2 4 2 4" xfId="3675"/>
    <cellStyle name="40% - Énfasis5 2 4 2 4 2" xfId="9879"/>
    <cellStyle name="40% - Énfasis5 2 4 2 4 3" xfId="16081"/>
    <cellStyle name="40% - Énfasis5 2 4 2 4 4" xfId="55052"/>
    <cellStyle name="40% - Énfasis5 2 4 2 5" xfId="6778"/>
    <cellStyle name="40% - Énfasis5 2 4 2 5 2" xfId="19666"/>
    <cellStyle name="40% - Énfasis5 2 4 2 6" xfId="12980"/>
    <cellStyle name="40% - Énfasis5 2 4 2 7" xfId="52362"/>
    <cellStyle name="40% - Énfasis5 2 4 3" xfId="1541"/>
    <cellStyle name="40% - Énfasis5 2 4 3 2" xfId="4666"/>
    <cellStyle name="40% - Énfasis5 2 4 3 2 2" xfId="10869"/>
    <cellStyle name="40% - Énfasis5 2 4 3 2 3" xfId="17071"/>
    <cellStyle name="40% - Énfasis5 2 4 3 2 4" xfId="55947"/>
    <cellStyle name="40% - Énfasis5 2 4 3 3" xfId="7769"/>
    <cellStyle name="40% - Énfasis5 2 4 3 4" xfId="13971"/>
    <cellStyle name="40% - Énfasis5 2 4 3 5" xfId="53062"/>
    <cellStyle name="40% - Énfasis5 2 4 4" xfId="2622"/>
    <cellStyle name="40% - Énfasis5 2 4 4 2" xfId="5746"/>
    <cellStyle name="40% - Énfasis5 2 4 4 2 2" xfId="11949"/>
    <cellStyle name="40% - Énfasis5 2 4 4 2 3" xfId="18151"/>
    <cellStyle name="40% - Énfasis5 2 4 4 2 4" xfId="56979"/>
    <cellStyle name="40% - Énfasis5 2 4 4 3" xfId="8849"/>
    <cellStyle name="40% - Énfasis5 2 4 4 4" xfId="15051"/>
    <cellStyle name="40% - Énfasis5 2 4 4 5" xfId="54084"/>
    <cellStyle name="40% - Énfasis5 2 4 5" xfId="3674"/>
    <cellStyle name="40% - Énfasis5 2 4 5 2" xfId="9878"/>
    <cellStyle name="40% - Énfasis5 2 4 5 3" xfId="16080"/>
    <cellStyle name="40% - Énfasis5 2 4 5 4" xfId="55051"/>
    <cellStyle name="40% - Énfasis5 2 4 6" xfId="6777"/>
    <cellStyle name="40% - Énfasis5 2 4 6 2" xfId="19142"/>
    <cellStyle name="40% - Énfasis5 2 4 7" xfId="12979"/>
    <cellStyle name="40% - Énfasis5 2 4 8" xfId="51942"/>
    <cellStyle name="40% - Énfasis5 2 5" xfId="359"/>
    <cellStyle name="40% - Énfasis5 2 5 2" xfId="1794"/>
    <cellStyle name="40% - Énfasis5 2 5 2 2" xfId="4919"/>
    <cellStyle name="40% - Énfasis5 2 5 2 2 2" xfId="11122"/>
    <cellStyle name="40% - Énfasis5 2 5 2 2 3" xfId="17324"/>
    <cellStyle name="40% - Énfasis5 2 5 2 2 4" xfId="56188"/>
    <cellStyle name="40% - Énfasis5 2 5 2 3" xfId="8022"/>
    <cellStyle name="40% - Énfasis5 2 5 2 4" xfId="14224"/>
    <cellStyle name="40% - Énfasis5 2 5 2 5" xfId="53295"/>
    <cellStyle name="40% - Énfasis5 2 5 3" xfId="2624"/>
    <cellStyle name="40% - Énfasis5 2 5 3 2" xfId="5748"/>
    <cellStyle name="40% - Énfasis5 2 5 3 2 2" xfId="11951"/>
    <cellStyle name="40% - Énfasis5 2 5 3 2 3" xfId="18153"/>
    <cellStyle name="40% - Énfasis5 2 5 3 2 4" xfId="56981"/>
    <cellStyle name="40% - Énfasis5 2 5 3 3" xfId="8851"/>
    <cellStyle name="40% - Énfasis5 2 5 3 4" xfId="15053"/>
    <cellStyle name="40% - Énfasis5 2 5 3 5" xfId="54086"/>
    <cellStyle name="40% - Énfasis5 2 5 4" xfId="3676"/>
    <cellStyle name="40% - Énfasis5 2 5 4 2" xfId="9880"/>
    <cellStyle name="40% - Énfasis5 2 5 4 3" xfId="16082"/>
    <cellStyle name="40% - Énfasis5 2 5 4 4" xfId="55053"/>
    <cellStyle name="40% - Énfasis5 2 5 5" xfId="6779"/>
    <cellStyle name="40% - Énfasis5 2 5 5 2" xfId="19395"/>
    <cellStyle name="40% - Énfasis5 2 5 6" xfId="12981"/>
    <cellStyle name="40% - Énfasis5 2 5 7" xfId="52363"/>
    <cellStyle name="40% - Énfasis5 2 6" xfId="1291"/>
    <cellStyle name="40% - Énfasis5 2 6 2" xfId="4416"/>
    <cellStyle name="40% - Énfasis5 2 6 2 2" xfId="10619"/>
    <cellStyle name="40% - Énfasis5 2 6 2 3" xfId="16821"/>
    <cellStyle name="40% - Énfasis5 2 6 2 4" xfId="55709"/>
    <cellStyle name="40% - Énfasis5 2 6 3" xfId="7519"/>
    <cellStyle name="40% - Énfasis5 2 6 4" xfId="13721"/>
    <cellStyle name="40% - Énfasis5 2 6 5" xfId="52838"/>
    <cellStyle name="40% - Énfasis5 2 7" xfId="2609"/>
    <cellStyle name="40% - Énfasis5 2 7 2" xfId="5733"/>
    <cellStyle name="40% - Énfasis5 2 7 2 2" xfId="11936"/>
    <cellStyle name="40% - Énfasis5 2 7 2 3" xfId="18138"/>
    <cellStyle name="40% - Énfasis5 2 7 2 4" xfId="56966"/>
    <cellStyle name="40% - Énfasis5 2 7 3" xfId="8836"/>
    <cellStyle name="40% - Énfasis5 2 7 4" xfId="15038"/>
    <cellStyle name="40% - Énfasis5 2 7 5" xfId="54071"/>
    <cellStyle name="40% - Énfasis5 2 8" xfId="3661"/>
    <cellStyle name="40% - Énfasis5 2 8 2" xfId="9865"/>
    <cellStyle name="40% - Énfasis5 2 8 3" xfId="16067"/>
    <cellStyle name="40% - Énfasis5 2 8 4" xfId="55038"/>
    <cellStyle name="40% - Énfasis5 2 9" xfId="6764"/>
    <cellStyle name="40% - Énfasis5 2 9 2" xfId="18892"/>
    <cellStyle name="40% - Énfasis5 3" xfId="360"/>
    <cellStyle name="40% - Énfasis5 3 10" xfId="25491"/>
    <cellStyle name="40% - Énfasis5 3 2" xfId="361"/>
    <cellStyle name="40% - Énfasis5 3 2 2" xfId="362"/>
    <cellStyle name="40% - Énfasis5 3 2 2 2" xfId="363"/>
    <cellStyle name="40% - Énfasis5 3 2 2 2 2" xfId="2240"/>
    <cellStyle name="40% - Énfasis5 3 2 2 2 2 2" xfId="5365"/>
    <cellStyle name="40% - Énfasis5 3 2 2 2 2 2 2" xfId="11568"/>
    <cellStyle name="40% - Énfasis5 3 2 2 2 2 2 3" xfId="17770"/>
    <cellStyle name="40% - Énfasis5 3 2 2 2 2 2 4" xfId="56604"/>
    <cellStyle name="40% - Énfasis5 3 2 2 2 2 3" xfId="8468"/>
    <cellStyle name="40% - Énfasis5 3 2 2 2 2 4" xfId="14670"/>
    <cellStyle name="40% - Énfasis5 3 2 2 2 2 5" xfId="53708"/>
    <cellStyle name="40% - Énfasis5 3 2 2 2 3" xfId="2628"/>
    <cellStyle name="40% - Énfasis5 3 2 2 2 3 2" xfId="5752"/>
    <cellStyle name="40% - Énfasis5 3 2 2 2 3 2 2" xfId="11955"/>
    <cellStyle name="40% - Énfasis5 3 2 2 2 3 2 3" xfId="18157"/>
    <cellStyle name="40% - Énfasis5 3 2 2 2 3 2 4" xfId="56985"/>
    <cellStyle name="40% - Énfasis5 3 2 2 2 3 3" xfId="8855"/>
    <cellStyle name="40% - Énfasis5 3 2 2 2 3 4" xfId="15057"/>
    <cellStyle name="40% - Énfasis5 3 2 2 2 3 5" xfId="54090"/>
    <cellStyle name="40% - Énfasis5 3 2 2 2 4" xfId="3680"/>
    <cellStyle name="40% - Énfasis5 3 2 2 2 4 2" xfId="9884"/>
    <cellStyle name="40% - Énfasis5 3 2 2 2 4 3" xfId="16086"/>
    <cellStyle name="40% - Énfasis5 3 2 2 2 4 4" xfId="55057"/>
    <cellStyle name="40% - Énfasis5 3 2 2 2 5" xfId="6783"/>
    <cellStyle name="40% - Énfasis5 3 2 2 2 5 2" xfId="19841"/>
    <cellStyle name="40% - Énfasis5 3 2 2 2 6" xfId="12985"/>
    <cellStyle name="40% - Énfasis5 3 2 2 2 7" xfId="52365"/>
    <cellStyle name="40% - Énfasis5 3 2 2 3" xfId="1716"/>
    <cellStyle name="40% - Énfasis5 3 2 2 3 2" xfId="4841"/>
    <cellStyle name="40% - Énfasis5 3 2 2 3 2 2" xfId="11044"/>
    <cellStyle name="40% - Énfasis5 3 2 2 3 2 3" xfId="17246"/>
    <cellStyle name="40% - Énfasis5 3 2 2 3 2 4" xfId="56113"/>
    <cellStyle name="40% - Énfasis5 3 2 2 3 3" xfId="7944"/>
    <cellStyle name="40% - Énfasis5 3 2 2 3 4" xfId="14146"/>
    <cellStyle name="40% - Énfasis5 3 2 2 3 5" xfId="53223"/>
    <cellStyle name="40% - Énfasis5 3 2 2 4" xfId="2627"/>
    <cellStyle name="40% - Énfasis5 3 2 2 4 2" xfId="5751"/>
    <cellStyle name="40% - Énfasis5 3 2 2 4 2 2" xfId="11954"/>
    <cellStyle name="40% - Énfasis5 3 2 2 4 2 3" xfId="18156"/>
    <cellStyle name="40% - Énfasis5 3 2 2 4 2 4" xfId="56984"/>
    <cellStyle name="40% - Énfasis5 3 2 2 4 3" xfId="8854"/>
    <cellStyle name="40% - Énfasis5 3 2 2 4 4" xfId="15056"/>
    <cellStyle name="40% - Énfasis5 3 2 2 4 5" xfId="54089"/>
    <cellStyle name="40% - Énfasis5 3 2 2 5" xfId="3679"/>
    <cellStyle name="40% - Énfasis5 3 2 2 5 2" xfId="9883"/>
    <cellStyle name="40% - Énfasis5 3 2 2 5 3" xfId="16085"/>
    <cellStyle name="40% - Énfasis5 3 2 2 5 4" xfId="55056"/>
    <cellStyle name="40% - Énfasis5 3 2 2 6" xfId="6782"/>
    <cellStyle name="40% - Énfasis5 3 2 2 6 2" xfId="19317"/>
    <cellStyle name="40% - Énfasis5 3 2 2 6 3" xfId="52364"/>
    <cellStyle name="40% - Énfasis5 3 2 2 7" xfId="12984"/>
    <cellStyle name="40% - Énfasis5 3 2 2 8" xfId="42349"/>
    <cellStyle name="40% - Énfasis5 3 2 3" xfId="364"/>
    <cellStyle name="40% - Énfasis5 3 2 3 2" xfId="1995"/>
    <cellStyle name="40% - Énfasis5 3 2 3 2 2" xfId="5120"/>
    <cellStyle name="40% - Énfasis5 3 2 3 2 2 2" xfId="11323"/>
    <cellStyle name="40% - Énfasis5 3 2 3 2 2 3" xfId="17525"/>
    <cellStyle name="40% - Énfasis5 3 2 3 2 2 4" xfId="56377"/>
    <cellStyle name="40% - Énfasis5 3 2 3 2 3" xfId="8223"/>
    <cellStyle name="40% - Énfasis5 3 2 3 2 4" xfId="14425"/>
    <cellStyle name="40% - Énfasis5 3 2 3 2 5" xfId="53483"/>
    <cellStyle name="40% - Énfasis5 3 2 3 3" xfId="2629"/>
    <cellStyle name="40% - Énfasis5 3 2 3 3 2" xfId="5753"/>
    <cellStyle name="40% - Énfasis5 3 2 3 3 2 2" xfId="11956"/>
    <cellStyle name="40% - Énfasis5 3 2 3 3 2 3" xfId="18158"/>
    <cellStyle name="40% - Énfasis5 3 2 3 3 2 4" xfId="56986"/>
    <cellStyle name="40% - Énfasis5 3 2 3 3 3" xfId="8856"/>
    <cellStyle name="40% - Énfasis5 3 2 3 3 4" xfId="15058"/>
    <cellStyle name="40% - Énfasis5 3 2 3 3 5" xfId="54091"/>
    <cellStyle name="40% - Énfasis5 3 2 3 4" xfId="3681"/>
    <cellStyle name="40% - Énfasis5 3 2 3 4 2" xfId="9885"/>
    <cellStyle name="40% - Énfasis5 3 2 3 4 3" xfId="16087"/>
    <cellStyle name="40% - Énfasis5 3 2 3 4 4" xfId="55058"/>
    <cellStyle name="40% - Énfasis5 3 2 3 5" xfId="6784"/>
    <cellStyle name="40% - Énfasis5 3 2 3 5 2" xfId="19596"/>
    <cellStyle name="40% - Énfasis5 3 2 3 6" xfId="12986"/>
    <cellStyle name="40% - Énfasis5 3 2 3 7" xfId="52118"/>
    <cellStyle name="40% - Énfasis5 3 2 4" xfId="1471"/>
    <cellStyle name="40% - Énfasis5 3 2 4 2" xfId="4596"/>
    <cellStyle name="40% - Énfasis5 3 2 4 2 2" xfId="10799"/>
    <cellStyle name="40% - Énfasis5 3 2 4 2 3" xfId="17001"/>
    <cellStyle name="40% - Énfasis5 3 2 4 2 4" xfId="55881"/>
    <cellStyle name="40% - Énfasis5 3 2 4 3" xfId="7699"/>
    <cellStyle name="40% - Énfasis5 3 2 4 4" xfId="13901"/>
    <cellStyle name="40% - Énfasis5 3 2 4 5" xfId="52999"/>
    <cellStyle name="40% - Énfasis5 3 2 5" xfId="2626"/>
    <cellStyle name="40% - Énfasis5 3 2 5 2" xfId="5750"/>
    <cellStyle name="40% - Énfasis5 3 2 5 2 2" xfId="11953"/>
    <cellStyle name="40% - Énfasis5 3 2 5 2 3" xfId="18155"/>
    <cellStyle name="40% - Énfasis5 3 2 5 2 4" xfId="56983"/>
    <cellStyle name="40% - Énfasis5 3 2 5 3" xfId="8853"/>
    <cellStyle name="40% - Énfasis5 3 2 5 4" xfId="15055"/>
    <cellStyle name="40% - Énfasis5 3 2 5 5" xfId="54088"/>
    <cellStyle name="40% - Énfasis5 3 2 6" xfId="3678"/>
    <cellStyle name="40% - Énfasis5 3 2 6 2" xfId="9882"/>
    <cellStyle name="40% - Énfasis5 3 2 6 3" xfId="16084"/>
    <cellStyle name="40% - Énfasis5 3 2 6 4" xfId="55055"/>
    <cellStyle name="40% - Énfasis5 3 2 7" xfId="6781"/>
    <cellStyle name="40% - Énfasis5 3 2 7 2" xfId="19072"/>
    <cellStyle name="40% - Énfasis5 3 2 8" xfId="12983"/>
    <cellStyle name="40% - Énfasis5 3 2 9" xfId="25492"/>
    <cellStyle name="40% - Énfasis5 3 3" xfId="365"/>
    <cellStyle name="40% - Énfasis5 3 3 2" xfId="366"/>
    <cellStyle name="40% - Énfasis5 3 3 2 2" xfId="2112"/>
    <cellStyle name="40% - Énfasis5 3 3 2 2 2" xfId="5237"/>
    <cellStyle name="40% - Énfasis5 3 3 2 2 2 2" xfId="11440"/>
    <cellStyle name="40% - Énfasis5 3 3 2 2 2 3" xfId="17642"/>
    <cellStyle name="40% - Énfasis5 3 3 2 2 2 4" xfId="56485"/>
    <cellStyle name="40% - Énfasis5 3 3 2 2 3" xfId="8340"/>
    <cellStyle name="40% - Énfasis5 3 3 2 2 4" xfId="14542"/>
    <cellStyle name="40% - Énfasis5 3 3 2 2 5" xfId="53589"/>
    <cellStyle name="40% - Énfasis5 3 3 2 3" xfId="2631"/>
    <cellStyle name="40% - Énfasis5 3 3 2 3 2" xfId="5755"/>
    <cellStyle name="40% - Énfasis5 3 3 2 3 2 2" xfId="11958"/>
    <cellStyle name="40% - Énfasis5 3 3 2 3 2 3" xfId="18160"/>
    <cellStyle name="40% - Énfasis5 3 3 2 3 2 4" xfId="56988"/>
    <cellStyle name="40% - Énfasis5 3 3 2 3 3" xfId="8858"/>
    <cellStyle name="40% - Énfasis5 3 3 2 3 4" xfId="15060"/>
    <cellStyle name="40% - Énfasis5 3 3 2 3 5" xfId="54093"/>
    <cellStyle name="40% - Énfasis5 3 3 2 4" xfId="3683"/>
    <cellStyle name="40% - Énfasis5 3 3 2 4 2" xfId="9887"/>
    <cellStyle name="40% - Énfasis5 3 3 2 4 3" xfId="16089"/>
    <cellStyle name="40% - Énfasis5 3 3 2 4 4" xfId="55060"/>
    <cellStyle name="40% - Énfasis5 3 3 2 5" xfId="6786"/>
    <cellStyle name="40% - Énfasis5 3 3 2 5 2" xfId="19713"/>
    <cellStyle name="40% - Énfasis5 3 3 2 6" xfId="12988"/>
    <cellStyle name="40% - Énfasis5 3 3 2 7" xfId="52367"/>
    <cellStyle name="40% - Énfasis5 3 3 3" xfId="1588"/>
    <cellStyle name="40% - Énfasis5 3 3 3 2" xfId="4713"/>
    <cellStyle name="40% - Énfasis5 3 3 3 2 2" xfId="10916"/>
    <cellStyle name="40% - Énfasis5 3 3 3 2 3" xfId="17118"/>
    <cellStyle name="40% - Énfasis5 3 3 3 2 4" xfId="55991"/>
    <cellStyle name="40% - Énfasis5 3 3 3 3" xfId="7816"/>
    <cellStyle name="40% - Énfasis5 3 3 3 4" xfId="14018"/>
    <cellStyle name="40% - Énfasis5 3 3 3 5" xfId="53104"/>
    <cellStyle name="40% - Énfasis5 3 3 4" xfId="2630"/>
    <cellStyle name="40% - Énfasis5 3 3 4 2" xfId="5754"/>
    <cellStyle name="40% - Énfasis5 3 3 4 2 2" xfId="11957"/>
    <cellStyle name="40% - Énfasis5 3 3 4 2 3" xfId="18159"/>
    <cellStyle name="40% - Énfasis5 3 3 4 2 4" xfId="56987"/>
    <cellStyle name="40% - Énfasis5 3 3 4 3" xfId="8857"/>
    <cellStyle name="40% - Énfasis5 3 3 4 4" xfId="15059"/>
    <cellStyle name="40% - Énfasis5 3 3 4 5" xfId="54092"/>
    <cellStyle name="40% - Énfasis5 3 3 5" xfId="3682"/>
    <cellStyle name="40% - Énfasis5 3 3 5 2" xfId="9886"/>
    <cellStyle name="40% - Énfasis5 3 3 5 3" xfId="16088"/>
    <cellStyle name="40% - Énfasis5 3 3 5 4" xfId="55059"/>
    <cellStyle name="40% - Énfasis5 3 3 6" xfId="6785"/>
    <cellStyle name="40% - Énfasis5 3 3 6 2" xfId="19189"/>
    <cellStyle name="40% - Énfasis5 3 3 6 3" xfId="52366"/>
    <cellStyle name="40% - Énfasis5 3 3 7" xfId="12987"/>
    <cellStyle name="40% - Énfasis5 3 3 8" xfId="42348"/>
    <cellStyle name="40% - Énfasis5 3 4" xfId="367"/>
    <cellStyle name="40% - Énfasis5 3 4 2" xfId="1853"/>
    <cellStyle name="40% - Énfasis5 3 4 2 2" xfId="4978"/>
    <cellStyle name="40% - Énfasis5 3 4 2 2 2" xfId="11181"/>
    <cellStyle name="40% - Énfasis5 3 4 2 2 3" xfId="17383"/>
    <cellStyle name="40% - Énfasis5 3 4 2 2 4" xfId="56242"/>
    <cellStyle name="40% - Énfasis5 3 4 2 3" xfId="8081"/>
    <cellStyle name="40% - Énfasis5 3 4 2 4" xfId="14283"/>
    <cellStyle name="40% - Énfasis5 3 4 2 5" xfId="53348"/>
    <cellStyle name="40% - Énfasis5 3 4 3" xfId="2632"/>
    <cellStyle name="40% - Énfasis5 3 4 3 2" xfId="5756"/>
    <cellStyle name="40% - Énfasis5 3 4 3 2 2" xfId="11959"/>
    <cellStyle name="40% - Énfasis5 3 4 3 2 3" xfId="18161"/>
    <cellStyle name="40% - Énfasis5 3 4 3 2 4" xfId="56989"/>
    <cellStyle name="40% - Énfasis5 3 4 3 3" xfId="8859"/>
    <cellStyle name="40% - Énfasis5 3 4 3 4" xfId="15061"/>
    <cellStyle name="40% - Énfasis5 3 4 3 5" xfId="54094"/>
    <cellStyle name="40% - Énfasis5 3 4 4" xfId="3684"/>
    <cellStyle name="40% - Énfasis5 3 4 4 2" xfId="9888"/>
    <cellStyle name="40% - Énfasis5 3 4 4 3" xfId="16090"/>
    <cellStyle name="40% - Énfasis5 3 4 4 4" xfId="55061"/>
    <cellStyle name="40% - Énfasis5 3 4 5" xfId="6787"/>
    <cellStyle name="40% - Énfasis5 3 4 5 2" xfId="19454"/>
    <cellStyle name="40% - Énfasis5 3 4 6" xfId="12989"/>
    <cellStyle name="40% - Énfasis5 3 4 7" xfId="51987"/>
    <cellStyle name="40% - Énfasis5 3 5" xfId="1329"/>
    <cellStyle name="40% - Énfasis5 3 5 2" xfId="4454"/>
    <cellStyle name="40% - Énfasis5 3 5 2 2" xfId="10657"/>
    <cellStyle name="40% - Énfasis5 3 5 2 3" xfId="16859"/>
    <cellStyle name="40% - Énfasis5 3 5 2 4" xfId="55745"/>
    <cellStyle name="40% - Énfasis5 3 5 3" xfId="7557"/>
    <cellStyle name="40% - Énfasis5 3 5 4" xfId="13759"/>
    <cellStyle name="40% - Énfasis5 3 5 5" xfId="52873"/>
    <cellStyle name="40% - Énfasis5 3 6" xfId="2625"/>
    <cellStyle name="40% - Énfasis5 3 6 2" xfId="5749"/>
    <cellStyle name="40% - Énfasis5 3 6 2 2" xfId="11952"/>
    <cellStyle name="40% - Énfasis5 3 6 2 3" xfId="18154"/>
    <cellStyle name="40% - Énfasis5 3 6 2 4" xfId="56982"/>
    <cellStyle name="40% - Énfasis5 3 6 3" xfId="8852"/>
    <cellStyle name="40% - Énfasis5 3 6 4" xfId="15054"/>
    <cellStyle name="40% - Énfasis5 3 6 5" xfId="54087"/>
    <cellStyle name="40% - Énfasis5 3 7" xfId="3677"/>
    <cellStyle name="40% - Énfasis5 3 7 2" xfId="9881"/>
    <cellStyle name="40% - Énfasis5 3 7 3" xfId="16083"/>
    <cellStyle name="40% - Énfasis5 3 7 4" xfId="55054"/>
    <cellStyle name="40% - Énfasis5 3 8" xfId="6780"/>
    <cellStyle name="40% - Énfasis5 3 8 2" xfId="18930"/>
    <cellStyle name="40% - Énfasis5 3 9" xfId="12982"/>
    <cellStyle name="40% - Énfasis5 4" xfId="368"/>
    <cellStyle name="40% - Énfasis5 4 2" xfId="369"/>
    <cellStyle name="40% - Énfasis5 4 2 2" xfId="370"/>
    <cellStyle name="40% - Énfasis5 4 2 2 2" xfId="2172"/>
    <cellStyle name="40% - Énfasis5 4 2 2 2 2" xfId="5297"/>
    <cellStyle name="40% - Énfasis5 4 2 2 2 2 2" xfId="11500"/>
    <cellStyle name="40% - Énfasis5 4 2 2 2 2 3" xfId="17702"/>
    <cellStyle name="40% - Énfasis5 4 2 2 2 2 4" xfId="56540"/>
    <cellStyle name="40% - Énfasis5 4 2 2 2 3" xfId="8400"/>
    <cellStyle name="40% - Énfasis5 4 2 2 2 4" xfId="14602"/>
    <cellStyle name="40% - Énfasis5 4 2 2 2 5" xfId="53644"/>
    <cellStyle name="40% - Énfasis5 4 2 2 3" xfId="2635"/>
    <cellStyle name="40% - Énfasis5 4 2 2 3 2" xfId="5759"/>
    <cellStyle name="40% - Énfasis5 4 2 2 3 2 2" xfId="11962"/>
    <cellStyle name="40% - Énfasis5 4 2 2 3 2 3" xfId="18164"/>
    <cellStyle name="40% - Énfasis5 4 2 2 3 2 4" xfId="56992"/>
    <cellStyle name="40% - Énfasis5 4 2 2 3 3" xfId="8862"/>
    <cellStyle name="40% - Énfasis5 4 2 2 3 4" xfId="15064"/>
    <cellStyle name="40% - Énfasis5 4 2 2 3 5" xfId="54097"/>
    <cellStyle name="40% - Énfasis5 4 2 2 4" xfId="3687"/>
    <cellStyle name="40% - Énfasis5 4 2 2 4 2" xfId="9891"/>
    <cellStyle name="40% - Énfasis5 4 2 2 4 3" xfId="16093"/>
    <cellStyle name="40% - Énfasis5 4 2 2 4 4" xfId="55064"/>
    <cellStyle name="40% - Énfasis5 4 2 2 5" xfId="6790"/>
    <cellStyle name="40% - Énfasis5 4 2 2 5 2" xfId="19773"/>
    <cellStyle name="40% - Énfasis5 4 2 2 5 3" xfId="52369"/>
    <cellStyle name="40% - Énfasis5 4 2 2 6" xfId="12992"/>
    <cellStyle name="40% - Énfasis5 4 2 2 7" xfId="42351"/>
    <cellStyle name="40% - Énfasis5 4 2 3" xfId="1648"/>
    <cellStyle name="40% - Énfasis5 4 2 3 2" xfId="4773"/>
    <cellStyle name="40% - Énfasis5 4 2 3 2 2" xfId="10976"/>
    <cellStyle name="40% - Énfasis5 4 2 3 2 3" xfId="17178"/>
    <cellStyle name="40% - Énfasis5 4 2 3 2 4" xfId="56049"/>
    <cellStyle name="40% - Énfasis5 4 2 3 3" xfId="7876"/>
    <cellStyle name="40% - Énfasis5 4 2 3 4" xfId="14078"/>
    <cellStyle name="40% - Énfasis5 4 2 3 5" xfId="53159"/>
    <cellStyle name="40% - Énfasis5 4 2 4" xfId="2634"/>
    <cellStyle name="40% - Énfasis5 4 2 4 2" xfId="5758"/>
    <cellStyle name="40% - Énfasis5 4 2 4 2 2" xfId="11961"/>
    <cellStyle name="40% - Énfasis5 4 2 4 2 3" xfId="18163"/>
    <cellStyle name="40% - Énfasis5 4 2 4 2 4" xfId="56991"/>
    <cellStyle name="40% - Énfasis5 4 2 4 3" xfId="8861"/>
    <cellStyle name="40% - Énfasis5 4 2 4 4" xfId="15063"/>
    <cellStyle name="40% - Énfasis5 4 2 4 5" xfId="54096"/>
    <cellStyle name="40% - Énfasis5 4 2 5" xfId="3686"/>
    <cellStyle name="40% - Énfasis5 4 2 5 2" xfId="9890"/>
    <cellStyle name="40% - Énfasis5 4 2 5 3" xfId="16092"/>
    <cellStyle name="40% - Énfasis5 4 2 5 4" xfId="55063"/>
    <cellStyle name="40% - Énfasis5 4 2 6" xfId="6789"/>
    <cellStyle name="40% - Énfasis5 4 2 6 2" xfId="19249"/>
    <cellStyle name="40% - Énfasis5 4 2 6 3" xfId="52368"/>
    <cellStyle name="40% - Énfasis5 4 2 7" xfId="12991"/>
    <cellStyle name="40% - Énfasis5 4 2 8" xfId="25494"/>
    <cellStyle name="40% - Énfasis5 4 3" xfId="371"/>
    <cellStyle name="40% - Énfasis5 4 3 2" xfId="1926"/>
    <cellStyle name="40% - Énfasis5 4 3 2 2" xfId="5051"/>
    <cellStyle name="40% - Énfasis5 4 3 2 2 2" xfId="11254"/>
    <cellStyle name="40% - Énfasis5 4 3 2 2 3" xfId="17456"/>
    <cellStyle name="40% - Énfasis5 4 3 2 2 4" xfId="56312"/>
    <cellStyle name="40% - Énfasis5 4 3 2 3" xfId="8154"/>
    <cellStyle name="40% - Énfasis5 4 3 2 4" xfId="14356"/>
    <cellStyle name="40% - Énfasis5 4 3 2 5" xfId="53418"/>
    <cellStyle name="40% - Énfasis5 4 3 3" xfId="2636"/>
    <cellStyle name="40% - Énfasis5 4 3 3 2" xfId="5760"/>
    <cellStyle name="40% - Énfasis5 4 3 3 2 2" xfId="11963"/>
    <cellStyle name="40% - Énfasis5 4 3 3 2 3" xfId="18165"/>
    <cellStyle name="40% - Énfasis5 4 3 3 2 4" xfId="56993"/>
    <cellStyle name="40% - Énfasis5 4 3 3 3" xfId="8863"/>
    <cellStyle name="40% - Énfasis5 4 3 3 4" xfId="15065"/>
    <cellStyle name="40% - Énfasis5 4 3 3 5" xfId="54098"/>
    <cellStyle name="40% - Énfasis5 4 3 4" xfId="3688"/>
    <cellStyle name="40% - Énfasis5 4 3 4 2" xfId="9892"/>
    <cellStyle name="40% - Énfasis5 4 3 4 3" xfId="16094"/>
    <cellStyle name="40% - Énfasis5 4 3 4 4" xfId="55065"/>
    <cellStyle name="40% - Énfasis5 4 3 5" xfId="6791"/>
    <cellStyle name="40% - Énfasis5 4 3 5 2" xfId="19527"/>
    <cellStyle name="40% - Énfasis5 4 3 5 3" xfId="52370"/>
    <cellStyle name="40% - Énfasis5 4 3 6" xfId="12993"/>
    <cellStyle name="40% - Énfasis5 4 3 7" xfId="42350"/>
    <cellStyle name="40% - Énfasis5 4 4" xfId="1402"/>
    <cellStyle name="40% - Énfasis5 4 4 2" xfId="4527"/>
    <cellStyle name="40% - Énfasis5 4 4 2 2" xfId="10730"/>
    <cellStyle name="40% - Énfasis5 4 4 2 3" xfId="16932"/>
    <cellStyle name="40% - Énfasis5 4 4 2 4" xfId="55816"/>
    <cellStyle name="40% - Énfasis5 4 4 3" xfId="7630"/>
    <cellStyle name="40% - Énfasis5 4 4 4" xfId="13832"/>
    <cellStyle name="40% - Énfasis5 4 4 5" xfId="52055"/>
    <cellStyle name="40% - Énfasis5 4 5" xfId="2633"/>
    <cellStyle name="40% - Énfasis5 4 5 2" xfId="5757"/>
    <cellStyle name="40% - Énfasis5 4 5 2 2" xfId="11960"/>
    <cellStyle name="40% - Énfasis5 4 5 2 3" xfId="18162"/>
    <cellStyle name="40% - Énfasis5 4 5 2 4" xfId="56990"/>
    <cellStyle name="40% - Énfasis5 4 5 3" xfId="8860"/>
    <cellStyle name="40% - Énfasis5 4 5 4" xfId="15062"/>
    <cellStyle name="40% - Énfasis5 4 5 5" xfId="54095"/>
    <cellStyle name="40% - Énfasis5 4 6" xfId="3685"/>
    <cellStyle name="40% - Énfasis5 4 6 2" xfId="9889"/>
    <cellStyle name="40% - Énfasis5 4 6 3" xfId="16091"/>
    <cellStyle name="40% - Énfasis5 4 6 4" xfId="55062"/>
    <cellStyle name="40% - Énfasis5 4 7" xfId="6788"/>
    <cellStyle name="40% - Énfasis5 4 7 2" xfId="19003"/>
    <cellStyle name="40% - Énfasis5 4 8" xfId="12990"/>
    <cellStyle name="40% - Énfasis5 4 9" xfId="25493"/>
    <cellStyle name="40% - Énfasis5 5" xfId="372"/>
    <cellStyle name="40% - Énfasis5 5 2" xfId="373"/>
    <cellStyle name="40% - Énfasis5 5 2 2" xfId="2064"/>
    <cellStyle name="40% - Énfasis5 5 2 2 2" xfId="5189"/>
    <cellStyle name="40% - Énfasis5 5 2 2 2 2" xfId="11392"/>
    <cellStyle name="40% - Énfasis5 5 2 2 2 3" xfId="17594"/>
    <cellStyle name="40% - Énfasis5 5 2 2 2 4" xfId="56441"/>
    <cellStyle name="40% - Énfasis5 5 2 2 3" xfId="8292"/>
    <cellStyle name="40% - Énfasis5 5 2 2 3 2" xfId="53545"/>
    <cellStyle name="40% - Énfasis5 5 2 2 4" xfId="14494"/>
    <cellStyle name="40% - Énfasis5 5 2 2 5" xfId="42353"/>
    <cellStyle name="40% - Énfasis5 5 2 3" xfId="2638"/>
    <cellStyle name="40% - Énfasis5 5 2 3 2" xfId="5762"/>
    <cellStyle name="40% - Énfasis5 5 2 3 2 2" xfId="11965"/>
    <cellStyle name="40% - Énfasis5 5 2 3 2 3" xfId="18167"/>
    <cellStyle name="40% - Énfasis5 5 2 3 2 4" xfId="56995"/>
    <cellStyle name="40% - Énfasis5 5 2 3 3" xfId="8865"/>
    <cellStyle name="40% - Énfasis5 5 2 3 4" xfId="15067"/>
    <cellStyle name="40% - Énfasis5 5 2 3 5" xfId="54100"/>
    <cellStyle name="40% - Énfasis5 5 2 4" xfId="3690"/>
    <cellStyle name="40% - Énfasis5 5 2 4 2" xfId="9894"/>
    <cellStyle name="40% - Énfasis5 5 2 4 3" xfId="16096"/>
    <cellStyle name="40% - Énfasis5 5 2 4 4" xfId="55067"/>
    <cellStyle name="40% - Énfasis5 5 2 5" xfId="6793"/>
    <cellStyle name="40% - Énfasis5 5 2 5 2" xfId="19665"/>
    <cellStyle name="40% - Énfasis5 5 2 5 3" xfId="52372"/>
    <cellStyle name="40% - Énfasis5 5 2 6" xfId="12995"/>
    <cellStyle name="40% - Énfasis5 5 2 7" xfId="25496"/>
    <cellStyle name="40% - Énfasis5 5 3" xfId="1540"/>
    <cellStyle name="40% - Énfasis5 5 3 2" xfId="4665"/>
    <cellStyle name="40% - Énfasis5 5 3 2 2" xfId="10868"/>
    <cellStyle name="40% - Énfasis5 5 3 2 3" xfId="17070"/>
    <cellStyle name="40% - Énfasis5 5 3 2 4" xfId="55946"/>
    <cellStyle name="40% - Énfasis5 5 3 3" xfId="7768"/>
    <cellStyle name="40% - Énfasis5 5 3 3 2" xfId="53061"/>
    <cellStyle name="40% - Énfasis5 5 3 4" xfId="13970"/>
    <cellStyle name="40% - Énfasis5 5 3 5" xfId="42352"/>
    <cellStyle name="40% - Énfasis5 5 4" xfId="2637"/>
    <cellStyle name="40% - Énfasis5 5 4 2" xfId="5761"/>
    <cellStyle name="40% - Énfasis5 5 4 2 2" xfId="11964"/>
    <cellStyle name="40% - Énfasis5 5 4 2 3" xfId="18166"/>
    <cellStyle name="40% - Énfasis5 5 4 2 4" xfId="56994"/>
    <cellStyle name="40% - Énfasis5 5 4 3" xfId="8864"/>
    <cellStyle name="40% - Énfasis5 5 4 4" xfId="15066"/>
    <cellStyle name="40% - Énfasis5 5 4 5" xfId="54099"/>
    <cellStyle name="40% - Énfasis5 5 5" xfId="3689"/>
    <cellStyle name="40% - Énfasis5 5 5 2" xfId="9893"/>
    <cellStyle name="40% - Énfasis5 5 5 3" xfId="16095"/>
    <cellStyle name="40% - Énfasis5 5 5 4" xfId="55066"/>
    <cellStyle name="40% - Énfasis5 5 6" xfId="6792"/>
    <cellStyle name="40% - Énfasis5 5 6 2" xfId="19141"/>
    <cellStyle name="40% - Énfasis5 5 6 3" xfId="52371"/>
    <cellStyle name="40% - Énfasis5 5 7" xfId="12994"/>
    <cellStyle name="40% - Énfasis5 5 8" xfId="25495"/>
    <cellStyle name="40% - Énfasis5 6" xfId="374"/>
    <cellStyle name="40% - Énfasis5 6 2" xfId="1793"/>
    <cellStyle name="40% - Énfasis5 6 2 2" xfId="4918"/>
    <cellStyle name="40% - Énfasis5 6 2 2 2" xfId="11121"/>
    <cellStyle name="40% - Énfasis5 6 2 2 3" xfId="17323"/>
    <cellStyle name="40% - Énfasis5 6 2 2 4" xfId="56187"/>
    <cellStyle name="40% - Énfasis5 6 2 3" xfId="8021"/>
    <cellStyle name="40% - Énfasis5 6 2 3 2" xfId="53294"/>
    <cellStyle name="40% - Énfasis5 6 2 4" xfId="14223"/>
    <cellStyle name="40% - Énfasis5 6 2 5" xfId="42354"/>
    <cellStyle name="40% - Énfasis5 6 3" xfId="2639"/>
    <cellStyle name="40% - Énfasis5 6 3 2" xfId="5763"/>
    <cellStyle name="40% - Énfasis5 6 3 2 2" xfId="11966"/>
    <cellStyle name="40% - Énfasis5 6 3 2 3" xfId="18168"/>
    <cellStyle name="40% - Énfasis5 6 3 2 4" xfId="56996"/>
    <cellStyle name="40% - Énfasis5 6 3 3" xfId="8866"/>
    <cellStyle name="40% - Énfasis5 6 3 4" xfId="15068"/>
    <cellStyle name="40% - Énfasis5 6 3 5" xfId="54101"/>
    <cellStyle name="40% - Énfasis5 6 4" xfId="3691"/>
    <cellStyle name="40% - Énfasis5 6 4 2" xfId="9895"/>
    <cellStyle name="40% - Énfasis5 6 4 3" xfId="16097"/>
    <cellStyle name="40% - Énfasis5 6 4 4" xfId="55068"/>
    <cellStyle name="40% - Énfasis5 6 5" xfId="6794"/>
    <cellStyle name="40% - Énfasis5 6 5 2" xfId="19394"/>
    <cellStyle name="40% - Énfasis5 6 5 3" xfId="52373"/>
    <cellStyle name="40% - Énfasis5 6 6" xfId="12996"/>
    <cellStyle name="40% - Énfasis5 6 7" xfId="25497"/>
    <cellStyle name="40% - Énfasis5 7" xfId="1263"/>
    <cellStyle name="40% - Énfasis5 7 2" xfId="4388"/>
    <cellStyle name="40% - Énfasis5 7 2 2" xfId="10591"/>
    <cellStyle name="40% - Énfasis5 7 2 2 2" xfId="55684"/>
    <cellStyle name="40% - Énfasis5 7 2 3" xfId="16793"/>
    <cellStyle name="40% - Énfasis5 7 2 4" xfId="42355"/>
    <cellStyle name="40% - Énfasis5 7 3" xfId="7491"/>
    <cellStyle name="40% - Énfasis5 7 3 2" xfId="52815"/>
    <cellStyle name="40% - Énfasis5 7 4" xfId="13693"/>
    <cellStyle name="40% - Énfasis5 7 5" xfId="25498"/>
    <cellStyle name="40% - Énfasis5 8" xfId="18864"/>
    <cellStyle name="40% - Énfasis5 8 10" xfId="25500"/>
    <cellStyle name="40% - Énfasis5 8 10 2" xfId="25501"/>
    <cellStyle name="40% - Énfasis5 8 10 2 2" xfId="25502"/>
    <cellStyle name="40% - Énfasis5 8 10 2 2 2" xfId="42359"/>
    <cellStyle name="40% - Énfasis5 8 10 2 3" xfId="42358"/>
    <cellStyle name="40% - Énfasis5 8 10 3" xfId="25503"/>
    <cellStyle name="40% - Énfasis5 8 10 3 2" xfId="42360"/>
    <cellStyle name="40% - Énfasis5 8 10 4" xfId="42357"/>
    <cellStyle name="40% - Énfasis5 8 11" xfId="25504"/>
    <cellStyle name="40% - Énfasis5 8 11 2" xfId="25505"/>
    <cellStyle name="40% - Énfasis5 8 11 2 2" xfId="25506"/>
    <cellStyle name="40% - Énfasis5 8 11 2 2 2" xfId="42363"/>
    <cellStyle name="40% - Énfasis5 8 11 2 3" xfId="42362"/>
    <cellStyle name="40% - Énfasis5 8 11 3" xfId="25507"/>
    <cellStyle name="40% - Énfasis5 8 11 3 2" xfId="42364"/>
    <cellStyle name="40% - Énfasis5 8 11 4" xfId="42361"/>
    <cellStyle name="40% - Énfasis5 8 12" xfId="25508"/>
    <cellStyle name="40% - Énfasis5 8 12 2" xfId="25509"/>
    <cellStyle name="40% - Énfasis5 8 12 2 2" xfId="42366"/>
    <cellStyle name="40% - Énfasis5 8 12 3" xfId="42365"/>
    <cellStyle name="40% - Énfasis5 8 13" xfId="25510"/>
    <cellStyle name="40% - Énfasis5 8 13 2" xfId="25511"/>
    <cellStyle name="40% - Énfasis5 8 13 2 2" xfId="42368"/>
    <cellStyle name="40% - Énfasis5 8 13 3" xfId="42367"/>
    <cellStyle name="40% - Énfasis5 8 14" xfId="25512"/>
    <cellStyle name="40% - Énfasis5 8 14 2" xfId="42369"/>
    <cellStyle name="40% - Énfasis5 8 15" xfId="25513"/>
    <cellStyle name="40% - Énfasis5 8 15 2" xfId="42370"/>
    <cellStyle name="40% - Énfasis5 8 16" xfId="42356"/>
    <cellStyle name="40% - Énfasis5 8 17" xfId="25499"/>
    <cellStyle name="40% - Énfasis5 8 2" xfId="25514"/>
    <cellStyle name="40% - Énfasis5 8 2 10" xfId="25515"/>
    <cellStyle name="40% - Énfasis5 8 2 10 2" xfId="25516"/>
    <cellStyle name="40% - Énfasis5 8 2 10 2 2" xfId="25517"/>
    <cellStyle name="40% - Énfasis5 8 2 10 2 2 2" xfId="42374"/>
    <cellStyle name="40% - Énfasis5 8 2 10 2 3" xfId="42373"/>
    <cellStyle name="40% - Énfasis5 8 2 10 3" xfId="25518"/>
    <cellStyle name="40% - Énfasis5 8 2 10 3 2" xfId="42375"/>
    <cellStyle name="40% - Énfasis5 8 2 10 4" xfId="42372"/>
    <cellStyle name="40% - Énfasis5 8 2 11" xfId="25519"/>
    <cellStyle name="40% - Énfasis5 8 2 11 2" xfId="25520"/>
    <cellStyle name="40% - Énfasis5 8 2 11 2 2" xfId="42377"/>
    <cellStyle name="40% - Énfasis5 8 2 11 3" xfId="42376"/>
    <cellStyle name="40% - Énfasis5 8 2 12" xfId="25521"/>
    <cellStyle name="40% - Énfasis5 8 2 12 2" xfId="25522"/>
    <cellStyle name="40% - Énfasis5 8 2 12 2 2" xfId="42379"/>
    <cellStyle name="40% - Énfasis5 8 2 12 3" xfId="42378"/>
    <cellStyle name="40% - Énfasis5 8 2 13" xfId="25523"/>
    <cellStyle name="40% - Énfasis5 8 2 13 2" xfId="42380"/>
    <cellStyle name="40% - Énfasis5 8 2 14" xfId="25524"/>
    <cellStyle name="40% - Énfasis5 8 2 14 2" xfId="42381"/>
    <cellStyle name="40% - Énfasis5 8 2 15" xfId="42371"/>
    <cellStyle name="40% - Énfasis5 8 2 2" xfId="25525"/>
    <cellStyle name="40% - Énfasis5 8 2 2 2" xfId="25526"/>
    <cellStyle name="40% - Énfasis5 8 2 2 2 2" xfId="25527"/>
    <cellStyle name="40% - Énfasis5 8 2 2 2 2 2" xfId="25528"/>
    <cellStyle name="40% - Énfasis5 8 2 2 2 2 2 2" xfId="25529"/>
    <cellStyle name="40% - Énfasis5 8 2 2 2 2 2 2 2" xfId="25530"/>
    <cellStyle name="40% - Énfasis5 8 2 2 2 2 2 2 2 2" xfId="42387"/>
    <cellStyle name="40% - Énfasis5 8 2 2 2 2 2 2 3" xfId="42386"/>
    <cellStyle name="40% - Énfasis5 8 2 2 2 2 2 3" xfId="25531"/>
    <cellStyle name="40% - Énfasis5 8 2 2 2 2 2 3 2" xfId="25532"/>
    <cellStyle name="40% - Énfasis5 8 2 2 2 2 2 3 2 2" xfId="42389"/>
    <cellStyle name="40% - Énfasis5 8 2 2 2 2 2 3 3" xfId="42388"/>
    <cellStyle name="40% - Énfasis5 8 2 2 2 2 2 4" xfId="25533"/>
    <cellStyle name="40% - Énfasis5 8 2 2 2 2 2 4 2" xfId="42390"/>
    <cellStyle name="40% - Énfasis5 8 2 2 2 2 2 5" xfId="42385"/>
    <cellStyle name="40% - Énfasis5 8 2 2 2 2 3" xfId="25534"/>
    <cellStyle name="40% - Énfasis5 8 2 2 2 2 3 2" xfId="42391"/>
    <cellStyle name="40% - Énfasis5 8 2 2 2 2 4" xfId="25535"/>
    <cellStyle name="40% - Énfasis5 8 2 2 2 2 4 2" xfId="25536"/>
    <cellStyle name="40% - Énfasis5 8 2 2 2 2 4 2 2" xfId="42393"/>
    <cellStyle name="40% - Énfasis5 8 2 2 2 2 4 3" xfId="42392"/>
    <cellStyle name="40% - Énfasis5 8 2 2 2 2 5" xfId="25537"/>
    <cellStyle name="40% - Énfasis5 8 2 2 2 2 5 2" xfId="42394"/>
    <cellStyle name="40% - Énfasis5 8 2 2 2 2 6" xfId="42384"/>
    <cellStyle name="40% - Énfasis5 8 2 2 2 2_IAS" xfId="25538"/>
    <cellStyle name="40% - Énfasis5 8 2 2 2 3" xfId="25539"/>
    <cellStyle name="40% - Énfasis5 8 2 2 2 3 2" xfId="25540"/>
    <cellStyle name="40% - Énfasis5 8 2 2 2 3 2 2" xfId="25541"/>
    <cellStyle name="40% - Énfasis5 8 2 2 2 3 2 2 2" xfId="42397"/>
    <cellStyle name="40% - Énfasis5 8 2 2 2 3 2 3" xfId="42396"/>
    <cellStyle name="40% - Énfasis5 8 2 2 2 3 3" xfId="25542"/>
    <cellStyle name="40% - Énfasis5 8 2 2 2 3 3 2" xfId="25543"/>
    <cellStyle name="40% - Énfasis5 8 2 2 2 3 3 2 2" xfId="42399"/>
    <cellStyle name="40% - Énfasis5 8 2 2 2 3 3 3" xfId="42398"/>
    <cellStyle name="40% - Énfasis5 8 2 2 2 3 4" xfId="25544"/>
    <cellStyle name="40% - Énfasis5 8 2 2 2 3 4 2" xfId="42400"/>
    <cellStyle name="40% - Énfasis5 8 2 2 2 3 5" xfId="42395"/>
    <cellStyle name="40% - Énfasis5 8 2 2 2 4" xfId="25545"/>
    <cellStyle name="40% - Énfasis5 8 2 2 2 4 2" xfId="42401"/>
    <cellStyle name="40% - Énfasis5 8 2 2 2 5" xfId="25546"/>
    <cellStyle name="40% - Énfasis5 8 2 2 2 5 2" xfId="25547"/>
    <cellStyle name="40% - Énfasis5 8 2 2 2 5 2 2" xfId="42403"/>
    <cellStyle name="40% - Énfasis5 8 2 2 2 5 3" xfId="42402"/>
    <cellStyle name="40% - Énfasis5 8 2 2 2 6" xfId="25548"/>
    <cellStyle name="40% - Énfasis5 8 2 2 2 6 2" xfId="42404"/>
    <cellStyle name="40% - Énfasis5 8 2 2 2 7" xfId="42383"/>
    <cellStyle name="40% - Énfasis5 8 2 2 2_IAS" xfId="25549"/>
    <cellStyle name="40% - Énfasis5 8 2 2 3" xfId="25550"/>
    <cellStyle name="40% - Énfasis5 8 2 2 3 2" xfId="25551"/>
    <cellStyle name="40% - Énfasis5 8 2 2 3 2 2" xfId="25552"/>
    <cellStyle name="40% - Énfasis5 8 2 2 3 2 2 2" xfId="25553"/>
    <cellStyle name="40% - Énfasis5 8 2 2 3 2 2 2 2" xfId="42408"/>
    <cellStyle name="40% - Énfasis5 8 2 2 3 2 2 3" xfId="42407"/>
    <cellStyle name="40% - Énfasis5 8 2 2 3 2 3" xfId="25554"/>
    <cellStyle name="40% - Énfasis5 8 2 2 3 2 3 2" xfId="25555"/>
    <cellStyle name="40% - Énfasis5 8 2 2 3 2 3 2 2" xfId="42410"/>
    <cellStyle name="40% - Énfasis5 8 2 2 3 2 3 3" xfId="42409"/>
    <cellStyle name="40% - Énfasis5 8 2 2 3 2 4" xfId="25556"/>
    <cellStyle name="40% - Énfasis5 8 2 2 3 2 4 2" xfId="42411"/>
    <cellStyle name="40% - Énfasis5 8 2 2 3 2 5" xfId="42406"/>
    <cellStyle name="40% - Énfasis5 8 2 2 3 3" xfId="25557"/>
    <cellStyle name="40% - Énfasis5 8 2 2 3 3 2" xfId="42412"/>
    <cellStyle name="40% - Énfasis5 8 2 2 3 4" xfId="25558"/>
    <cellStyle name="40% - Énfasis5 8 2 2 3 4 2" xfId="25559"/>
    <cellStyle name="40% - Énfasis5 8 2 2 3 4 2 2" xfId="42414"/>
    <cellStyle name="40% - Énfasis5 8 2 2 3 4 3" xfId="42413"/>
    <cellStyle name="40% - Énfasis5 8 2 2 3 5" xfId="25560"/>
    <cellStyle name="40% - Énfasis5 8 2 2 3 5 2" xfId="42415"/>
    <cellStyle name="40% - Énfasis5 8 2 2 3 6" xfId="42405"/>
    <cellStyle name="40% - Énfasis5 8 2 2 3_IAS" xfId="25561"/>
    <cellStyle name="40% - Énfasis5 8 2 2 4" xfId="25562"/>
    <cellStyle name="40% - Énfasis5 8 2 2 4 2" xfId="25563"/>
    <cellStyle name="40% - Énfasis5 8 2 2 4 2 2" xfId="25564"/>
    <cellStyle name="40% - Énfasis5 8 2 2 4 2 2 2" xfId="42418"/>
    <cellStyle name="40% - Énfasis5 8 2 2 4 2 3" xfId="42417"/>
    <cellStyle name="40% - Énfasis5 8 2 2 4 3" xfId="25565"/>
    <cellStyle name="40% - Énfasis5 8 2 2 4 3 2" xfId="25566"/>
    <cellStyle name="40% - Énfasis5 8 2 2 4 3 2 2" xfId="42420"/>
    <cellStyle name="40% - Énfasis5 8 2 2 4 3 3" xfId="42419"/>
    <cellStyle name="40% - Énfasis5 8 2 2 4 4" xfId="25567"/>
    <cellStyle name="40% - Énfasis5 8 2 2 4 4 2" xfId="42421"/>
    <cellStyle name="40% - Énfasis5 8 2 2 4 5" xfId="42416"/>
    <cellStyle name="40% - Énfasis5 8 2 2 5" xfId="25568"/>
    <cellStyle name="40% - Énfasis5 8 2 2 5 2" xfId="42422"/>
    <cellStyle name="40% - Énfasis5 8 2 2 6" xfId="25569"/>
    <cellStyle name="40% - Énfasis5 8 2 2 6 2" xfId="25570"/>
    <cellStyle name="40% - Énfasis5 8 2 2 6 2 2" xfId="42424"/>
    <cellStyle name="40% - Énfasis5 8 2 2 6 3" xfId="42423"/>
    <cellStyle name="40% - Énfasis5 8 2 2 7" xfId="25571"/>
    <cellStyle name="40% - Énfasis5 8 2 2 7 2" xfId="42425"/>
    <cellStyle name="40% - Énfasis5 8 2 2 8" xfId="42382"/>
    <cellStyle name="40% - Énfasis5 8 2 2_IAS" xfId="25572"/>
    <cellStyle name="40% - Énfasis5 8 2 3" xfId="25573"/>
    <cellStyle name="40% - Énfasis5 8 2 3 2" xfId="25574"/>
    <cellStyle name="40% - Énfasis5 8 2 3 2 2" xfId="25575"/>
    <cellStyle name="40% - Énfasis5 8 2 3 2 2 2" xfId="25576"/>
    <cellStyle name="40% - Énfasis5 8 2 3 2 2 2 2" xfId="25577"/>
    <cellStyle name="40% - Énfasis5 8 2 3 2 2 2 2 2" xfId="25578"/>
    <cellStyle name="40% - Énfasis5 8 2 3 2 2 2 2 2 2" xfId="42431"/>
    <cellStyle name="40% - Énfasis5 8 2 3 2 2 2 2 3" xfId="42430"/>
    <cellStyle name="40% - Énfasis5 8 2 3 2 2 2 3" xfId="25579"/>
    <cellStyle name="40% - Énfasis5 8 2 3 2 2 2 3 2" xfId="25580"/>
    <cellStyle name="40% - Énfasis5 8 2 3 2 2 2 3 2 2" xfId="42433"/>
    <cellStyle name="40% - Énfasis5 8 2 3 2 2 2 3 3" xfId="42432"/>
    <cellStyle name="40% - Énfasis5 8 2 3 2 2 2 4" xfId="25581"/>
    <cellStyle name="40% - Énfasis5 8 2 3 2 2 2 4 2" xfId="42434"/>
    <cellStyle name="40% - Énfasis5 8 2 3 2 2 2 5" xfId="42429"/>
    <cellStyle name="40% - Énfasis5 8 2 3 2 2 3" xfId="25582"/>
    <cellStyle name="40% - Énfasis5 8 2 3 2 2 3 2" xfId="42435"/>
    <cellStyle name="40% - Énfasis5 8 2 3 2 2 4" xfId="25583"/>
    <cellStyle name="40% - Énfasis5 8 2 3 2 2 4 2" xfId="25584"/>
    <cellStyle name="40% - Énfasis5 8 2 3 2 2 4 2 2" xfId="42437"/>
    <cellStyle name="40% - Énfasis5 8 2 3 2 2 4 3" xfId="42436"/>
    <cellStyle name="40% - Énfasis5 8 2 3 2 2 5" xfId="25585"/>
    <cellStyle name="40% - Énfasis5 8 2 3 2 2 5 2" xfId="42438"/>
    <cellStyle name="40% - Énfasis5 8 2 3 2 2 6" xfId="42428"/>
    <cellStyle name="40% - Énfasis5 8 2 3 2 2_IAS" xfId="25586"/>
    <cellStyle name="40% - Énfasis5 8 2 3 2 3" xfId="25587"/>
    <cellStyle name="40% - Énfasis5 8 2 3 2 3 2" xfId="25588"/>
    <cellStyle name="40% - Énfasis5 8 2 3 2 3 2 2" xfId="25589"/>
    <cellStyle name="40% - Énfasis5 8 2 3 2 3 2 2 2" xfId="42441"/>
    <cellStyle name="40% - Énfasis5 8 2 3 2 3 2 3" xfId="42440"/>
    <cellStyle name="40% - Énfasis5 8 2 3 2 3 3" xfId="25590"/>
    <cellStyle name="40% - Énfasis5 8 2 3 2 3 3 2" xfId="25591"/>
    <cellStyle name="40% - Énfasis5 8 2 3 2 3 3 2 2" xfId="42443"/>
    <cellStyle name="40% - Énfasis5 8 2 3 2 3 3 3" xfId="42442"/>
    <cellStyle name="40% - Énfasis5 8 2 3 2 3 4" xfId="25592"/>
    <cellStyle name="40% - Énfasis5 8 2 3 2 3 4 2" xfId="42444"/>
    <cellStyle name="40% - Énfasis5 8 2 3 2 3 5" xfId="42439"/>
    <cellStyle name="40% - Énfasis5 8 2 3 2 4" xfId="25593"/>
    <cellStyle name="40% - Énfasis5 8 2 3 2 4 2" xfId="42445"/>
    <cellStyle name="40% - Énfasis5 8 2 3 2 5" xfId="25594"/>
    <cellStyle name="40% - Énfasis5 8 2 3 2 5 2" xfId="25595"/>
    <cellStyle name="40% - Énfasis5 8 2 3 2 5 2 2" xfId="42447"/>
    <cellStyle name="40% - Énfasis5 8 2 3 2 5 3" xfId="42446"/>
    <cellStyle name="40% - Énfasis5 8 2 3 2 6" xfId="25596"/>
    <cellStyle name="40% - Énfasis5 8 2 3 2 6 2" xfId="42448"/>
    <cellStyle name="40% - Énfasis5 8 2 3 2 7" xfId="42427"/>
    <cellStyle name="40% - Énfasis5 8 2 3 2_IAS" xfId="25597"/>
    <cellStyle name="40% - Énfasis5 8 2 3 3" xfId="25598"/>
    <cellStyle name="40% - Énfasis5 8 2 3 3 2" xfId="25599"/>
    <cellStyle name="40% - Énfasis5 8 2 3 3 2 2" xfId="25600"/>
    <cellStyle name="40% - Énfasis5 8 2 3 3 2 2 2" xfId="25601"/>
    <cellStyle name="40% - Énfasis5 8 2 3 3 2 2 2 2" xfId="42452"/>
    <cellStyle name="40% - Énfasis5 8 2 3 3 2 2 3" xfId="42451"/>
    <cellStyle name="40% - Énfasis5 8 2 3 3 2 3" xfId="25602"/>
    <cellStyle name="40% - Énfasis5 8 2 3 3 2 3 2" xfId="25603"/>
    <cellStyle name="40% - Énfasis5 8 2 3 3 2 3 2 2" xfId="42454"/>
    <cellStyle name="40% - Énfasis5 8 2 3 3 2 3 3" xfId="42453"/>
    <cellStyle name="40% - Énfasis5 8 2 3 3 2 4" xfId="25604"/>
    <cellStyle name="40% - Énfasis5 8 2 3 3 2 4 2" xfId="42455"/>
    <cellStyle name="40% - Énfasis5 8 2 3 3 2 5" xfId="42450"/>
    <cellStyle name="40% - Énfasis5 8 2 3 3 3" xfId="25605"/>
    <cellStyle name="40% - Énfasis5 8 2 3 3 3 2" xfId="42456"/>
    <cellStyle name="40% - Énfasis5 8 2 3 3 4" xfId="25606"/>
    <cellStyle name="40% - Énfasis5 8 2 3 3 4 2" xfId="25607"/>
    <cellStyle name="40% - Énfasis5 8 2 3 3 4 2 2" xfId="42458"/>
    <cellStyle name="40% - Énfasis5 8 2 3 3 4 3" xfId="42457"/>
    <cellStyle name="40% - Énfasis5 8 2 3 3 5" xfId="25608"/>
    <cellStyle name="40% - Énfasis5 8 2 3 3 5 2" xfId="42459"/>
    <cellStyle name="40% - Énfasis5 8 2 3 3 6" xfId="42449"/>
    <cellStyle name="40% - Énfasis5 8 2 3 3_IAS" xfId="25609"/>
    <cellStyle name="40% - Énfasis5 8 2 3 4" xfId="25610"/>
    <cellStyle name="40% - Énfasis5 8 2 3 4 2" xfId="25611"/>
    <cellStyle name="40% - Énfasis5 8 2 3 4 2 2" xfId="25612"/>
    <cellStyle name="40% - Énfasis5 8 2 3 4 2 2 2" xfId="42462"/>
    <cellStyle name="40% - Énfasis5 8 2 3 4 2 3" xfId="42461"/>
    <cellStyle name="40% - Énfasis5 8 2 3 4 3" xfId="25613"/>
    <cellStyle name="40% - Énfasis5 8 2 3 4 3 2" xfId="25614"/>
    <cellStyle name="40% - Énfasis5 8 2 3 4 3 2 2" xfId="42464"/>
    <cellStyle name="40% - Énfasis5 8 2 3 4 3 3" xfId="42463"/>
    <cellStyle name="40% - Énfasis5 8 2 3 4 4" xfId="25615"/>
    <cellStyle name="40% - Énfasis5 8 2 3 4 4 2" xfId="42465"/>
    <cellStyle name="40% - Énfasis5 8 2 3 4 5" xfId="42460"/>
    <cellStyle name="40% - Énfasis5 8 2 3 5" xfId="25616"/>
    <cellStyle name="40% - Énfasis5 8 2 3 5 2" xfId="42466"/>
    <cellStyle name="40% - Énfasis5 8 2 3 6" xfId="25617"/>
    <cellStyle name="40% - Énfasis5 8 2 3 6 2" xfId="25618"/>
    <cellStyle name="40% - Énfasis5 8 2 3 6 2 2" xfId="42468"/>
    <cellStyle name="40% - Énfasis5 8 2 3 6 3" xfId="42467"/>
    <cellStyle name="40% - Énfasis5 8 2 3 7" xfId="25619"/>
    <cellStyle name="40% - Énfasis5 8 2 3 7 2" xfId="42469"/>
    <cellStyle name="40% - Énfasis5 8 2 3 8" xfId="42426"/>
    <cellStyle name="40% - Énfasis5 8 2 3_IAS" xfId="25620"/>
    <cellStyle name="40% - Énfasis5 8 2 4" xfId="25621"/>
    <cellStyle name="40% - Énfasis5 8 2 4 2" xfId="42470"/>
    <cellStyle name="40% - Énfasis5 8 2 5" xfId="25622"/>
    <cellStyle name="40% - Énfasis5 8 2 5 2" xfId="25623"/>
    <cellStyle name="40% - Énfasis5 8 2 5 2 2" xfId="25624"/>
    <cellStyle name="40% - Énfasis5 8 2 5 2 2 2" xfId="25625"/>
    <cellStyle name="40% - Énfasis5 8 2 5 2 2 2 2" xfId="25626"/>
    <cellStyle name="40% - Énfasis5 8 2 5 2 2 2 2 2" xfId="42475"/>
    <cellStyle name="40% - Énfasis5 8 2 5 2 2 2 3" xfId="42474"/>
    <cellStyle name="40% - Énfasis5 8 2 5 2 2 3" xfId="25627"/>
    <cellStyle name="40% - Énfasis5 8 2 5 2 2 3 2" xfId="25628"/>
    <cellStyle name="40% - Énfasis5 8 2 5 2 2 3 2 2" xfId="42477"/>
    <cellStyle name="40% - Énfasis5 8 2 5 2 2 3 3" xfId="42476"/>
    <cellStyle name="40% - Énfasis5 8 2 5 2 2 4" xfId="25629"/>
    <cellStyle name="40% - Énfasis5 8 2 5 2 2 4 2" xfId="42478"/>
    <cellStyle name="40% - Énfasis5 8 2 5 2 2 5" xfId="42473"/>
    <cellStyle name="40% - Énfasis5 8 2 5 2 3" xfId="25630"/>
    <cellStyle name="40% - Énfasis5 8 2 5 2 3 2" xfId="42479"/>
    <cellStyle name="40% - Énfasis5 8 2 5 2 4" xfId="25631"/>
    <cellStyle name="40% - Énfasis5 8 2 5 2 4 2" xfId="25632"/>
    <cellStyle name="40% - Énfasis5 8 2 5 2 4 2 2" xfId="42481"/>
    <cellStyle name="40% - Énfasis5 8 2 5 2 4 3" xfId="42480"/>
    <cellStyle name="40% - Énfasis5 8 2 5 2 5" xfId="25633"/>
    <cellStyle name="40% - Énfasis5 8 2 5 2 5 2" xfId="42482"/>
    <cellStyle name="40% - Énfasis5 8 2 5 2 6" xfId="42472"/>
    <cellStyle name="40% - Énfasis5 8 2 5 2_IAS" xfId="25634"/>
    <cellStyle name="40% - Énfasis5 8 2 5 3" xfId="25635"/>
    <cellStyle name="40% - Énfasis5 8 2 5 3 2" xfId="25636"/>
    <cellStyle name="40% - Énfasis5 8 2 5 3 2 2" xfId="25637"/>
    <cellStyle name="40% - Énfasis5 8 2 5 3 2 2 2" xfId="42485"/>
    <cellStyle name="40% - Énfasis5 8 2 5 3 2 3" xfId="42484"/>
    <cellStyle name="40% - Énfasis5 8 2 5 3 3" xfId="25638"/>
    <cellStyle name="40% - Énfasis5 8 2 5 3 3 2" xfId="25639"/>
    <cellStyle name="40% - Énfasis5 8 2 5 3 3 2 2" xfId="42487"/>
    <cellStyle name="40% - Énfasis5 8 2 5 3 3 3" xfId="42486"/>
    <cellStyle name="40% - Énfasis5 8 2 5 3 4" xfId="25640"/>
    <cellStyle name="40% - Énfasis5 8 2 5 3 4 2" xfId="42488"/>
    <cellStyle name="40% - Énfasis5 8 2 5 3 5" xfId="42483"/>
    <cellStyle name="40% - Énfasis5 8 2 5 4" xfId="25641"/>
    <cellStyle name="40% - Énfasis5 8 2 5 4 2" xfId="42489"/>
    <cellStyle name="40% - Énfasis5 8 2 5 5" xfId="25642"/>
    <cellStyle name="40% - Énfasis5 8 2 5 5 2" xfId="25643"/>
    <cellStyle name="40% - Énfasis5 8 2 5 5 2 2" xfId="42491"/>
    <cellStyle name="40% - Énfasis5 8 2 5 5 3" xfId="42490"/>
    <cellStyle name="40% - Énfasis5 8 2 5 6" xfId="25644"/>
    <cellStyle name="40% - Énfasis5 8 2 5 6 2" xfId="42492"/>
    <cellStyle name="40% - Énfasis5 8 2 5 7" xfId="42471"/>
    <cellStyle name="40% - Énfasis5 8 2 5_IAS" xfId="25645"/>
    <cellStyle name="40% - Énfasis5 8 2 6" xfId="25646"/>
    <cellStyle name="40% - Énfasis5 8 2 6 2" xfId="25647"/>
    <cellStyle name="40% - Énfasis5 8 2 6 2 2" xfId="25648"/>
    <cellStyle name="40% - Énfasis5 8 2 6 2 2 2" xfId="25649"/>
    <cellStyle name="40% - Énfasis5 8 2 6 2 2 2 2" xfId="42496"/>
    <cellStyle name="40% - Énfasis5 8 2 6 2 2 3" xfId="42495"/>
    <cellStyle name="40% - Énfasis5 8 2 6 2 3" xfId="25650"/>
    <cellStyle name="40% - Énfasis5 8 2 6 2 3 2" xfId="25651"/>
    <cellStyle name="40% - Énfasis5 8 2 6 2 3 2 2" xfId="42498"/>
    <cellStyle name="40% - Énfasis5 8 2 6 2 3 3" xfId="42497"/>
    <cellStyle name="40% - Énfasis5 8 2 6 2 4" xfId="25652"/>
    <cellStyle name="40% - Énfasis5 8 2 6 2 4 2" xfId="42499"/>
    <cellStyle name="40% - Énfasis5 8 2 6 2 5" xfId="42494"/>
    <cellStyle name="40% - Énfasis5 8 2 6 3" xfId="25653"/>
    <cellStyle name="40% - Énfasis5 8 2 6 3 2" xfId="42500"/>
    <cellStyle name="40% - Énfasis5 8 2 6 4" xfId="25654"/>
    <cellStyle name="40% - Énfasis5 8 2 6 4 2" xfId="25655"/>
    <cellStyle name="40% - Énfasis5 8 2 6 4 2 2" xfId="42502"/>
    <cellStyle name="40% - Énfasis5 8 2 6 4 3" xfId="42501"/>
    <cellStyle name="40% - Énfasis5 8 2 6 5" xfId="25656"/>
    <cellStyle name="40% - Énfasis5 8 2 6 5 2" xfId="42503"/>
    <cellStyle name="40% - Énfasis5 8 2 6 6" xfId="42493"/>
    <cellStyle name="40% - Énfasis5 8 2 6_IAS" xfId="25657"/>
    <cellStyle name="40% - Énfasis5 8 2 7" xfId="25658"/>
    <cellStyle name="40% - Énfasis5 8 2 7 2" xfId="25659"/>
    <cellStyle name="40% - Énfasis5 8 2 7 2 2" xfId="25660"/>
    <cellStyle name="40% - Énfasis5 8 2 7 2 2 2" xfId="42506"/>
    <cellStyle name="40% - Énfasis5 8 2 7 2 3" xfId="42505"/>
    <cellStyle name="40% - Énfasis5 8 2 7 3" xfId="25661"/>
    <cellStyle name="40% - Énfasis5 8 2 7 3 2" xfId="25662"/>
    <cellStyle name="40% - Énfasis5 8 2 7 3 2 2" xfId="42508"/>
    <cellStyle name="40% - Énfasis5 8 2 7 3 3" xfId="42507"/>
    <cellStyle name="40% - Énfasis5 8 2 7 4" xfId="25663"/>
    <cellStyle name="40% - Énfasis5 8 2 7 4 2" xfId="42509"/>
    <cellStyle name="40% - Énfasis5 8 2 7 5" xfId="42504"/>
    <cellStyle name="40% - Énfasis5 8 2 8" xfId="25664"/>
    <cellStyle name="40% - Énfasis5 8 2 8 2" xfId="25665"/>
    <cellStyle name="40% - Énfasis5 8 2 8 2 2" xfId="25666"/>
    <cellStyle name="40% - Énfasis5 8 2 8 2 2 2" xfId="42512"/>
    <cellStyle name="40% - Énfasis5 8 2 8 2 3" xfId="42511"/>
    <cellStyle name="40% - Énfasis5 8 2 8 3" xfId="25667"/>
    <cellStyle name="40% - Énfasis5 8 2 8 3 2" xfId="42513"/>
    <cellStyle name="40% - Énfasis5 8 2 8 4" xfId="42510"/>
    <cellStyle name="40% - Énfasis5 8 2 9" xfId="25668"/>
    <cellStyle name="40% - Énfasis5 8 2 9 2" xfId="25669"/>
    <cellStyle name="40% - Énfasis5 8 2 9 2 2" xfId="25670"/>
    <cellStyle name="40% - Énfasis5 8 2 9 2 2 2" xfId="42516"/>
    <cellStyle name="40% - Énfasis5 8 2 9 2 3" xfId="42515"/>
    <cellStyle name="40% - Énfasis5 8 2 9 3" xfId="25671"/>
    <cellStyle name="40% - Énfasis5 8 2 9 3 2" xfId="42517"/>
    <cellStyle name="40% - Énfasis5 8 2 9 4" xfId="42514"/>
    <cellStyle name="40% - Énfasis5 8 2_IAS" xfId="25672"/>
    <cellStyle name="40% - Énfasis5 8 3" xfId="25673"/>
    <cellStyle name="40% - Énfasis5 8 3 2" xfId="25674"/>
    <cellStyle name="40% - Énfasis5 8 3 2 2" xfId="25675"/>
    <cellStyle name="40% - Énfasis5 8 3 2 2 2" xfId="25676"/>
    <cellStyle name="40% - Énfasis5 8 3 2 2 2 2" xfId="25677"/>
    <cellStyle name="40% - Énfasis5 8 3 2 2 2 2 2" xfId="25678"/>
    <cellStyle name="40% - Énfasis5 8 3 2 2 2 2 2 2" xfId="42523"/>
    <cellStyle name="40% - Énfasis5 8 3 2 2 2 2 3" xfId="42522"/>
    <cellStyle name="40% - Énfasis5 8 3 2 2 2 3" xfId="25679"/>
    <cellStyle name="40% - Énfasis5 8 3 2 2 2 3 2" xfId="25680"/>
    <cellStyle name="40% - Énfasis5 8 3 2 2 2 3 2 2" xfId="42525"/>
    <cellStyle name="40% - Énfasis5 8 3 2 2 2 3 3" xfId="42524"/>
    <cellStyle name="40% - Énfasis5 8 3 2 2 2 4" xfId="25681"/>
    <cellStyle name="40% - Énfasis5 8 3 2 2 2 4 2" xfId="42526"/>
    <cellStyle name="40% - Énfasis5 8 3 2 2 2 5" xfId="42521"/>
    <cellStyle name="40% - Énfasis5 8 3 2 2 3" xfId="25682"/>
    <cellStyle name="40% - Énfasis5 8 3 2 2 3 2" xfId="42527"/>
    <cellStyle name="40% - Énfasis5 8 3 2 2 4" xfId="25683"/>
    <cellStyle name="40% - Énfasis5 8 3 2 2 4 2" xfId="25684"/>
    <cellStyle name="40% - Énfasis5 8 3 2 2 4 2 2" xfId="42529"/>
    <cellStyle name="40% - Énfasis5 8 3 2 2 4 3" xfId="42528"/>
    <cellStyle name="40% - Énfasis5 8 3 2 2 5" xfId="25685"/>
    <cellStyle name="40% - Énfasis5 8 3 2 2 5 2" xfId="42530"/>
    <cellStyle name="40% - Énfasis5 8 3 2 2 6" xfId="42520"/>
    <cellStyle name="40% - Énfasis5 8 3 2 2_IAS" xfId="25686"/>
    <cellStyle name="40% - Énfasis5 8 3 2 3" xfId="25687"/>
    <cellStyle name="40% - Énfasis5 8 3 2 3 2" xfId="25688"/>
    <cellStyle name="40% - Énfasis5 8 3 2 3 2 2" xfId="25689"/>
    <cellStyle name="40% - Énfasis5 8 3 2 3 2 2 2" xfId="42533"/>
    <cellStyle name="40% - Énfasis5 8 3 2 3 2 3" xfId="42532"/>
    <cellStyle name="40% - Énfasis5 8 3 2 3 3" xfId="25690"/>
    <cellStyle name="40% - Énfasis5 8 3 2 3 3 2" xfId="25691"/>
    <cellStyle name="40% - Énfasis5 8 3 2 3 3 2 2" xfId="42535"/>
    <cellStyle name="40% - Énfasis5 8 3 2 3 3 3" xfId="42534"/>
    <cellStyle name="40% - Énfasis5 8 3 2 3 4" xfId="25692"/>
    <cellStyle name="40% - Énfasis5 8 3 2 3 4 2" xfId="42536"/>
    <cellStyle name="40% - Énfasis5 8 3 2 3 5" xfId="42531"/>
    <cellStyle name="40% - Énfasis5 8 3 2 4" xfId="25693"/>
    <cellStyle name="40% - Énfasis5 8 3 2 4 2" xfId="42537"/>
    <cellStyle name="40% - Énfasis5 8 3 2 5" xfId="25694"/>
    <cellStyle name="40% - Énfasis5 8 3 2 5 2" xfId="25695"/>
    <cellStyle name="40% - Énfasis5 8 3 2 5 2 2" xfId="42539"/>
    <cellStyle name="40% - Énfasis5 8 3 2 5 3" xfId="42538"/>
    <cellStyle name="40% - Énfasis5 8 3 2 6" xfId="25696"/>
    <cellStyle name="40% - Énfasis5 8 3 2 6 2" xfId="42540"/>
    <cellStyle name="40% - Énfasis5 8 3 2 7" xfId="42519"/>
    <cellStyle name="40% - Énfasis5 8 3 2_IAS" xfId="25697"/>
    <cellStyle name="40% - Énfasis5 8 3 3" xfId="25698"/>
    <cellStyle name="40% - Énfasis5 8 3 3 2" xfId="25699"/>
    <cellStyle name="40% - Énfasis5 8 3 3 2 2" xfId="25700"/>
    <cellStyle name="40% - Énfasis5 8 3 3 2 2 2" xfId="25701"/>
    <cellStyle name="40% - Énfasis5 8 3 3 2 2 2 2" xfId="42544"/>
    <cellStyle name="40% - Énfasis5 8 3 3 2 2 3" xfId="42543"/>
    <cellStyle name="40% - Énfasis5 8 3 3 2 3" xfId="25702"/>
    <cellStyle name="40% - Énfasis5 8 3 3 2 3 2" xfId="25703"/>
    <cellStyle name="40% - Énfasis5 8 3 3 2 3 2 2" xfId="42546"/>
    <cellStyle name="40% - Énfasis5 8 3 3 2 3 3" xfId="42545"/>
    <cellStyle name="40% - Énfasis5 8 3 3 2 4" xfId="25704"/>
    <cellStyle name="40% - Énfasis5 8 3 3 2 4 2" xfId="42547"/>
    <cellStyle name="40% - Énfasis5 8 3 3 2 5" xfId="42542"/>
    <cellStyle name="40% - Énfasis5 8 3 3 3" xfId="25705"/>
    <cellStyle name="40% - Énfasis5 8 3 3 3 2" xfId="42548"/>
    <cellStyle name="40% - Énfasis5 8 3 3 4" xfId="25706"/>
    <cellStyle name="40% - Énfasis5 8 3 3 4 2" xfId="25707"/>
    <cellStyle name="40% - Énfasis5 8 3 3 4 2 2" xfId="42550"/>
    <cellStyle name="40% - Énfasis5 8 3 3 4 3" xfId="42549"/>
    <cellStyle name="40% - Énfasis5 8 3 3 5" xfId="25708"/>
    <cellStyle name="40% - Énfasis5 8 3 3 5 2" xfId="42551"/>
    <cellStyle name="40% - Énfasis5 8 3 3 6" xfId="42541"/>
    <cellStyle name="40% - Énfasis5 8 3 3_IAS" xfId="25709"/>
    <cellStyle name="40% - Énfasis5 8 3 4" xfId="25710"/>
    <cellStyle name="40% - Énfasis5 8 3 4 2" xfId="25711"/>
    <cellStyle name="40% - Énfasis5 8 3 4 2 2" xfId="25712"/>
    <cellStyle name="40% - Énfasis5 8 3 4 2 2 2" xfId="42554"/>
    <cellStyle name="40% - Énfasis5 8 3 4 2 3" xfId="42553"/>
    <cellStyle name="40% - Énfasis5 8 3 4 3" xfId="25713"/>
    <cellStyle name="40% - Énfasis5 8 3 4 3 2" xfId="25714"/>
    <cellStyle name="40% - Énfasis5 8 3 4 3 2 2" xfId="42556"/>
    <cellStyle name="40% - Énfasis5 8 3 4 3 3" xfId="42555"/>
    <cellStyle name="40% - Énfasis5 8 3 4 4" xfId="25715"/>
    <cellStyle name="40% - Énfasis5 8 3 4 4 2" xfId="42557"/>
    <cellStyle name="40% - Énfasis5 8 3 4 5" xfId="42552"/>
    <cellStyle name="40% - Énfasis5 8 3 5" xfId="25716"/>
    <cellStyle name="40% - Énfasis5 8 3 5 2" xfId="42558"/>
    <cellStyle name="40% - Énfasis5 8 3 6" xfId="25717"/>
    <cellStyle name="40% - Énfasis5 8 3 6 2" xfId="25718"/>
    <cellStyle name="40% - Énfasis5 8 3 6 2 2" xfId="42560"/>
    <cellStyle name="40% - Énfasis5 8 3 6 3" xfId="42559"/>
    <cellStyle name="40% - Énfasis5 8 3 7" xfId="25719"/>
    <cellStyle name="40% - Énfasis5 8 3 7 2" xfId="42561"/>
    <cellStyle name="40% - Énfasis5 8 3 8" xfId="42518"/>
    <cellStyle name="40% - Énfasis5 8 3_IAS" xfId="25720"/>
    <cellStyle name="40% - Énfasis5 8 4" xfId="25721"/>
    <cellStyle name="40% - Énfasis5 8 4 2" xfId="25722"/>
    <cellStyle name="40% - Énfasis5 8 4 2 2" xfId="25723"/>
    <cellStyle name="40% - Énfasis5 8 4 2 2 2" xfId="25724"/>
    <cellStyle name="40% - Énfasis5 8 4 2 2 2 2" xfId="25725"/>
    <cellStyle name="40% - Énfasis5 8 4 2 2 2 2 2" xfId="25726"/>
    <cellStyle name="40% - Énfasis5 8 4 2 2 2 2 2 2" xfId="42567"/>
    <cellStyle name="40% - Énfasis5 8 4 2 2 2 2 3" xfId="42566"/>
    <cellStyle name="40% - Énfasis5 8 4 2 2 2 3" xfId="25727"/>
    <cellStyle name="40% - Énfasis5 8 4 2 2 2 3 2" xfId="25728"/>
    <cellStyle name="40% - Énfasis5 8 4 2 2 2 3 2 2" xfId="42569"/>
    <cellStyle name="40% - Énfasis5 8 4 2 2 2 3 3" xfId="42568"/>
    <cellStyle name="40% - Énfasis5 8 4 2 2 2 4" xfId="25729"/>
    <cellStyle name="40% - Énfasis5 8 4 2 2 2 4 2" xfId="42570"/>
    <cellStyle name="40% - Énfasis5 8 4 2 2 2 5" xfId="42565"/>
    <cellStyle name="40% - Énfasis5 8 4 2 2 3" xfId="25730"/>
    <cellStyle name="40% - Énfasis5 8 4 2 2 3 2" xfId="42571"/>
    <cellStyle name="40% - Énfasis5 8 4 2 2 4" xfId="25731"/>
    <cellStyle name="40% - Énfasis5 8 4 2 2 4 2" xfId="25732"/>
    <cellStyle name="40% - Énfasis5 8 4 2 2 4 2 2" xfId="42573"/>
    <cellStyle name="40% - Énfasis5 8 4 2 2 4 3" xfId="42572"/>
    <cellStyle name="40% - Énfasis5 8 4 2 2 5" xfId="25733"/>
    <cellStyle name="40% - Énfasis5 8 4 2 2 5 2" xfId="42574"/>
    <cellStyle name="40% - Énfasis5 8 4 2 2 6" xfId="42564"/>
    <cellStyle name="40% - Énfasis5 8 4 2 2_IAS" xfId="25734"/>
    <cellStyle name="40% - Énfasis5 8 4 2 3" xfId="25735"/>
    <cellStyle name="40% - Énfasis5 8 4 2 3 2" xfId="25736"/>
    <cellStyle name="40% - Énfasis5 8 4 2 3 2 2" xfId="25737"/>
    <cellStyle name="40% - Énfasis5 8 4 2 3 2 2 2" xfId="42577"/>
    <cellStyle name="40% - Énfasis5 8 4 2 3 2 3" xfId="42576"/>
    <cellStyle name="40% - Énfasis5 8 4 2 3 3" xfId="25738"/>
    <cellStyle name="40% - Énfasis5 8 4 2 3 3 2" xfId="25739"/>
    <cellStyle name="40% - Énfasis5 8 4 2 3 3 2 2" xfId="42579"/>
    <cellStyle name="40% - Énfasis5 8 4 2 3 3 3" xfId="42578"/>
    <cellStyle name="40% - Énfasis5 8 4 2 3 4" xfId="25740"/>
    <cellStyle name="40% - Énfasis5 8 4 2 3 4 2" xfId="42580"/>
    <cellStyle name="40% - Énfasis5 8 4 2 3 5" xfId="42575"/>
    <cellStyle name="40% - Énfasis5 8 4 2 4" xfId="25741"/>
    <cellStyle name="40% - Énfasis5 8 4 2 4 2" xfId="42581"/>
    <cellStyle name="40% - Énfasis5 8 4 2 5" xfId="25742"/>
    <cellStyle name="40% - Énfasis5 8 4 2 5 2" xfId="25743"/>
    <cellStyle name="40% - Énfasis5 8 4 2 5 2 2" xfId="42583"/>
    <cellStyle name="40% - Énfasis5 8 4 2 5 3" xfId="42582"/>
    <cellStyle name="40% - Énfasis5 8 4 2 6" xfId="25744"/>
    <cellStyle name="40% - Énfasis5 8 4 2 6 2" xfId="42584"/>
    <cellStyle name="40% - Énfasis5 8 4 2 7" xfId="42563"/>
    <cellStyle name="40% - Énfasis5 8 4 2_IAS" xfId="25745"/>
    <cellStyle name="40% - Énfasis5 8 4 3" xfId="25746"/>
    <cellStyle name="40% - Énfasis5 8 4 3 2" xfId="25747"/>
    <cellStyle name="40% - Énfasis5 8 4 3 2 2" xfId="25748"/>
    <cellStyle name="40% - Énfasis5 8 4 3 2 2 2" xfId="25749"/>
    <cellStyle name="40% - Énfasis5 8 4 3 2 2 2 2" xfId="42588"/>
    <cellStyle name="40% - Énfasis5 8 4 3 2 2 3" xfId="42587"/>
    <cellStyle name="40% - Énfasis5 8 4 3 2 3" xfId="25750"/>
    <cellStyle name="40% - Énfasis5 8 4 3 2 3 2" xfId="25751"/>
    <cellStyle name="40% - Énfasis5 8 4 3 2 3 2 2" xfId="42590"/>
    <cellStyle name="40% - Énfasis5 8 4 3 2 3 3" xfId="42589"/>
    <cellStyle name="40% - Énfasis5 8 4 3 2 4" xfId="25752"/>
    <cellStyle name="40% - Énfasis5 8 4 3 2 4 2" xfId="42591"/>
    <cellStyle name="40% - Énfasis5 8 4 3 2 5" xfId="42586"/>
    <cellStyle name="40% - Énfasis5 8 4 3 3" xfId="25753"/>
    <cellStyle name="40% - Énfasis5 8 4 3 3 2" xfId="42592"/>
    <cellStyle name="40% - Énfasis5 8 4 3 4" xfId="25754"/>
    <cellStyle name="40% - Énfasis5 8 4 3 4 2" xfId="25755"/>
    <cellStyle name="40% - Énfasis5 8 4 3 4 2 2" xfId="42594"/>
    <cellStyle name="40% - Énfasis5 8 4 3 4 3" xfId="42593"/>
    <cellStyle name="40% - Énfasis5 8 4 3 5" xfId="25756"/>
    <cellStyle name="40% - Énfasis5 8 4 3 5 2" xfId="42595"/>
    <cellStyle name="40% - Énfasis5 8 4 3 6" xfId="42585"/>
    <cellStyle name="40% - Énfasis5 8 4 3_IAS" xfId="25757"/>
    <cellStyle name="40% - Énfasis5 8 4 4" xfId="25758"/>
    <cellStyle name="40% - Énfasis5 8 4 4 2" xfId="25759"/>
    <cellStyle name="40% - Énfasis5 8 4 4 2 2" xfId="25760"/>
    <cellStyle name="40% - Énfasis5 8 4 4 2 2 2" xfId="42598"/>
    <cellStyle name="40% - Énfasis5 8 4 4 2 3" xfId="42597"/>
    <cellStyle name="40% - Énfasis5 8 4 4 3" xfId="25761"/>
    <cellStyle name="40% - Énfasis5 8 4 4 3 2" xfId="25762"/>
    <cellStyle name="40% - Énfasis5 8 4 4 3 2 2" xfId="42600"/>
    <cellStyle name="40% - Énfasis5 8 4 4 3 3" xfId="42599"/>
    <cellStyle name="40% - Énfasis5 8 4 4 4" xfId="25763"/>
    <cellStyle name="40% - Énfasis5 8 4 4 4 2" xfId="42601"/>
    <cellStyle name="40% - Énfasis5 8 4 4 5" xfId="42596"/>
    <cellStyle name="40% - Énfasis5 8 4 5" xfId="25764"/>
    <cellStyle name="40% - Énfasis5 8 4 5 2" xfId="42602"/>
    <cellStyle name="40% - Énfasis5 8 4 6" xfId="25765"/>
    <cellStyle name="40% - Énfasis5 8 4 6 2" xfId="25766"/>
    <cellStyle name="40% - Énfasis5 8 4 6 2 2" xfId="42604"/>
    <cellStyle name="40% - Énfasis5 8 4 6 3" xfId="42603"/>
    <cellStyle name="40% - Énfasis5 8 4 7" xfId="25767"/>
    <cellStyle name="40% - Énfasis5 8 4 7 2" xfId="42605"/>
    <cellStyle name="40% - Énfasis5 8 4 8" xfId="42562"/>
    <cellStyle name="40% - Énfasis5 8 4_IAS" xfId="25768"/>
    <cellStyle name="40% - Énfasis5 8 5" xfId="25769"/>
    <cellStyle name="40% - Énfasis5 8 5 2" xfId="42606"/>
    <cellStyle name="40% - Énfasis5 8 6" xfId="25770"/>
    <cellStyle name="40% - Énfasis5 8 6 2" xfId="25771"/>
    <cellStyle name="40% - Énfasis5 8 6 2 2" xfId="25772"/>
    <cellStyle name="40% - Énfasis5 8 6 2 2 2" xfId="25773"/>
    <cellStyle name="40% - Énfasis5 8 6 2 2 2 2" xfId="25774"/>
    <cellStyle name="40% - Énfasis5 8 6 2 2 2 2 2" xfId="42611"/>
    <cellStyle name="40% - Énfasis5 8 6 2 2 2 3" xfId="42610"/>
    <cellStyle name="40% - Énfasis5 8 6 2 2 3" xfId="25775"/>
    <cellStyle name="40% - Énfasis5 8 6 2 2 3 2" xfId="25776"/>
    <cellStyle name="40% - Énfasis5 8 6 2 2 3 2 2" xfId="42613"/>
    <cellStyle name="40% - Énfasis5 8 6 2 2 3 3" xfId="42612"/>
    <cellStyle name="40% - Énfasis5 8 6 2 2 4" xfId="25777"/>
    <cellStyle name="40% - Énfasis5 8 6 2 2 4 2" xfId="42614"/>
    <cellStyle name="40% - Énfasis5 8 6 2 2 5" xfId="42609"/>
    <cellStyle name="40% - Énfasis5 8 6 2 3" xfId="25778"/>
    <cellStyle name="40% - Énfasis5 8 6 2 3 2" xfId="42615"/>
    <cellStyle name="40% - Énfasis5 8 6 2 4" xfId="25779"/>
    <cellStyle name="40% - Énfasis5 8 6 2 4 2" xfId="25780"/>
    <cellStyle name="40% - Énfasis5 8 6 2 4 2 2" xfId="42617"/>
    <cellStyle name="40% - Énfasis5 8 6 2 4 3" xfId="42616"/>
    <cellStyle name="40% - Énfasis5 8 6 2 5" xfId="25781"/>
    <cellStyle name="40% - Énfasis5 8 6 2 5 2" xfId="42618"/>
    <cellStyle name="40% - Énfasis5 8 6 2 6" xfId="42608"/>
    <cellStyle name="40% - Énfasis5 8 6 2_IAS" xfId="25782"/>
    <cellStyle name="40% - Énfasis5 8 6 3" xfId="25783"/>
    <cellStyle name="40% - Énfasis5 8 6 3 2" xfId="25784"/>
    <cellStyle name="40% - Énfasis5 8 6 3 2 2" xfId="25785"/>
    <cellStyle name="40% - Énfasis5 8 6 3 2 2 2" xfId="42621"/>
    <cellStyle name="40% - Énfasis5 8 6 3 2 3" xfId="42620"/>
    <cellStyle name="40% - Énfasis5 8 6 3 3" xfId="25786"/>
    <cellStyle name="40% - Énfasis5 8 6 3 3 2" xfId="25787"/>
    <cellStyle name="40% - Énfasis5 8 6 3 3 2 2" xfId="42623"/>
    <cellStyle name="40% - Énfasis5 8 6 3 3 3" xfId="42622"/>
    <cellStyle name="40% - Énfasis5 8 6 3 4" xfId="25788"/>
    <cellStyle name="40% - Énfasis5 8 6 3 4 2" xfId="42624"/>
    <cellStyle name="40% - Énfasis5 8 6 3 5" xfId="42619"/>
    <cellStyle name="40% - Énfasis5 8 6 4" xfId="25789"/>
    <cellStyle name="40% - Énfasis5 8 6 4 2" xfId="42625"/>
    <cellStyle name="40% - Énfasis5 8 6 5" xfId="25790"/>
    <cellStyle name="40% - Énfasis5 8 6 5 2" xfId="25791"/>
    <cellStyle name="40% - Énfasis5 8 6 5 2 2" xfId="42627"/>
    <cellStyle name="40% - Énfasis5 8 6 5 3" xfId="42626"/>
    <cellStyle name="40% - Énfasis5 8 6 6" xfId="25792"/>
    <cellStyle name="40% - Énfasis5 8 6 6 2" xfId="42628"/>
    <cellStyle name="40% - Énfasis5 8 6 7" xfId="42607"/>
    <cellStyle name="40% - Énfasis5 8 6_IAS" xfId="25793"/>
    <cellStyle name="40% - Énfasis5 8 7" xfId="25794"/>
    <cellStyle name="40% - Énfasis5 8 7 2" xfId="25795"/>
    <cellStyle name="40% - Énfasis5 8 7 2 2" xfId="25796"/>
    <cellStyle name="40% - Énfasis5 8 7 2 2 2" xfId="25797"/>
    <cellStyle name="40% - Énfasis5 8 7 2 2 2 2" xfId="42632"/>
    <cellStyle name="40% - Énfasis5 8 7 2 2 3" xfId="42631"/>
    <cellStyle name="40% - Énfasis5 8 7 2 3" xfId="25798"/>
    <cellStyle name="40% - Énfasis5 8 7 2 3 2" xfId="25799"/>
    <cellStyle name="40% - Énfasis5 8 7 2 3 2 2" xfId="42634"/>
    <cellStyle name="40% - Énfasis5 8 7 2 3 3" xfId="42633"/>
    <cellStyle name="40% - Énfasis5 8 7 2 4" xfId="25800"/>
    <cellStyle name="40% - Énfasis5 8 7 2 4 2" xfId="42635"/>
    <cellStyle name="40% - Énfasis5 8 7 2 5" xfId="42630"/>
    <cellStyle name="40% - Énfasis5 8 7 3" xfId="25801"/>
    <cellStyle name="40% - Énfasis5 8 7 3 2" xfId="42636"/>
    <cellStyle name="40% - Énfasis5 8 7 4" xfId="25802"/>
    <cellStyle name="40% - Énfasis5 8 7 4 2" xfId="25803"/>
    <cellStyle name="40% - Énfasis5 8 7 4 2 2" xfId="42638"/>
    <cellStyle name="40% - Énfasis5 8 7 4 3" xfId="42637"/>
    <cellStyle name="40% - Énfasis5 8 7 5" xfId="25804"/>
    <cellStyle name="40% - Énfasis5 8 7 5 2" xfId="42639"/>
    <cellStyle name="40% - Énfasis5 8 7 6" xfId="42629"/>
    <cellStyle name="40% - Énfasis5 8 7_IAS" xfId="25805"/>
    <cellStyle name="40% - Énfasis5 8 8" xfId="25806"/>
    <cellStyle name="40% - Énfasis5 8 8 2" xfId="25807"/>
    <cellStyle name="40% - Énfasis5 8 8 2 2" xfId="25808"/>
    <cellStyle name="40% - Énfasis5 8 8 2 2 2" xfId="42642"/>
    <cellStyle name="40% - Énfasis5 8 8 2 3" xfId="42641"/>
    <cellStyle name="40% - Énfasis5 8 8 3" xfId="25809"/>
    <cellStyle name="40% - Énfasis5 8 8 3 2" xfId="25810"/>
    <cellStyle name="40% - Énfasis5 8 8 3 2 2" xfId="42644"/>
    <cellStyle name="40% - Énfasis5 8 8 3 3" xfId="42643"/>
    <cellStyle name="40% - Énfasis5 8 8 4" xfId="25811"/>
    <cellStyle name="40% - Énfasis5 8 8 4 2" xfId="42645"/>
    <cellStyle name="40% - Énfasis5 8 8 5" xfId="42640"/>
    <cellStyle name="40% - Énfasis5 8 9" xfId="25812"/>
    <cellStyle name="40% - Énfasis5 8 9 2" xfId="25813"/>
    <cellStyle name="40% - Énfasis5 8 9 2 2" xfId="25814"/>
    <cellStyle name="40% - Énfasis5 8 9 2 2 2" xfId="42648"/>
    <cellStyle name="40% - Énfasis5 8 9 2 3" xfId="42647"/>
    <cellStyle name="40% - Énfasis5 8 9 3" xfId="25815"/>
    <cellStyle name="40% - Énfasis5 8 9 3 2" xfId="42649"/>
    <cellStyle name="40% - Énfasis5 8 9 4" xfId="42646"/>
    <cellStyle name="40% - Énfasis5 8_AGF" xfId="25816"/>
    <cellStyle name="40% - Énfasis5 9" xfId="25817"/>
    <cellStyle name="40% - Énfasis5 9 10" xfId="25818"/>
    <cellStyle name="40% - Énfasis5 9 10 2" xfId="25819"/>
    <cellStyle name="40% - Énfasis5 9 10 2 2" xfId="25820"/>
    <cellStyle name="40% - Énfasis5 9 10 2 2 2" xfId="42653"/>
    <cellStyle name="40% - Énfasis5 9 10 2 3" xfId="42652"/>
    <cellStyle name="40% - Énfasis5 9 10 3" xfId="25821"/>
    <cellStyle name="40% - Énfasis5 9 10 3 2" xfId="42654"/>
    <cellStyle name="40% - Énfasis5 9 10 4" xfId="42651"/>
    <cellStyle name="40% - Énfasis5 9 11" xfId="25822"/>
    <cellStyle name="40% - Énfasis5 9 11 2" xfId="25823"/>
    <cellStyle name="40% - Énfasis5 9 11 2 2" xfId="42656"/>
    <cellStyle name="40% - Énfasis5 9 11 3" xfId="42655"/>
    <cellStyle name="40% - Énfasis5 9 12" xfId="25824"/>
    <cellStyle name="40% - Énfasis5 9 12 2" xfId="25825"/>
    <cellStyle name="40% - Énfasis5 9 12 2 2" xfId="42658"/>
    <cellStyle name="40% - Énfasis5 9 12 3" xfId="42657"/>
    <cellStyle name="40% - Énfasis5 9 13" xfId="25826"/>
    <cellStyle name="40% - Énfasis5 9 13 2" xfId="42659"/>
    <cellStyle name="40% - Énfasis5 9 14" xfId="25827"/>
    <cellStyle name="40% - Énfasis5 9 14 2" xfId="42660"/>
    <cellStyle name="40% - Énfasis5 9 15" xfId="42650"/>
    <cellStyle name="40% - Énfasis5 9 2" xfId="25828"/>
    <cellStyle name="40% - Énfasis5 9 2 2" xfId="25829"/>
    <cellStyle name="40% - Énfasis5 9 2 2 2" xfId="25830"/>
    <cellStyle name="40% - Énfasis5 9 2 2 2 2" xfId="25831"/>
    <cellStyle name="40% - Énfasis5 9 2 2 2 2 2" xfId="25832"/>
    <cellStyle name="40% - Énfasis5 9 2 2 2 2 2 2" xfId="25833"/>
    <cellStyle name="40% - Énfasis5 9 2 2 2 2 2 2 2" xfId="42666"/>
    <cellStyle name="40% - Énfasis5 9 2 2 2 2 2 3" xfId="42665"/>
    <cellStyle name="40% - Énfasis5 9 2 2 2 2 3" xfId="25834"/>
    <cellStyle name="40% - Énfasis5 9 2 2 2 2 3 2" xfId="25835"/>
    <cellStyle name="40% - Énfasis5 9 2 2 2 2 3 2 2" xfId="42668"/>
    <cellStyle name="40% - Énfasis5 9 2 2 2 2 3 3" xfId="42667"/>
    <cellStyle name="40% - Énfasis5 9 2 2 2 2 4" xfId="25836"/>
    <cellStyle name="40% - Énfasis5 9 2 2 2 2 4 2" xfId="42669"/>
    <cellStyle name="40% - Énfasis5 9 2 2 2 2 5" xfId="42664"/>
    <cellStyle name="40% - Énfasis5 9 2 2 2 3" xfId="25837"/>
    <cellStyle name="40% - Énfasis5 9 2 2 2 3 2" xfId="42670"/>
    <cellStyle name="40% - Énfasis5 9 2 2 2 4" xfId="25838"/>
    <cellStyle name="40% - Énfasis5 9 2 2 2 4 2" xfId="25839"/>
    <cellStyle name="40% - Énfasis5 9 2 2 2 4 2 2" xfId="42672"/>
    <cellStyle name="40% - Énfasis5 9 2 2 2 4 3" xfId="42671"/>
    <cellStyle name="40% - Énfasis5 9 2 2 2 5" xfId="25840"/>
    <cellStyle name="40% - Énfasis5 9 2 2 2 5 2" xfId="42673"/>
    <cellStyle name="40% - Énfasis5 9 2 2 2 6" xfId="42663"/>
    <cellStyle name="40% - Énfasis5 9 2 2 2_IAS" xfId="25841"/>
    <cellStyle name="40% - Énfasis5 9 2 2 3" xfId="25842"/>
    <cellStyle name="40% - Énfasis5 9 2 2 3 2" xfId="25843"/>
    <cellStyle name="40% - Énfasis5 9 2 2 3 2 2" xfId="25844"/>
    <cellStyle name="40% - Énfasis5 9 2 2 3 2 2 2" xfId="42676"/>
    <cellStyle name="40% - Énfasis5 9 2 2 3 2 3" xfId="42675"/>
    <cellStyle name="40% - Énfasis5 9 2 2 3 3" xfId="25845"/>
    <cellStyle name="40% - Énfasis5 9 2 2 3 3 2" xfId="25846"/>
    <cellStyle name="40% - Énfasis5 9 2 2 3 3 2 2" xfId="42678"/>
    <cellStyle name="40% - Énfasis5 9 2 2 3 3 3" xfId="42677"/>
    <cellStyle name="40% - Énfasis5 9 2 2 3 4" xfId="25847"/>
    <cellStyle name="40% - Énfasis5 9 2 2 3 4 2" xfId="42679"/>
    <cellStyle name="40% - Énfasis5 9 2 2 3 5" xfId="42674"/>
    <cellStyle name="40% - Énfasis5 9 2 2 4" xfId="25848"/>
    <cellStyle name="40% - Énfasis5 9 2 2 4 2" xfId="42680"/>
    <cellStyle name="40% - Énfasis5 9 2 2 5" xfId="25849"/>
    <cellStyle name="40% - Énfasis5 9 2 2 5 2" xfId="25850"/>
    <cellStyle name="40% - Énfasis5 9 2 2 5 2 2" xfId="42682"/>
    <cellStyle name="40% - Énfasis5 9 2 2 5 3" xfId="42681"/>
    <cellStyle name="40% - Énfasis5 9 2 2 6" xfId="25851"/>
    <cellStyle name="40% - Énfasis5 9 2 2 6 2" xfId="42683"/>
    <cellStyle name="40% - Énfasis5 9 2 2 7" xfId="42662"/>
    <cellStyle name="40% - Énfasis5 9 2 2_IAS" xfId="25852"/>
    <cellStyle name="40% - Énfasis5 9 2 3" xfId="25853"/>
    <cellStyle name="40% - Énfasis5 9 2 3 2" xfId="25854"/>
    <cellStyle name="40% - Énfasis5 9 2 3 2 2" xfId="25855"/>
    <cellStyle name="40% - Énfasis5 9 2 3 2 2 2" xfId="25856"/>
    <cellStyle name="40% - Énfasis5 9 2 3 2 2 2 2" xfId="42687"/>
    <cellStyle name="40% - Énfasis5 9 2 3 2 2 3" xfId="42686"/>
    <cellStyle name="40% - Énfasis5 9 2 3 2 3" xfId="25857"/>
    <cellStyle name="40% - Énfasis5 9 2 3 2 3 2" xfId="25858"/>
    <cellStyle name="40% - Énfasis5 9 2 3 2 3 2 2" xfId="42689"/>
    <cellStyle name="40% - Énfasis5 9 2 3 2 3 3" xfId="42688"/>
    <cellStyle name="40% - Énfasis5 9 2 3 2 4" xfId="25859"/>
    <cellStyle name="40% - Énfasis5 9 2 3 2 4 2" xfId="42690"/>
    <cellStyle name="40% - Énfasis5 9 2 3 2 5" xfId="42685"/>
    <cellStyle name="40% - Énfasis5 9 2 3 3" xfId="25860"/>
    <cellStyle name="40% - Énfasis5 9 2 3 3 2" xfId="42691"/>
    <cellStyle name="40% - Énfasis5 9 2 3 4" xfId="25861"/>
    <cellStyle name="40% - Énfasis5 9 2 3 4 2" xfId="25862"/>
    <cellStyle name="40% - Énfasis5 9 2 3 4 2 2" xfId="42693"/>
    <cellStyle name="40% - Énfasis5 9 2 3 4 3" xfId="42692"/>
    <cellStyle name="40% - Énfasis5 9 2 3 5" xfId="25863"/>
    <cellStyle name="40% - Énfasis5 9 2 3 5 2" xfId="42694"/>
    <cellStyle name="40% - Énfasis5 9 2 3 6" xfId="42684"/>
    <cellStyle name="40% - Énfasis5 9 2 3_IAS" xfId="25864"/>
    <cellStyle name="40% - Énfasis5 9 2 4" xfId="25865"/>
    <cellStyle name="40% - Énfasis5 9 2 4 2" xfId="25866"/>
    <cellStyle name="40% - Énfasis5 9 2 4 2 2" xfId="25867"/>
    <cellStyle name="40% - Énfasis5 9 2 4 2 2 2" xfId="42697"/>
    <cellStyle name="40% - Énfasis5 9 2 4 2 3" xfId="42696"/>
    <cellStyle name="40% - Énfasis5 9 2 4 3" xfId="25868"/>
    <cellStyle name="40% - Énfasis5 9 2 4 3 2" xfId="25869"/>
    <cellStyle name="40% - Énfasis5 9 2 4 3 2 2" xfId="42699"/>
    <cellStyle name="40% - Énfasis5 9 2 4 3 3" xfId="42698"/>
    <cellStyle name="40% - Énfasis5 9 2 4 4" xfId="25870"/>
    <cellStyle name="40% - Énfasis5 9 2 4 4 2" xfId="42700"/>
    <cellStyle name="40% - Énfasis5 9 2 4 5" xfId="42695"/>
    <cellStyle name="40% - Énfasis5 9 2 5" xfId="25871"/>
    <cellStyle name="40% - Énfasis5 9 2 5 2" xfId="42701"/>
    <cellStyle name="40% - Énfasis5 9 2 6" xfId="25872"/>
    <cellStyle name="40% - Énfasis5 9 2 6 2" xfId="25873"/>
    <cellStyle name="40% - Énfasis5 9 2 6 2 2" xfId="42703"/>
    <cellStyle name="40% - Énfasis5 9 2 6 3" xfId="42702"/>
    <cellStyle name="40% - Énfasis5 9 2 7" xfId="25874"/>
    <cellStyle name="40% - Énfasis5 9 2 7 2" xfId="42704"/>
    <cellStyle name="40% - Énfasis5 9 2 8" xfId="42661"/>
    <cellStyle name="40% - Énfasis5 9 2_IAS" xfId="25875"/>
    <cellStyle name="40% - Énfasis5 9 3" xfId="25876"/>
    <cellStyle name="40% - Énfasis5 9 3 2" xfId="25877"/>
    <cellStyle name="40% - Énfasis5 9 3 2 2" xfId="25878"/>
    <cellStyle name="40% - Énfasis5 9 3 2 2 2" xfId="25879"/>
    <cellStyle name="40% - Énfasis5 9 3 2 2 2 2" xfId="25880"/>
    <cellStyle name="40% - Énfasis5 9 3 2 2 2 2 2" xfId="25881"/>
    <cellStyle name="40% - Énfasis5 9 3 2 2 2 2 2 2" xfId="42710"/>
    <cellStyle name="40% - Énfasis5 9 3 2 2 2 2 3" xfId="42709"/>
    <cellStyle name="40% - Énfasis5 9 3 2 2 2 3" xfId="25882"/>
    <cellStyle name="40% - Énfasis5 9 3 2 2 2 3 2" xfId="25883"/>
    <cellStyle name="40% - Énfasis5 9 3 2 2 2 3 2 2" xfId="42712"/>
    <cellStyle name="40% - Énfasis5 9 3 2 2 2 3 3" xfId="42711"/>
    <cellStyle name="40% - Énfasis5 9 3 2 2 2 4" xfId="25884"/>
    <cellStyle name="40% - Énfasis5 9 3 2 2 2 4 2" xfId="42713"/>
    <cellStyle name="40% - Énfasis5 9 3 2 2 2 5" xfId="42708"/>
    <cellStyle name="40% - Énfasis5 9 3 2 2 3" xfId="25885"/>
    <cellStyle name="40% - Énfasis5 9 3 2 2 3 2" xfId="42714"/>
    <cellStyle name="40% - Énfasis5 9 3 2 2 4" xfId="25886"/>
    <cellStyle name="40% - Énfasis5 9 3 2 2 4 2" xfId="25887"/>
    <cellStyle name="40% - Énfasis5 9 3 2 2 4 2 2" xfId="42716"/>
    <cellStyle name="40% - Énfasis5 9 3 2 2 4 3" xfId="42715"/>
    <cellStyle name="40% - Énfasis5 9 3 2 2 5" xfId="25888"/>
    <cellStyle name="40% - Énfasis5 9 3 2 2 5 2" xfId="42717"/>
    <cellStyle name="40% - Énfasis5 9 3 2 2 6" xfId="42707"/>
    <cellStyle name="40% - Énfasis5 9 3 2 2_IAS" xfId="25889"/>
    <cellStyle name="40% - Énfasis5 9 3 2 3" xfId="25890"/>
    <cellStyle name="40% - Énfasis5 9 3 2 3 2" xfId="25891"/>
    <cellStyle name="40% - Énfasis5 9 3 2 3 2 2" xfId="25892"/>
    <cellStyle name="40% - Énfasis5 9 3 2 3 2 2 2" xfId="42720"/>
    <cellStyle name="40% - Énfasis5 9 3 2 3 2 3" xfId="42719"/>
    <cellStyle name="40% - Énfasis5 9 3 2 3 3" xfId="25893"/>
    <cellStyle name="40% - Énfasis5 9 3 2 3 3 2" xfId="25894"/>
    <cellStyle name="40% - Énfasis5 9 3 2 3 3 2 2" xfId="42722"/>
    <cellStyle name="40% - Énfasis5 9 3 2 3 3 3" xfId="42721"/>
    <cellStyle name="40% - Énfasis5 9 3 2 3 4" xfId="25895"/>
    <cellStyle name="40% - Énfasis5 9 3 2 3 4 2" xfId="42723"/>
    <cellStyle name="40% - Énfasis5 9 3 2 3 5" xfId="42718"/>
    <cellStyle name="40% - Énfasis5 9 3 2 4" xfId="25896"/>
    <cellStyle name="40% - Énfasis5 9 3 2 4 2" xfId="42724"/>
    <cellStyle name="40% - Énfasis5 9 3 2 5" xfId="25897"/>
    <cellStyle name="40% - Énfasis5 9 3 2 5 2" xfId="25898"/>
    <cellStyle name="40% - Énfasis5 9 3 2 5 2 2" xfId="42726"/>
    <cellStyle name="40% - Énfasis5 9 3 2 5 3" xfId="42725"/>
    <cellStyle name="40% - Énfasis5 9 3 2 6" xfId="25899"/>
    <cellStyle name="40% - Énfasis5 9 3 2 6 2" xfId="42727"/>
    <cellStyle name="40% - Énfasis5 9 3 2 7" xfId="42706"/>
    <cellStyle name="40% - Énfasis5 9 3 2_IAS" xfId="25900"/>
    <cellStyle name="40% - Énfasis5 9 3 3" xfId="25901"/>
    <cellStyle name="40% - Énfasis5 9 3 3 2" xfId="25902"/>
    <cellStyle name="40% - Énfasis5 9 3 3 2 2" xfId="25903"/>
    <cellStyle name="40% - Énfasis5 9 3 3 2 2 2" xfId="25904"/>
    <cellStyle name="40% - Énfasis5 9 3 3 2 2 2 2" xfId="42731"/>
    <cellStyle name="40% - Énfasis5 9 3 3 2 2 3" xfId="42730"/>
    <cellStyle name="40% - Énfasis5 9 3 3 2 3" xfId="25905"/>
    <cellStyle name="40% - Énfasis5 9 3 3 2 3 2" xfId="25906"/>
    <cellStyle name="40% - Énfasis5 9 3 3 2 3 2 2" xfId="42733"/>
    <cellStyle name="40% - Énfasis5 9 3 3 2 3 3" xfId="42732"/>
    <cellStyle name="40% - Énfasis5 9 3 3 2 4" xfId="25907"/>
    <cellStyle name="40% - Énfasis5 9 3 3 2 4 2" xfId="42734"/>
    <cellStyle name="40% - Énfasis5 9 3 3 2 5" xfId="42729"/>
    <cellStyle name="40% - Énfasis5 9 3 3 3" xfId="25908"/>
    <cellStyle name="40% - Énfasis5 9 3 3 3 2" xfId="42735"/>
    <cellStyle name="40% - Énfasis5 9 3 3 4" xfId="25909"/>
    <cellStyle name="40% - Énfasis5 9 3 3 4 2" xfId="25910"/>
    <cellStyle name="40% - Énfasis5 9 3 3 4 2 2" xfId="42737"/>
    <cellStyle name="40% - Énfasis5 9 3 3 4 3" xfId="42736"/>
    <cellStyle name="40% - Énfasis5 9 3 3 5" xfId="25911"/>
    <cellStyle name="40% - Énfasis5 9 3 3 5 2" xfId="42738"/>
    <cellStyle name="40% - Énfasis5 9 3 3 6" xfId="42728"/>
    <cellStyle name="40% - Énfasis5 9 3 3_IAS" xfId="25912"/>
    <cellStyle name="40% - Énfasis5 9 3 4" xfId="25913"/>
    <cellStyle name="40% - Énfasis5 9 3 4 2" xfId="25914"/>
    <cellStyle name="40% - Énfasis5 9 3 4 2 2" xfId="25915"/>
    <cellStyle name="40% - Énfasis5 9 3 4 2 2 2" xfId="42741"/>
    <cellStyle name="40% - Énfasis5 9 3 4 2 3" xfId="42740"/>
    <cellStyle name="40% - Énfasis5 9 3 4 3" xfId="25916"/>
    <cellStyle name="40% - Énfasis5 9 3 4 3 2" xfId="25917"/>
    <cellStyle name="40% - Énfasis5 9 3 4 3 2 2" xfId="42743"/>
    <cellStyle name="40% - Énfasis5 9 3 4 3 3" xfId="42742"/>
    <cellStyle name="40% - Énfasis5 9 3 4 4" xfId="25918"/>
    <cellStyle name="40% - Énfasis5 9 3 4 4 2" xfId="42744"/>
    <cellStyle name="40% - Énfasis5 9 3 4 5" xfId="42739"/>
    <cellStyle name="40% - Énfasis5 9 3 5" xfId="25919"/>
    <cellStyle name="40% - Énfasis5 9 3 5 2" xfId="42745"/>
    <cellStyle name="40% - Énfasis5 9 3 6" xfId="25920"/>
    <cellStyle name="40% - Énfasis5 9 3 6 2" xfId="25921"/>
    <cellStyle name="40% - Énfasis5 9 3 6 2 2" xfId="42747"/>
    <cellStyle name="40% - Énfasis5 9 3 6 3" xfId="42746"/>
    <cellStyle name="40% - Énfasis5 9 3 7" xfId="25922"/>
    <cellStyle name="40% - Énfasis5 9 3 7 2" xfId="42748"/>
    <cellStyle name="40% - Énfasis5 9 3 8" xfId="42705"/>
    <cellStyle name="40% - Énfasis5 9 3_IAS" xfId="25923"/>
    <cellStyle name="40% - Énfasis5 9 4" xfId="25924"/>
    <cellStyle name="40% - Énfasis5 9 4 2" xfId="42749"/>
    <cellStyle name="40% - Énfasis5 9 5" xfId="25925"/>
    <cellStyle name="40% - Énfasis5 9 5 2" xfId="25926"/>
    <cellStyle name="40% - Énfasis5 9 5 2 2" xfId="25927"/>
    <cellStyle name="40% - Énfasis5 9 5 2 2 2" xfId="25928"/>
    <cellStyle name="40% - Énfasis5 9 5 2 2 2 2" xfId="25929"/>
    <cellStyle name="40% - Énfasis5 9 5 2 2 2 2 2" xfId="42754"/>
    <cellStyle name="40% - Énfasis5 9 5 2 2 2 3" xfId="42753"/>
    <cellStyle name="40% - Énfasis5 9 5 2 2 3" xfId="25930"/>
    <cellStyle name="40% - Énfasis5 9 5 2 2 3 2" xfId="25931"/>
    <cellStyle name="40% - Énfasis5 9 5 2 2 3 2 2" xfId="42756"/>
    <cellStyle name="40% - Énfasis5 9 5 2 2 3 3" xfId="42755"/>
    <cellStyle name="40% - Énfasis5 9 5 2 2 4" xfId="25932"/>
    <cellStyle name="40% - Énfasis5 9 5 2 2 4 2" xfId="42757"/>
    <cellStyle name="40% - Énfasis5 9 5 2 2 5" xfId="42752"/>
    <cellStyle name="40% - Énfasis5 9 5 2 3" xfId="25933"/>
    <cellStyle name="40% - Énfasis5 9 5 2 3 2" xfId="42758"/>
    <cellStyle name="40% - Énfasis5 9 5 2 4" xfId="25934"/>
    <cellStyle name="40% - Énfasis5 9 5 2 4 2" xfId="25935"/>
    <cellStyle name="40% - Énfasis5 9 5 2 4 2 2" xfId="42760"/>
    <cellStyle name="40% - Énfasis5 9 5 2 4 3" xfId="42759"/>
    <cellStyle name="40% - Énfasis5 9 5 2 5" xfId="25936"/>
    <cellStyle name="40% - Énfasis5 9 5 2 5 2" xfId="42761"/>
    <cellStyle name="40% - Énfasis5 9 5 2 6" xfId="42751"/>
    <cellStyle name="40% - Énfasis5 9 5 2_IAS" xfId="25937"/>
    <cellStyle name="40% - Énfasis5 9 5 3" xfId="25938"/>
    <cellStyle name="40% - Énfasis5 9 5 3 2" xfId="25939"/>
    <cellStyle name="40% - Énfasis5 9 5 3 2 2" xfId="25940"/>
    <cellStyle name="40% - Énfasis5 9 5 3 2 2 2" xfId="42764"/>
    <cellStyle name="40% - Énfasis5 9 5 3 2 3" xfId="42763"/>
    <cellStyle name="40% - Énfasis5 9 5 3 3" xfId="25941"/>
    <cellStyle name="40% - Énfasis5 9 5 3 3 2" xfId="25942"/>
    <cellStyle name="40% - Énfasis5 9 5 3 3 2 2" xfId="42766"/>
    <cellStyle name="40% - Énfasis5 9 5 3 3 3" xfId="42765"/>
    <cellStyle name="40% - Énfasis5 9 5 3 4" xfId="25943"/>
    <cellStyle name="40% - Énfasis5 9 5 3 4 2" xfId="42767"/>
    <cellStyle name="40% - Énfasis5 9 5 3 5" xfId="42762"/>
    <cellStyle name="40% - Énfasis5 9 5 4" xfId="25944"/>
    <cellStyle name="40% - Énfasis5 9 5 4 2" xfId="42768"/>
    <cellStyle name="40% - Énfasis5 9 5 5" xfId="25945"/>
    <cellStyle name="40% - Énfasis5 9 5 5 2" xfId="25946"/>
    <cellStyle name="40% - Énfasis5 9 5 5 2 2" xfId="42770"/>
    <cellStyle name="40% - Énfasis5 9 5 5 3" xfId="42769"/>
    <cellStyle name="40% - Énfasis5 9 5 6" xfId="25947"/>
    <cellStyle name="40% - Énfasis5 9 5 6 2" xfId="42771"/>
    <cellStyle name="40% - Énfasis5 9 5 7" xfId="42750"/>
    <cellStyle name="40% - Énfasis5 9 5_IAS" xfId="25948"/>
    <cellStyle name="40% - Énfasis5 9 6" xfId="25949"/>
    <cellStyle name="40% - Énfasis5 9 6 2" xfId="25950"/>
    <cellStyle name="40% - Énfasis5 9 6 2 2" xfId="25951"/>
    <cellStyle name="40% - Énfasis5 9 6 2 2 2" xfId="25952"/>
    <cellStyle name="40% - Énfasis5 9 6 2 2 2 2" xfId="42775"/>
    <cellStyle name="40% - Énfasis5 9 6 2 2 3" xfId="42774"/>
    <cellStyle name="40% - Énfasis5 9 6 2 3" xfId="25953"/>
    <cellStyle name="40% - Énfasis5 9 6 2 3 2" xfId="25954"/>
    <cellStyle name="40% - Énfasis5 9 6 2 3 2 2" xfId="42777"/>
    <cellStyle name="40% - Énfasis5 9 6 2 3 3" xfId="42776"/>
    <cellStyle name="40% - Énfasis5 9 6 2 4" xfId="25955"/>
    <cellStyle name="40% - Énfasis5 9 6 2 4 2" xfId="42778"/>
    <cellStyle name="40% - Énfasis5 9 6 2 5" xfId="42773"/>
    <cellStyle name="40% - Énfasis5 9 6 3" xfId="25956"/>
    <cellStyle name="40% - Énfasis5 9 6 3 2" xfId="42779"/>
    <cellStyle name="40% - Énfasis5 9 6 4" xfId="25957"/>
    <cellStyle name="40% - Énfasis5 9 6 4 2" xfId="25958"/>
    <cellStyle name="40% - Énfasis5 9 6 4 2 2" xfId="42781"/>
    <cellStyle name="40% - Énfasis5 9 6 4 3" xfId="42780"/>
    <cellStyle name="40% - Énfasis5 9 6 5" xfId="25959"/>
    <cellStyle name="40% - Énfasis5 9 6 5 2" xfId="42782"/>
    <cellStyle name="40% - Énfasis5 9 6 6" xfId="42772"/>
    <cellStyle name="40% - Énfasis5 9 6_IAS" xfId="25960"/>
    <cellStyle name="40% - Énfasis5 9 7" xfId="25961"/>
    <cellStyle name="40% - Énfasis5 9 7 2" xfId="25962"/>
    <cellStyle name="40% - Énfasis5 9 7 2 2" xfId="25963"/>
    <cellStyle name="40% - Énfasis5 9 7 2 2 2" xfId="42785"/>
    <cellStyle name="40% - Énfasis5 9 7 2 3" xfId="42784"/>
    <cellStyle name="40% - Énfasis5 9 7 3" xfId="25964"/>
    <cellStyle name="40% - Énfasis5 9 7 3 2" xfId="25965"/>
    <cellStyle name="40% - Énfasis5 9 7 3 2 2" xfId="42787"/>
    <cellStyle name="40% - Énfasis5 9 7 3 3" xfId="42786"/>
    <cellStyle name="40% - Énfasis5 9 7 4" xfId="25966"/>
    <cellStyle name="40% - Énfasis5 9 7 4 2" xfId="42788"/>
    <cellStyle name="40% - Énfasis5 9 7 5" xfId="42783"/>
    <cellStyle name="40% - Énfasis5 9 8" xfId="25967"/>
    <cellStyle name="40% - Énfasis5 9 8 2" xfId="25968"/>
    <cellStyle name="40% - Énfasis5 9 8 2 2" xfId="25969"/>
    <cellStyle name="40% - Énfasis5 9 8 2 2 2" xfId="42791"/>
    <cellStyle name="40% - Énfasis5 9 8 2 3" xfId="42790"/>
    <cellStyle name="40% - Énfasis5 9 8 3" xfId="25970"/>
    <cellStyle name="40% - Énfasis5 9 8 3 2" xfId="42792"/>
    <cellStyle name="40% - Énfasis5 9 8 4" xfId="42789"/>
    <cellStyle name="40% - Énfasis5 9 9" xfId="25971"/>
    <cellStyle name="40% - Énfasis5 9 9 2" xfId="25972"/>
    <cellStyle name="40% - Énfasis5 9 9 2 2" xfId="25973"/>
    <cellStyle name="40% - Énfasis5 9 9 2 2 2" xfId="42795"/>
    <cellStyle name="40% - Énfasis5 9 9 2 3" xfId="42794"/>
    <cellStyle name="40% - Énfasis5 9 9 3" xfId="25974"/>
    <cellStyle name="40% - Énfasis5 9 9 3 2" xfId="42796"/>
    <cellStyle name="40% - Énfasis5 9 9 4" xfId="42793"/>
    <cellStyle name="40% - Énfasis5 9_IAS" xfId="25975"/>
    <cellStyle name="40% - Énfasis6 10" xfId="25977"/>
    <cellStyle name="40% - Énfasis6 10 2" xfId="25978"/>
    <cellStyle name="40% - Énfasis6 10 2 2" xfId="25979"/>
    <cellStyle name="40% - Énfasis6 10 2 2 2" xfId="25980"/>
    <cellStyle name="40% - Énfasis6 10 2 2 2 2" xfId="42800"/>
    <cellStyle name="40% - Énfasis6 10 2 2 3" xfId="42799"/>
    <cellStyle name="40% - Énfasis6 10 2 3" xfId="25981"/>
    <cellStyle name="40% - Énfasis6 10 2 3 2" xfId="25982"/>
    <cellStyle name="40% - Énfasis6 10 2 3 2 2" xfId="42802"/>
    <cellStyle name="40% - Énfasis6 10 2 3 3" xfId="42801"/>
    <cellStyle name="40% - Énfasis6 10 2 4" xfId="25983"/>
    <cellStyle name="40% - Énfasis6 10 2 4 2" xfId="42803"/>
    <cellStyle name="40% - Énfasis6 10 2 5" xfId="42798"/>
    <cellStyle name="40% - Énfasis6 10 3" xfId="25984"/>
    <cellStyle name="40% - Énfasis6 10 3 2" xfId="42804"/>
    <cellStyle name="40% - Énfasis6 10 4" xfId="25985"/>
    <cellStyle name="40% - Énfasis6 10 4 2" xfId="25986"/>
    <cellStyle name="40% - Énfasis6 10 4 2 2" xfId="42806"/>
    <cellStyle name="40% - Énfasis6 10 4 3" xfId="42805"/>
    <cellStyle name="40% - Énfasis6 10 5" xfId="25987"/>
    <cellStyle name="40% - Énfasis6 10 5 2" xfId="42807"/>
    <cellStyle name="40% - Énfasis6 10 6" xfId="42797"/>
    <cellStyle name="40% - Énfasis6 10_IAS" xfId="25988"/>
    <cellStyle name="40% - Énfasis6 11" xfId="25989"/>
    <cellStyle name="40% - Énfasis6 11 2" xfId="25990"/>
    <cellStyle name="40% - Énfasis6 11 2 2" xfId="25991"/>
    <cellStyle name="40% - Énfasis6 11 2 2 2" xfId="42810"/>
    <cellStyle name="40% - Énfasis6 11 2 3" xfId="42809"/>
    <cellStyle name="40% - Énfasis6 11 3" xfId="25992"/>
    <cellStyle name="40% - Énfasis6 11 3 2" xfId="25993"/>
    <cellStyle name="40% - Énfasis6 11 3 2 2" xfId="42812"/>
    <cellStyle name="40% - Énfasis6 11 3 3" xfId="42811"/>
    <cellStyle name="40% - Énfasis6 11 4" xfId="25994"/>
    <cellStyle name="40% - Énfasis6 11 4 2" xfId="42813"/>
    <cellStyle name="40% - Énfasis6 11 5" xfId="42808"/>
    <cellStyle name="40% - Énfasis6 11_IAS" xfId="25995"/>
    <cellStyle name="40% - Énfasis6 12" xfId="25996"/>
    <cellStyle name="40% - Énfasis6 12 2" xfId="25997"/>
    <cellStyle name="40% - Énfasis6 12 2 2" xfId="42815"/>
    <cellStyle name="40% - Énfasis6 12 3" xfId="42814"/>
    <cellStyle name="40% - Énfasis6 13" xfId="25998"/>
    <cellStyle name="40% - Énfasis6 13 2" xfId="25999"/>
    <cellStyle name="40% - Énfasis6 13 2 2" xfId="42817"/>
    <cellStyle name="40% - Énfasis6 13 3" xfId="42816"/>
    <cellStyle name="40% - Énfasis6 14" xfId="26000"/>
    <cellStyle name="40% - Énfasis6 14 2" xfId="26001"/>
    <cellStyle name="40% - Énfasis6 14 2 2" xfId="42819"/>
    <cellStyle name="40% - Énfasis6 14 3" xfId="42818"/>
    <cellStyle name="40% - Énfasis6 15" xfId="26002"/>
    <cellStyle name="40% - Énfasis6 15 2" xfId="42820"/>
    <cellStyle name="40% - Énfasis6 16" xfId="25976"/>
    <cellStyle name="40% - Énfasis6 17" xfId="19911"/>
    <cellStyle name="40% - Énfasis6 2" xfId="375"/>
    <cellStyle name="40% - Énfasis6 2 10" xfId="12997"/>
    <cellStyle name="40% - Énfasis6 2 11" xfId="26003"/>
    <cellStyle name="40% - Énfasis6 2 2" xfId="376"/>
    <cellStyle name="40% - Énfasis6 2 2 10" xfId="26004"/>
    <cellStyle name="40% - Énfasis6 2 2 2" xfId="377"/>
    <cellStyle name="40% - Énfasis6 2 2 2 2" xfId="378"/>
    <cellStyle name="40% - Énfasis6 2 2 2 2 2" xfId="379"/>
    <cellStyle name="40% - Énfasis6 2 2 2 2 2 2" xfId="2271"/>
    <cellStyle name="40% - Énfasis6 2 2 2 2 2 2 2" xfId="5396"/>
    <cellStyle name="40% - Énfasis6 2 2 2 2 2 2 2 2" xfId="11599"/>
    <cellStyle name="40% - Énfasis6 2 2 2 2 2 2 2 3" xfId="17801"/>
    <cellStyle name="40% - Énfasis6 2 2 2 2 2 2 2 4" xfId="56632"/>
    <cellStyle name="40% - Énfasis6 2 2 2 2 2 2 3" xfId="8499"/>
    <cellStyle name="40% - Énfasis6 2 2 2 2 2 2 4" xfId="14701"/>
    <cellStyle name="40% - Énfasis6 2 2 2 2 2 2 5" xfId="53736"/>
    <cellStyle name="40% - Énfasis6 2 2 2 2 2 3" xfId="2644"/>
    <cellStyle name="40% - Énfasis6 2 2 2 2 2 3 2" xfId="5768"/>
    <cellStyle name="40% - Énfasis6 2 2 2 2 2 3 2 2" xfId="11971"/>
    <cellStyle name="40% - Énfasis6 2 2 2 2 2 3 2 3" xfId="18173"/>
    <cellStyle name="40% - Énfasis6 2 2 2 2 2 3 2 4" xfId="57001"/>
    <cellStyle name="40% - Énfasis6 2 2 2 2 2 3 3" xfId="8871"/>
    <cellStyle name="40% - Énfasis6 2 2 2 2 2 3 4" xfId="15073"/>
    <cellStyle name="40% - Énfasis6 2 2 2 2 2 3 5" xfId="54106"/>
    <cellStyle name="40% - Énfasis6 2 2 2 2 2 4" xfId="3696"/>
    <cellStyle name="40% - Énfasis6 2 2 2 2 2 4 2" xfId="9900"/>
    <cellStyle name="40% - Énfasis6 2 2 2 2 2 4 3" xfId="16102"/>
    <cellStyle name="40% - Énfasis6 2 2 2 2 2 4 4" xfId="55073"/>
    <cellStyle name="40% - Énfasis6 2 2 2 2 2 5" xfId="6799"/>
    <cellStyle name="40% - Énfasis6 2 2 2 2 2 5 2" xfId="19872"/>
    <cellStyle name="40% - Énfasis6 2 2 2 2 2 6" xfId="13001"/>
    <cellStyle name="40% - Énfasis6 2 2 2 2 2 7" xfId="52374"/>
    <cellStyle name="40% - Énfasis6 2 2 2 2 3" xfId="1747"/>
    <cellStyle name="40% - Énfasis6 2 2 2 2 3 2" xfId="4872"/>
    <cellStyle name="40% - Énfasis6 2 2 2 2 3 2 2" xfId="11075"/>
    <cellStyle name="40% - Énfasis6 2 2 2 2 3 2 3" xfId="17277"/>
    <cellStyle name="40% - Énfasis6 2 2 2 2 3 2 4" xfId="56143"/>
    <cellStyle name="40% - Énfasis6 2 2 2 2 3 3" xfId="7975"/>
    <cellStyle name="40% - Énfasis6 2 2 2 2 3 4" xfId="14177"/>
    <cellStyle name="40% - Énfasis6 2 2 2 2 3 5" xfId="53251"/>
    <cellStyle name="40% - Énfasis6 2 2 2 2 4" xfId="2643"/>
    <cellStyle name="40% - Énfasis6 2 2 2 2 4 2" xfId="5767"/>
    <cellStyle name="40% - Énfasis6 2 2 2 2 4 2 2" xfId="11970"/>
    <cellStyle name="40% - Énfasis6 2 2 2 2 4 2 3" xfId="18172"/>
    <cellStyle name="40% - Énfasis6 2 2 2 2 4 2 4" xfId="57000"/>
    <cellStyle name="40% - Énfasis6 2 2 2 2 4 3" xfId="8870"/>
    <cellStyle name="40% - Énfasis6 2 2 2 2 4 4" xfId="15072"/>
    <cellStyle name="40% - Énfasis6 2 2 2 2 4 5" xfId="54105"/>
    <cellStyle name="40% - Énfasis6 2 2 2 2 5" xfId="3695"/>
    <cellStyle name="40% - Énfasis6 2 2 2 2 5 2" xfId="9899"/>
    <cellStyle name="40% - Énfasis6 2 2 2 2 5 3" xfId="16101"/>
    <cellStyle name="40% - Énfasis6 2 2 2 2 5 4" xfId="55072"/>
    <cellStyle name="40% - Énfasis6 2 2 2 2 6" xfId="6798"/>
    <cellStyle name="40% - Énfasis6 2 2 2 2 6 2" xfId="19348"/>
    <cellStyle name="40% - Énfasis6 2 2 2 2 7" xfId="13000"/>
    <cellStyle name="40% - Énfasis6 2 2 2 2 8" xfId="52144"/>
    <cellStyle name="40% - Énfasis6 2 2 2 3" xfId="380"/>
    <cellStyle name="40% - Énfasis6 2 2 2 3 2" xfId="2026"/>
    <cellStyle name="40% - Énfasis6 2 2 2 3 2 2" xfId="5151"/>
    <cellStyle name="40% - Énfasis6 2 2 2 3 2 2 2" xfId="11354"/>
    <cellStyle name="40% - Énfasis6 2 2 2 3 2 2 3" xfId="17556"/>
    <cellStyle name="40% - Énfasis6 2 2 2 3 2 2 4" xfId="56405"/>
    <cellStyle name="40% - Énfasis6 2 2 2 3 2 3" xfId="8254"/>
    <cellStyle name="40% - Énfasis6 2 2 2 3 2 4" xfId="14456"/>
    <cellStyle name="40% - Énfasis6 2 2 2 3 2 5" xfId="53510"/>
    <cellStyle name="40% - Énfasis6 2 2 2 3 3" xfId="2645"/>
    <cellStyle name="40% - Énfasis6 2 2 2 3 3 2" xfId="5769"/>
    <cellStyle name="40% - Énfasis6 2 2 2 3 3 2 2" xfId="11972"/>
    <cellStyle name="40% - Énfasis6 2 2 2 3 3 2 3" xfId="18174"/>
    <cellStyle name="40% - Énfasis6 2 2 2 3 3 2 4" xfId="57002"/>
    <cellStyle name="40% - Énfasis6 2 2 2 3 3 3" xfId="8872"/>
    <cellStyle name="40% - Énfasis6 2 2 2 3 3 4" xfId="15074"/>
    <cellStyle name="40% - Énfasis6 2 2 2 3 3 5" xfId="54107"/>
    <cellStyle name="40% - Énfasis6 2 2 2 3 4" xfId="3697"/>
    <cellStyle name="40% - Énfasis6 2 2 2 3 4 2" xfId="9901"/>
    <cellStyle name="40% - Énfasis6 2 2 2 3 4 3" xfId="16103"/>
    <cellStyle name="40% - Énfasis6 2 2 2 3 4 4" xfId="55074"/>
    <cellStyle name="40% - Énfasis6 2 2 2 3 5" xfId="6800"/>
    <cellStyle name="40% - Énfasis6 2 2 2 3 5 2" xfId="19627"/>
    <cellStyle name="40% - Énfasis6 2 2 2 3 6" xfId="13002"/>
    <cellStyle name="40% - Énfasis6 2 2 2 3 7" xfId="52375"/>
    <cellStyle name="40% - Énfasis6 2 2 2 4" xfId="1502"/>
    <cellStyle name="40% - Énfasis6 2 2 2 4 2" xfId="4627"/>
    <cellStyle name="40% - Énfasis6 2 2 2 4 2 2" xfId="10830"/>
    <cellStyle name="40% - Énfasis6 2 2 2 4 2 3" xfId="17032"/>
    <cellStyle name="40% - Énfasis6 2 2 2 4 2 4" xfId="55910"/>
    <cellStyle name="40% - Énfasis6 2 2 2 4 3" xfId="7730"/>
    <cellStyle name="40% - Énfasis6 2 2 2 4 4" xfId="13932"/>
    <cellStyle name="40% - Énfasis6 2 2 2 4 5" xfId="53026"/>
    <cellStyle name="40% - Énfasis6 2 2 2 5" xfId="2642"/>
    <cellStyle name="40% - Énfasis6 2 2 2 5 2" xfId="5766"/>
    <cellStyle name="40% - Énfasis6 2 2 2 5 2 2" xfId="11969"/>
    <cellStyle name="40% - Énfasis6 2 2 2 5 2 3" xfId="18171"/>
    <cellStyle name="40% - Énfasis6 2 2 2 5 2 4" xfId="56999"/>
    <cellStyle name="40% - Énfasis6 2 2 2 5 3" xfId="8869"/>
    <cellStyle name="40% - Énfasis6 2 2 2 5 4" xfId="15071"/>
    <cellStyle name="40% - Énfasis6 2 2 2 5 5" xfId="54104"/>
    <cellStyle name="40% - Énfasis6 2 2 2 6" xfId="3694"/>
    <cellStyle name="40% - Énfasis6 2 2 2 6 2" xfId="9898"/>
    <cellStyle name="40% - Énfasis6 2 2 2 6 3" xfId="16100"/>
    <cellStyle name="40% - Énfasis6 2 2 2 6 4" xfId="55071"/>
    <cellStyle name="40% - Énfasis6 2 2 2 7" xfId="6797"/>
    <cellStyle name="40% - Énfasis6 2 2 2 7 2" xfId="19103"/>
    <cellStyle name="40% - Énfasis6 2 2 2 8" xfId="12999"/>
    <cellStyle name="40% - Énfasis6 2 2 2 9" xfId="42822"/>
    <cellStyle name="40% - Énfasis6 2 2 3" xfId="381"/>
    <cellStyle name="40% - Énfasis6 2 2 3 2" xfId="382"/>
    <cellStyle name="40% - Énfasis6 2 2 3 2 2" xfId="2143"/>
    <cellStyle name="40% - Énfasis6 2 2 3 2 2 2" xfId="5268"/>
    <cellStyle name="40% - Énfasis6 2 2 3 2 2 2 2" xfId="11471"/>
    <cellStyle name="40% - Énfasis6 2 2 3 2 2 2 3" xfId="17673"/>
    <cellStyle name="40% - Énfasis6 2 2 3 2 2 2 4" xfId="56513"/>
    <cellStyle name="40% - Énfasis6 2 2 3 2 2 3" xfId="8371"/>
    <cellStyle name="40% - Énfasis6 2 2 3 2 2 4" xfId="14573"/>
    <cellStyle name="40% - Énfasis6 2 2 3 2 2 5" xfId="53617"/>
    <cellStyle name="40% - Énfasis6 2 2 3 2 3" xfId="2647"/>
    <cellStyle name="40% - Énfasis6 2 2 3 2 3 2" xfId="5771"/>
    <cellStyle name="40% - Énfasis6 2 2 3 2 3 2 2" xfId="11974"/>
    <cellStyle name="40% - Énfasis6 2 2 3 2 3 2 3" xfId="18176"/>
    <cellStyle name="40% - Énfasis6 2 2 3 2 3 2 4" xfId="57004"/>
    <cellStyle name="40% - Énfasis6 2 2 3 2 3 3" xfId="8874"/>
    <cellStyle name="40% - Énfasis6 2 2 3 2 3 4" xfId="15076"/>
    <cellStyle name="40% - Énfasis6 2 2 3 2 3 5" xfId="54109"/>
    <cellStyle name="40% - Énfasis6 2 2 3 2 4" xfId="3699"/>
    <cellStyle name="40% - Énfasis6 2 2 3 2 4 2" xfId="9903"/>
    <cellStyle name="40% - Énfasis6 2 2 3 2 4 3" xfId="16105"/>
    <cellStyle name="40% - Énfasis6 2 2 3 2 4 4" xfId="55076"/>
    <cellStyle name="40% - Énfasis6 2 2 3 2 5" xfId="6802"/>
    <cellStyle name="40% - Énfasis6 2 2 3 2 5 2" xfId="19744"/>
    <cellStyle name="40% - Énfasis6 2 2 3 2 6" xfId="13004"/>
    <cellStyle name="40% - Énfasis6 2 2 3 2 7" xfId="52376"/>
    <cellStyle name="40% - Énfasis6 2 2 3 3" xfId="1619"/>
    <cellStyle name="40% - Énfasis6 2 2 3 3 2" xfId="4744"/>
    <cellStyle name="40% - Énfasis6 2 2 3 3 2 2" xfId="10947"/>
    <cellStyle name="40% - Énfasis6 2 2 3 3 2 3" xfId="17149"/>
    <cellStyle name="40% - Énfasis6 2 2 3 3 2 4" xfId="56021"/>
    <cellStyle name="40% - Énfasis6 2 2 3 3 3" xfId="7847"/>
    <cellStyle name="40% - Énfasis6 2 2 3 3 4" xfId="14049"/>
    <cellStyle name="40% - Énfasis6 2 2 3 3 5" xfId="53132"/>
    <cellStyle name="40% - Énfasis6 2 2 3 4" xfId="2646"/>
    <cellStyle name="40% - Énfasis6 2 2 3 4 2" xfId="5770"/>
    <cellStyle name="40% - Énfasis6 2 2 3 4 2 2" xfId="11973"/>
    <cellStyle name="40% - Énfasis6 2 2 3 4 2 3" xfId="18175"/>
    <cellStyle name="40% - Énfasis6 2 2 3 4 2 4" xfId="57003"/>
    <cellStyle name="40% - Énfasis6 2 2 3 4 3" xfId="8873"/>
    <cellStyle name="40% - Énfasis6 2 2 3 4 4" xfId="15075"/>
    <cellStyle name="40% - Énfasis6 2 2 3 4 5" xfId="54108"/>
    <cellStyle name="40% - Énfasis6 2 2 3 5" xfId="3698"/>
    <cellStyle name="40% - Énfasis6 2 2 3 5 2" xfId="9902"/>
    <cellStyle name="40% - Énfasis6 2 2 3 5 3" xfId="16104"/>
    <cellStyle name="40% - Énfasis6 2 2 3 5 4" xfId="55075"/>
    <cellStyle name="40% - Énfasis6 2 2 3 6" xfId="6801"/>
    <cellStyle name="40% - Énfasis6 2 2 3 6 2" xfId="19220"/>
    <cellStyle name="40% - Énfasis6 2 2 3 7" xfId="13003"/>
    <cellStyle name="40% - Énfasis6 2 2 3 8" xfId="52012"/>
    <cellStyle name="40% - Énfasis6 2 2 4" xfId="383"/>
    <cellStyle name="40% - Énfasis6 2 2 4 2" xfId="1884"/>
    <cellStyle name="40% - Énfasis6 2 2 4 2 2" xfId="5009"/>
    <cellStyle name="40% - Énfasis6 2 2 4 2 2 2" xfId="11212"/>
    <cellStyle name="40% - Énfasis6 2 2 4 2 2 3" xfId="17414"/>
    <cellStyle name="40% - Énfasis6 2 2 4 2 2 4" xfId="56271"/>
    <cellStyle name="40% - Énfasis6 2 2 4 2 3" xfId="8112"/>
    <cellStyle name="40% - Énfasis6 2 2 4 2 4" xfId="14314"/>
    <cellStyle name="40% - Énfasis6 2 2 4 2 5" xfId="53377"/>
    <cellStyle name="40% - Énfasis6 2 2 4 3" xfId="2648"/>
    <cellStyle name="40% - Énfasis6 2 2 4 3 2" xfId="5772"/>
    <cellStyle name="40% - Énfasis6 2 2 4 3 2 2" xfId="11975"/>
    <cellStyle name="40% - Énfasis6 2 2 4 3 2 3" xfId="18177"/>
    <cellStyle name="40% - Énfasis6 2 2 4 3 2 4" xfId="57005"/>
    <cellStyle name="40% - Énfasis6 2 2 4 3 3" xfId="8875"/>
    <cellStyle name="40% - Énfasis6 2 2 4 3 4" xfId="15077"/>
    <cellStyle name="40% - Énfasis6 2 2 4 3 5" xfId="54110"/>
    <cellStyle name="40% - Énfasis6 2 2 4 4" xfId="3700"/>
    <cellStyle name="40% - Énfasis6 2 2 4 4 2" xfId="9904"/>
    <cellStyle name="40% - Énfasis6 2 2 4 4 3" xfId="16106"/>
    <cellStyle name="40% - Énfasis6 2 2 4 4 4" xfId="55077"/>
    <cellStyle name="40% - Énfasis6 2 2 4 5" xfId="6803"/>
    <cellStyle name="40% - Énfasis6 2 2 4 5 2" xfId="19485"/>
    <cellStyle name="40% - Énfasis6 2 2 4 6" xfId="13005"/>
    <cellStyle name="40% - Énfasis6 2 2 4 7" xfId="52377"/>
    <cellStyle name="40% - Énfasis6 2 2 5" xfId="1360"/>
    <cellStyle name="40% - Énfasis6 2 2 5 2" xfId="4485"/>
    <cellStyle name="40% - Énfasis6 2 2 5 2 2" xfId="10688"/>
    <cellStyle name="40% - Énfasis6 2 2 5 2 3" xfId="16890"/>
    <cellStyle name="40% - Énfasis6 2 2 5 2 4" xfId="55775"/>
    <cellStyle name="40% - Énfasis6 2 2 5 3" xfId="7588"/>
    <cellStyle name="40% - Énfasis6 2 2 5 4" xfId="13790"/>
    <cellStyle name="40% - Énfasis6 2 2 5 5" xfId="52900"/>
    <cellStyle name="40% - Énfasis6 2 2 6" xfId="2641"/>
    <cellStyle name="40% - Énfasis6 2 2 6 2" xfId="5765"/>
    <cellStyle name="40% - Énfasis6 2 2 6 2 2" xfId="11968"/>
    <cellStyle name="40% - Énfasis6 2 2 6 2 3" xfId="18170"/>
    <cellStyle name="40% - Énfasis6 2 2 6 2 4" xfId="56998"/>
    <cellStyle name="40% - Énfasis6 2 2 6 3" xfId="8868"/>
    <cellStyle name="40% - Énfasis6 2 2 6 4" xfId="15070"/>
    <cellStyle name="40% - Énfasis6 2 2 6 5" xfId="54103"/>
    <cellStyle name="40% - Énfasis6 2 2 7" xfId="3693"/>
    <cellStyle name="40% - Énfasis6 2 2 7 2" xfId="9897"/>
    <cellStyle name="40% - Énfasis6 2 2 7 3" xfId="16099"/>
    <cellStyle name="40% - Énfasis6 2 2 7 4" xfId="55070"/>
    <cellStyle name="40% - Énfasis6 2 2 8" xfId="6796"/>
    <cellStyle name="40% - Énfasis6 2 2 8 2" xfId="18961"/>
    <cellStyle name="40% - Énfasis6 2 2 9" xfId="12998"/>
    <cellStyle name="40% - Énfasis6 2 3" xfId="384"/>
    <cellStyle name="40% - Énfasis6 2 3 2" xfId="385"/>
    <cellStyle name="40% - Énfasis6 2 3 2 2" xfId="386"/>
    <cellStyle name="40% - Énfasis6 2 3 2 2 2" xfId="2203"/>
    <cellStyle name="40% - Énfasis6 2 3 2 2 2 2" xfId="5328"/>
    <cellStyle name="40% - Énfasis6 2 3 2 2 2 2 2" xfId="11531"/>
    <cellStyle name="40% - Énfasis6 2 3 2 2 2 2 3" xfId="17733"/>
    <cellStyle name="40% - Énfasis6 2 3 2 2 2 2 4" xfId="56569"/>
    <cellStyle name="40% - Énfasis6 2 3 2 2 2 3" xfId="8431"/>
    <cellStyle name="40% - Énfasis6 2 3 2 2 2 4" xfId="14633"/>
    <cellStyle name="40% - Énfasis6 2 3 2 2 2 5" xfId="53673"/>
    <cellStyle name="40% - Énfasis6 2 3 2 2 3" xfId="2651"/>
    <cellStyle name="40% - Énfasis6 2 3 2 2 3 2" xfId="5775"/>
    <cellStyle name="40% - Énfasis6 2 3 2 2 3 2 2" xfId="11978"/>
    <cellStyle name="40% - Énfasis6 2 3 2 2 3 2 3" xfId="18180"/>
    <cellStyle name="40% - Énfasis6 2 3 2 2 3 2 4" xfId="57008"/>
    <cellStyle name="40% - Énfasis6 2 3 2 2 3 3" xfId="8878"/>
    <cellStyle name="40% - Énfasis6 2 3 2 2 3 4" xfId="15080"/>
    <cellStyle name="40% - Énfasis6 2 3 2 2 3 5" xfId="54113"/>
    <cellStyle name="40% - Énfasis6 2 3 2 2 4" xfId="3703"/>
    <cellStyle name="40% - Énfasis6 2 3 2 2 4 2" xfId="9907"/>
    <cellStyle name="40% - Énfasis6 2 3 2 2 4 3" xfId="16109"/>
    <cellStyle name="40% - Énfasis6 2 3 2 2 4 4" xfId="55080"/>
    <cellStyle name="40% - Énfasis6 2 3 2 2 5" xfId="6806"/>
    <cellStyle name="40% - Énfasis6 2 3 2 2 5 2" xfId="19804"/>
    <cellStyle name="40% - Énfasis6 2 3 2 2 6" xfId="13008"/>
    <cellStyle name="40% - Énfasis6 2 3 2 2 7" xfId="52378"/>
    <cellStyle name="40% - Énfasis6 2 3 2 3" xfId="1679"/>
    <cellStyle name="40% - Énfasis6 2 3 2 3 2" xfId="4804"/>
    <cellStyle name="40% - Énfasis6 2 3 2 3 2 2" xfId="11007"/>
    <cellStyle name="40% - Énfasis6 2 3 2 3 2 3" xfId="17209"/>
    <cellStyle name="40% - Énfasis6 2 3 2 3 2 4" xfId="56078"/>
    <cellStyle name="40% - Énfasis6 2 3 2 3 3" xfId="7907"/>
    <cellStyle name="40% - Énfasis6 2 3 2 3 4" xfId="14109"/>
    <cellStyle name="40% - Énfasis6 2 3 2 3 5" xfId="53188"/>
    <cellStyle name="40% - Énfasis6 2 3 2 4" xfId="2650"/>
    <cellStyle name="40% - Énfasis6 2 3 2 4 2" xfId="5774"/>
    <cellStyle name="40% - Énfasis6 2 3 2 4 2 2" xfId="11977"/>
    <cellStyle name="40% - Énfasis6 2 3 2 4 2 3" xfId="18179"/>
    <cellStyle name="40% - Énfasis6 2 3 2 4 2 4" xfId="57007"/>
    <cellStyle name="40% - Énfasis6 2 3 2 4 3" xfId="8877"/>
    <cellStyle name="40% - Énfasis6 2 3 2 4 4" xfId="15079"/>
    <cellStyle name="40% - Énfasis6 2 3 2 4 5" xfId="54112"/>
    <cellStyle name="40% - Énfasis6 2 3 2 5" xfId="3702"/>
    <cellStyle name="40% - Énfasis6 2 3 2 5 2" xfId="9906"/>
    <cellStyle name="40% - Énfasis6 2 3 2 5 3" xfId="16108"/>
    <cellStyle name="40% - Énfasis6 2 3 2 5 4" xfId="55079"/>
    <cellStyle name="40% - Énfasis6 2 3 2 6" xfId="6805"/>
    <cellStyle name="40% - Énfasis6 2 3 2 6 2" xfId="19280"/>
    <cellStyle name="40% - Énfasis6 2 3 2 7" xfId="13007"/>
    <cellStyle name="40% - Énfasis6 2 3 2 8" xfId="52081"/>
    <cellStyle name="40% - Énfasis6 2 3 3" xfId="387"/>
    <cellStyle name="40% - Énfasis6 2 3 3 2" xfId="1958"/>
    <cellStyle name="40% - Énfasis6 2 3 3 2 2" xfId="5083"/>
    <cellStyle name="40% - Énfasis6 2 3 3 2 2 2" xfId="11286"/>
    <cellStyle name="40% - Énfasis6 2 3 3 2 2 3" xfId="17488"/>
    <cellStyle name="40% - Énfasis6 2 3 3 2 2 4" xfId="56342"/>
    <cellStyle name="40% - Énfasis6 2 3 3 2 3" xfId="8186"/>
    <cellStyle name="40% - Énfasis6 2 3 3 2 4" xfId="14388"/>
    <cellStyle name="40% - Énfasis6 2 3 3 2 5" xfId="53448"/>
    <cellStyle name="40% - Énfasis6 2 3 3 3" xfId="2652"/>
    <cellStyle name="40% - Énfasis6 2 3 3 3 2" xfId="5776"/>
    <cellStyle name="40% - Énfasis6 2 3 3 3 2 2" xfId="11979"/>
    <cellStyle name="40% - Énfasis6 2 3 3 3 2 3" xfId="18181"/>
    <cellStyle name="40% - Énfasis6 2 3 3 3 2 4" xfId="57009"/>
    <cellStyle name="40% - Énfasis6 2 3 3 3 3" xfId="8879"/>
    <cellStyle name="40% - Énfasis6 2 3 3 3 4" xfId="15081"/>
    <cellStyle name="40% - Énfasis6 2 3 3 3 5" xfId="54114"/>
    <cellStyle name="40% - Énfasis6 2 3 3 4" xfId="3704"/>
    <cellStyle name="40% - Énfasis6 2 3 3 4 2" xfId="9908"/>
    <cellStyle name="40% - Énfasis6 2 3 3 4 3" xfId="16110"/>
    <cellStyle name="40% - Énfasis6 2 3 3 4 4" xfId="55081"/>
    <cellStyle name="40% - Énfasis6 2 3 3 5" xfId="6807"/>
    <cellStyle name="40% - Énfasis6 2 3 3 5 2" xfId="19559"/>
    <cellStyle name="40% - Énfasis6 2 3 3 6" xfId="13009"/>
    <cellStyle name="40% - Énfasis6 2 3 3 7" xfId="52379"/>
    <cellStyle name="40% - Énfasis6 2 3 4" xfId="1434"/>
    <cellStyle name="40% - Énfasis6 2 3 4 2" xfId="4559"/>
    <cellStyle name="40% - Énfasis6 2 3 4 2 2" xfId="10762"/>
    <cellStyle name="40% - Énfasis6 2 3 4 2 3" xfId="16964"/>
    <cellStyle name="40% - Énfasis6 2 3 4 2 4" xfId="55846"/>
    <cellStyle name="40% - Énfasis6 2 3 4 3" xfId="7662"/>
    <cellStyle name="40% - Énfasis6 2 3 4 4" xfId="13864"/>
    <cellStyle name="40% - Énfasis6 2 3 4 5" xfId="52964"/>
    <cellStyle name="40% - Énfasis6 2 3 5" xfId="2649"/>
    <cellStyle name="40% - Énfasis6 2 3 5 2" xfId="5773"/>
    <cellStyle name="40% - Énfasis6 2 3 5 2 2" xfId="11976"/>
    <cellStyle name="40% - Énfasis6 2 3 5 2 3" xfId="18178"/>
    <cellStyle name="40% - Énfasis6 2 3 5 2 4" xfId="57006"/>
    <cellStyle name="40% - Énfasis6 2 3 5 3" xfId="8876"/>
    <cellStyle name="40% - Énfasis6 2 3 5 4" xfId="15078"/>
    <cellStyle name="40% - Énfasis6 2 3 5 5" xfId="54111"/>
    <cellStyle name="40% - Énfasis6 2 3 6" xfId="3701"/>
    <cellStyle name="40% - Énfasis6 2 3 6 2" xfId="9905"/>
    <cellStyle name="40% - Énfasis6 2 3 6 3" xfId="16107"/>
    <cellStyle name="40% - Énfasis6 2 3 6 4" xfId="55078"/>
    <cellStyle name="40% - Énfasis6 2 3 7" xfId="6804"/>
    <cellStyle name="40% - Énfasis6 2 3 7 2" xfId="19035"/>
    <cellStyle name="40% - Énfasis6 2 3 8" xfId="13006"/>
    <cellStyle name="40% - Énfasis6 2 3 9" xfId="42821"/>
    <cellStyle name="40% - Énfasis6 2 4" xfId="388"/>
    <cellStyle name="40% - Énfasis6 2 4 2" xfId="389"/>
    <cellStyle name="40% - Énfasis6 2 4 2 2" xfId="2067"/>
    <cellStyle name="40% - Énfasis6 2 4 2 2 2" xfId="5192"/>
    <cellStyle name="40% - Énfasis6 2 4 2 2 2 2" xfId="11395"/>
    <cellStyle name="40% - Énfasis6 2 4 2 2 2 3" xfId="17597"/>
    <cellStyle name="40% - Énfasis6 2 4 2 2 2 4" xfId="56444"/>
    <cellStyle name="40% - Énfasis6 2 4 2 2 3" xfId="8295"/>
    <cellStyle name="40% - Énfasis6 2 4 2 2 4" xfId="14497"/>
    <cellStyle name="40% - Énfasis6 2 4 2 2 5" xfId="53548"/>
    <cellStyle name="40% - Énfasis6 2 4 2 3" xfId="2654"/>
    <cellStyle name="40% - Énfasis6 2 4 2 3 2" xfId="5778"/>
    <cellStyle name="40% - Énfasis6 2 4 2 3 2 2" xfId="11981"/>
    <cellStyle name="40% - Énfasis6 2 4 2 3 2 3" xfId="18183"/>
    <cellStyle name="40% - Énfasis6 2 4 2 3 2 4" xfId="57011"/>
    <cellStyle name="40% - Énfasis6 2 4 2 3 3" xfId="8881"/>
    <cellStyle name="40% - Énfasis6 2 4 2 3 4" xfId="15083"/>
    <cellStyle name="40% - Énfasis6 2 4 2 3 5" xfId="54116"/>
    <cellStyle name="40% - Énfasis6 2 4 2 4" xfId="3706"/>
    <cellStyle name="40% - Énfasis6 2 4 2 4 2" xfId="9910"/>
    <cellStyle name="40% - Énfasis6 2 4 2 4 3" xfId="16112"/>
    <cellStyle name="40% - Énfasis6 2 4 2 4 4" xfId="55083"/>
    <cellStyle name="40% - Énfasis6 2 4 2 5" xfId="6809"/>
    <cellStyle name="40% - Énfasis6 2 4 2 5 2" xfId="19668"/>
    <cellStyle name="40% - Énfasis6 2 4 2 6" xfId="13011"/>
    <cellStyle name="40% - Énfasis6 2 4 2 7" xfId="52380"/>
    <cellStyle name="40% - Énfasis6 2 4 3" xfId="1543"/>
    <cellStyle name="40% - Énfasis6 2 4 3 2" xfId="4668"/>
    <cellStyle name="40% - Énfasis6 2 4 3 2 2" xfId="10871"/>
    <cellStyle name="40% - Énfasis6 2 4 3 2 3" xfId="17073"/>
    <cellStyle name="40% - Énfasis6 2 4 3 2 4" xfId="55949"/>
    <cellStyle name="40% - Énfasis6 2 4 3 3" xfId="7771"/>
    <cellStyle name="40% - Énfasis6 2 4 3 4" xfId="13973"/>
    <cellStyle name="40% - Énfasis6 2 4 3 5" xfId="53064"/>
    <cellStyle name="40% - Énfasis6 2 4 4" xfId="2653"/>
    <cellStyle name="40% - Énfasis6 2 4 4 2" xfId="5777"/>
    <cellStyle name="40% - Énfasis6 2 4 4 2 2" xfId="11980"/>
    <cellStyle name="40% - Énfasis6 2 4 4 2 3" xfId="18182"/>
    <cellStyle name="40% - Énfasis6 2 4 4 2 4" xfId="57010"/>
    <cellStyle name="40% - Énfasis6 2 4 4 3" xfId="8880"/>
    <cellStyle name="40% - Énfasis6 2 4 4 4" xfId="15082"/>
    <cellStyle name="40% - Énfasis6 2 4 4 5" xfId="54115"/>
    <cellStyle name="40% - Énfasis6 2 4 5" xfId="3705"/>
    <cellStyle name="40% - Énfasis6 2 4 5 2" xfId="9909"/>
    <cellStyle name="40% - Énfasis6 2 4 5 3" xfId="16111"/>
    <cellStyle name="40% - Énfasis6 2 4 5 4" xfId="55082"/>
    <cellStyle name="40% - Énfasis6 2 4 6" xfId="6808"/>
    <cellStyle name="40% - Énfasis6 2 4 6 2" xfId="19144"/>
    <cellStyle name="40% - Énfasis6 2 4 7" xfId="13010"/>
    <cellStyle name="40% - Énfasis6 2 4 8" xfId="51943"/>
    <cellStyle name="40% - Énfasis6 2 5" xfId="390"/>
    <cellStyle name="40% - Énfasis6 2 5 2" xfId="1796"/>
    <cellStyle name="40% - Énfasis6 2 5 2 2" xfId="4921"/>
    <cellStyle name="40% - Énfasis6 2 5 2 2 2" xfId="11124"/>
    <cellStyle name="40% - Énfasis6 2 5 2 2 3" xfId="17326"/>
    <cellStyle name="40% - Énfasis6 2 5 2 2 4" xfId="56190"/>
    <cellStyle name="40% - Énfasis6 2 5 2 3" xfId="8024"/>
    <cellStyle name="40% - Énfasis6 2 5 2 4" xfId="14226"/>
    <cellStyle name="40% - Énfasis6 2 5 2 5" xfId="53297"/>
    <cellStyle name="40% - Énfasis6 2 5 3" xfId="2655"/>
    <cellStyle name="40% - Énfasis6 2 5 3 2" xfId="5779"/>
    <cellStyle name="40% - Énfasis6 2 5 3 2 2" xfId="11982"/>
    <cellStyle name="40% - Énfasis6 2 5 3 2 3" xfId="18184"/>
    <cellStyle name="40% - Énfasis6 2 5 3 2 4" xfId="57012"/>
    <cellStyle name="40% - Énfasis6 2 5 3 3" xfId="8882"/>
    <cellStyle name="40% - Énfasis6 2 5 3 4" xfId="15084"/>
    <cellStyle name="40% - Énfasis6 2 5 3 5" xfId="54117"/>
    <cellStyle name="40% - Énfasis6 2 5 4" xfId="3707"/>
    <cellStyle name="40% - Énfasis6 2 5 4 2" xfId="9911"/>
    <cellStyle name="40% - Énfasis6 2 5 4 3" xfId="16113"/>
    <cellStyle name="40% - Énfasis6 2 5 4 4" xfId="55084"/>
    <cellStyle name="40% - Énfasis6 2 5 5" xfId="6810"/>
    <cellStyle name="40% - Énfasis6 2 5 5 2" xfId="19397"/>
    <cellStyle name="40% - Énfasis6 2 5 6" xfId="13012"/>
    <cellStyle name="40% - Énfasis6 2 5 7" xfId="52381"/>
    <cellStyle name="40% - Énfasis6 2 6" xfId="1292"/>
    <cellStyle name="40% - Énfasis6 2 6 2" xfId="4417"/>
    <cellStyle name="40% - Énfasis6 2 6 2 2" xfId="10620"/>
    <cellStyle name="40% - Énfasis6 2 6 2 3" xfId="16822"/>
    <cellStyle name="40% - Énfasis6 2 6 2 4" xfId="55710"/>
    <cellStyle name="40% - Énfasis6 2 6 3" xfId="7520"/>
    <cellStyle name="40% - Énfasis6 2 6 4" xfId="13722"/>
    <cellStyle name="40% - Énfasis6 2 6 5" xfId="52839"/>
    <cellStyle name="40% - Énfasis6 2 7" xfId="2640"/>
    <cellStyle name="40% - Énfasis6 2 7 2" xfId="5764"/>
    <cellStyle name="40% - Énfasis6 2 7 2 2" xfId="11967"/>
    <cellStyle name="40% - Énfasis6 2 7 2 3" xfId="18169"/>
    <cellStyle name="40% - Énfasis6 2 7 2 4" xfId="56997"/>
    <cellStyle name="40% - Énfasis6 2 7 3" xfId="8867"/>
    <cellStyle name="40% - Énfasis6 2 7 4" xfId="15069"/>
    <cellStyle name="40% - Énfasis6 2 7 5" xfId="54102"/>
    <cellStyle name="40% - Énfasis6 2 8" xfId="3692"/>
    <cellStyle name="40% - Énfasis6 2 8 2" xfId="9896"/>
    <cellStyle name="40% - Énfasis6 2 8 3" xfId="16098"/>
    <cellStyle name="40% - Énfasis6 2 8 4" xfId="55069"/>
    <cellStyle name="40% - Énfasis6 2 9" xfId="6795"/>
    <cellStyle name="40% - Énfasis6 2 9 2" xfId="18893"/>
    <cellStyle name="40% - Énfasis6 3" xfId="391"/>
    <cellStyle name="40% - Énfasis6 3 10" xfId="26005"/>
    <cellStyle name="40% - Énfasis6 3 2" xfId="392"/>
    <cellStyle name="40% - Énfasis6 3 2 2" xfId="393"/>
    <cellStyle name="40% - Énfasis6 3 2 2 2" xfId="394"/>
    <cellStyle name="40% - Énfasis6 3 2 2 2 2" xfId="2242"/>
    <cellStyle name="40% - Énfasis6 3 2 2 2 2 2" xfId="5367"/>
    <cellStyle name="40% - Énfasis6 3 2 2 2 2 2 2" xfId="11570"/>
    <cellStyle name="40% - Énfasis6 3 2 2 2 2 2 3" xfId="17772"/>
    <cellStyle name="40% - Énfasis6 3 2 2 2 2 2 4" xfId="56606"/>
    <cellStyle name="40% - Énfasis6 3 2 2 2 2 3" xfId="8470"/>
    <cellStyle name="40% - Énfasis6 3 2 2 2 2 4" xfId="14672"/>
    <cellStyle name="40% - Énfasis6 3 2 2 2 2 5" xfId="53710"/>
    <cellStyle name="40% - Énfasis6 3 2 2 2 3" xfId="2659"/>
    <cellStyle name="40% - Énfasis6 3 2 2 2 3 2" xfId="5783"/>
    <cellStyle name="40% - Énfasis6 3 2 2 2 3 2 2" xfId="11986"/>
    <cellStyle name="40% - Énfasis6 3 2 2 2 3 2 3" xfId="18188"/>
    <cellStyle name="40% - Énfasis6 3 2 2 2 3 2 4" xfId="57016"/>
    <cellStyle name="40% - Énfasis6 3 2 2 2 3 3" xfId="8886"/>
    <cellStyle name="40% - Énfasis6 3 2 2 2 3 4" xfId="15088"/>
    <cellStyle name="40% - Énfasis6 3 2 2 2 3 5" xfId="54121"/>
    <cellStyle name="40% - Énfasis6 3 2 2 2 4" xfId="3711"/>
    <cellStyle name="40% - Énfasis6 3 2 2 2 4 2" xfId="9915"/>
    <cellStyle name="40% - Énfasis6 3 2 2 2 4 3" xfId="16117"/>
    <cellStyle name="40% - Énfasis6 3 2 2 2 4 4" xfId="55088"/>
    <cellStyle name="40% - Énfasis6 3 2 2 2 5" xfId="6814"/>
    <cellStyle name="40% - Énfasis6 3 2 2 2 5 2" xfId="19843"/>
    <cellStyle name="40% - Énfasis6 3 2 2 2 6" xfId="13016"/>
    <cellStyle name="40% - Énfasis6 3 2 2 2 7" xfId="52383"/>
    <cellStyle name="40% - Énfasis6 3 2 2 3" xfId="1718"/>
    <cellStyle name="40% - Énfasis6 3 2 2 3 2" xfId="4843"/>
    <cellStyle name="40% - Énfasis6 3 2 2 3 2 2" xfId="11046"/>
    <cellStyle name="40% - Énfasis6 3 2 2 3 2 3" xfId="17248"/>
    <cellStyle name="40% - Énfasis6 3 2 2 3 2 4" xfId="56115"/>
    <cellStyle name="40% - Énfasis6 3 2 2 3 3" xfId="7946"/>
    <cellStyle name="40% - Énfasis6 3 2 2 3 4" xfId="14148"/>
    <cellStyle name="40% - Énfasis6 3 2 2 3 5" xfId="53225"/>
    <cellStyle name="40% - Énfasis6 3 2 2 4" xfId="2658"/>
    <cellStyle name="40% - Énfasis6 3 2 2 4 2" xfId="5782"/>
    <cellStyle name="40% - Énfasis6 3 2 2 4 2 2" xfId="11985"/>
    <cellStyle name="40% - Énfasis6 3 2 2 4 2 3" xfId="18187"/>
    <cellStyle name="40% - Énfasis6 3 2 2 4 2 4" xfId="57015"/>
    <cellStyle name="40% - Énfasis6 3 2 2 4 3" xfId="8885"/>
    <cellStyle name="40% - Énfasis6 3 2 2 4 4" xfId="15087"/>
    <cellStyle name="40% - Énfasis6 3 2 2 4 5" xfId="54120"/>
    <cellStyle name="40% - Énfasis6 3 2 2 5" xfId="3710"/>
    <cellStyle name="40% - Énfasis6 3 2 2 5 2" xfId="9914"/>
    <cellStyle name="40% - Énfasis6 3 2 2 5 3" xfId="16116"/>
    <cellStyle name="40% - Énfasis6 3 2 2 5 4" xfId="55087"/>
    <cellStyle name="40% - Énfasis6 3 2 2 6" xfId="6813"/>
    <cellStyle name="40% - Énfasis6 3 2 2 6 2" xfId="19319"/>
    <cellStyle name="40% - Énfasis6 3 2 2 6 3" xfId="52382"/>
    <cellStyle name="40% - Énfasis6 3 2 2 7" xfId="13015"/>
    <cellStyle name="40% - Énfasis6 3 2 2 8" xfId="42824"/>
    <cellStyle name="40% - Énfasis6 3 2 3" xfId="395"/>
    <cellStyle name="40% - Énfasis6 3 2 3 2" xfId="1997"/>
    <cellStyle name="40% - Énfasis6 3 2 3 2 2" xfId="5122"/>
    <cellStyle name="40% - Énfasis6 3 2 3 2 2 2" xfId="11325"/>
    <cellStyle name="40% - Énfasis6 3 2 3 2 2 3" xfId="17527"/>
    <cellStyle name="40% - Énfasis6 3 2 3 2 2 4" xfId="56379"/>
    <cellStyle name="40% - Énfasis6 3 2 3 2 3" xfId="8225"/>
    <cellStyle name="40% - Énfasis6 3 2 3 2 4" xfId="14427"/>
    <cellStyle name="40% - Énfasis6 3 2 3 2 5" xfId="53485"/>
    <cellStyle name="40% - Énfasis6 3 2 3 3" xfId="2660"/>
    <cellStyle name="40% - Énfasis6 3 2 3 3 2" xfId="5784"/>
    <cellStyle name="40% - Énfasis6 3 2 3 3 2 2" xfId="11987"/>
    <cellStyle name="40% - Énfasis6 3 2 3 3 2 3" xfId="18189"/>
    <cellStyle name="40% - Énfasis6 3 2 3 3 2 4" xfId="57017"/>
    <cellStyle name="40% - Énfasis6 3 2 3 3 3" xfId="8887"/>
    <cellStyle name="40% - Énfasis6 3 2 3 3 4" xfId="15089"/>
    <cellStyle name="40% - Énfasis6 3 2 3 3 5" xfId="54122"/>
    <cellStyle name="40% - Énfasis6 3 2 3 4" xfId="3712"/>
    <cellStyle name="40% - Énfasis6 3 2 3 4 2" xfId="9916"/>
    <cellStyle name="40% - Énfasis6 3 2 3 4 3" xfId="16118"/>
    <cellStyle name="40% - Énfasis6 3 2 3 4 4" xfId="55089"/>
    <cellStyle name="40% - Énfasis6 3 2 3 5" xfId="6815"/>
    <cellStyle name="40% - Énfasis6 3 2 3 5 2" xfId="19598"/>
    <cellStyle name="40% - Énfasis6 3 2 3 6" xfId="13017"/>
    <cellStyle name="40% - Énfasis6 3 2 3 7" xfId="52120"/>
    <cellStyle name="40% - Énfasis6 3 2 4" xfId="1473"/>
    <cellStyle name="40% - Énfasis6 3 2 4 2" xfId="4598"/>
    <cellStyle name="40% - Énfasis6 3 2 4 2 2" xfId="10801"/>
    <cellStyle name="40% - Énfasis6 3 2 4 2 3" xfId="17003"/>
    <cellStyle name="40% - Énfasis6 3 2 4 2 4" xfId="55883"/>
    <cellStyle name="40% - Énfasis6 3 2 4 3" xfId="7701"/>
    <cellStyle name="40% - Énfasis6 3 2 4 4" xfId="13903"/>
    <cellStyle name="40% - Énfasis6 3 2 4 5" xfId="53001"/>
    <cellStyle name="40% - Énfasis6 3 2 5" xfId="2657"/>
    <cellStyle name="40% - Énfasis6 3 2 5 2" xfId="5781"/>
    <cellStyle name="40% - Énfasis6 3 2 5 2 2" xfId="11984"/>
    <cellStyle name="40% - Énfasis6 3 2 5 2 3" xfId="18186"/>
    <cellStyle name="40% - Énfasis6 3 2 5 2 4" xfId="57014"/>
    <cellStyle name="40% - Énfasis6 3 2 5 3" xfId="8884"/>
    <cellStyle name="40% - Énfasis6 3 2 5 4" xfId="15086"/>
    <cellStyle name="40% - Énfasis6 3 2 5 5" xfId="54119"/>
    <cellStyle name="40% - Énfasis6 3 2 6" xfId="3709"/>
    <cellStyle name="40% - Énfasis6 3 2 6 2" xfId="9913"/>
    <cellStyle name="40% - Énfasis6 3 2 6 3" xfId="16115"/>
    <cellStyle name="40% - Énfasis6 3 2 6 4" xfId="55086"/>
    <cellStyle name="40% - Énfasis6 3 2 7" xfId="6812"/>
    <cellStyle name="40% - Énfasis6 3 2 7 2" xfId="19074"/>
    <cellStyle name="40% - Énfasis6 3 2 8" xfId="13014"/>
    <cellStyle name="40% - Énfasis6 3 2 9" xfId="26006"/>
    <cellStyle name="40% - Énfasis6 3 3" xfId="396"/>
    <cellStyle name="40% - Énfasis6 3 3 2" xfId="397"/>
    <cellStyle name="40% - Énfasis6 3 3 2 2" xfId="2114"/>
    <cellStyle name="40% - Énfasis6 3 3 2 2 2" xfId="5239"/>
    <cellStyle name="40% - Énfasis6 3 3 2 2 2 2" xfId="11442"/>
    <cellStyle name="40% - Énfasis6 3 3 2 2 2 3" xfId="17644"/>
    <cellStyle name="40% - Énfasis6 3 3 2 2 2 4" xfId="56487"/>
    <cellStyle name="40% - Énfasis6 3 3 2 2 3" xfId="8342"/>
    <cellStyle name="40% - Énfasis6 3 3 2 2 4" xfId="14544"/>
    <cellStyle name="40% - Énfasis6 3 3 2 2 5" xfId="53591"/>
    <cellStyle name="40% - Énfasis6 3 3 2 3" xfId="2662"/>
    <cellStyle name="40% - Énfasis6 3 3 2 3 2" xfId="5786"/>
    <cellStyle name="40% - Énfasis6 3 3 2 3 2 2" xfId="11989"/>
    <cellStyle name="40% - Énfasis6 3 3 2 3 2 3" xfId="18191"/>
    <cellStyle name="40% - Énfasis6 3 3 2 3 2 4" xfId="57019"/>
    <cellStyle name="40% - Énfasis6 3 3 2 3 3" xfId="8889"/>
    <cellStyle name="40% - Énfasis6 3 3 2 3 4" xfId="15091"/>
    <cellStyle name="40% - Énfasis6 3 3 2 3 5" xfId="54124"/>
    <cellStyle name="40% - Énfasis6 3 3 2 4" xfId="3714"/>
    <cellStyle name="40% - Énfasis6 3 3 2 4 2" xfId="9918"/>
    <cellStyle name="40% - Énfasis6 3 3 2 4 3" xfId="16120"/>
    <cellStyle name="40% - Énfasis6 3 3 2 4 4" xfId="55091"/>
    <cellStyle name="40% - Énfasis6 3 3 2 5" xfId="6817"/>
    <cellStyle name="40% - Énfasis6 3 3 2 5 2" xfId="19715"/>
    <cellStyle name="40% - Énfasis6 3 3 2 6" xfId="13019"/>
    <cellStyle name="40% - Énfasis6 3 3 2 7" xfId="52385"/>
    <cellStyle name="40% - Énfasis6 3 3 3" xfId="1590"/>
    <cellStyle name="40% - Énfasis6 3 3 3 2" xfId="4715"/>
    <cellStyle name="40% - Énfasis6 3 3 3 2 2" xfId="10918"/>
    <cellStyle name="40% - Énfasis6 3 3 3 2 3" xfId="17120"/>
    <cellStyle name="40% - Énfasis6 3 3 3 2 4" xfId="55993"/>
    <cellStyle name="40% - Énfasis6 3 3 3 3" xfId="7818"/>
    <cellStyle name="40% - Énfasis6 3 3 3 4" xfId="14020"/>
    <cellStyle name="40% - Énfasis6 3 3 3 5" xfId="53106"/>
    <cellStyle name="40% - Énfasis6 3 3 4" xfId="2661"/>
    <cellStyle name="40% - Énfasis6 3 3 4 2" xfId="5785"/>
    <cellStyle name="40% - Énfasis6 3 3 4 2 2" xfId="11988"/>
    <cellStyle name="40% - Énfasis6 3 3 4 2 3" xfId="18190"/>
    <cellStyle name="40% - Énfasis6 3 3 4 2 4" xfId="57018"/>
    <cellStyle name="40% - Énfasis6 3 3 4 3" xfId="8888"/>
    <cellStyle name="40% - Énfasis6 3 3 4 4" xfId="15090"/>
    <cellStyle name="40% - Énfasis6 3 3 4 5" xfId="54123"/>
    <cellStyle name="40% - Énfasis6 3 3 5" xfId="3713"/>
    <cellStyle name="40% - Énfasis6 3 3 5 2" xfId="9917"/>
    <cellStyle name="40% - Énfasis6 3 3 5 3" xfId="16119"/>
    <cellStyle name="40% - Énfasis6 3 3 5 4" xfId="55090"/>
    <cellStyle name="40% - Énfasis6 3 3 6" xfId="6816"/>
    <cellStyle name="40% - Énfasis6 3 3 6 2" xfId="19191"/>
    <cellStyle name="40% - Énfasis6 3 3 6 3" xfId="52384"/>
    <cellStyle name="40% - Énfasis6 3 3 7" xfId="13018"/>
    <cellStyle name="40% - Énfasis6 3 3 8" xfId="42823"/>
    <cellStyle name="40% - Énfasis6 3 4" xfId="398"/>
    <cellStyle name="40% - Énfasis6 3 4 2" xfId="1855"/>
    <cellStyle name="40% - Énfasis6 3 4 2 2" xfId="4980"/>
    <cellStyle name="40% - Énfasis6 3 4 2 2 2" xfId="11183"/>
    <cellStyle name="40% - Énfasis6 3 4 2 2 3" xfId="17385"/>
    <cellStyle name="40% - Énfasis6 3 4 2 2 4" xfId="56244"/>
    <cellStyle name="40% - Énfasis6 3 4 2 3" xfId="8083"/>
    <cellStyle name="40% - Énfasis6 3 4 2 4" xfId="14285"/>
    <cellStyle name="40% - Énfasis6 3 4 2 5" xfId="53350"/>
    <cellStyle name="40% - Énfasis6 3 4 3" xfId="2663"/>
    <cellStyle name="40% - Énfasis6 3 4 3 2" xfId="5787"/>
    <cellStyle name="40% - Énfasis6 3 4 3 2 2" xfId="11990"/>
    <cellStyle name="40% - Énfasis6 3 4 3 2 3" xfId="18192"/>
    <cellStyle name="40% - Énfasis6 3 4 3 2 4" xfId="57020"/>
    <cellStyle name="40% - Énfasis6 3 4 3 3" xfId="8890"/>
    <cellStyle name="40% - Énfasis6 3 4 3 4" xfId="15092"/>
    <cellStyle name="40% - Énfasis6 3 4 3 5" xfId="54125"/>
    <cellStyle name="40% - Énfasis6 3 4 4" xfId="3715"/>
    <cellStyle name="40% - Énfasis6 3 4 4 2" xfId="9919"/>
    <cellStyle name="40% - Énfasis6 3 4 4 3" xfId="16121"/>
    <cellStyle name="40% - Énfasis6 3 4 4 4" xfId="55092"/>
    <cellStyle name="40% - Énfasis6 3 4 5" xfId="6818"/>
    <cellStyle name="40% - Énfasis6 3 4 5 2" xfId="19456"/>
    <cellStyle name="40% - Énfasis6 3 4 6" xfId="13020"/>
    <cellStyle name="40% - Énfasis6 3 4 7" xfId="51989"/>
    <cellStyle name="40% - Énfasis6 3 5" xfId="1331"/>
    <cellStyle name="40% - Énfasis6 3 5 2" xfId="4456"/>
    <cellStyle name="40% - Énfasis6 3 5 2 2" xfId="10659"/>
    <cellStyle name="40% - Énfasis6 3 5 2 3" xfId="16861"/>
    <cellStyle name="40% - Énfasis6 3 5 2 4" xfId="55747"/>
    <cellStyle name="40% - Énfasis6 3 5 3" xfId="7559"/>
    <cellStyle name="40% - Énfasis6 3 5 4" xfId="13761"/>
    <cellStyle name="40% - Énfasis6 3 5 5" xfId="52875"/>
    <cellStyle name="40% - Énfasis6 3 6" xfId="2656"/>
    <cellStyle name="40% - Énfasis6 3 6 2" xfId="5780"/>
    <cellStyle name="40% - Énfasis6 3 6 2 2" xfId="11983"/>
    <cellStyle name="40% - Énfasis6 3 6 2 3" xfId="18185"/>
    <cellStyle name="40% - Énfasis6 3 6 2 4" xfId="57013"/>
    <cellStyle name="40% - Énfasis6 3 6 3" xfId="8883"/>
    <cellStyle name="40% - Énfasis6 3 6 4" xfId="15085"/>
    <cellStyle name="40% - Énfasis6 3 6 5" xfId="54118"/>
    <cellStyle name="40% - Énfasis6 3 7" xfId="3708"/>
    <cellStyle name="40% - Énfasis6 3 7 2" xfId="9912"/>
    <cellStyle name="40% - Énfasis6 3 7 3" xfId="16114"/>
    <cellStyle name="40% - Énfasis6 3 7 4" xfId="55085"/>
    <cellStyle name="40% - Énfasis6 3 8" xfId="6811"/>
    <cellStyle name="40% - Énfasis6 3 8 2" xfId="18932"/>
    <cellStyle name="40% - Énfasis6 3 9" xfId="13013"/>
    <cellStyle name="40% - Énfasis6 4" xfId="399"/>
    <cellStyle name="40% - Énfasis6 4 2" xfId="400"/>
    <cellStyle name="40% - Énfasis6 4 2 2" xfId="401"/>
    <cellStyle name="40% - Énfasis6 4 2 2 2" xfId="2174"/>
    <cellStyle name="40% - Énfasis6 4 2 2 2 2" xfId="5299"/>
    <cellStyle name="40% - Énfasis6 4 2 2 2 2 2" xfId="11502"/>
    <cellStyle name="40% - Énfasis6 4 2 2 2 2 3" xfId="17704"/>
    <cellStyle name="40% - Énfasis6 4 2 2 2 2 4" xfId="56542"/>
    <cellStyle name="40% - Énfasis6 4 2 2 2 3" xfId="8402"/>
    <cellStyle name="40% - Énfasis6 4 2 2 2 4" xfId="14604"/>
    <cellStyle name="40% - Énfasis6 4 2 2 2 5" xfId="53646"/>
    <cellStyle name="40% - Énfasis6 4 2 2 3" xfId="2666"/>
    <cellStyle name="40% - Énfasis6 4 2 2 3 2" xfId="5790"/>
    <cellStyle name="40% - Énfasis6 4 2 2 3 2 2" xfId="11993"/>
    <cellStyle name="40% - Énfasis6 4 2 2 3 2 3" xfId="18195"/>
    <cellStyle name="40% - Énfasis6 4 2 2 3 2 4" xfId="57023"/>
    <cellStyle name="40% - Énfasis6 4 2 2 3 3" xfId="8893"/>
    <cellStyle name="40% - Énfasis6 4 2 2 3 4" xfId="15095"/>
    <cellStyle name="40% - Énfasis6 4 2 2 3 5" xfId="54128"/>
    <cellStyle name="40% - Énfasis6 4 2 2 4" xfId="3718"/>
    <cellStyle name="40% - Énfasis6 4 2 2 4 2" xfId="9922"/>
    <cellStyle name="40% - Énfasis6 4 2 2 4 3" xfId="16124"/>
    <cellStyle name="40% - Énfasis6 4 2 2 4 4" xfId="55095"/>
    <cellStyle name="40% - Énfasis6 4 2 2 5" xfId="6821"/>
    <cellStyle name="40% - Énfasis6 4 2 2 5 2" xfId="19775"/>
    <cellStyle name="40% - Énfasis6 4 2 2 5 3" xfId="52387"/>
    <cellStyle name="40% - Énfasis6 4 2 2 6" xfId="13023"/>
    <cellStyle name="40% - Énfasis6 4 2 2 7" xfId="42826"/>
    <cellStyle name="40% - Énfasis6 4 2 3" xfId="1650"/>
    <cellStyle name="40% - Énfasis6 4 2 3 2" xfId="4775"/>
    <cellStyle name="40% - Énfasis6 4 2 3 2 2" xfId="10978"/>
    <cellStyle name="40% - Énfasis6 4 2 3 2 3" xfId="17180"/>
    <cellStyle name="40% - Énfasis6 4 2 3 2 4" xfId="56051"/>
    <cellStyle name="40% - Énfasis6 4 2 3 3" xfId="7878"/>
    <cellStyle name="40% - Énfasis6 4 2 3 4" xfId="14080"/>
    <cellStyle name="40% - Énfasis6 4 2 3 5" xfId="53161"/>
    <cellStyle name="40% - Énfasis6 4 2 4" xfId="2665"/>
    <cellStyle name="40% - Énfasis6 4 2 4 2" xfId="5789"/>
    <cellStyle name="40% - Énfasis6 4 2 4 2 2" xfId="11992"/>
    <cellStyle name="40% - Énfasis6 4 2 4 2 3" xfId="18194"/>
    <cellStyle name="40% - Énfasis6 4 2 4 2 4" xfId="57022"/>
    <cellStyle name="40% - Énfasis6 4 2 4 3" xfId="8892"/>
    <cellStyle name="40% - Énfasis6 4 2 4 4" xfId="15094"/>
    <cellStyle name="40% - Énfasis6 4 2 4 5" xfId="54127"/>
    <cellStyle name="40% - Énfasis6 4 2 5" xfId="3717"/>
    <cellStyle name="40% - Énfasis6 4 2 5 2" xfId="9921"/>
    <cellStyle name="40% - Énfasis6 4 2 5 3" xfId="16123"/>
    <cellStyle name="40% - Énfasis6 4 2 5 4" xfId="55094"/>
    <cellStyle name="40% - Énfasis6 4 2 6" xfId="6820"/>
    <cellStyle name="40% - Énfasis6 4 2 6 2" xfId="19251"/>
    <cellStyle name="40% - Énfasis6 4 2 6 3" xfId="52386"/>
    <cellStyle name="40% - Énfasis6 4 2 7" xfId="13022"/>
    <cellStyle name="40% - Énfasis6 4 2 8" xfId="26008"/>
    <cellStyle name="40% - Énfasis6 4 3" xfId="402"/>
    <cellStyle name="40% - Énfasis6 4 3 2" xfId="1928"/>
    <cellStyle name="40% - Énfasis6 4 3 2 2" xfId="5053"/>
    <cellStyle name="40% - Énfasis6 4 3 2 2 2" xfId="11256"/>
    <cellStyle name="40% - Énfasis6 4 3 2 2 3" xfId="17458"/>
    <cellStyle name="40% - Énfasis6 4 3 2 2 4" xfId="56314"/>
    <cellStyle name="40% - Énfasis6 4 3 2 3" xfId="8156"/>
    <cellStyle name="40% - Énfasis6 4 3 2 4" xfId="14358"/>
    <cellStyle name="40% - Énfasis6 4 3 2 5" xfId="53420"/>
    <cellStyle name="40% - Énfasis6 4 3 3" xfId="2667"/>
    <cellStyle name="40% - Énfasis6 4 3 3 2" xfId="5791"/>
    <cellStyle name="40% - Énfasis6 4 3 3 2 2" xfId="11994"/>
    <cellStyle name="40% - Énfasis6 4 3 3 2 3" xfId="18196"/>
    <cellStyle name="40% - Énfasis6 4 3 3 2 4" xfId="57024"/>
    <cellStyle name="40% - Énfasis6 4 3 3 3" xfId="8894"/>
    <cellStyle name="40% - Énfasis6 4 3 3 4" xfId="15096"/>
    <cellStyle name="40% - Énfasis6 4 3 3 5" xfId="54129"/>
    <cellStyle name="40% - Énfasis6 4 3 4" xfId="3719"/>
    <cellStyle name="40% - Énfasis6 4 3 4 2" xfId="9923"/>
    <cellStyle name="40% - Énfasis6 4 3 4 3" xfId="16125"/>
    <cellStyle name="40% - Énfasis6 4 3 4 4" xfId="55096"/>
    <cellStyle name="40% - Énfasis6 4 3 5" xfId="6822"/>
    <cellStyle name="40% - Énfasis6 4 3 5 2" xfId="19529"/>
    <cellStyle name="40% - Énfasis6 4 3 5 3" xfId="52388"/>
    <cellStyle name="40% - Énfasis6 4 3 6" xfId="13024"/>
    <cellStyle name="40% - Énfasis6 4 3 7" xfId="42825"/>
    <cellStyle name="40% - Énfasis6 4 4" xfId="1404"/>
    <cellStyle name="40% - Énfasis6 4 4 2" xfId="4529"/>
    <cellStyle name="40% - Énfasis6 4 4 2 2" xfId="10732"/>
    <cellStyle name="40% - Énfasis6 4 4 2 3" xfId="16934"/>
    <cellStyle name="40% - Énfasis6 4 4 2 4" xfId="55818"/>
    <cellStyle name="40% - Énfasis6 4 4 3" xfId="7632"/>
    <cellStyle name="40% - Énfasis6 4 4 4" xfId="13834"/>
    <cellStyle name="40% - Énfasis6 4 4 5" xfId="52057"/>
    <cellStyle name="40% - Énfasis6 4 5" xfId="2664"/>
    <cellStyle name="40% - Énfasis6 4 5 2" xfId="5788"/>
    <cellStyle name="40% - Énfasis6 4 5 2 2" xfId="11991"/>
    <cellStyle name="40% - Énfasis6 4 5 2 3" xfId="18193"/>
    <cellStyle name="40% - Énfasis6 4 5 2 4" xfId="57021"/>
    <cellStyle name="40% - Énfasis6 4 5 3" xfId="8891"/>
    <cellStyle name="40% - Énfasis6 4 5 4" xfId="15093"/>
    <cellStyle name="40% - Énfasis6 4 5 5" xfId="54126"/>
    <cellStyle name="40% - Énfasis6 4 6" xfId="3716"/>
    <cellStyle name="40% - Énfasis6 4 6 2" xfId="9920"/>
    <cellStyle name="40% - Énfasis6 4 6 3" xfId="16122"/>
    <cellStyle name="40% - Énfasis6 4 6 4" xfId="55093"/>
    <cellStyle name="40% - Énfasis6 4 7" xfId="6819"/>
    <cellStyle name="40% - Énfasis6 4 7 2" xfId="19005"/>
    <cellStyle name="40% - Énfasis6 4 8" xfId="13021"/>
    <cellStyle name="40% - Énfasis6 4 9" xfId="26007"/>
    <cellStyle name="40% - Énfasis6 5" xfId="403"/>
    <cellStyle name="40% - Énfasis6 5 2" xfId="404"/>
    <cellStyle name="40% - Énfasis6 5 2 2" xfId="2066"/>
    <cellStyle name="40% - Énfasis6 5 2 2 2" xfId="5191"/>
    <cellStyle name="40% - Énfasis6 5 2 2 2 2" xfId="11394"/>
    <cellStyle name="40% - Énfasis6 5 2 2 2 3" xfId="17596"/>
    <cellStyle name="40% - Énfasis6 5 2 2 2 4" xfId="56443"/>
    <cellStyle name="40% - Énfasis6 5 2 2 3" xfId="8294"/>
    <cellStyle name="40% - Énfasis6 5 2 2 3 2" xfId="53547"/>
    <cellStyle name="40% - Énfasis6 5 2 2 4" xfId="14496"/>
    <cellStyle name="40% - Énfasis6 5 2 2 5" xfId="42828"/>
    <cellStyle name="40% - Énfasis6 5 2 3" xfId="2669"/>
    <cellStyle name="40% - Énfasis6 5 2 3 2" xfId="5793"/>
    <cellStyle name="40% - Énfasis6 5 2 3 2 2" xfId="11996"/>
    <cellStyle name="40% - Énfasis6 5 2 3 2 3" xfId="18198"/>
    <cellStyle name="40% - Énfasis6 5 2 3 2 4" xfId="57026"/>
    <cellStyle name="40% - Énfasis6 5 2 3 3" xfId="8896"/>
    <cellStyle name="40% - Énfasis6 5 2 3 4" xfId="15098"/>
    <cellStyle name="40% - Énfasis6 5 2 3 5" xfId="54131"/>
    <cellStyle name="40% - Énfasis6 5 2 4" xfId="3721"/>
    <cellStyle name="40% - Énfasis6 5 2 4 2" xfId="9925"/>
    <cellStyle name="40% - Énfasis6 5 2 4 3" xfId="16127"/>
    <cellStyle name="40% - Énfasis6 5 2 4 4" xfId="55098"/>
    <cellStyle name="40% - Énfasis6 5 2 5" xfId="6824"/>
    <cellStyle name="40% - Énfasis6 5 2 5 2" xfId="19667"/>
    <cellStyle name="40% - Énfasis6 5 2 5 3" xfId="52390"/>
    <cellStyle name="40% - Énfasis6 5 2 6" xfId="13026"/>
    <cellStyle name="40% - Énfasis6 5 2 7" xfId="26010"/>
    <cellStyle name="40% - Énfasis6 5 3" xfId="1542"/>
    <cellStyle name="40% - Énfasis6 5 3 2" xfId="4667"/>
    <cellStyle name="40% - Énfasis6 5 3 2 2" xfId="10870"/>
    <cellStyle name="40% - Énfasis6 5 3 2 3" xfId="17072"/>
    <cellStyle name="40% - Énfasis6 5 3 2 4" xfId="55948"/>
    <cellStyle name="40% - Énfasis6 5 3 3" xfId="7770"/>
    <cellStyle name="40% - Énfasis6 5 3 3 2" xfId="53063"/>
    <cellStyle name="40% - Énfasis6 5 3 4" xfId="13972"/>
    <cellStyle name="40% - Énfasis6 5 3 5" xfId="42827"/>
    <cellStyle name="40% - Énfasis6 5 4" xfId="2668"/>
    <cellStyle name="40% - Énfasis6 5 4 2" xfId="5792"/>
    <cellStyle name="40% - Énfasis6 5 4 2 2" xfId="11995"/>
    <cellStyle name="40% - Énfasis6 5 4 2 3" xfId="18197"/>
    <cellStyle name="40% - Énfasis6 5 4 2 4" xfId="57025"/>
    <cellStyle name="40% - Énfasis6 5 4 3" xfId="8895"/>
    <cellStyle name="40% - Énfasis6 5 4 4" xfId="15097"/>
    <cellStyle name="40% - Énfasis6 5 4 5" xfId="54130"/>
    <cellStyle name="40% - Énfasis6 5 5" xfId="3720"/>
    <cellStyle name="40% - Énfasis6 5 5 2" xfId="9924"/>
    <cellStyle name="40% - Énfasis6 5 5 3" xfId="16126"/>
    <cellStyle name="40% - Énfasis6 5 5 4" xfId="55097"/>
    <cellStyle name="40% - Énfasis6 5 6" xfId="6823"/>
    <cellStyle name="40% - Énfasis6 5 6 2" xfId="19143"/>
    <cellStyle name="40% - Énfasis6 5 6 3" xfId="52389"/>
    <cellStyle name="40% - Énfasis6 5 7" xfId="13025"/>
    <cellStyle name="40% - Énfasis6 5 8" xfId="26009"/>
    <cellStyle name="40% - Énfasis6 6" xfId="405"/>
    <cellStyle name="40% - Énfasis6 6 2" xfId="1795"/>
    <cellStyle name="40% - Énfasis6 6 2 2" xfId="4920"/>
    <cellStyle name="40% - Énfasis6 6 2 2 2" xfId="11123"/>
    <cellStyle name="40% - Énfasis6 6 2 2 3" xfId="17325"/>
    <cellStyle name="40% - Énfasis6 6 2 2 4" xfId="56189"/>
    <cellStyle name="40% - Énfasis6 6 2 3" xfId="8023"/>
    <cellStyle name="40% - Énfasis6 6 2 3 2" xfId="53296"/>
    <cellStyle name="40% - Énfasis6 6 2 4" xfId="14225"/>
    <cellStyle name="40% - Énfasis6 6 2 5" xfId="42829"/>
    <cellStyle name="40% - Énfasis6 6 3" xfId="2670"/>
    <cellStyle name="40% - Énfasis6 6 3 2" xfId="5794"/>
    <cellStyle name="40% - Énfasis6 6 3 2 2" xfId="11997"/>
    <cellStyle name="40% - Énfasis6 6 3 2 3" xfId="18199"/>
    <cellStyle name="40% - Énfasis6 6 3 2 4" xfId="57027"/>
    <cellStyle name="40% - Énfasis6 6 3 3" xfId="8897"/>
    <cellStyle name="40% - Énfasis6 6 3 4" xfId="15099"/>
    <cellStyle name="40% - Énfasis6 6 3 5" xfId="54132"/>
    <cellStyle name="40% - Énfasis6 6 4" xfId="3722"/>
    <cellStyle name="40% - Énfasis6 6 4 2" xfId="9926"/>
    <cellStyle name="40% - Énfasis6 6 4 3" xfId="16128"/>
    <cellStyle name="40% - Énfasis6 6 4 4" xfId="55099"/>
    <cellStyle name="40% - Énfasis6 6 5" xfId="6825"/>
    <cellStyle name="40% - Énfasis6 6 5 2" xfId="19396"/>
    <cellStyle name="40% - Énfasis6 6 5 3" xfId="52391"/>
    <cellStyle name="40% - Énfasis6 6 6" xfId="13027"/>
    <cellStyle name="40% - Énfasis6 6 7" xfId="26011"/>
    <cellStyle name="40% - Énfasis6 7" xfId="1264"/>
    <cellStyle name="40% - Énfasis6 7 2" xfId="4389"/>
    <cellStyle name="40% - Énfasis6 7 2 2" xfId="10592"/>
    <cellStyle name="40% - Énfasis6 7 2 2 2" xfId="55685"/>
    <cellStyle name="40% - Énfasis6 7 2 3" xfId="16794"/>
    <cellStyle name="40% - Énfasis6 7 2 4" xfId="42830"/>
    <cellStyle name="40% - Énfasis6 7 3" xfId="7492"/>
    <cellStyle name="40% - Énfasis6 7 3 2" xfId="52816"/>
    <cellStyle name="40% - Énfasis6 7 4" xfId="13694"/>
    <cellStyle name="40% - Énfasis6 7 5" xfId="26012"/>
    <cellStyle name="40% - Énfasis6 8" xfId="18865"/>
    <cellStyle name="40% - Énfasis6 8 10" xfId="26014"/>
    <cellStyle name="40% - Énfasis6 8 10 2" xfId="26015"/>
    <cellStyle name="40% - Énfasis6 8 10 2 2" xfId="26016"/>
    <cellStyle name="40% - Énfasis6 8 10 2 2 2" xfId="42834"/>
    <cellStyle name="40% - Énfasis6 8 10 2 3" xfId="42833"/>
    <cellStyle name="40% - Énfasis6 8 10 3" xfId="26017"/>
    <cellStyle name="40% - Énfasis6 8 10 3 2" xfId="42835"/>
    <cellStyle name="40% - Énfasis6 8 10 4" xfId="42832"/>
    <cellStyle name="40% - Énfasis6 8 11" xfId="26018"/>
    <cellStyle name="40% - Énfasis6 8 11 2" xfId="26019"/>
    <cellStyle name="40% - Énfasis6 8 11 2 2" xfId="26020"/>
    <cellStyle name="40% - Énfasis6 8 11 2 2 2" xfId="42838"/>
    <cellStyle name="40% - Énfasis6 8 11 2 3" xfId="42837"/>
    <cellStyle name="40% - Énfasis6 8 11 3" xfId="26021"/>
    <cellStyle name="40% - Énfasis6 8 11 3 2" xfId="42839"/>
    <cellStyle name="40% - Énfasis6 8 11 4" xfId="42836"/>
    <cellStyle name="40% - Énfasis6 8 12" xfId="26022"/>
    <cellStyle name="40% - Énfasis6 8 12 2" xfId="26023"/>
    <cellStyle name="40% - Énfasis6 8 12 2 2" xfId="42841"/>
    <cellStyle name="40% - Énfasis6 8 12 3" xfId="42840"/>
    <cellStyle name="40% - Énfasis6 8 13" xfId="26024"/>
    <cellStyle name="40% - Énfasis6 8 13 2" xfId="26025"/>
    <cellStyle name="40% - Énfasis6 8 13 2 2" xfId="42843"/>
    <cellStyle name="40% - Énfasis6 8 13 3" xfId="42842"/>
    <cellStyle name="40% - Énfasis6 8 14" xfId="26026"/>
    <cellStyle name="40% - Énfasis6 8 14 2" xfId="42844"/>
    <cellStyle name="40% - Énfasis6 8 15" xfId="26027"/>
    <cellStyle name="40% - Énfasis6 8 15 2" xfId="42845"/>
    <cellStyle name="40% - Énfasis6 8 16" xfId="42831"/>
    <cellStyle name="40% - Énfasis6 8 17" xfId="26013"/>
    <cellStyle name="40% - Énfasis6 8 2" xfId="26028"/>
    <cellStyle name="40% - Énfasis6 8 2 10" xfId="26029"/>
    <cellStyle name="40% - Énfasis6 8 2 10 2" xfId="26030"/>
    <cellStyle name="40% - Énfasis6 8 2 10 2 2" xfId="26031"/>
    <cellStyle name="40% - Énfasis6 8 2 10 2 2 2" xfId="42849"/>
    <cellStyle name="40% - Énfasis6 8 2 10 2 3" xfId="42848"/>
    <cellStyle name="40% - Énfasis6 8 2 10 3" xfId="26032"/>
    <cellStyle name="40% - Énfasis6 8 2 10 3 2" xfId="42850"/>
    <cellStyle name="40% - Énfasis6 8 2 10 4" xfId="42847"/>
    <cellStyle name="40% - Énfasis6 8 2 11" xfId="26033"/>
    <cellStyle name="40% - Énfasis6 8 2 11 2" xfId="26034"/>
    <cellStyle name="40% - Énfasis6 8 2 11 2 2" xfId="42852"/>
    <cellStyle name="40% - Énfasis6 8 2 11 3" xfId="42851"/>
    <cellStyle name="40% - Énfasis6 8 2 12" xfId="26035"/>
    <cellStyle name="40% - Énfasis6 8 2 12 2" xfId="26036"/>
    <cellStyle name="40% - Énfasis6 8 2 12 2 2" xfId="42854"/>
    <cellStyle name="40% - Énfasis6 8 2 12 3" xfId="42853"/>
    <cellStyle name="40% - Énfasis6 8 2 13" xfId="26037"/>
    <cellStyle name="40% - Énfasis6 8 2 13 2" xfId="42855"/>
    <cellStyle name="40% - Énfasis6 8 2 14" xfId="26038"/>
    <cellStyle name="40% - Énfasis6 8 2 14 2" xfId="42856"/>
    <cellStyle name="40% - Énfasis6 8 2 15" xfId="42846"/>
    <cellStyle name="40% - Énfasis6 8 2 2" xfId="26039"/>
    <cellStyle name="40% - Énfasis6 8 2 2 2" xfId="26040"/>
    <cellStyle name="40% - Énfasis6 8 2 2 2 2" xfId="26041"/>
    <cellStyle name="40% - Énfasis6 8 2 2 2 2 2" xfId="26042"/>
    <cellStyle name="40% - Énfasis6 8 2 2 2 2 2 2" xfId="26043"/>
    <cellStyle name="40% - Énfasis6 8 2 2 2 2 2 2 2" xfId="26044"/>
    <cellStyle name="40% - Énfasis6 8 2 2 2 2 2 2 2 2" xfId="42862"/>
    <cellStyle name="40% - Énfasis6 8 2 2 2 2 2 2 3" xfId="42861"/>
    <cellStyle name="40% - Énfasis6 8 2 2 2 2 2 3" xfId="26045"/>
    <cellStyle name="40% - Énfasis6 8 2 2 2 2 2 3 2" xfId="26046"/>
    <cellStyle name="40% - Énfasis6 8 2 2 2 2 2 3 2 2" xfId="42864"/>
    <cellStyle name="40% - Énfasis6 8 2 2 2 2 2 3 3" xfId="42863"/>
    <cellStyle name="40% - Énfasis6 8 2 2 2 2 2 4" xfId="26047"/>
    <cellStyle name="40% - Énfasis6 8 2 2 2 2 2 4 2" xfId="42865"/>
    <cellStyle name="40% - Énfasis6 8 2 2 2 2 2 5" xfId="42860"/>
    <cellStyle name="40% - Énfasis6 8 2 2 2 2 3" xfId="26048"/>
    <cellStyle name="40% - Énfasis6 8 2 2 2 2 3 2" xfId="42866"/>
    <cellStyle name="40% - Énfasis6 8 2 2 2 2 4" xfId="26049"/>
    <cellStyle name="40% - Énfasis6 8 2 2 2 2 4 2" xfId="26050"/>
    <cellStyle name="40% - Énfasis6 8 2 2 2 2 4 2 2" xfId="42868"/>
    <cellStyle name="40% - Énfasis6 8 2 2 2 2 4 3" xfId="42867"/>
    <cellStyle name="40% - Énfasis6 8 2 2 2 2 5" xfId="26051"/>
    <cellStyle name="40% - Énfasis6 8 2 2 2 2 5 2" xfId="42869"/>
    <cellStyle name="40% - Énfasis6 8 2 2 2 2 6" xfId="42859"/>
    <cellStyle name="40% - Énfasis6 8 2 2 2 2_IAS" xfId="26052"/>
    <cellStyle name="40% - Énfasis6 8 2 2 2 3" xfId="26053"/>
    <cellStyle name="40% - Énfasis6 8 2 2 2 3 2" xfId="26054"/>
    <cellStyle name="40% - Énfasis6 8 2 2 2 3 2 2" xfId="26055"/>
    <cellStyle name="40% - Énfasis6 8 2 2 2 3 2 2 2" xfId="42872"/>
    <cellStyle name="40% - Énfasis6 8 2 2 2 3 2 3" xfId="42871"/>
    <cellStyle name="40% - Énfasis6 8 2 2 2 3 3" xfId="26056"/>
    <cellStyle name="40% - Énfasis6 8 2 2 2 3 3 2" xfId="26057"/>
    <cellStyle name="40% - Énfasis6 8 2 2 2 3 3 2 2" xfId="42874"/>
    <cellStyle name="40% - Énfasis6 8 2 2 2 3 3 3" xfId="42873"/>
    <cellStyle name="40% - Énfasis6 8 2 2 2 3 4" xfId="26058"/>
    <cellStyle name="40% - Énfasis6 8 2 2 2 3 4 2" xfId="42875"/>
    <cellStyle name="40% - Énfasis6 8 2 2 2 3 5" xfId="42870"/>
    <cellStyle name="40% - Énfasis6 8 2 2 2 4" xfId="26059"/>
    <cellStyle name="40% - Énfasis6 8 2 2 2 4 2" xfId="42876"/>
    <cellStyle name="40% - Énfasis6 8 2 2 2 5" xfId="26060"/>
    <cellStyle name="40% - Énfasis6 8 2 2 2 5 2" xfId="26061"/>
    <cellStyle name="40% - Énfasis6 8 2 2 2 5 2 2" xfId="42878"/>
    <cellStyle name="40% - Énfasis6 8 2 2 2 5 3" xfId="42877"/>
    <cellStyle name="40% - Énfasis6 8 2 2 2 6" xfId="26062"/>
    <cellStyle name="40% - Énfasis6 8 2 2 2 6 2" xfId="42879"/>
    <cellStyle name="40% - Énfasis6 8 2 2 2 7" xfId="42858"/>
    <cellStyle name="40% - Énfasis6 8 2 2 2_IAS" xfId="26063"/>
    <cellStyle name="40% - Énfasis6 8 2 2 3" xfId="26064"/>
    <cellStyle name="40% - Énfasis6 8 2 2 3 2" xfId="26065"/>
    <cellStyle name="40% - Énfasis6 8 2 2 3 2 2" xfId="26066"/>
    <cellStyle name="40% - Énfasis6 8 2 2 3 2 2 2" xfId="26067"/>
    <cellStyle name="40% - Énfasis6 8 2 2 3 2 2 2 2" xfId="42883"/>
    <cellStyle name="40% - Énfasis6 8 2 2 3 2 2 3" xfId="42882"/>
    <cellStyle name="40% - Énfasis6 8 2 2 3 2 3" xfId="26068"/>
    <cellStyle name="40% - Énfasis6 8 2 2 3 2 3 2" xfId="26069"/>
    <cellStyle name="40% - Énfasis6 8 2 2 3 2 3 2 2" xfId="42885"/>
    <cellStyle name="40% - Énfasis6 8 2 2 3 2 3 3" xfId="42884"/>
    <cellStyle name="40% - Énfasis6 8 2 2 3 2 4" xfId="26070"/>
    <cellStyle name="40% - Énfasis6 8 2 2 3 2 4 2" xfId="42886"/>
    <cellStyle name="40% - Énfasis6 8 2 2 3 2 5" xfId="42881"/>
    <cellStyle name="40% - Énfasis6 8 2 2 3 3" xfId="26071"/>
    <cellStyle name="40% - Énfasis6 8 2 2 3 3 2" xfId="42887"/>
    <cellStyle name="40% - Énfasis6 8 2 2 3 4" xfId="26072"/>
    <cellStyle name="40% - Énfasis6 8 2 2 3 4 2" xfId="26073"/>
    <cellStyle name="40% - Énfasis6 8 2 2 3 4 2 2" xfId="42889"/>
    <cellStyle name="40% - Énfasis6 8 2 2 3 4 3" xfId="42888"/>
    <cellStyle name="40% - Énfasis6 8 2 2 3 5" xfId="26074"/>
    <cellStyle name="40% - Énfasis6 8 2 2 3 5 2" xfId="42890"/>
    <cellStyle name="40% - Énfasis6 8 2 2 3 6" xfId="42880"/>
    <cellStyle name="40% - Énfasis6 8 2 2 3_IAS" xfId="26075"/>
    <cellStyle name="40% - Énfasis6 8 2 2 4" xfId="26076"/>
    <cellStyle name="40% - Énfasis6 8 2 2 4 2" xfId="26077"/>
    <cellStyle name="40% - Énfasis6 8 2 2 4 2 2" xfId="26078"/>
    <cellStyle name="40% - Énfasis6 8 2 2 4 2 2 2" xfId="42893"/>
    <cellStyle name="40% - Énfasis6 8 2 2 4 2 3" xfId="42892"/>
    <cellStyle name="40% - Énfasis6 8 2 2 4 3" xfId="26079"/>
    <cellStyle name="40% - Énfasis6 8 2 2 4 3 2" xfId="26080"/>
    <cellStyle name="40% - Énfasis6 8 2 2 4 3 2 2" xfId="42895"/>
    <cellStyle name="40% - Énfasis6 8 2 2 4 3 3" xfId="42894"/>
    <cellStyle name="40% - Énfasis6 8 2 2 4 4" xfId="26081"/>
    <cellStyle name="40% - Énfasis6 8 2 2 4 4 2" xfId="42896"/>
    <cellStyle name="40% - Énfasis6 8 2 2 4 5" xfId="42891"/>
    <cellStyle name="40% - Énfasis6 8 2 2 5" xfId="26082"/>
    <cellStyle name="40% - Énfasis6 8 2 2 5 2" xfId="42897"/>
    <cellStyle name="40% - Énfasis6 8 2 2 6" xfId="26083"/>
    <cellStyle name="40% - Énfasis6 8 2 2 6 2" xfId="26084"/>
    <cellStyle name="40% - Énfasis6 8 2 2 6 2 2" xfId="42899"/>
    <cellStyle name="40% - Énfasis6 8 2 2 6 3" xfId="42898"/>
    <cellStyle name="40% - Énfasis6 8 2 2 7" xfId="26085"/>
    <cellStyle name="40% - Énfasis6 8 2 2 7 2" xfId="42900"/>
    <cellStyle name="40% - Énfasis6 8 2 2 8" xfId="42857"/>
    <cellStyle name="40% - Énfasis6 8 2 2_IAS" xfId="26086"/>
    <cellStyle name="40% - Énfasis6 8 2 3" xfId="26087"/>
    <cellStyle name="40% - Énfasis6 8 2 3 2" xfId="26088"/>
    <cellStyle name="40% - Énfasis6 8 2 3 2 2" xfId="26089"/>
    <cellStyle name="40% - Énfasis6 8 2 3 2 2 2" xfId="26090"/>
    <cellStyle name="40% - Énfasis6 8 2 3 2 2 2 2" xfId="26091"/>
    <cellStyle name="40% - Énfasis6 8 2 3 2 2 2 2 2" xfId="26092"/>
    <cellStyle name="40% - Énfasis6 8 2 3 2 2 2 2 2 2" xfId="42906"/>
    <cellStyle name="40% - Énfasis6 8 2 3 2 2 2 2 3" xfId="42905"/>
    <cellStyle name="40% - Énfasis6 8 2 3 2 2 2 3" xfId="26093"/>
    <cellStyle name="40% - Énfasis6 8 2 3 2 2 2 3 2" xfId="26094"/>
    <cellStyle name="40% - Énfasis6 8 2 3 2 2 2 3 2 2" xfId="42908"/>
    <cellStyle name="40% - Énfasis6 8 2 3 2 2 2 3 3" xfId="42907"/>
    <cellStyle name="40% - Énfasis6 8 2 3 2 2 2 4" xfId="26095"/>
    <cellStyle name="40% - Énfasis6 8 2 3 2 2 2 4 2" xfId="42909"/>
    <cellStyle name="40% - Énfasis6 8 2 3 2 2 2 5" xfId="42904"/>
    <cellStyle name="40% - Énfasis6 8 2 3 2 2 3" xfId="26096"/>
    <cellStyle name="40% - Énfasis6 8 2 3 2 2 3 2" xfId="42910"/>
    <cellStyle name="40% - Énfasis6 8 2 3 2 2 4" xfId="26097"/>
    <cellStyle name="40% - Énfasis6 8 2 3 2 2 4 2" xfId="26098"/>
    <cellStyle name="40% - Énfasis6 8 2 3 2 2 4 2 2" xfId="42912"/>
    <cellStyle name="40% - Énfasis6 8 2 3 2 2 4 3" xfId="42911"/>
    <cellStyle name="40% - Énfasis6 8 2 3 2 2 5" xfId="26099"/>
    <cellStyle name="40% - Énfasis6 8 2 3 2 2 5 2" xfId="42913"/>
    <cellStyle name="40% - Énfasis6 8 2 3 2 2 6" xfId="42903"/>
    <cellStyle name="40% - Énfasis6 8 2 3 2 2_IAS" xfId="26100"/>
    <cellStyle name="40% - Énfasis6 8 2 3 2 3" xfId="26101"/>
    <cellStyle name="40% - Énfasis6 8 2 3 2 3 2" xfId="26102"/>
    <cellStyle name="40% - Énfasis6 8 2 3 2 3 2 2" xfId="26103"/>
    <cellStyle name="40% - Énfasis6 8 2 3 2 3 2 2 2" xfId="42916"/>
    <cellStyle name="40% - Énfasis6 8 2 3 2 3 2 3" xfId="42915"/>
    <cellStyle name="40% - Énfasis6 8 2 3 2 3 3" xfId="26104"/>
    <cellStyle name="40% - Énfasis6 8 2 3 2 3 3 2" xfId="26105"/>
    <cellStyle name="40% - Énfasis6 8 2 3 2 3 3 2 2" xfId="42918"/>
    <cellStyle name="40% - Énfasis6 8 2 3 2 3 3 3" xfId="42917"/>
    <cellStyle name="40% - Énfasis6 8 2 3 2 3 4" xfId="26106"/>
    <cellStyle name="40% - Énfasis6 8 2 3 2 3 4 2" xfId="42919"/>
    <cellStyle name="40% - Énfasis6 8 2 3 2 3 5" xfId="42914"/>
    <cellStyle name="40% - Énfasis6 8 2 3 2 4" xfId="26107"/>
    <cellStyle name="40% - Énfasis6 8 2 3 2 4 2" xfId="42920"/>
    <cellStyle name="40% - Énfasis6 8 2 3 2 5" xfId="26108"/>
    <cellStyle name="40% - Énfasis6 8 2 3 2 5 2" xfId="26109"/>
    <cellStyle name="40% - Énfasis6 8 2 3 2 5 2 2" xfId="42922"/>
    <cellStyle name="40% - Énfasis6 8 2 3 2 5 3" xfId="42921"/>
    <cellStyle name="40% - Énfasis6 8 2 3 2 6" xfId="26110"/>
    <cellStyle name="40% - Énfasis6 8 2 3 2 6 2" xfId="42923"/>
    <cellStyle name="40% - Énfasis6 8 2 3 2 7" xfId="42902"/>
    <cellStyle name="40% - Énfasis6 8 2 3 2_IAS" xfId="26111"/>
    <cellStyle name="40% - Énfasis6 8 2 3 3" xfId="26112"/>
    <cellStyle name="40% - Énfasis6 8 2 3 3 2" xfId="26113"/>
    <cellStyle name="40% - Énfasis6 8 2 3 3 2 2" xfId="26114"/>
    <cellStyle name="40% - Énfasis6 8 2 3 3 2 2 2" xfId="26115"/>
    <cellStyle name="40% - Énfasis6 8 2 3 3 2 2 2 2" xfId="42927"/>
    <cellStyle name="40% - Énfasis6 8 2 3 3 2 2 3" xfId="42926"/>
    <cellStyle name="40% - Énfasis6 8 2 3 3 2 3" xfId="26116"/>
    <cellStyle name="40% - Énfasis6 8 2 3 3 2 3 2" xfId="26117"/>
    <cellStyle name="40% - Énfasis6 8 2 3 3 2 3 2 2" xfId="42929"/>
    <cellStyle name="40% - Énfasis6 8 2 3 3 2 3 3" xfId="42928"/>
    <cellStyle name="40% - Énfasis6 8 2 3 3 2 4" xfId="26118"/>
    <cellStyle name="40% - Énfasis6 8 2 3 3 2 4 2" xfId="42930"/>
    <cellStyle name="40% - Énfasis6 8 2 3 3 2 5" xfId="42925"/>
    <cellStyle name="40% - Énfasis6 8 2 3 3 3" xfId="26119"/>
    <cellStyle name="40% - Énfasis6 8 2 3 3 3 2" xfId="42931"/>
    <cellStyle name="40% - Énfasis6 8 2 3 3 4" xfId="26120"/>
    <cellStyle name="40% - Énfasis6 8 2 3 3 4 2" xfId="26121"/>
    <cellStyle name="40% - Énfasis6 8 2 3 3 4 2 2" xfId="42933"/>
    <cellStyle name="40% - Énfasis6 8 2 3 3 4 3" xfId="42932"/>
    <cellStyle name="40% - Énfasis6 8 2 3 3 5" xfId="26122"/>
    <cellStyle name="40% - Énfasis6 8 2 3 3 5 2" xfId="42934"/>
    <cellStyle name="40% - Énfasis6 8 2 3 3 6" xfId="42924"/>
    <cellStyle name="40% - Énfasis6 8 2 3 3_IAS" xfId="26123"/>
    <cellStyle name="40% - Énfasis6 8 2 3 4" xfId="26124"/>
    <cellStyle name="40% - Énfasis6 8 2 3 4 2" xfId="26125"/>
    <cellStyle name="40% - Énfasis6 8 2 3 4 2 2" xfId="26126"/>
    <cellStyle name="40% - Énfasis6 8 2 3 4 2 2 2" xfId="42937"/>
    <cellStyle name="40% - Énfasis6 8 2 3 4 2 3" xfId="42936"/>
    <cellStyle name="40% - Énfasis6 8 2 3 4 3" xfId="26127"/>
    <cellStyle name="40% - Énfasis6 8 2 3 4 3 2" xfId="26128"/>
    <cellStyle name="40% - Énfasis6 8 2 3 4 3 2 2" xfId="42939"/>
    <cellStyle name="40% - Énfasis6 8 2 3 4 3 3" xfId="42938"/>
    <cellStyle name="40% - Énfasis6 8 2 3 4 4" xfId="26129"/>
    <cellStyle name="40% - Énfasis6 8 2 3 4 4 2" xfId="42940"/>
    <cellStyle name="40% - Énfasis6 8 2 3 4 5" xfId="42935"/>
    <cellStyle name="40% - Énfasis6 8 2 3 5" xfId="26130"/>
    <cellStyle name="40% - Énfasis6 8 2 3 5 2" xfId="42941"/>
    <cellStyle name="40% - Énfasis6 8 2 3 6" xfId="26131"/>
    <cellStyle name="40% - Énfasis6 8 2 3 6 2" xfId="26132"/>
    <cellStyle name="40% - Énfasis6 8 2 3 6 2 2" xfId="42943"/>
    <cellStyle name="40% - Énfasis6 8 2 3 6 3" xfId="42942"/>
    <cellStyle name="40% - Énfasis6 8 2 3 7" xfId="26133"/>
    <cellStyle name="40% - Énfasis6 8 2 3 7 2" xfId="42944"/>
    <cellStyle name="40% - Énfasis6 8 2 3 8" xfId="42901"/>
    <cellStyle name="40% - Énfasis6 8 2 3_IAS" xfId="26134"/>
    <cellStyle name="40% - Énfasis6 8 2 4" xfId="26135"/>
    <cellStyle name="40% - Énfasis6 8 2 4 2" xfId="42945"/>
    <cellStyle name="40% - Énfasis6 8 2 5" xfId="26136"/>
    <cellStyle name="40% - Énfasis6 8 2 5 2" xfId="26137"/>
    <cellStyle name="40% - Énfasis6 8 2 5 2 2" xfId="26138"/>
    <cellStyle name="40% - Énfasis6 8 2 5 2 2 2" xfId="26139"/>
    <cellStyle name="40% - Énfasis6 8 2 5 2 2 2 2" xfId="26140"/>
    <cellStyle name="40% - Énfasis6 8 2 5 2 2 2 2 2" xfId="42950"/>
    <cellStyle name="40% - Énfasis6 8 2 5 2 2 2 3" xfId="42949"/>
    <cellStyle name="40% - Énfasis6 8 2 5 2 2 3" xfId="26141"/>
    <cellStyle name="40% - Énfasis6 8 2 5 2 2 3 2" xfId="26142"/>
    <cellStyle name="40% - Énfasis6 8 2 5 2 2 3 2 2" xfId="42952"/>
    <cellStyle name="40% - Énfasis6 8 2 5 2 2 3 3" xfId="42951"/>
    <cellStyle name="40% - Énfasis6 8 2 5 2 2 4" xfId="26143"/>
    <cellStyle name="40% - Énfasis6 8 2 5 2 2 4 2" xfId="42953"/>
    <cellStyle name="40% - Énfasis6 8 2 5 2 2 5" xfId="42948"/>
    <cellStyle name="40% - Énfasis6 8 2 5 2 3" xfId="26144"/>
    <cellStyle name="40% - Énfasis6 8 2 5 2 3 2" xfId="42954"/>
    <cellStyle name="40% - Énfasis6 8 2 5 2 4" xfId="26145"/>
    <cellStyle name="40% - Énfasis6 8 2 5 2 4 2" xfId="26146"/>
    <cellStyle name="40% - Énfasis6 8 2 5 2 4 2 2" xfId="42956"/>
    <cellStyle name="40% - Énfasis6 8 2 5 2 4 3" xfId="42955"/>
    <cellStyle name="40% - Énfasis6 8 2 5 2 5" xfId="26147"/>
    <cellStyle name="40% - Énfasis6 8 2 5 2 5 2" xfId="42957"/>
    <cellStyle name="40% - Énfasis6 8 2 5 2 6" xfId="42947"/>
    <cellStyle name="40% - Énfasis6 8 2 5 2_IAS" xfId="26148"/>
    <cellStyle name="40% - Énfasis6 8 2 5 3" xfId="26149"/>
    <cellStyle name="40% - Énfasis6 8 2 5 3 2" xfId="26150"/>
    <cellStyle name="40% - Énfasis6 8 2 5 3 2 2" xfId="26151"/>
    <cellStyle name="40% - Énfasis6 8 2 5 3 2 2 2" xfId="42960"/>
    <cellStyle name="40% - Énfasis6 8 2 5 3 2 3" xfId="42959"/>
    <cellStyle name="40% - Énfasis6 8 2 5 3 3" xfId="26152"/>
    <cellStyle name="40% - Énfasis6 8 2 5 3 3 2" xfId="26153"/>
    <cellStyle name="40% - Énfasis6 8 2 5 3 3 2 2" xfId="42962"/>
    <cellStyle name="40% - Énfasis6 8 2 5 3 3 3" xfId="42961"/>
    <cellStyle name="40% - Énfasis6 8 2 5 3 4" xfId="26154"/>
    <cellStyle name="40% - Énfasis6 8 2 5 3 4 2" xfId="42963"/>
    <cellStyle name="40% - Énfasis6 8 2 5 3 5" xfId="42958"/>
    <cellStyle name="40% - Énfasis6 8 2 5 4" xfId="26155"/>
    <cellStyle name="40% - Énfasis6 8 2 5 4 2" xfId="42964"/>
    <cellStyle name="40% - Énfasis6 8 2 5 5" xfId="26156"/>
    <cellStyle name="40% - Énfasis6 8 2 5 5 2" xfId="26157"/>
    <cellStyle name="40% - Énfasis6 8 2 5 5 2 2" xfId="42966"/>
    <cellStyle name="40% - Énfasis6 8 2 5 5 3" xfId="42965"/>
    <cellStyle name="40% - Énfasis6 8 2 5 6" xfId="26158"/>
    <cellStyle name="40% - Énfasis6 8 2 5 6 2" xfId="42967"/>
    <cellStyle name="40% - Énfasis6 8 2 5 7" xfId="42946"/>
    <cellStyle name="40% - Énfasis6 8 2 5_IAS" xfId="26159"/>
    <cellStyle name="40% - Énfasis6 8 2 6" xfId="26160"/>
    <cellStyle name="40% - Énfasis6 8 2 6 2" xfId="26161"/>
    <cellStyle name="40% - Énfasis6 8 2 6 2 2" xfId="26162"/>
    <cellStyle name="40% - Énfasis6 8 2 6 2 2 2" xfId="26163"/>
    <cellStyle name="40% - Énfasis6 8 2 6 2 2 2 2" xfId="42971"/>
    <cellStyle name="40% - Énfasis6 8 2 6 2 2 3" xfId="42970"/>
    <cellStyle name="40% - Énfasis6 8 2 6 2 3" xfId="26164"/>
    <cellStyle name="40% - Énfasis6 8 2 6 2 3 2" xfId="26165"/>
    <cellStyle name="40% - Énfasis6 8 2 6 2 3 2 2" xfId="42973"/>
    <cellStyle name="40% - Énfasis6 8 2 6 2 3 3" xfId="42972"/>
    <cellStyle name="40% - Énfasis6 8 2 6 2 4" xfId="26166"/>
    <cellStyle name="40% - Énfasis6 8 2 6 2 4 2" xfId="42974"/>
    <cellStyle name="40% - Énfasis6 8 2 6 2 5" xfId="42969"/>
    <cellStyle name="40% - Énfasis6 8 2 6 3" xfId="26167"/>
    <cellStyle name="40% - Énfasis6 8 2 6 3 2" xfId="42975"/>
    <cellStyle name="40% - Énfasis6 8 2 6 4" xfId="26168"/>
    <cellStyle name="40% - Énfasis6 8 2 6 4 2" xfId="26169"/>
    <cellStyle name="40% - Énfasis6 8 2 6 4 2 2" xfId="42977"/>
    <cellStyle name="40% - Énfasis6 8 2 6 4 3" xfId="42976"/>
    <cellStyle name="40% - Énfasis6 8 2 6 5" xfId="26170"/>
    <cellStyle name="40% - Énfasis6 8 2 6 5 2" xfId="42978"/>
    <cellStyle name="40% - Énfasis6 8 2 6 6" xfId="42968"/>
    <cellStyle name="40% - Énfasis6 8 2 6_IAS" xfId="26171"/>
    <cellStyle name="40% - Énfasis6 8 2 7" xfId="26172"/>
    <cellStyle name="40% - Énfasis6 8 2 7 2" xfId="26173"/>
    <cellStyle name="40% - Énfasis6 8 2 7 2 2" xfId="26174"/>
    <cellStyle name="40% - Énfasis6 8 2 7 2 2 2" xfId="42981"/>
    <cellStyle name="40% - Énfasis6 8 2 7 2 3" xfId="42980"/>
    <cellStyle name="40% - Énfasis6 8 2 7 3" xfId="26175"/>
    <cellStyle name="40% - Énfasis6 8 2 7 3 2" xfId="26176"/>
    <cellStyle name="40% - Énfasis6 8 2 7 3 2 2" xfId="42983"/>
    <cellStyle name="40% - Énfasis6 8 2 7 3 3" xfId="42982"/>
    <cellStyle name="40% - Énfasis6 8 2 7 4" xfId="26177"/>
    <cellStyle name="40% - Énfasis6 8 2 7 4 2" xfId="42984"/>
    <cellStyle name="40% - Énfasis6 8 2 7 5" xfId="42979"/>
    <cellStyle name="40% - Énfasis6 8 2 8" xfId="26178"/>
    <cellStyle name="40% - Énfasis6 8 2 8 2" xfId="26179"/>
    <cellStyle name="40% - Énfasis6 8 2 8 2 2" xfId="26180"/>
    <cellStyle name="40% - Énfasis6 8 2 8 2 2 2" xfId="42987"/>
    <cellStyle name="40% - Énfasis6 8 2 8 2 3" xfId="42986"/>
    <cellStyle name="40% - Énfasis6 8 2 8 3" xfId="26181"/>
    <cellStyle name="40% - Énfasis6 8 2 8 3 2" xfId="42988"/>
    <cellStyle name="40% - Énfasis6 8 2 8 4" xfId="42985"/>
    <cellStyle name="40% - Énfasis6 8 2 9" xfId="26182"/>
    <cellStyle name="40% - Énfasis6 8 2 9 2" xfId="26183"/>
    <cellStyle name="40% - Énfasis6 8 2 9 2 2" xfId="26184"/>
    <cellStyle name="40% - Énfasis6 8 2 9 2 2 2" xfId="42991"/>
    <cellStyle name="40% - Énfasis6 8 2 9 2 3" xfId="42990"/>
    <cellStyle name="40% - Énfasis6 8 2 9 3" xfId="26185"/>
    <cellStyle name="40% - Énfasis6 8 2 9 3 2" xfId="42992"/>
    <cellStyle name="40% - Énfasis6 8 2 9 4" xfId="42989"/>
    <cellStyle name="40% - Énfasis6 8 2_IAS" xfId="26186"/>
    <cellStyle name="40% - Énfasis6 8 3" xfId="26187"/>
    <cellStyle name="40% - Énfasis6 8 3 2" xfId="26188"/>
    <cellStyle name="40% - Énfasis6 8 3 2 2" xfId="26189"/>
    <cellStyle name="40% - Énfasis6 8 3 2 2 2" xfId="26190"/>
    <cellStyle name="40% - Énfasis6 8 3 2 2 2 2" xfId="26191"/>
    <cellStyle name="40% - Énfasis6 8 3 2 2 2 2 2" xfId="26192"/>
    <cellStyle name="40% - Énfasis6 8 3 2 2 2 2 2 2" xfId="42998"/>
    <cellStyle name="40% - Énfasis6 8 3 2 2 2 2 3" xfId="42997"/>
    <cellStyle name="40% - Énfasis6 8 3 2 2 2 3" xfId="26193"/>
    <cellStyle name="40% - Énfasis6 8 3 2 2 2 3 2" xfId="26194"/>
    <cellStyle name="40% - Énfasis6 8 3 2 2 2 3 2 2" xfId="43000"/>
    <cellStyle name="40% - Énfasis6 8 3 2 2 2 3 3" xfId="42999"/>
    <cellStyle name="40% - Énfasis6 8 3 2 2 2 4" xfId="26195"/>
    <cellStyle name="40% - Énfasis6 8 3 2 2 2 4 2" xfId="43001"/>
    <cellStyle name="40% - Énfasis6 8 3 2 2 2 5" xfId="42996"/>
    <cellStyle name="40% - Énfasis6 8 3 2 2 3" xfId="26196"/>
    <cellStyle name="40% - Énfasis6 8 3 2 2 3 2" xfId="43002"/>
    <cellStyle name="40% - Énfasis6 8 3 2 2 4" xfId="26197"/>
    <cellStyle name="40% - Énfasis6 8 3 2 2 4 2" xfId="26198"/>
    <cellStyle name="40% - Énfasis6 8 3 2 2 4 2 2" xfId="43004"/>
    <cellStyle name="40% - Énfasis6 8 3 2 2 4 3" xfId="43003"/>
    <cellStyle name="40% - Énfasis6 8 3 2 2 5" xfId="26199"/>
    <cellStyle name="40% - Énfasis6 8 3 2 2 5 2" xfId="43005"/>
    <cellStyle name="40% - Énfasis6 8 3 2 2 6" xfId="42995"/>
    <cellStyle name="40% - Énfasis6 8 3 2 2_IAS" xfId="26200"/>
    <cellStyle name="40% - Énfasis6 8 3 2 3" xfId="26201"/>
    <cellStyle name="40% - Énfasis6 8 3 2 3 2" xfId="26202"/>
    <cellStyle name="40% - Énfasis6 8 3 2 3 2 2" xfId="26203"/>
    <cellStyle name="40% - Énfasis6 8 3 2 3 2 2 2" xfId="43008"/>
    <cellStyle name="40% - Énfasis6 8 3 2 3 2 3" xfId="43007"/>
    <cellStyle name="40% - Énfasis6 8 3 2 3 3" xfId="26204"/>
    <cellStyle name="40% - Énfasis6 8 3 2 3 3 2" xfId="26205"/>
    <cellStyle name="40% - Énfasis6 8 3 2 3 3 2 2" xfId="43010"/>
    <cellStyle name="40% - Énfasis6 8 3 2 3 3 3" xfId="43009"/>
    <cellStyle name="40% - Énfasis6 8 3 2 3 4" xfId="26206"/>
    <cellStyle name="40% - Énfasis6 8 3 2 3 4 2" xfId="43011"/>
    <cellStyle name="40% - Énfasis6 8 3 2 3 5" xfId="43006"/>
    <cellStyle name="40% - Énfasis6 8 3 2 4" xfId="26207"/>
    <cellStyle name="40% - Énfasis6 8 3 2 4 2" xfId="43012"/>
    <cellStyle name="40% - Énfasis6 8 3 2 5" xfId="26208"/>
    <cellStyle name="40% - Énfasis6 8 3 2 5 2" xfId="26209"/>
    <cellStyle name="40% - Énfasis6 8 3 2 5 2 2" xfId="43014"/>
    <cellStyle name="40% - Énfasis6 8 3 2 5 3" xfId="43013"/>
    <cellStyle name="40% - Énfasis6 8 3 2 6" xfId="26210"/>
    <cellStyle name="40% - Énfasis6 8 3 2 6 2" xfId="43015"/>
    <cellStyle name="40% - Énfasis6 8 3 2 7" xfId="42994"/>
    <cellStyle name="40% - Énfasis6 8 3 2_IAS" xfId="26211"/>
    <cellStyle name="40% - Énfasis6 8 3 3" xfId="26212"/>
    <cellStyle name="40% - Énfasis6 8 3 3 2" xfId="26213"/>
    <cellStyle name="40% - Énfasis6 8 3 3 2 2" xfId="26214"/>
    <cellStyle name="40% - Énfasis6 8 3 3 2 2 2" xfId="26215"/>
    <cellStyle name="40% - Énfasis6 8 3 3 2 2 2 2" xfId="43019"/>
    <cellStyle name="40% - Énfasis6 8 3 3 2 2 3" xfId="43018"/>
    <cellStyle name="40% - Énfasis6 8 3 3 2 3" xfId="26216"/>
    <cellStyle name="40% - Énfasis6 8 3 3 2 3 2" xfId="26217"/>
    <cellStyle name="40% - Énfasis6 8 3 3 2 3 2 2" xfId="43021"/>
    <cellStyle name="40% - Énfasis6 8 3 3 2 3 3" xfId="43020"/>
    <cellStyle name="40% - Énfasis6 8 3 3 2 4" xfId="26218"/>
    <cellStyle name="40% - Énfasis6 8 3 3 2 4 2" xfId="43022"/>
    <cellStyle name="40% - Énfasis6 8 3 3 2 5" xfId="43017"/>
    <cellStyle name="40% - Énfasis6 8 3 3 3" xfId="26219"/>
    <cellStyle name="40% - Énfasis6 8 3 3 3 2" xfId="43023"/>
    <cellStyle name="40% - Énfasis6 8 3 3 4" xfId="26220"/>
    <cellStyle name="40% - Énfasis6 8 3 3 4 2" xfId="26221"/>
    <cellStyle name="40% - Énfasis6 8 3 3 4 2 2" xfId="43025"/>
    <cellStyle name="40% - Énfasis6 8 3 3 4 3" xfId="43024"/>
    <cellStyle name="40% - Énfasis6 8 3 3 5" xfId="26222"/>
    <cellStyle name="40% - Énfasis6 8 3 3 5 2" xfId="43026"/>
    <cellStyle name="40% - Énfasis6 8 3 3 6" xfId="43016"/>
    <cellStyle name="40% - Énfasis6 8 3 3_IAS" xfId="26223"/>
    <cellStyle name="40% - Énfasis6 8 3 4" xfId="26224"/>
    <cellStyle name="40% - Énfasis6 8 3 4 2" xfId="26225"/>
    <cellStyle name="40% - Énfasis6 8 3 4 2 2" xfId="26226"/>
    <cellStyle name="40% - Énfasis6 8 3 4 2 2 2" xfId="43029"/>
    <cellStyle name="40% - Énfasis6 8 3 4 2 3" xfId="43028"/>
    <cellStyle name="40% - Énfasis6 8 3 4 3" xfId="26227"/>
    <cellStyle name="40% - Énfasis6 8 3 4 3 2" xfId="26228"/>
    <cellStyle name="40% - Énfasis6 8 3 4 3 2 2" xfId="43031"/>
    <cellStyle name="40% - Énfasis6 8 3 4 3 3" xfId="43030"/>
    <cellStyle name="40% - Énfasis6 8 3 4 4" xfId="26229"/>
    <cellStyle name="40% - Énfasis6 8 3 4 4 2" xfId="43032"/>
    <cellStyle name="40% - Énfasis6 8 3 4 5" xfId="43027"/>
    <cellStyle name="40% - Énfasis6 8 3 5" xfId="26230"/>
    <cellStyle name="40% - Énfasis6 8 3 5 2" xfId="43033"/>
    <cellStyle name="40% - Énfasis6 8 3 6" xfId="26231"/>
    <cellStyle name="40% - Énfasis6 8 3 6 2" xfId="26232"/>
    <cellStyle name="40% - Énfasis6 8 3 6 2 2" xfId="43035"/>
    <cellStyle name="40% - Énfasis6 8 3 6 3" xfId="43034"/>
    <cellStyle name="40% - Énfasis6 8 3 7" xfId="26233"/>
    <cellStyle name="40% - Énfasis6 8 3 7 2" xfId="43036"/>
    <cellStyle name="40% - Énfasis6 8 3 8" xfId="42993"/>
    <cellStyle name="40% - Énfasis6 8 3_IAS" xfId="26234"/>
    <cellStyle name="40% - Énfasis6 8 4" xfId="26235"/>
    <cellStyle name="40% - Énfasis6 8 4 2" xfId="26236"/>
    <cellStyle name="40% - Énfasis6 8 4 2 2" xfId="26237"/>
    <cellStyle name="40% - Énfasis6 8 4 2 2 2" xfId="26238"/>
    <cellStyle name="40% - Énfasis6 8 4 2 2 2 2" xfId="26239"/>
    <cellStyle name="40% - Énfasis6 8 4 2 2 2 2 2" xfId="26240"/>
    <cellStyle name="40% - Énfasis6 8 4 2 2 2 2 2 2" xfId="43042"/>
    <cellStyle name="40% - Énfasis6 8 4 2 2 2 2 3" xfId="43041"/>
    <cellStyle name="40% - Énfasis6 8 4 2 2 2 3" xfId="26241"/>
    <cellStyle name="40% - Énfasis6 8 4 2 2 2 3 2" xfId="26242"/>
    <cellStyle name="40% - Énfasis6 8 4 2 2 2 3 2 2" xfId="43044"/>
    <cellStyle name="40% - Énfasis6 8 4 2 2 2 3 3" xfId="43043"/>
    <cellStyle name="40% - Énfasis6 8 4 2 2 2 4" xfId="26243"/>
    <cellStyle name="40% - Énfasis6 8 4 2 2 2 4 2" xfId="43045"/>
    <cellStyle name="40% - Énfasis6 8 4 2 2 2 5" xfId="43040"/>
    <cellStyle name="40% - Énfasis6 8 4 2 2 3" xfId="26244"/>
    <cellStyle name="40% - Énfasis6 8 4 2 2 3 2" xfId="43046"/>
    <cellStyle name="40% - Énfasis6 8 4 2 2 4" xfId="26245"/>
    <cellStyle name="40% - Énfasis6 8 4 2 2 4 2" xfId="26246"/>
    <cellStyle name="40% - Énfasis6 8 4 2 2 4 2 2" xfId="43048"/>
    <cellStyle name="40% - Énfasis6 8 4 2 2 4 3" xfId="43047"/>
    <cellStyle name="40% - Énfasis6 8 4 2 2 5" xfId="26247"/>
    <cellStyle name="40% - Énfasis6 8 4 2 2 5 2" xfId="43049"/>
    <cellStyle name="40% - Énfasis6 8 4 2 2 6" xfId="43039"/>
    <cellStyle name="40% - Énfasis6 8 4 2 2_IAS" xfId="26248"/>
    <cellStyle name="40% - Énfasis6 8 4 2 3" xfId="26249"/>
    <cellStyle name="40% - Énfasis6 8 4 2 3 2" xfId="26250"/>
    <cellStyle name="40% - Énfasis6 8 4 2 3 2 2" xfId="26251"/>
    <cellStyle name="40% - Énfasis6 8 4 2 3 2 2 2" xfId="43052"/>
    <cellStyle name="40% - Énfasis6 8 4 2 3 2 3" xfId="43051"/>
    <cellStyle name="40% - Énfasis6 8 4 2 3 3" xfId="26252"/>
    <cellStyle name="40% - Énfasis6 8 4 2 3 3 2" xfId="26253"/>
    <cellStyle name="40% - Énfasis6 8 4 2 3 3 2 2" xfId="43054"/>
    <cellStyle name="40% - Énfasis6 8 4 2 3 3 3" xfId="43053"/>
    <cellStyle name="40% - Énfasis6 8 4 2 3 4" xfId="26254"/>
    <cellStyle name="40% - Énfasis6 8 4 2 3 4 2" xfId="43055"/>
    <cellStyle name="40% - Énfasis6 8 4 2 3 5" xfId="43050"/>
    <cellStyle name="40% - Énfasis6 8 4 2 4" xfId="26255"/>
    <cellStyle name="40% - Énfasis6 8 4 2 4 2" xfId="43056"/>
    <cellStyle name="40% - Énfasis6 8 4 2 5" xfId="26256"/>
    <cellStyle name="40% - Énfasis6 8 4 2 5 2" xfId="26257"/>
    <cellStyle name="40% - Énfasis6 8 4 2 5 2 2" xfId="43058"/>
    <cellStyle name="40% - Énfasis6 8 4 2 5 3" xfId="43057"/>
    <cellStyle name="40% - Énfasis6 8 4 2 6" xfId="26258"/>
    <cellStyle name="40% - Énfasis6 8 4 2 6 2" xfId="43059"/>
    <cellStyle name="40% - Énfasis6 8 4 2 7" xfId="43038"/>
    <cellStyle name="40% - Énfasis6 8 4 2_IAS" xfId="26259"/>
    <cellStyle name="40% - Énfasis6 8 4 3" xfId="26260"/>
    <cellStyle name="40% - Énfasis6 8 4 3 2" xfId="26261"/>
    <cellStyle name="40% - Énfasis6 8 4 3 2 2" xfId="26262"/>
    <cellStyle name="40% - Énfasis6 8 4 3 2 2 2" xfId="26263"/>
    <cellStyle name="40% - Énfasis6 8 4 3 2 2 2 2" xfId="43063"/>
    <cellStyle name="40% - Énfasis6 8 4 3 2 2 3" xfId="43062"/>
    <cellStyle name="40% - Énfasis6 8 4 3 2 3" xfId="26264"/>
    <cellStyle name="40% - Énfasis6 8 4 3 2 3 2" xfId="26265"/>
    <cellStyle name="40% - Énfasis6 8 4 3 2 3 2 2" xfId="43065"/>
    <cellStyle name="40% - Énfasis6 8 4 3 2 3 3" xfId="43064"/>
    <cellStyle name="40% - Énfasis6 8 4 3 2 4" xfId="26266"/>
    <cellStyle name="40% - Énfasis6 8 4 3 2 4 2" xfId="43066"/>
    <cellStyle name="40% - Énfasis6 8 4 3 2 5" xfId="43061"/>
    <cellStyle name="40% - Énfasis6 8 4 3 3" xfId="26267"/>
    <cellStyle name="40% - Énfasis6 8 4 3 3 2" xfId="43067"/>
    <cellStyle name="40% - Énfasis6 8 4 3 4" xfId="26268"/>
    <cellStyle name="40% - Énfasis6 8 4 3 4 2" xfId="26269"/>
    <cellStyle name="40% - Énfasis6 8 4 3 4 2 2" xfId="43069"/>
    <cellStyle name="40% - Énfasis6 8 4 3 4 3" xfId="43068"/>
    <cellStyle name="40% - Énfasis6 8 4 3 5" xfId="26270"/>
    <cellStyle name="40% - Énfasis6 8 4 3 5 2" xfId="43070"/>
    <cellStyle name="40% - Énfasis6 8 4 3 6" xfId="43060"/>
    <cellStyle name="40% - Énfasis6 8 4 3_IAS" xfId="26271"/>
    <cellStyle name="40% - Énfasis6 8 4 4" xfId="26272"/>
    <cellStyle name="40% - Énfasis6 8 4 4 2" xfId="26273"/>
    <cellStyle name="40% - Énfasis6 8 4 4 2 2" xfId="26274"/>
    <cellStyle name="40% - Énfasis6 8 4 4 2 2 2" xfId="43073"/>
    <cellStyle name="40% - Énfasis6 8 4 4 2 3" xfId="43072"/>
    <cellStyle name="40% - Énfasis6 8 4 4 3" xfId="26275"/>
    <cellStyle name="40% - Énfasis6 8 4 4 3 2" xfId="26276"/>
    <cellStyle name="40% - Énfasis6 8 4 4 3 2 2" xfId="43075"/>
    <cellStyle name="40% - Énfasis6 8 4 4 3 3" xfId="43074"/>
    <cellStyle name="40% - Énfasis6 8 4 4 4" xfId="26277"/>
    <cellStyle name="40% - Énfasis6 8 4 4 4 2" xfId="43076"/>
    <cellStyle name="40% - Énfasis6 8 4 4 5" xfId="43071"/>
    <cellStyle name="40% - Énfasis6 8 4 5" xfId="26278"/>
    <cellStyle name="40% - Énfasis6 8 4 5 2" xfId="43077"/>
    <cellStyle name="40% - Énfasis6 8 4 6" xfId="26279"/>
    <cellStyle name="40% - Énfasis6 8 4 6 2" xfId="26280"/>
    <cellStyle name="40% - Énfasis6 8 4 6 2 2" xfId="43079"/>
    <cellStyle name="40% - Énfasis6 8 4 6 3" xfId="43078"/>
    <cellStyle name="40% - Énfasis6 8 4 7" xfId="26281"/>
    <cellStyle name="40% - Énfasis6 8 4 7 2" xfId="43080"/>
    <cellStyle name="40% - Énfasis6 8 4 8" xfId="43037"/>
    <cellStyle name="40% - Énfasis6 8 4_IAS" xfId="26282"/>
    <cellStyle name="40% - Énfasis6 8 5" xfId="26283"/>
    <cellStyle name="40% - Énfasis6 8 5 2" xfId="43081"/>
    <cellStyle name="40% - Énfasis6 8 6" xfId="26284"/>
    <cellStyle name="40% - Énfasis6 8 6 2" xfId="26285"/>
    <cellStyle name="40% - Énfasis6 8 6 2 2" xfId="26286"/>
    <cellStyle name="40% - Énfasis6 8 6 2 2 2" xfId="26287"/>
    <cellStyle name="40% - Énfasis6 8 6 2 2 2 2" xfId="26288"/>
    <cellStyle name="40% - Énfasis6 8 6 2 2 2 2 2" xfId="43086"/>
    <cellStyle name="40% - Énfasis6 8 6 2 2 2 3" xfId="43085"/>
    <cellStyle name="40% - Énfasis6 8 6 2 2 3" xfId="26289"/>
    <cellStyle name="40% - Énfasis6 8 6 2 2 3 2" xfId="26290"/>
    <cellStyle name="40% - Énfasis6 8 6 2 2 3 2 2" xfId="43088"/>
    <cellStyle name="40% - Énfasis6 8 6 2 2 3 3" xfId="43087"/>
    <cellStyle name="40% - Énfasis6 8 6 2 2 4" xfId="26291"/>
    <cellStyle name="40% - Énfasis6 8 6 2 2 4 2" xfId="43089"/>
    <cellStyle name="40% - Énfasis6 8 6 2 2 5" xfId="43084"/>
    <cellStyle name="40% - Énfasis6 8 6 2 3" xfId="26292"/>
    <cellStyle name="40% - Énfasis6 8 6 2 3 2" xfId="43090"/>
    <cellStyle name="40% - Énfasis6 8 6 2 4" xfId="26293"/>
    <cellStyle name="40% - Énfasis6 8 6 2 4 2" xfId="26294"/>
    <cellStyle name="40% - Énfasis6 8 6 2 4 2 2" xfId="43092"/>
    <cellStyle name="40% - Énfasis6 8 6 2 4 3" xfId="43091"/>
    <cellStyle name="40% - Énfasis6 8 6 2 5" xfId="26295"/>
    <cellStyle name="40% - Énfasis6 8 6 2 5 2" xfId="43093"/>
    <cellStyle name="40% - Énfasis6 8 6 2 6" xfId="43083"/>
    <cellStyle name="40% - Énfasis6 8 6 2_IAS" xfId="26296"/>
    <cellStyle name="40% - Énfasis6 8 6 3" xfId="26297"/>
    <cellStyle name="40% - Énfasis6 8 6 3 2" xfId="26298"/>
    <cellStyle name="40% - Énfasis6 8 6 3 2 2" xfId="26299"/>
    <cellStyle name="40% - Énfasis6 8 6 3 2 2 2" xfId="43096"/>
    <cellStyle name="40% - Énfasis6 8 6 3 2 3" xfId="43095"/>
    <cellStyle name="40% - Énfasis6 8 6 3 3" xfId="26300"/>
    <cellStyle name="40% - Énfasis6 8 6 3 3 2" xfId="26301"/>
    <cellStyle name="40% - Énfasis6 8 6 3 3 2 2" xfId="43098"/>
    <cellStyle name="40% - Énfasis6 8 6 3 3 3" xfId="43097"/>
    <cellStyle name="40% - Énfasis6 8 6 3 4" xfId="26302"/>
    <cellStyle name="40% - Énfasis6 8 6 3 4 2" xfId="43099"/>
    <cellStyle name="40% - Énfasis6 8 6 3 5" xfId="43094"/>
    <cellStyle name="40% - Énfasis6 8 6 4" xfId="26303"/>
    <cellStyle name="40% - Énfasis6 8 6 4 2" xfId="43100"/>
    <cellStyle name="40% - Énfasis6 8 6 5" xfId="26304"/>
    <cellStyle name="40% - Énfasis6 8 6 5 2" xfId="26305"/>
    <cellStyle name="40% - Énfasis6 8 6 5 2 2" xfId="43102"/>
    <cellStyle name="40% - Énfasis6 8 6 5 3" xfId="43101"/>
    <cellStyle name="40% - Énfasis6 8 6 6" xfId="26306"/>
    <cellStyle name="40% - Énfasis6 8 6 6 2" xfId="43103"/>
    <cellStyle name="40% - Énfasis6 8 6 7" xfId="43082"/>
    <cellStyle name="40% - Énfasis6 8 6_IAS" xfId="26307"/>
    <cellStyle name="40% - Énfasis6 8 7" xfId="26308"/>
    <cellStyle name="40% - Énfasis6 8 7 2" xfId="26309"/>
    <cellStyle name="40% - Énfasis6 8 7 2 2" xfId="26310"/>
    <cellStyle name="40% - Énfasis6 8 7 2 2 2" xfId="26311"/>
    <cellStyle name="40% - Énfasis6 8 7 2 2 2 2" xfId="43107"/>
    <cellStyle name="40% - Énfasis6 8 7 2 2 3" xfId="43106"/>
    <cellStyle name="40% - Énfasis6 8 7 2 3" xfId="26312"/>
    <cellStyle name="40% - Énfasis6 8 7 2 3 2" xfId="26313"/>
    <cellStyle name="40% - Énfasis6 8 7 2 3 2 2" xfId="43109"/>
    <cellStyle name="40% - Énfasis6 8 7 2 3 3" xfId="43108"/>
    <cellStyle name="40% - Énfasis6 8 7 2 4" xfId="26314"/>
    <cellStyle name="40% - Énfasis6 8 7 2 4 2" xfId="43110"/>
    <cellStyle name="40% - Énfasis6 8 7 2 5" xfId="43105"/>
    <cellStyle name="40% - Énfasis6 8 7 3" xfId="26315"/>
    <cellStyle name="40% - Énfasis6 8 7 3 2" xfId="43111"/>
    <cellStyle name="40% - Énfasis6 8 7 4" xfId="26316"/>
    <cellStyle name="40% - Énfasis6 8 7 4 2" xfId="26317"/>
    <cellStyle name="40% - Énfasis6 8 7 4 2 2" xfId="43113"/>
    <cellStyle name="40% - Énfasis6 8 7 4 3" xfId="43112"/>
    <cellStyle name="40% - Énfasis6 8 7 5" xfId="26318"/>
    <cellStyle name="40% - Énfasis6 8 7 5 2" xfId="43114"/>
    <cellStyle name="40% - Énfasis6 8 7 6" xfId="43104"/>
    <cellStyle name="40% - Énfasis6 8 7_IAS" xfId="26319"/>
    <cellStyle name="40% - Énfasis6 8 8" xfId="26320"/>
    <cellStyle name="40% - Énfasis6 8 8 2" xfId="26321"/>
    <cellStyle name="40% - Énfasis6 8 8 2 2" xfId="26322"/>
    <cellStyle name="40% - Énfasis6 8 8 2 2 2" xfId="43117"/>
    <cellStyle name="40% - Énfasis6 8 8 2 3" xfId="43116"/>
    <cellStyle name="40% - Énfasis6 8 8 3" xfId="26323"/>
    <cellStyle name="40% - Énfasis6 8 8 3 2" xfId="26324"/>
    <cellStyle name="40% - Énfasis6 8 8 3 2 2" xfId="43119"/>
    <cellStyle name="40% - Énfasis6 8 8 3 3" xfId="43118"/>
    <cellStyle name="40% - Énfasis6 8 8 4" xfId="26325"/>
    <cellStyle name="40% - Énfasis6 8 8 4 2" xfId="43120"/>
    <cellStyle name="40% - Énfasis6 8 8 5" xfId="43115"/>
    <cellStyle name="40% - Énfasis6 8 9" xfId="26326"/>
    <cellStyle name="40% - Énfasis6 8 9 2" xfId="26327"/>
    <cellStyle name="40% - Énfasis6 8 9 2 2" xfId="26328"/>
    <cellStyle name="40% - Énfasis6 8 9 2 2 2" xfId="43123"/>
    <cellStyle name="40% - Énfasis6 8 9 2 3" xfId="43122"/>
    <cellStyle name="40% - Énfasis6 8 9 3" xfId="26329"/>
    <cellStyle name="40% - Énfasis6 8 9 3 2" xfId="43124"/>
    <cellStyle name="40% - Énfasis6 8 9 4" xfId="43121"/>
    <cellStyle name="40% - Énfasis6 8_AGF" xfId="26330"/>
    <cellStyle name="40% - Énfasis6 9" xfId="26331"/>
    <cellStyle name="40% - Énfasis6 9 10" xfId="26332"/>
    <cellStyle name="40% - Énfasis6 9 10 2" xfId="26333"/>
    <cellStyle name="40% - Énfasis6 9 10 2 2" xfId="26334"/>
    <cellStyle name="40% - Énfasis6 9 10 2 2 2" xfId="43128"/>
    <cellStyle name="40% - Énfasis6 9 10 2 3" xfId="43127"/>
    <cellStyle name="40% - Énfasis6 9 10 3" xfId="26335"/>
    <cellStyle name="40% - Énfasis6 9 10 3 2" xfId="43129"/>
    <cellStyle name="40% - Énfasis6 9 10 4" xfId="43126"/>
    <cellStyle name="40% - Énfasis6 9 11" xfId="26336"/>
    <cellStyle name="40% - Énfasis6 9 11 2" xfId="26337"/>
    <cellStyle name="40% - Énfasis6 9 11 2 2" xfId="43131"/>
    <cellStyle name="40% - Énfasis6 9 11 3" xfId="43130"/>
    <cellStyle name="40% - Énfasis6 9 12" xfId="26338"/>
    <cellStyle name="40% - Énfasis6 9 12 2" xfId="26339"/>
    <cellStyle name="40% - Énfasis6 9 12 2 2" xfId="43133"/>
    <cellStyle name="40% - Énfasis6 9 12 3" xfId="43132"/>
    <cellStyle name="40% - Énfasis6 9 13" xfId="26340"/>
    <cellStyle name="40% - Énfasis6 9 13 2" xfId="43134"/>
    <cellStyle name="40% - Énfasis6 9 14" xfId="26341"/>
    <cellStyle name="40% - Énfasis6 9 14 2" xfId="43135"/>
    <cellStyle name="40% - Énfasis6 9 15" xfId="43125"/>
    <cellStyle name="40% - Énfasis6 9 2" xfId="26342"/>
    <cellStyle name="40% - Énfasis6 9 2 2" xfId="26343"/>
    <cellStyle name="40% - Énfasis6 9 2 2 2" xfId="26344"/>
    <cellStyle name="40% - Énfasis6 9 2 2 2 2" xfId="26345"/>
    <cellStyle name="40% - Énfasis6 9 2 2 2 2 2" xfId="26346"/>
    <cellStyle name="40% - Énfasis6 9 2 2 2 2 2 2" xfId="26347"/>
    <cellStyle name="40% - Énfasis6 9 2 2 2 2 2 2 2" xfId="43141"/>
    <cellStyle name="40% - Énfasis6 9 2 2 2 2 2 3" xfId="43140"/>
    <cellStyle name="40% - Énfasis6 9 2 2 2 2 3" xfId="26348"/>
    <cellStyle name="40% - Énfasis6 9 2 2 2 2 3 2" xfId="26349"/>
    <cellStyle name="40% - Énfasis6 9 2 2 2 2 3 2 2" xfId="43143"/>
    <cellStyle name="40% - Énfasis6 9 2 2 2 2 3 3" xfId="43142"/>
    <cellStyle name="40% - Énfasis6 9 2 2 2 2 4" xfId="26350"/>
    <cellStyle name="40% - Énfasis6 9 2 2 2 2 4 2" xfId="43144"/>
    <cellStyle name="40% - Énfasis6 9 2 2 2 2 5" xfId="43139"/>
    <cellStyle name="40% - Énfasis6 9 2 2 2 3" xfId="26351"/>
    <cellStyle name="40% - Énfasis6 9 2 2 2 3 2" xfId="43145"/>
    <cellStyle name="40% - Énfasis6 9 2 2 2 4" xfId="26352"/>
    <cellStyle name="40% - Énfasis6 9 2 2 2 4 2" xfId="26353"/>
    <cellStyle name="40% - Énfasis6 9 2 2 2 4 2 2" xfId="43147"/>
    <cellStyle name="40% - Énfasis6 9 2 2 2 4 3" xfId="43146"/>
    <cellStyle name="40% - Énfasis6 9 2 2 2 5" xfId="26354"/>
    <cellStyle name="40% - Énfasis6 9 2 2 2 5 2" xfId="43148"/>
    <cellStyle name="40% - Énfasis6 9 2 2 2 6" xfId="43138"/>
    <cellStyle name="40% - Énfasis6 9 2 2 2_IAS" xfId="26355"/>
    <cellStyle name="40% - Énfasis6 9 2 2 3" xfId="26356"/>
    <cellStyle name="40% - Énfasis6 9 2 2 3 2" xfId="26357"/>
    <cellStyle name="40% - Énfasis6 9 2 2 3 2 2" xfId="26358"/>
    <cellStyle name="40% - Énfasis6 9 2 2 3 2 2 2" xfId="43151"/>
    <cellStyle name="40% - Énfasis6 9 2 2 3 2 3" xfId="43150"/>
    <cellStyle name="40% - Énfasis6 9 2 2 3 3" xfId="26359"/>
    <cellStyle name="40% - Énfasis6 9 2 2 3 3 2" xfId="26360"/>
    <cellStyle name="40% - Énfasis6 9 2 2 3 3 2 2" xfId="43153"/>
    <cellStyle name="40% - Énfasis6 9 2 2 3 3 3" xfId="43152"/>
    <cellStyle name="40% - Énfasis6 9 2 2 3 4" xfId="26361"/>
    <cellStyle name="40% - Énfasis6 9 2 2 3 4 2" xfId="43154"/>
    <cellStyle name="40% - Énfasis6 9 2 2 3 5" xfId="43149"/>
    <cellStyle name="40% - Énfasis6 9 2 2 4" xfId="26362"/>
    <cellStyle name="40% - Énfasis6 9 2 2 4 2" xfId="43155"/>
    <cellStyle name="40% - Énfasis6 9 2 2 5" xfId="26363"/>
    <cellStyle name="40% - Énfasis6 9 2 2 5 2" xfId="26364"/>
    <cellStyle name="40% - Énfasis6 9 2 2 5 2 2" xfId="43157"/>
    <cellStyle name="40% - Énfasis6 9 2 2 5 3" xfId="43156"/>
    <cellStyle name="40% - Énfasis6 9 2 2 6" xfId="26365"/>
    <cellStyle name="40% - Énfasis6 9 2 2 6 2" xfId="43158"/>
    <cellStyle name="40% - Énfasis6 9 2 2 7" xfId="43137"/>
    <cellStyle name="40% - Énfasis6 9 2 2_IAS" xfId="26366"/>
    <cellStyle name="40% - Énfasis6 9 2 3" xfId="26367"/>
    <cellStyle name="40% - Énfasis6 9 2 3 2" xfId="26368"/>
    <cellStyle name="40% - Énfasis6 9 2 3 2 2" xfId="26369"/>
    <cellStyle name="40% - Énfasis6 9 2 3 2 2 2" xfId="26370"/>
    <cellStyle name="40% - Énfasis6 9 2 3 2 2 2 2" xfId="43162"/>
    <cellStyle name="40% - Énfasis6 9 2 3 2 2 3" xfId="43161"/>
    <cellStyle name="40% - Énfasis6 9 2 3 2 3" xfId="26371"/>
    <cellStyle name="40% - Énfasis6 9 2 3 2 3 2" xfId="26372"/>
    <cellStyle name="40% - Énfasis6 9 2 3 2 3 2 2" xfId="43164"/>
    <cellStyle name="40% - Énfasis6 9 2 3 2 3 3" xfId="43163"/>
    <cellStyle name="40% - Énfasis6 9 2 3 2 4" xfId="26373"/>
    <cellStyle name="40% - Énfasis6 9 2 3 2 4 2" xfId="43165"/>
    <cellStyle name="40% - Énfasis6 9 2 3 2 5" xfId="43160"/>
    <cellStyle name="40% - Énfasis6 9 2 3 3" xfId="26374"/>
    <cellStyle name="40% - Énfasis6 9 2 3 3 2" xfId="43166"/>
    <cellStyle name="40% - Énfasis6 9 2 3 4" xfId="26375"/>
    <cellStyle name="40% - Énfasis6 9 2 3 4 2" xfId="26376"/>
    <cellStyle name="40% - Énfasis6 9 2 3 4 2 2" xfId="43168"/>
    <cellStyle name="40% - Énfasis6 9 2 3 4 3" xfId="43167"/>
    <cellStyle name="40% - Énfasis6 9 2 3 5" xfId="26377"/>
    <cellStyle name="40% - Énfasis6 9 2 3 5 2" xfId="43169"/>
    <cellStyle name="40% - Énfasis6 9 2 3 6" xfId="43159"/>
    <cellStyle name="40% - Énfasis6 9 2 3_IAS" xfId="26378"/>
    <cellStyle name="40% - Énfasis6 9 2 4" xfId="26379"/>
    <cellStyle name="40% - Énfasis6 9 2 4 2" xfId="26380"/>
    <cellStyle name="40% - Énfasis6 9 2 4 2 2" xfId="26381"/>
    <cellStyle name="40% - Énfasis6 9 2 4 2 2 2" xfId="43172"/>
    <cellStyle name="40% - Énfasis6 9 2 4 2 3" xfId="43171"/>
    <cellStyle name="40% - Énfasis6 9 2 4 3" xfId="26382"/>
    <cellStyle name="40% - Énfasis6 9 2 4 3 2" xfId="26383"/>
    <cellStyle name="40% - Énfasis6 9 2 4 3 2 2" xfId="43174"/>
    <cellStyle name="40% - Énfasis6 9 2 4 3 3" xfId="43173"/>
    <cellStyle name="40% - Énfasis6 9 2 4 4" xfId="26384"/>
    <cellStyle name="40% - Énfasis6 9 2 4 4 2" xfId="43175"/>
    <cellStyle name="40% - Énfasis6 9 2 4 5" xfId="43170"/>
    <cellStyle name="40% - Énfasis6 9 2 5" xfId="26385"/>
    <cellStyle name="40% - Énfasis6 9 2 5 2" xfId="43176"/>
    <cellStyle name="40% - Énfasis6 9 2 6" xfId="26386"/>
    <cellStyle name="40% - Énfasis6 9 2 6 2" xfId="26387"/>
    <cellStyle name="40% - Énfasis6 9 2 6 2 2" xfId="43178"/>
    <cellStyle name="40% - Énfasis6 9 2 6 3" xfId="43177"/>
    <cellStyle name="40% - Énfasis6 9 2 7" xfId="26388"/>
    <cellStyle name="40% - Énfasis6 9 2 7 2" xfId="43179"/>
    <cellStyle name="40% - Énfasis6 9 2 8" xfId="43136"/>
    <cellStyle name="40% - Énfasis6 9 2_IAS" xfId="26389"/>
    <cellStyle name="40% - Énfasis6 9 3" xfId="26390"/>
    <cellStyle name="40% - Énfasis6 9 3 2" xfId="26391"/>
    <cellStyle name="40% - Énfasis6 9 3 2 2" xfId="26392"/>
    <cellStyle name="40% - Énfasis6 9 3 2 2 2" xfId="26393"/>
    <cellStyle name="40% - Énfasis6 9 3 2 2 2 2" xfId="26394"/>
    <cellStyle name="40% - Énfasis6 9 3 2 2 2 2 2" xfId="26395"/>
    <cellStyle name="40% - Énfasis6 9 3 2 2 2 2 2 2" xfId="43185"/>
    <cellStyle name="40% - Énfasis6 9 3 2 2 2 2 3" xfId="43184"/>
    <cellStyle name="40% - Énfasis6 9 3 2 2 2 3" xfId="26396"/>
    <cellStyle name="40% - Énfasis6 9 3 2 2 2 3 2" xfId="26397"/>
    <cellStyle name="40% - Énfasis6 9 3 2 2 2 3 2 2" xfId="43187"/>
    <cellStyle name="40% - Énfasis6 9 3 2 2 2 3 3" xfId="43186"/>
    <cellStyle name="40% - Énfasis6 9 3 2 2 2 4" xfId="26398"/>
    <cellStyle name="40% - Énfasis6 9 3 2 2 2 4 2" xfId="43188"/>
    <cellStyle name="40% - Énfasis6 9 3 2 2 2 5" xfId="43183"/>
    <cellStyle name="40% - Énfasis6 9 3 2 2 3" xfId="26399"/>
    <cellStyle name="40% - Énfasis6 9 3 2 2 3 2" xfId="43189"/>
    <cellStyle name="40% - Énfasis6 9 3 2 2 4" xfId="26400"/>
    <cellStyle name="40% - Énfasis6 9 3 2 2 4 2" xfId="26401"/>
    <cellStyle name="40% - Énfasis6 9 3 2 2 4 2 2" xfId="43191"/>
    <cellStyle name="40% - Énfasis6 9 3 2 2 4 3" xfId="43190"/>
    <cellStyle name="40% - Énfasis6 9 3 2 2 5" xfId="26402"/>
    <cellStyle name="40% - Énfasis6 9 3 2 2 5 2" xfId="43192"/>
    <cellStyle name="40% - Énfasis6 9 3 2 2 6" xfId="43182"/>
    <cellStyle name="40% - Énfasis6 9 3 2 2_IAS" xfId="26403"/>
    <cellStyle name="40% - Énfasis6 9 3 2 3" xfId="26404"/>
    <cellStyle name="40% - Énfasis6 9 3 2 3 2" xfId="26405"/>
    <cellStyle name="40% - Énfasis6 9 3 2 3 2 2" xfId="26406"/>
    <cellStyle name="40% - Énfasis6 9 3 2 3 2 2 2" xfId="43195"/>
    <cellStyle name="40% - Énfasis6 9 3 2 3 2 3" xfId="43194"/>
    <cellStyle name="40% - Énfasis6 9 3 2 3 3" xfId="26407"/>
    <cellStyle name="40% - Énfasis6 9 3 2 3 3 2" xfId="26408"/>
    <cellStyle name="40% - Énfasis6 9 3 2 3 3 2 2" xfId="43197"/>
    <cellStyle name="40% - Énfasis6 9 3 2 3 3 3" xfId="43196"/>
    <cellStyle name="40% - Énfasis6 9 3 2 3 4" xfId="26409"/>
    <cellStyle name="40% - Énfasis6 9 3 2 3 4 2" xfId="43198"/>
    <cellStyle name="40% - Énfasis6 9 3 2 3 5" xfId="43193"/>
    <cellStyle name="40% - Énfasis6 9 3 2 4" xfId="26410"/>
    <cellStyle name="40% - Énfasis6 9 3 2 4 2" xfId="43199"/>
    <cellStyle name="40% - Énfasis6 9 3 2 5" xfId="26411"/>
    <cellStyle name="40% - Énfasis6 9 3 2 5 2" xfId="26412"/>
    <cellStyle name="40% - Énfasis6 9 3 2 5 2 2" xfId="43201"/>
    <cellStyle name="40% - Énfasis6 9 3 2 5 3" xfId="43200"/>
    <cellStyle name="40% - Énfasis6 9 3 2 6" xfId="26413"/>
    <cellStyle name="40% - Énfasis6 9 3 2 6 2" xfId="43202"/>
    <cellStyle name="40% - Énfasis6 9 3 2 7" xfId="43181"/>
    <cellStyle name="40% - Énfasis6 9 3 2_IAS" xfId="26414"/>
    <cellStyle name="40% - Énfasis6 9 3 3" xfId="26415"/>
    <cellStyle name="40% - Énfasis6 9 3 3 2" xfId="26416"/>
    <cellStyle name="40% - Énfasis6 9 3 3 2 2" xfId="26417"/>
    <cellStyle name="40% - Énfasis6 9 3 3 2 2 2" xfId="26418"/>
    <cellStyle name="40% - Énfasis6 9 3 3 2 2 2 2" xfId="43206"/>
    <cellStyle name="40% - Énfasis6 9 3 3 2 2 3" xfId="43205"/>
    <cellStyle name="40% - Énfasis6 9 3 3 2 3" xfId="26419"/>
    <cellStyle name="40% - Énfasis6 9 3 3 2 3 2" xfId="26420"/>
    <cellStyle name="40% - Énfasis6 9 3 3 2 3 2 2" xfId="43208"/>
    <cellStyle name="40% - Énfasis6 9 3 3 2 3 3" xfId="43207"/>
    <cellStyle name="40% - Énfasis6 9 3 3 2 4" xfId="26421"/>
    <cellStyle name="40% - Énfasis6 9 3 3 2 4 2" xfId="43209"/>
    <cellStyle name="40% - Énfasis6 9 3 3 2 5" xfId="43204"/>
    <cellStyle name="40% - Énfasis6 9 3 3 3" xfId="26422"/>
    <cellStyle name="40% - Énfasis6 9 3 3 3 2" xfId="43210"/>
    <cellStyle name="40% - Énfasis6 9 3 3 4" xfId="26423"/>
    <cellStyle name="40% - Énfasis6 9 3 3 4 2" xfId="26424"/>
    <cellStyle name="40% - Énfasis6 9 3 3 4 2 2" xfId="43212"/>
    <cellStyle name="40% - Énfasis6 9 3 3 4 3" xfId="43211"/>
    <cellStyle name="40% - Énfasis6 9 3 3 5" xfId="26425"/>
    <cellStyle name="40% - Énfasis6 9 3 3 5 2" xfId="43213"/>
    <cellStyle name="40% - Énfasis6 9 3 3 6" xfId="43203"/>
    <cellStyle name="40% - Énfasis6 9 3 3_IAS" xfId="26426"/>
    <cellStyle name="40% - Énfasis6 9 3 4" xfId="26427"/>
    <cellStyle name="40% - Énfasis6 9 3 4 2" xfId="26428"/>
    <cellStyle name="40% - Énfasis6 9 3 4 2 2" xfId="26429"/>
    <cellStyle name="40% - Énfasis6 9 3 4 2 2 2" xfId="43216"/>
    <cellStyle name="40% - Énfasis6 9 3 4 2 3" xfId="43215"/>
    <cellStyle name="40% - Énfasis6 9 3 4 3" xfId="26430"/>
    <cellStyle name="40% - Énfasis6 9 3 4 3 2" xfId="26431"/>
    <cellStyle name="40% - Énfasis6 9 3 4 3 2 2" xfId="43218"/>
    <cellStyle name="40% - Énfasis6 9 3 4 3 3" xfId="43217"/>
    <cellStyle name="40% - Énfasis6 9 3 4 4" xfId="26432"/>
    <cellStyle name="40% - Énfasis6 9 3 4 4 2" xfId="43219"/>
    <cellStyle name="40% - Énfasis6 9 3 4 5" xfId="43214"/>
    <cellStyle name="40% - Énfasis6 9 3 5" xfId="26433"/>
    <cellStyle name="40% - Énfasis6 9 3 5 2" xfId="43220"/>
    <cellStyle name="40% - Énfasis6 9 3 6" xfId="26434"/>
    <cellStyle name="40% - Énfasis6 9 3 6 2" xfId="26435"/>
    <cellStyle name="40% - Énfasis6 9 3 6 2 2" xfId="43222"/>
    <cellStyle name="40% - Énfasis6 9 3 6 3" xfId="43221"/>
    <cellStyle name="40% - Énfasis6 9 3 7" xfId="26436"/>
    <cellStyle name="40% - Énfasis6 9 3 7 2" xfId="43223"/>
    <cellStyle name="40% - Énfasis6 9 3 8" xfId="43180"/>
    <cellStyle name="40% - Énfasis6 9 3_IAS" xfId="26437"/>
    <cellStyle name="40% - Énfasis6 9 4" xfId="26438"/>
    <cellStyle name="40% - Énfasis6 9 4 2" xfId="43224"/>
    <cellStyle name="40% - Énfasis6 9 5" xfId="26439"/>
    <cellStyle name="40% - Énfasis6 9 5 2" xfId="26440"/>
    <cellStyle name="40% - Énfasis6 9 5 2 2" xfId="26441"/>
    <cellStyle name="40% - Énfasis6 9 5 2 2 2" xfId="26442"/>
    <cellStyle name="40% - Énfasis6 9 5 2 2 2 2" xfId="26443"/>
    <cellStyle name="40% - Énfasis6 9 5 2 2 2 2 2" xfId="43229"/>
    <cellStyle name="40% - Énfasis6 9 5 2 2 2 3" xfId="43228"/>
    <cellStyle name="40% - Énfasis6 9 5 2 2 3" xfId="26444"/>
    <cellStyle name="40% - Énfasis6 9 5 2 2 3 2" xfId="26445"/>
    <cellStyle name="40% - Énfasis6 9 5 2 2 3 2 2" xfId="43231"/>
    <cellStyle name="40% - Énfasis6 9 5 2 2 3 3" xfId="43230"/>
    <cellStyle name="40% - Énfasis6 9 5 2 2 4" xfId="26446"/>
    <cellStyle name="40% - Énfasis6 9 5 2 2 4 2" xfId="43232"/>
    <cellStyle name="40% - Énfasis6 9 5 2 2 5" xfId="43227"/>
    <cellStyle name="40% - Énfasis6 9 5 2 3" xfId="26447"/>
    <cellStyle name="40% - Énfasis6 9 5 2 3 2" xfId="43233"/>
    <cellStyle name="40% - Énfasis6 9 5 2 4" xfId="26448"/>
    <cellStyle name="40% - Énfasis6 9 5 2 4 2" xfId="26449"/>
    <cellStyle name="40% - Énfasis6 9 5 2 4 2 2" xfId="43235"/>
    <cellStyle name="40% - Énfasis6 9 5 2 4 3" xfId="43234"/>
    <cellStyle name="40% - Énfasis6 9 5 2 5" xfId="26450"/>
    <cellStyle name="40% - Énfasis6 9 5 2 5 2" xfId="43236"/>
    <cellStyle name="40% - Énfasis6 9 5 2 6" xfId="43226"/>
    <cellStyle name="40% - Énfasis6 9 5 2_IAS" xfId="26451"/>
    <cellStyle name="40% - Énfasis6 9 5 3" xfId="26452"/>
    <cellStyle name="40% - Énfasis6 9 5 3 2" xfId="26453"/>
    <cellStyle name="40% - Énfasis6 9 5 3 2 2" xfId="26454"/>
    <cellStyle name="40% - Énfasis6 9 5 3 2 2 2" xfId="43239"/>
    <cellStyle name="40% - Énfasis6 9 5 3 2 3" xfId="43238"/>
    <cellStyle name="40% - Énfasis6 9 5 3 3" xfId="26455"/>
    <cellStyle name="40% - Énfasis6 9 5 3 3 2" xfId="26456"/>
    <cellStyle name="40% - Énfasis6 9 5 3 3 2 2" xfId="43241"/>
    <cellStyle name="40% - Énfasis6 9 5 3 3 3" xfId="43240"/>
    <cellStyle name="40% - Énfasis6 9 5 3 4" xfId="26457"/>
    <cellStyle name="40% - Énfasis6 9 5 3 4 2" xfId="43242"/>
    <cellStyle name="40% - Énfasis6 9 5 3 5" xfId="43237"/>
    <cellStyle name="40% - Énfasis6 9 5 4" xfId="26458"/>
    <cellStyle name="40% - Énfasis6 9 5 4 2" xfId="43243"/>
    <cellStyle name="40% - Énfasis6 9 5 5" xfId="26459"/>
    <cellStyle name="40% - Énfasis6 9 5 5 2" xfId="26460"/>
    <cellStyle name="40% - Énfasis6 9 5 5 2 2" xfId="43245"/>
    <cellStyle name="40% - Énfasis6 9 5 5 3" xfId="43244"/>
    <cellStyle name="40% - Énfasis6 9 5 6" xfId="26461"/>
    <cellStyle name="40% - Énfasis6 9 5 6 2" xfId="43246"/>
    <cellStyle name="40% - Énfasis6 9 5 7" xfId="43225"/>
    <cellStyle name="40% - Énfasis6 9 5_IAS" xfId="26462"/>
    <cellStyle name="40% - Énfasis6 9 6" xfId="26463"/>
    <cellStyle name="40% - Énfasis6 9 6 2" xfId="26464"/>
    <cellStyle name="40% - Énfasis6 9 6 2 2" xfId="26465"/>
    <cellStyle name="40% - Énfasis6 9 6 2 2 2" xfId="26466"/>
    <cellStyle name="40% - Énfasis6 9 6 2 2 2 2" xfId="43250"/>
    <cellStyle name="40% - Énfasis6 9 6 2 2 3" xfId="43249"/>
    <cellStyle name="40% - Énfasis6 9 6 2 3" xfId="26467"/>
    <cellStyle name="40% - Énfasis6 9 6 2 3 2" xfId="26468"/>
    <cellStyle name="40% - Énfasis6 9 6 2 3 2 2" xfId="43252"/>
    <cellStyle name="40% - Énfasis6 9 6 2 3 3" xfId="43251"/>
    <cellStyle name="40% - Énfasis6 9 6 2 4" xfId="26469"/>
    <cellStyle name="40% - Énfasis6 9 6 2 4 2" xfId="43253"/>
    <cellStyle name="40% - Énfasis6 9 6 2 5" xfId="43248"/>
    <cellStyle name="40% - Énfasis6 9 6 3" xfId="26470"/>
    <cellStyle name="40% - Énfasis6 9 6 3 2" xfId="43254"/>
    <cellStyle name="40% - Énfasis6 9 6 4" xfId="26471"/>
    <cellStyle name="40% - Énfasis6 9 6 4 2" xfId="26472"/>
    <cellStyle name="40% - Énfasis6 9 6 4 2 2" xfId="43256"/>
    <cellStyle name="40% - Énfasis6 9 6 4 3" xfId="43255"/>
    <cellStyle name="40% - Énfasis6 9 6 5" xfId="26473"/>
    <cellStyle name="40% - Énfasis6 9 6 5 2" xfId="43257"/>
    <cellStyle name="40% - Énfasis6 9 6 6" xfId="43247"/>
    <cellStyle name="40% - Énfasis6 9 6_IAS" xfId="26474"/>
    <cellStyle name="40% - Énfasis6 9 7" xfId="26475"/>
    <cellStyle name="40% - Énfasis6 9 7 2" xfId="26476"/>
    <cellStyle name="40% - Énfasis6 9 7 2 2" xfId="26477"/>
    <cellStyle name="40% - Énfasis6 9 7 2 2 2" xfId="43260"/>
    <cellStyle name="40% - Énfasis6 9 7 2 3" xfId="43259"/>
    <cellStyle name="40% - Énfasis6 9 7 3" xfId="26478"/>
    <cellStyle name="40% - Énfasis6 9 7 3 2" xfId="26479"/>
    <cellStyle name="40% - Énfasis6 9 7 3 2 2" xfId="43262"/>
    <cellStyle name="40% - Énfasis6 9 7 3 3" xfId="43261"/>
    <cellStyle name="40% - Énfasis6 9 7 4" xfId="26480"/>
    <cellStyle name="40% - Énfasis6 9 7 4 2" xfId="43263"/>
    <cellStyle name="40% - Énfasis6 9 7 5" xfId="43258"/>
    <cellStyle name="40% - Énfasis6 9 8" xfId="26481"/>
    <cellStyle name="40% - Énfasis6 9 8 2" xfId="26482"/>
    <cellStyle name="40% - Énfasis6 9 8 2 2" xfId="26483"/>
    <cellStyle name="40% - Énfasis6 9 8 2 2 2" xfId="43266"/>
    <cellStyle name="40% - Énfasis6 9 8 2 3" xfId="43265"/>
    <cellStyle name="40% - Énfasis6 9 8 3" xfId="26484"/>
    <cellStyle name="40% - Énfasis6 9 8 3 2" xfId="43267"/>
    <cellStyle name="40% - Énfasis6 9 8 4" xfId="43264"/>
    <cellStyle name="40% - Énfasis6 9 9" xfId="26485"/>
    <cellStyle name="40% - Énfasis6 9 9 2" xfId="26486"/>
    <cellStyle name="40% - Énfasis6 9 9 2 2" xfId="26487"/>
    <cellStyle name="40% - Énfasis6 9 9 2 2 2" xfId="43270"/>
    <cellStyle name="40% - Énfasis6 9 9 2 3" xfId="43269"/>
    <cellStyle name="40% - Énfasis6 9 9 3" xfId="26488"/>
    <cellStyle name="40% - Énfasis6 9 9 3 2" xfId="43271"/>
    <cellStyle name="40% - Énfasis6 9 9 4" xfId="43268"/>
    <cellStyle name="40% - Énfasis6 9_IAS" xfId="26489"/>
    <cellStyle name="60 % - Accent1" xfId="26490"/>
    <cellStyle name="60 % - Accent1 2" xfId="43272"/>
    <cellStyle name="60 % - Accent2" xfId="26491"/>
    <cellStyle name="60 % - Accent2 2" xfId="43273"/>
    <cellStyle name="60 % - Accent3" xfId="26492"/>
    <cellStyle name="60 % - Accent3 2" xfId="43274"/>
    <cellStyle name="60 % - Accent4" xfId="26493"/>
    <cellStyle name="60 % - Accent4 2" xfId="43275"/>
    <cellStyle name="60 % - Accent5" xfId="26494"/>
    <cellStyle name="60 % - Accent5 2" xfId="43276"/>
    <cellStyle name="60 % - Accent6" xfId="26495"/>
    <cellStyle name="60 % - Accent6 2" xfId="43277"/>
    <cellStyle name="60% - Accent1" xfId="26496"/>
    <cellStyle name="60% - Accent1 2" xfId="26497"/>
    <cellStyle name="60% - Accent1 2 2" xfId="43279"/>
    <cellStyle name="60% - Accent1 3" xfId="26498"/>
    <cellStyle name="60% - Accent1 3 2" xfId="43280"/>
    <cellStyle name="60% - Accent1 4" xfId="26499"/>
    <cellStyle name="60% - Accent1 4 2" xfId="43281"/>
    <cellStyle name="60% - Accent1 5" xfId="26500"/>
    <cellStyle name="60% - Accent1 5 2" xfId="43282"/>
    <cellStyle name="60% - Accent1 6" xfId="26501"/>
    <cellStyle name="60% - Accent1 6 2" xfId="43283"/>
    <cellStyle name="60% - Accent1 7" xfId="26502"/>
    <cellStyle name="60% - Accent1 7 2" xfId="43284"/>
    <cellStyle name="60% - Accent1 8" xfId="43278"/>
    <cellStyle name="60% - Accent1_CC by Function (InsightZ)" xfId="26503"/>
    <cellStyle name="60% - Accent2" xfId="26504"/>
    <cellStyle name="60% - Accent2 2" xfId="26505"/>
    <cellStyle name="60% - Accent2 2 2" xfId="43286"/>
    <cellStyle name="60% - Accent2 3" xfId="26506"/>
    <cellStyle name="60% - Accent2 3 2" xfId="43287"/>
    <cellStyle name="60% - Accent2 4" xfId="26507"/>
    <cellStyle name="60% - Accent2 4 2" xfId="43288"/>
    <cellStyle name="60% - Accent2 5" xfId="26508"/>
    <cellStyle name="60% - Accent2 5 2" xfId="43289"/>
    <cellStyle name="60% - Accent2 6" xfId="26509"/>
    <cellStyle name="60% - Accent2 6 2" xfId="43290"/>
    <cellStyle name="60% - Accent2 7" xfId="26510"/>
    <cellStyle name="60% - Accent2 7 2" xfId="43291"/>
    <cellStyle name="60% - Accent2 8" xfId="43285"/>
    <cellStyle name="60% - Accent2_CC by Function (InsightZ)" xfId="26511"/>
    <cellStyle name="60% - Accent3" xfId="26512"/>
    <cellStyle name="60% - Accent3 2" xfId="26513"/>
    <cellStyle name="60% - Accent3 2 2" xfId="43293"/>
    <cellStyle name="60% - Accent3 3" xfId="26514"/>
    <cellStyle name="60% - Accent3 3 2" xfId="43294"/>
    <cellStyle name="60% - Accent3 4" xfId="26515"/>
    <cellStyle name="60% - Accent3 4 2" xfId="43295"/>
    <cellStyle name="60% - Accent3 5" xfId="26516"/>
    <cellStyle name="60% - Accent3 5 2" xfId="43296"/>
    <cellStyle name="60% - Accent3 6" xfId="26517"/>
    <cellStyle name="60% - Accent3 6 2" xfId="43297"/>
    <cellStyle name="60% - Accent3 7" xfId="26518"/>
    <cellStyle name="60% - Accent3 7 2" xfId="43298"/>
    <cellStyle name="60% - Accent3 8" xfId="43292"/>
    <cellStyle name="60% - Accent3_CC by Function (InsightZ)" xfId="26519"/>
    <cellStyle name="60% - Accent4" xfId="26520"/>
    <cellStyle name="60% - Accent4 2" xfId="26521"/>
    <cellStyle name="60% - Accent4 2 2" xfId="43300"/>
    <cellStyle name="60% - Accent4 3" xfId="26522"/>
    <cellStyle name="60% - Accent4 3 2" xfId="43301"/>
    <cellStyle name="60% - Accent4 4" xfId="26523"/>
    <cellStyle name="60% - Accent4 4 2" xfId="43302"/>
    <cellStyle name="60% - Accent4 5" xfId="26524"/>
    <cellStyle name="60% - Accent4 5 2" xfId="43303"/>
    <cellStyle name="60% - Accent4 6" xfId="26525"/>
    <cellStyle name="60% - Accent4 6 2" xfId="43304"/>
    <cellStyle name="60% - Accent4 7" xfId="26526"/>
    <cellStyle name="60% - Accent4 7 2" xfId="43305"/>
    <cellStyle name="60% - Accent4 8" xfId="43299"/>
    <cellStyle name="60% - Accent4_CC by Function (InsightZ)" xfId="26527"/>
    <cellStyle name="60% - Accent5" xfId="26528"/>
    <cellStyle name="60% - Accent5 2" xfId="26529"/>
    <cellStyle name="60% - Accent5 2 2" xfId="43307"/>
    <cellStyle name="60% - Accent5 3" xfId="26530"/>
    <cellStyle name="60% - Accent5 3 2" xfId="43308"/>
    <cellStyle name="60% - Accent5 4" xfId="26531"/>
    <cellStyle name="60% - Accent5 4 2" xfId="43309"/>
    <cellStyle name="60% - Accent5 5" xfId="26532"/>
    <cellStyle name="60% - Accent5 5 2" xfId="43310"/>
    <cellStyle name="60% - Accent5 6" xfId="26533"/>
    <cellStyle name="60% - Accent5 6 2" xfId="43311"/>
    <cellStyle name="60% - Accent5 7" xfId="26534"/>
    <cellStyle name="60% - Accent5 7 2" xfId="43312"/>
    <cellStyle name="60% - Accent5 8" xfId="43306"/>
    <cellStyle name="60% - Accent5_CC by Function (InsightZ)" xfId="26535"/>
    <cellStyle name="60% - Accent6" xfId="26536"/>
    <cellStyle name="60% - Accent6 2" xfId="26537"/>
    <cellStyle name="60% - Accent6 2 2" xfId="43314"/>
    <cellStyle name="60% - Accent6 3" xfId="26538"/>
    <cellStyle name="60% - Accent6 3 2" xfId="43315"/>
    <cellStyle name="60% - Accent6 4" xfId="26539"/>
    <cellStyle name="60% - Accent6 4 2" xfId="43316"/>
    <cellStyle name="60% - Accent6 5" xfId="26540"/>
    <cellStyle name="60% - Accent6 5 2" xfId="43317"/>
    <cellStyle name="60% - Accent6 6" xfId="26541"/>
    <cellStyle name="60% - Accent6 6 2" xfId="43318"/>
    <cellStyle name="60% - Accent6 7" xfId="26542"/>
    <cellStyle name="60% - Accent6 7 2" xfId="43319"/>
    <cellStyle name="60% - Accent6 8" xfId="43313"/>
    <cellStyle name="60% - Accent6_CC by Function (InsightZ)" xfId="26543"/>
    <cellStyle name="60% - akcent 1" xfId="406"/>
    <cellStyle name="60% - akcent 1 2" xfId="26544"/>
    <cellStyle name="60% - akcent 2" xfId="407"/>
    <cellStyle name="60% - akcent 2 2" xfId="26545"/>
    <cellStyle name="60% - akcent 3" xfId="408"/>
    <cellStyle name="60% - akcent 3 2" xfId="26546"/>
    <cellStyle name="60% - akcent 4" xfId="409"/>
    <cellStyle name="60% - akcent 4 2" xfId="26547"/>
    <cellStyle name="60% - akcent 5" xfId="410"/>
    <cellStyle name="60% - akcent 5 2" xfId="26548"/>
    <cellStyle name="60% - akcent 6" xfId="411"/>
    <cellStyle name="60% - akcent 6 2" xfId="26549"/>
    <cellStyle name="60% - Akzent1" xfId="26550"/>
    <cellStyle name="60% - Akzent1 2" xfId="43320"/>
    <cellStyle name="60% - Akzent2" xfId="26551"/>
    <cellStyle name="60% - Akzent2 2" xfId="43321"/>
    <cellStyle name="60% - Akzent3" xfId="26552"/>
    <cellStyle name="60% - Akzent3 2" xfId="43322"/>
    <cellStyle name="60% - Akzent4" xfId="26553"/>
    <cellStyle name="60% - Akzent4 2" xfId="43323"/>
    <cellStyle name="60% - Akzent5" xfId="26554"/>
    <cellStyle name="60% - Akzent5 2" xfId="43324"/>
    <cellStyle name="60% - Akzent6" xfId="26555"/>
    <cellStyle name="60% - Akzent6 2" xfId="43325"/>
    <cellStyle name="60% - Ênfase1" xfId="26556"/>
    <cellStyle name="60% - Ênfase1 2" xfId="43326"/>
    <cellStyle name="60% - Ênfase2" xfId="26557"/>
    <cellStyle name="60% - Ênfase2 2" xfId="43327"/>
    <cellStyle name="60% - Ênfase3" xfId="26558"/>
    <cellStyle name="60% - Ênfase3 2" xfId="43328"/>
    <cellStyle name="60% - Ênfase4" xfId="26559"/>
    <cellStyle name="60% - Ênfase4 2" xfId="43329"/>
    <cellStyle name="60% - Ênfase5" xfId="26560"/>
    <cellStyle name="60% - Ênfase5 2" xfId="43330"/>
    <cellStyle name="60% - Ênfase6" xfId="26561"/>
    <cellStyle name="60% - Ênfase6 2" xfId="43331"/>
    <cellStyle name="60% - Énfasis1 2" xfId="1231"/>
    <cellStyle name="60% - Énfasis1 2 2" xfId="26564"/>
    <cellStyle name="60% - Énfasis1 2 2 2" xfId="43333"/>
    <cellStyle name="60% - Énfasis1 2 3" xfId="43332"/>
    <cellStyle name="60% - Énfasis1 2 4" xfId="52784"/>
    <cellStyle name="60% - Énfasis1 2 5" xfId="26563"/>
    <cellStyle name="60% - Énfasis1 3" xfId="26565"/>
    <cellStyle name="60% - Énfasis1 3 2" xfId="26566"/>
    <cellStyle name="60% - Énfasis1 3 2 2" xfId="43335"/>
    <cellStyle name="60% - Énfasis1 3 3" xfId="43334"/>
    <cellStyle name="60% - Énfasis1 4" xfId="26567"/>
    <cellStyle name="60% - Énfasis1 4 2" xfId="26568"/>
    <cellStyle name="60% - Énfasis1 4 2 2" xfId="43337"/>
    <cellStyle name="60% - Énfasis1 4 3" xfId="43336"/>
    <cellStyle name="60% - Énfasis1 5" xfId="26569"/>
    <cellStyle name="60% - Énfasis1 5 2" xfId="26570"/>
    <cellStyle name="60% - Énfasis1 5 2 2" xfId="43339"/>
    <cellStyle name="60% - Énfasis1 5 3" xfId="43338"/>
    <cellStyle name="60% - Énfasis1 6" xfId="26571"/>
    <cellStyle name="60% - Énfasis1 6 2" xfId="43340"/>
    <cellStyle name="60% - Énfasis1 7" xfId="26572"/>
    <cellStyle name="60% - Énfasis1 7 2" xfId="43341"/>
    <cellStyle name="60% - Énfasis1 8" xfId="26573"/>
    <cellStyle name="60% - Énfasis1 8 2" xfId="26574"/>
    <cellStyle name="60% - Énfasis1 8 2 2" xfId="43343"/>
    <cellStyle name="60% - Énfasis1 8 3" xfId="26575"/>
    <cellStyle name="60% - Énfasis1 8 3 2" xfId="43344"/>
    <cellStyle name="60% - Énfasis1 8 4" xfId="26576"/>
    <cellStyle name="60% - Énfasis1 8 4 2" xfId="43345"/>
    <cellStyle name="60% - Énfasis1 8 5" xfId="26577"/>
    <cellStyle name="60% - Énfasis1 8 5 2" xfId="43346"/>
    <cellStyle name="60% - Énfasis1 8 6" xfId="43342"/>
    <cellStyle name="60% - Énfasis1 9" xfId="26562"/>
    <cellStyle name="60% - Énfasis2 2" xfId="1232"/>
    <cellStyle name="60% - Énfasis2 2 2" xfId="26580"/>
    <cellStyle name="60% - Énfasis2 2 2 2" xfId="43348"/>
    <cellStyle name="60% - Énfasis2 2 3" xfId="43347"/>
    <cellStyle name="60% - Énfasis2 2 4" xfId="52785"/>
    <cellStyle name="60% - Énfasis2 2 5" xfId="26579"/>
    <cellStyle name="60% - Énfasis2 3" xfId="26581"/>
    <cellStyle name="60% - Énfasis2 3 2" xfId="26582"/>
    <cellStyle name="60% - Énfasis2 3 2 2" xfId="43350"/>
    <cellStyle name="60% - Énfasis2 3 3" xfId="43349"/>
    <cellStyle name="60% - Énfasis2 4" xfId="26583"/>
    <cellStyle name="60% - Énfasis2 4 2" xfId="26584"/>
    <cellStyle name="60% - Énfasis2 4 2 2" xfId="43352"/>
    <cellStyle name="60% - Énfasis2 4 3" xfId="43351"/>
    <cellStyle name="60% - Énfasis2 5" xfId="26585"/>
    <cellStyle name="60% - Énfasis2 5 2" xfId="26586"/>
    <cellStyle name="60% - Énfasis2 5 2 2" xfId="43354"/>
    <cellStyle name="60% - Énfasis2 5 3" xfId="43353"/>
    <cellStyle name="60% - Énfasis2 6" xfId="26587"/>
    <cellStyle name="60% - Énfasis2 6 2" xfId="43355"/>
    <cellStyle name="60% - Énfasis2 7" xfId="26588"/>
    <cellStyle name="60% - Énfasis2 7 2" xfId="43356"/>
    <cellStyle name="60% - Énfasis2 8" xfId="26589"/>
    <cellStyle name="60% - Énfasis2 8 2" xfId="26590"/>
    <cellStyle name="60% - Énfasis2 8 2 2" xfId="43358"/>
    <cellStyle name="60% - Énfasis2 8 3" xfId="26591"/>
    <cellStyle name="60% - Énfasis2 8 3 2" xfId="43359"/>
    <cellStyle name="60% - Énfasis2 8 4" xfId="26592"/>
    <cellStyle name="60% - Énfasis2 8 4 2" xfId="43360"/>
    <cellStyle name="60% - Énfasis2 8 5" xfId="26593"/>
    <cellStyle name="60% - Énfasis2 8 5 2" xfId="43361"/>
    <cellStyle name="60% - Énfasis2 8 6" xfId="43357"/>
    <cellStyle name="60% - Énfasis2 9" xfId="26578"/>
    <cellStyle name="60% - Énfasis3 2" xfId="1233"/>
    <cellStyle name="60% - Énfasis3 2 2" xfId="26596"/>
    <cellStyle name="60% - Énfasis3 2 2 2" xfId="43363"/>
    <cellStyle name="60% - Énfasis3 2 3" xfId="43362"/>
    <cellStyle name="60% - Énfasis3 2 4" xfId="52786"/>
    <cellStyle name="60% - Énfasis3 2 5" xfId="26595"/>
    <cellStyle name="60% - Énfasis3 3" xfId="26597"/>
    <cellStyle name="60% - Énfasis3 3 2" xfId="26598"/>
    <cellStyle name="60% - Énfasis3 3 2 2" xfId="43365"/>
    <cellStyle name="60% - Énfasis3 3 3" xfId="43364"/>
    <cellStyle name="60% - Énfasis3 4" xfId="26599"/>
    <cellStyle name="60% - Énfasis3 4 2" xfId="26600"/>
    <cellStyle name="60% - Énfasis3 4 2 2" xfId="43367"/>
    <cellStyle name="60% - Énfasis3 4 3" xfId="43366"/>
    <cellStyle name="60% - Énfasis3 5" xfId="26601"/>
    <cellStyle name="60% - Énfasis3 5 2" xfId="26602"/>
    <cellStyle name="60% - Énfasis3 5 2 2" xfId="43369"/>
    <cellStyle name="60% - Énfasis3 5 3" xfId="43368"/>
    <cellStyle name="60% - Énfasis3 6" xfId="26603"/>
    <cellStyle name="60% - Énfasis3 6 2" xfId="43370"/>
    <cellStyle name="60% - Énfasis3 7" xfId="26604"/>
    <cellStyle name="60% - Énfasis3 7 2" xfId="43371"/>
    <cellStyle name="60% - Énfasis3 8" xfId="26605"/>
    <cellStyle name="60% - Énfasis3 8 2" xfId="26606"/>
    <cellStyle name="60% - Énfasis3 8 2 2" xfId="43373"/>
    <cellStyle name="60% - Énfasis3 8 3" xfId="26607"/>
    <cellStyle name="60% - Énfasis3 8 3 2" xfId="43374"/>
    <cellStyle name="60% - Énfasis3 8 4" xfId="26608"/>
    <cellStyle name="60% - Énfasis3 8 4 2" xfId="43375"/>
    <cellStyle name="60% - Énfasis3 8 5" xfId="26609"/>
    <cellStyle name="60% - Énfasis3 8 5 2" xfId="43376"/>
    <cellStyle name="60% - Énfasis3 8 6" xfId="43372"/>
    <cellStyle name="60% - Énfasis3 9" xfId="26594"/>
    <cellStyle name="60% - Énfasis4 2" xfId="1234"/>
    <cellStyle name="60% - Énfasis4 2 2" xfId="26612"/>
    <cellStyle name="60% - Énfasis4 2 2 2" xfId="43378"/>
    <cellStyle name="60% - Énfasis4 2 3" xfId="43377"/>
    <cellStyle name="60% - Énfasis4 2 4" xfId="52787"/>
    <cellStyle name="60% - Énfasis4 2 5" xfId="26611"/>
    <cellStyle name="60% - Énfasis4 3" xfId="26613"/>
    <cellStyle name="60% - Énfasis4 3 2" xfId="26614"/>
    <cellStyle name="60% - Énfasis4 3 2 2" xfId="43380"/>
    <cellStyle name="60% - Énfasis4 3 3" xfId="43379"/>
    <cellStyle name="60% - Énfasis4 4" xfId="26615"/>
    <cellStyle name="60% - Énfasis4 4 2" xfId="26616"/>
    <cellStyle name="60% - Énfasis4 4 2 2" xfId="43382"/>
    <cellStyle name="60% - Énfasis4 4 3" xfId="43381"/>
    <cellStyle name="60% - Énfasis4 5" xfId="26617"/>
    <cellStyle name="60% - Énfasis4 5 2" xfId="26618"/>
    <cellStyle name="60% - Énfasis4 5 2 2" xfId="43384"/>
    <cellStyle name="60% - Énfasis4 5 3" xfId="43383"/>
    <cellStyle name="60% - Énfasis4 6" xfId="26619"/>
    <cellStyle name="60% - Énfasis4 6 2" xfId="43385"/>
    <cellStyle name="60% - Énfasis4 7" xfId="26620"/>
    <cellStyle name="60% - Énfasis4 7 2" xfId="43386"/>
    <cellStyle name="60% - Énfasis4 8" xfId="26621"/>
    <cellStyle name="60% - Énfasis4 8 2" xfId="26622"/>
    <cellStyle name="60% - Énfasis4 8 2 2" xfId="43388"/>
    <cellStyle name="60% - Énfasis4 8 3" xfId="26623"/>
    <cellStyle name="60% - Énfasis4 8 3 2" xfId="43389"/>
    <cellStyle name="60% - Énfasis4 8 4" xfId="26624"/>
    <cellStyle name="60% - Énfasis4 8 4 2" xfId="43390"/>
    <cellStyle name="60% - Énfasis4 8 5" xfId="26625"/>
    <cellStyle name="60% - Énfasis4 8 5 2" xfId="43391"/>
    <cellStyle name="60% - Énfasis4 8 6" xfId="43387"/>
    <cellStyle name="60% - Énfasis4 9" xfId="26610"/>
    <cellStyle name="60% - Énfasis5 2" xfId="1235"/>
    <cellStyle name="60% - Énfasis5 2 2" xfId="26628"/>
    <cellStyle name="60% - Énfasis5 2 2 2" xfId="43393"/>
    <cellStyle name="60% - Énfasis5 2 3" xfId="43392"/>
    <cellStyle name="60% - Énfasis5 2 4" xfId="52788"/>
    <cellStyle name="60% - Énfasis5 2 5" xfId="26627"/>
    <cellStyle name="60% - Énfasis5 3" xfId="26629"/>
    <cellStyle name="60% - Énfasis5 3 2" xfId="26630"/>
    <cellStyle name="60% - Énfasis5 3 2 2" xfId="43395"/>
    <cellStyle name="60% - Énfasis5 3 3" xfId="43394"/>
    <cellStyle name="60% - Énfasis5 4" xfId="26631"/>
    <cellStyle name="60% - Énfasis5 4 2" xfId="26632"/>
    <cellStyle name="60% - Énfasis5 4 2 2" xfId="43397"/>
    <cellStyle name="60% - Énfasis5 4 3" xfId="43396"/>
    <cellStyle name="60% - Énfasis5 5" xfId="26633"/>
    <cellStyle name="60% - Énfasis5 5 2" xfId="26634"/>
    <cellStyle name="60% - Énfasis5 5 2 2" xfId="43399"/>
    <cellStyle name="60% - Énfasis5 5 3" xfId="43398"/>
    <cellStyle name="60% - Énfasis5 6" xfId="26635"/>
    <cellStyle name="60% - Énfasis5 6 2" xfId="43400"/>
    <cellStyle name="60% - Énfasis5 7" xfId="26636"/>
    <cellStyle name="60% - Énfasis5 7 2" xfId="43401"/>
    <cellStyle name="60% - Énfasis5 8" xfId="26637"/>
    <cellStyle name="60% - Énfasis5 8 2" xfId="26638"/>
    <cellStyle name="60% - Énfasis5 8 2 2" xfId="43403"/>
    <cellStyle name="60% - Énfasis5 8 3" xfId="26639"/>
    <cellStyle name="60% - Énfasis5 8 3 2" xfId="43404"/>
    <cellStyle name="60% - Énfasis5 8 4" xfId="26640"/>
    <cellStyle name="60% - Énfasis5 8 4 2" xfId="43405"/>
    <cellStyle name="60% - Énfasis5 8 5" xfId="26641"/>
    <cellStyle name="60% - Énfasis5 8 5 2" xfId="43406"/>
    <cellStyle name="60% - Énfasis5 8 6" xfId="43402"/>
    <cellStyle name="60% - Énfasis5 9" xfId="26626"/>
    <cellStyle name="60% - Énfasis6 2" xfId="1236"/>
    <cellStyle name="60% - Énfasis6 2 2" xfId="26644"/>
    <cellStyle name="60% - Énfasis6 2 2 2" xfId="43408"/>
    <cellStyle name="60% - Énfasis6 2 3" xfId="43407"/>
    <cellStyle name="60% - Énfasis6 2 4" xfId="52789"/>
    <cellStyle name="60% - Énfasis6 2 5" xfId="26643"/>
    <cellStyle name="60% - Énfasis6 3" xfId="26645"/>
    <cellStyle name="60% - Énfasis6 3 2" xfId="26646"/>
    <cellStyle name="60% - Énfasis6 3 2 2" xfId="43410"/>
    <cellStyle name="60% - Énfasis6 3 3" xfId="43409"/>
    <cellStyle name="60% - Énfasis6 4" xfId="26647"/>
    <cellStyle name="60% - Énfasis6 4 2" xfId="26648"/>
    <cellStyle name="60% - Énfasis6 4 2 2" xfId="43412"/>
    <cellStyle name="60% - Énfasis6 4 3" xfId="43411"/>
    <cellStyle name="60% - Énfasis6 5" xfId="26649"/>
    <cellStyle name="60% - Énfasis6 5 2" xfId="26650"/>
    <cellStyle name="60% - Énfasis6 5 2 2" xfId="43414"/>
    <cellStyle name="60% - Énfasis6 5 3" xfId="43413"/>
    <cellStyle name="60% - Énfasis6 6" xfId="26651"/>
    <cellStyle name="60% - Énfasis6 6 2" xfId="43415"/>
    <cellStyle name="60% - Énfasis6 7" xfId="26652"/>
    <cellStyle name="60% - Énfasis6 7 2" xfId="43416"/>
    <cellStyle name="60% - Énfasis6 8" xfId="26653"/>
    <cellStyle name="60% - Énfasis6 8 2" xfId="26654"/>
    <cellStyle name="60% - Énfasis6 8 2 2" xfId="43418"/>
    <cellStyle name="60% - Énfasis6 8 3" xfId="26655"/>
    <cellStyle name="60% - Énfasis6 8 3 2" xfId="43419"/>
    <cellStyle name="60% - Énfasis6 8 4" xfId="26656"/>
    <cellStyle name="60% - Énfasis6 8 4 2" xfId="43420"/>
    <cellStyle name="60% - Énfasis6 8 5" xfId="26657"/>
    <cellStyle name="60% - Énfasis6 8 5 2" xfId="43421"/>
    <cellStyle name="60% - Énfasis6 8 6" xfId="43417"/>
    <cellStyle name="60% - Énfasis6 9" xfId="26642"/>
    <cellStyle name="A3 297 x 420 mm" xfId="26658"/>
    <cellStyle name="A3 297 x 420 mm 2" xfId="26659"/>
    <cellStyle name="A3 297 x 420 mm 2 2" xfId="43423"/>
    <cellStyle name="A3 297 x 420 mm 3" xfId="43422"/>
    <cellStyle name="Accent1" xfId="26660"/>
    <cellStyle name="Accent1 - 20%" xfId="412"/>
    <cellStyle name="Accent1 - 20% 2" xfId="26662"/>
    <cellStyle name="Accent1 - 20% 2 2" xfId="43426"/>
    <cellStyle name="Accent1 - 20% 3" xfId="26663"/>
    <cellStyle name="Accent1 - 20% 3 2" xfId="43427"/>
    <cellStyle name="Accent1 - 20% 4" xfId="43425"/>
    <cellStyle name="Accent1 - 20% 5" xfId="26661"/>
    <cellStyle name="Accent1 - 40%" xfId="413"/>
    <cellStyle name="Accent1 - 40% 2" xfId="26665"/>
    <cellStyle name="Accent1 - 40% 2 2" xfId="43429"/>
    <cellStyle name="Accent1 - 40% 3" xfId="26666"/>
    <cellStyle name="Accent1 - 40% 3 2" xfId="43430"/>
    <cellStyle name="Accent1 - 40% 4" xfId="43428"/>
    <cellStyle name="Accent1 - 40% 5" xfId="26664"/>
    <cellStyle name="Accent1 - 60%" xfId="414"/>
    <cellStyle name="Accent1 - 60% 2" xfId="43431"/>
    <cellStyle name="Accent1 - 60% 3" xfId="26667"/>
    <cellStyle name="Accent1 10" xfId="43424"/>
    <cellStyle name="Accent1 11" xfId="40999"/>
    <cellStyle name="Accent1 12" xfId="51806"/>
    <cellStyle name="Accent1 13" xfId="41000"/>
    <cellStyle name="Accent1 14" xfId="51807"/>
    <cellStyle name="Accent1 2" xfId="26668"/>
    <cellStyle name="Accent1 2 2" xfId="43432"/>
    <cellStyle name="Accent1 3" xfId="26669"/>
    <cellStyle name="Accent1 3 2" xfId="43433"/>
    <cellStyle name="Accent1 4" xfId="26670"/>
    <cellStyle name="Accent1 4 2" xfId="43434"/>
    <cellStyle name="Accent1 5" xfId="26671"/>
    <cellStyle name="Accent1 5 2" xfId="43435"/>
    <cellStyle name="Accent1 6" xfId="26672"/>
    <cellStyle name="Accent1 6 2" xfId="43436"/>
    <cellStyle name="Accent1 7" xfId="26673"/>
    <cellStyle name="Accent1 7 2" xfId="43437"/>
    <cellStyle name="Accent1 8" xfId="26674"/>
    <cellStyle name="Accent1 8 2" xfId="43438"/>
    <cellStyle name="Accent1 9" xfId="26675"/>
    <cellStyle name="Accent1 9 2" xfId="43439"/>
    <cellStyle name="Accent1_CC by Function (InsightZ)" xfId="26676"/>
    <cellStyle name="Accent2" xfId="26677"/>
    <cellStyle name="Accent2 - 20%" xfId="415"/>
    <cellStyle name="Accent2 - 20% 2" xfId="26679"/>
    <cellStyle name="Accent2 - 20% 2 2" xfId="43442"/>
    <cellStyle name="Accent2 - 20% 3" xfId="26680"/>
    <cellStyle name="Accent2 - 20% 3 2" xfId="43443"/>
    <cellStyle name="Accent2 - 20% 4" xfId="43441"/>
    <cellStyle name="Accent2 - 20% 5" xfId="26678"/>
    <cellStyle name="Accent2 - 40%" xfId="416"/>
    <cellStyle name="Accent2 - 40% 2" xfId="26682"/>
    <cellStyle name="Accent2 - 40% 2 2" xfId="43445"/>
    <cellStyle name="Accent2 - 40% 3" xfId="26683"/>
    <cellStyle name="Accent2 - 40% 3 2" xfId="43446"/>
    <cellStyle name="Accent2 - 40% 4" xfId="43444"/>
    <cellStyle name="Accent2 - 40% 5" xfId="26681"/>
    <cellStyle name="Accent2 - 60%" xfId="417"/>
    <cellStyle name="Accent2 - 60% 2" xfId="43447"/>
    <cellStyle name="Accent2 - 60% 3" xfId="26684"/>
    <cellStyle name="Accent2 10" xfId="43440"/>
    <cellStyle name="Accent2 11" xfId="40997"/>
    <cellStyle name="Accent2 12" xfId="51804"/>
    <cellStyle name="Accent2 13" xfId="40998"/>
    <cellStyle name="Accent2 14" xfId="51805"/>
    <cellStyle name="Accent2 2" xfId="26685"/>
    <cellStyle name="Accent2 2 2" xfId="43448"/>
    <cellStyle name="Accent2 3" xfId="26686"/>
    <cellStyle name="Accent2 3 2" xfId="43449"/>
    <cellStyle name="Accent2 4" xfId="26687"/>
    <cellStyle name="Accent2 4 2" xfId="43450"/>
    <cellStyle name="Accent2 5" xfId="26688"/>
    <cellStyle name="Accent2 5 2" xfId="43451"/>
    <cellStyle name="Accent2 6" xfId="26689"/>
    <cellStyle name="Accent2 6 2" xfId="43452"/>
    <cellStyle name="Accent2 7" xfId="26690"/>
    <cellStyle name="Accent2 7 2" xfId="43453"/>
    <cellStyle name="Accent2 8" xfId="26691"/>
    <cellStyle name="Accent2 8 2" xfId="43454"/>
    <cellStyle name="Accent2 9" xfId="26692"/>
    <cellStyle name="Accent2 9 2" xfId="43455"/>
    <cellStyle name="Accent2_CC by Function (InsightZ)" xfId="26693"/>
    <cellStyle name="Accent3" xfId="26694"/>
    <cellStyle name="Accent3 - 20%" xfId="418"/>
    <cellStyle name="Accent3 - 20% 2" xfId="26696"/>
    <cellStyle name="Accent3 - 20% 2 2" xfId="43458"/>
    <cellStyle name="Accent3 - 20% 3" xfId="26697"/>
    <cellStyle name="Accent3 - 20% 3 2" xfId="43459"/>
    <cellStyle name="Accent3 - 20% 4" xfId="43457"/>
    <cellStyle name="Accent3 - 20% 5" xfId="26695"/>
    <cellStyle name="Accent3 - 40%" xfId="419"/>
    <cellStyle name="Accent3 - 40% 2" xfId="26699"/>
    <cellStyle name="Accent3 - 40% 2 2" xfId="43461"/>
    <cellStyle name="Accent3 - 40% 3" xfId="26700"/>
    <cellStyle name="Accent3 - 40% 3 2" xfId="43462"/>
    <cellStyle name="Accent3 - 40% 4" xfId="43460"/>
    <cellStyle name="Accent3 - 40% 5" xfId="26698"/>
    <cellStyle name="Accent3 - 60%" xfId="420"/>
    <cellStyle name="Accent3 - 60% 2" xfId="43463"/>
    <cellStyle name="Accent3 - 60% 3" xfId="26701"/>
    <cellStyle name="Accent3 10" xfId="43456"/>
    <cellStyle name="Accent3 11" xfId="40995"/>
    <cellStyle name="Accent3 12" xfId="51802"/>
    <cellStyle name="Accent3 13" xfId="40996"/>
    <cellStyle name="Accent3 14" xfId="51803"/>
    <cellStyle name="Accent3 2" xfId="26702"/>
    <cellStyle name="Accent3 2 2" xfId="43464"/>
    <cellStyle name="Accent3 3" xfId="26703"/>
    <cellStyle name="Accent3 3 2" xfId="43465"/>
    <cellStyle name="Accent3 4" xfId="26704"/>
    <cellStyle name="Accent3 4 2" xfId="43466"/>
    <cellStyle name="Accent3 5" xfId="26705"/>
    <cellStyle name="Accent3 5 2" xfId="43467"/>
    <cellStyle name="Accent3 6" xfId="26706"/>
    <cellStyle name="Accent3 6 2" xfId="43468"/>
    <cellStyle name="Accent3 7" xfId="26707"/>
    <cellStyle name="Accent3 7 2" xfId="43469"/>
    <cellStyle name="Accent3 8" xfId="26708"/>
    <cellStyle name="Accent3 8 2" xfId="43470"/>
    <cellStyle name="Accent3 9" xfId="26709"/>
    <cellStyle name="Accent3 9 2" xfId="43471"/>
    <cellStyle name="Accent3_2010 PRA - PxS v2" xfId="26710"/>
    <cellStyle name="Accent4" xfId="26711"/>
    <cellStyle name="Accent4 - 20%" xfId="421"/>
    <cellStyle name="Accent4 - 20% 2" xfId="26713"/>
    <cellStyle name="Accent4 - 20% 2 2" xfId="43474"/>
    <cellStyle name="Accent4 - 20% 3" xfId="26714"/>
    <cellStyle name="Accent4 - 20% 3 2" xfId="43475"/>
    <cellStyle name="Accent4 - 20% 4" xfId="43473"/>
    <cellStyle name="Accent4 - 20% 5" xfId="26712"/>
    <cellStyle name="Accent4 - 40%" xfId="422"/>
    <cellStyle name="Accent4 - 40% 2" xfId="26716"/>
    <cellStyle name="Accent4 - 40% 2 2" xfId="43477"/>
    <cellStyle name="Accent4 - 40% 3" xfId="26717"/>
    <cellStyle name="Accent4 - 40% 3 2" xfId="43478"/>
    <cellStyle name="Accent4 - 40% 4" xfId="43476"/>
    <cellStyle name="Accent4 - 40% 5" xfId="26715"/>
    <cellStyle name="Accent4 - 60%" xfId="423"/>
    <cellStyle name="Accent4 - 60% 2" xfId="43479"/>
    <cellStyle name="Accent4 - 60% 3" xfId="26718"/>
    <cellStyle name="Accent4 10" xfId="43472"/>
    <cellStyle name="Accent4 11" xfId="40993"/>
    <cellStyle name="Accent4 12" xfId="51800"/>
    <cellStyle name="Accent4 13" xfId="40994"/>
    <cellStyle name="Accent4 14" xfId="51801"/>
    <cellStyle name="Accent4 2" xfId="26719"/>
    <cellStyle name="Accent4 2 2" xfId="43480"/>
    <cellStyle name="Accent4 3" xfId="26720"/>
    <cellStyle name="Accent4 3 2" xfId="43481"/>
    <cellStyle name="Accent4 4" xfId="26721"/>
    <cellStyle name="Accent4 4 2" xfId="43482"/>
    <cellStyle name="Accent4 5" xfId="26722"/>
    <cellStyle name="Accent4 5 2" xfId="43483"/>
    <cellStyle name="Accent4 6" xfId="26723"/>
    <cellStyle name="Accent4 6 2" xfId="43484"/>
    <cellStyle name="Accent4 7" xfId="26724"/>
    <cellStyle name="Accent4 7 2" xfId="43485"/>
    <cellStyle name="Accent4 8" xfId="26725"/>
    <cellStyle name="Accent4 8 2" xfId="43486"/>
    <cellStyle name="Accent4 9" xfId="26726"/>
    <cellStyle name="Accent4 9 2" xfId="43487"/>
    <cellStyle name="Accent4_2010 PRA - PxS v2" xfId="26727"/>
    <cellStyle name="Accent5" xfId="26728"/>
    <cellStyle name="Accent5 - 20%" xfId="424"/>
    <cellStyle name="Accent5 - 20% 2" xfId="26730"/>
    <cellStyle name="Accent5 - 20% 2 2" xfId="43490"/>
    <cellStyle name="Accent5 - 20% 3" xfId="26731"/>
    <cellStyle name="Accent5 - 20% 3 2" xfId="43491"/>
    <cellStyle name="Accent5 - 20% 4" xfId="43489"/>
    <cellStyle name="Accent5 - 20% 5" xfId="26729"/>
    <cellStyle name="Accent5 - 40%" xfId="425"/>
    <cellStyle name="Accent5 - 40% 2" xfId="26733"/>
    <cellStyle name="Accent5 - 40% 2 2" xfId="43493"/>
    <cellStyle name="Accent5 - 40% 3" xfId="26734"/>
    <cellStyle name="Accent5 - 40% 3 2" xfId="43494"/>
    <cellStyle name="Accent5 - 40% 4" xfId="43492"/>
    <cellStyle name="Accent5 - 40% 5" xfId="26732"/>
    <cellStyle name="Accent5 - 60%" xfId="426"/>
    <cellStyle name="Accent5 - 60% 2" xfId="43495"/>
    <cellStyle name="Accent5 - 60% 3" xfId="26735"/>
    <cellStyle name="Accent5 10" xfId="43488"/>
    <cellStyle name="Accent5 11" xfId="40991"/>
    <cellStyle name="Accent5 12" xfId="51798"/>
    <cellStyle name="Accent5 13" xfId="40992"/>
    <cellStyle name="Accent5 14" xfId="51799"/>
    <cellStyle name="Accent5 2" xfId="26736"/>
    <cellStyle name="Accent5 2 2" xfId="43496"/>
    <cellStyle name="Accent5 3" xfId="26737"/>
    <cellStyle name="Accent5 3 2" xfId="43497"/>
    <cellStyle name="Accent5 4" xfId="26738"/>
    <cellStyle name="Accent5 4 2" xfId="43498"/>
    <cellStyle name="Accent5 5" xfId="26739"/>
    <cellStyle name="Accent5 5 2" xfId="43499"/>
    <cellStyle name="Accent5 6" xfId="26740"/>
    <cellStyle name="Accent5 6 2" xfId="43500"/>
    <cellStyle name="Accent5 7" xfId="26741"/>
    <cellStyle name="Accent5 7 2" xfId="43501"/>
    <cellStyle name="Accent5 8" xfId="26742"/>
    <cellStyle name="Accent5 8 2" xfId="43502"/>
    <cellStyle name="Accent5 9" xfId="26743"/>
    <cellStyle name="Accent5 9 2" xfId="43503"/>
    <cellStyle name="Accent5_2010 PRA - PxS v2" xfId="26744"/>
    <cellStyle name="Accent6" xfId="26745"/>
    <cellStyle name="Accent6 - 20%" xfId="427"/>
    <cellStyle name="Accent6 - 20% 2" xfId="26747"/>
    <cellStyle name="Accent6 - 20% 2 2" xfId="43506"/>
    <cellStyle name="Accent6 - 20% 3" xfId="26748"/>
    <cellStyle name="Accent6 - 20% 3 2" xfId="43507"/>
    <cellStyle name="Accent6 - 20% 4" xfId="43505"/>
    <cellStyle name="Accent6 - 20% 5" xfId="26746"/>
    <cellStyle name="Accent6 - 40%" xfId="428"/>
    <cellStyle name="Accent6 - 40% 2" xfId="26750"/>
    <cellStyle name="Accent6 - 40% 2 2" xfId="43509"/>
    <cellStyle name="Accent6 - 40% 3" xfId="26751"/>
    <cellStyle name="Accent6 - 40% 3 2" xfId="43510"/>
    <cellStyle name="Accent6 - 40% 4" xfId="43508"/>
    <cellStyle name="Accent6 - 40% 5" xfId="26749"/>
    <cellStyle name="Accent6 - 60%" xfId="429"/>
    <cellStyle name="Accent6 - 60% 2" xfId="43511"/>
    <cellStyle name="Accent6 - 60% 3" xfId="26752"/>
    <cellStyle name="Accent6 10" xfId="43504"/>
    <cellStyle name="Accent6 11" xfId="40990"/>
    <cellStyle name="Accent6 12" xfId="51797"/>
    <cellStyle name="Accent6 13" xfId="40989"/>
    <cellStyle name="Accent6 14" xfId="51796"/>
    <cellStyle name="Accent6 2" xfId="26753"/>
    <cellStyle name="Accent6 2 2" xfId="43512"/>
    <cellStyle name="Accent6 3" xfId="26754"/>
    <cellStyle name="Accent6 3 2" xfId="43513"/>
    <cellStyle name="Accent6 4" xfId="26755"/>
    <cellStyle name="Accent6 4 2" xfId="43514"/>
    <cellStyle name="Accent6 5" xfId="26756"/>
    <cellStyle name="Accent6 5 2" xfId="43515"/>
    <cellStyle name="Accent6 6" xfId="26757"/>
    <cellStyle name="Accent6 6 2" xfId="43516"/>
    <cellStyle name="Accent6 7" xfId="26758"/>
    <cellStyle name="Accent6 7 2" xfId="43517"/>
    <cellStyle name="Accent6 8" xfId="26759"/>
    <cellStyle name="Accent6 8 2" xfId="43518"/>
    <cellStyle name="Accent6 9" xfId="26760"/>
    <cellStyle name="Accent6 9 2" xfId="43519"/>
    <cellStyle name="Accent6_2010 PRA - PxS v2" xfId="26761"/>
    <cellStyle name="Akcent 1" xfId="430"/>
    <cellStyle name="Akcent 1 2" xfId="26762"/>
    <cellStyle name="Akcent 2" xfId="431"/>
    <cellStyle name="Akcent 2 2" xfId="26763"/>
    <cellStyle name="Akcent 3" xfId="432"/>
    <cellStyle name="Akcent 3 2" xfId="26764"/>
    <cellStyle name="Akcent 4" xfId="433"/>
    <cellStyle name="Akcent 4 2" xfId="26765"/>
    <cellStyle name="Akcent 5" xfId="434"/>
    <cellStyle name="Akcent 5 2" xfId="26766"/>
    <cellStyle name="Akcent 6" xfId="435"/>
    <cellStyle name="Akcent 6 2" xfId="26767"/>
    <cellStyle name="Akzent1" xfId="26768"/>
    <cellStyle name="Akzent1 2" xfId="43520"/>
    <cellStyle name="Akzent2" xfId="26769"/>
    <cellStyle name="Akzent2 2" xfId="43521"/>
    <cellStyle name="Akzent3" xfId="26770"/>
    <cellStyle name="Akzent3 2" xfId="43522"/>
    <cellStyle name="Akzent4" xfId="26771"/>
    <cellStyle name="Akzent4 2" xfId="43523"/>
    <cellStyle name="Akzent5" xfId="26772"/>
    <cellStyle name="Akzent5 2" xfId="43524"/>
    <cellStyle name="Akzent6" xfId="26773"/>
    <cellStyle name="Akzent6 2" xfId="43525"/>
    <cellStyle name="Ausgabe" xfId="26774"/>
    <cellStyle name="Ausgabe 2" xfId="43526"/>
    <cellStyle name="Avertissement" xfId="26775"/>
    <cellStyle name="Avertissement 2" xfId="43527"/>
    <cellStyle name="Back_Grey" xfId="26776"/>
    <cellStyle name="Background" xfId="26777"/>
    <cellStyle name="Background 2" xfId="43528"/>
    <cellStyle name="Bad" xfId="26778"/>
    <cellStyle name="Bad 2" xfId="26779"/>
    <cellStyle name="Bad 2 2" xfId="43530"/>
    <cellStyle name="Bad 3" xfId="26780"/>
    <cellStyle name="Bad 3 2" xfId="43531"/>
    <cellStyle name="Bad 4" xfId="26781"/>
    <cellStyle name="Bad 4 2" xfId="43532"/>
    <cellStyle name="Bad 5" xfId="26782"/>
    <cellStyle name="Bad 5 2" xfId="43533"/>
    <cellStyle name="Bad 6" xfId="26783"/>
    <cellStyle name="Bad 6 2" xfId="43534"/>
    <cellStyle name="Bad 7" xfId="26784"/>
    <cellStyle name="Bad 7 2" xfId="43535"/>
    <cellStyle name="Bad 8" xfId="43529"/>
    <cellStyle name="Bad_CC by Function (InsightZ)" xfId="26785"/>
    <cellStyle name="Berechnung" xfId="26786"/>
    <cellStyle name="Berechnung 2" xfId="43536"/>
    <cellStyle name="Bom" xfId="26787"/>
    <cellStyle name="Bom 2" xfId="43537"/>
    <cellStyle name="Bracket" xfId="26788"/>
    <cellStyle name="Bracket 2" xfId="26789"/>
    <cellStyle name="Bracket 2 2" xfId="43539"/>
    <cellStyle name="Bracket 3" xfId="26790"/>
    <cellStyle name="Bracket 3 2" xfId="43540"/>
    <cellStyle name="Bracket 4" xfId="43538"/>
    <cellStyle name="Buena 2" xfId="436"/>
    <cellStyle name="Buena 2 2" xfId="26793"/>
    <cellStyle name="Buena 2 2 2" xfId="43542"/>
    <cellStyle name="Buena 2 3" xfId="26794"/>
    <cellStyle name="Buena 2 3 2" xfId="43543"/>
    <cellStyle name="Buena 2 4" xfId="43541"/>
    <cellStyle name="Buena 2 5" xfId="26792"/>
    <cellStyle name="Buena 2_Plan by Lob" xfId="26795"/>
    <cellStyle name="Buena 3" xfId="1237"/>
    <cellStyle name="Buena 3 2" xfId="26797"/>
    <cellStyle name="Buena 3 2 2" xfId="43545"/>
    <cellStyle name="Buena 3 3" xfId="43544"/>
    <cellStyle name="Buena 3 4" xfId="52790"/>
    <cellStyle name="Buena 3 5" xfId="26796"/>
    <cellStyle name="Buena 4" xfId="26798"/>
    <cellStyle name="Buena 4 2" xfId="26799"/>
    <cellStyle name="Buena 4 2 2" xfId="43547"/>
    <cellStyle name="Buena 4 3" xfId="43546"/>
    <cellStyle name="Buena 5" xfId="26800"/>
    <cellStyle name="Buena 5 2" xfId="26801"/>
    <cellStyle name="Buena 5 2 2" xfId="43549"/>
    <cellStyle name="Buena 5 3" xfId="43548"/>
    <cellStyle name="Buena 6" xfId="26802"/>
    <cellStyle name="Buena 6 2" xfId="43550"/>
    <cellStyle name="Buena 7" xfId="26803"/>
    <cellStyle name="Buena 7 2" xfId="43551"/>
    <cellStyle name="Buena 8" xfId="26804"/>
    <cellStyle name="Buena 8 2" xfId="26805"/>
    <cellStyle name="Buena 8 2 2" xfId="43553"/>
    <cellStyle name="Buena 8 3" xfId="26806"/>
    <cellStyle name="Buena 8 3 2" xfId="43554"/>
    <cellStyle name="Buena 8 4" xfId="26807"/>
    <cellStyle name="Buena 8 4 2" xfId="43555"/>
    <cellStyle name="Buena 8 5" xfId="26808"/>
    <cellStyle name="Buena 8 5 2" xfId="43556"/>
    <cellStyle name="Buena 8 6" xfId="43552"/>
    <cellStyle name="Buena 9" xfId="26791"/>
    <cellStyle name="Calcul" xfId="26809"/>
    <cellStyle name="Calcul 2" xfId="43557"/>
    <cellStyle name="Calculation" xfId="26810"/>
    <cellStyle name="Calculation 2" xfId="26811"/>
    <cellStyle name="Calculation 2 2" xfId="43559"/>
    <cellStyle name="Calculation 3" xfId="26812"/>
    <cellStyle name="Calculation 3 2" xfId="43560"/>
    <cellStyle name="Calculation 4" xfId="26813"/>
    <cellStyle name="Calculation 4 2" xfId="43561"/>
    <cellStyle name="Calculation 5" xfId="26814"/>
    <cellStyle name="Calculation 5 2" xfId="43562"/>
    <cellStyle name="Calculation 6" xfId="26815"/>
    <cellStyle name="Calculation 6 2" xfId="43563"/>
    <cellStyle name="Calculation 7" xfId="26816"/>
    <cellStyle name="Calculation 7 2" xfId="43564"/>
    <cellStyle name="Calculation 8" xfId="43558"/>
    <cellStyle name="Calculation_CC by Function (InsightZ)" xfId="26817"/>
    <cellStyle name="Cálculo" xfId="11" builtinId="22" customBuiltin="1"/>
    <cellStyle name="Cálculo 10" xfId="51855"/>
    <cellStyle name="Cálculo 2" xfId="437"/>
    <cellStyle name="Cálculo 2 2" xfId="26820"/>
    <cellStyle name="Cálculo 2 2 2" xfId="43566"/>
    <cellStyle name="Cálculo 2 3" xfId="43565"/>
    <cellStyle name="Cálculo 2 4" xfId="51957"/>
    <cellStyle name="Cálculo 2 5" xfId="26819"/>
    <cellStyle name="Cálculo 3" xfId="26821"/>
    <cellStyle name="Cálculo 3 2" xfId="26822"/>
    <cellStyle name="Cálculo 3 2 2" xfId="43568"/>
    <cellStyle name="Cálculo 3 3" xfId="43567"/>
    <cellStyle name="Cálculo 4" xfId="26823"/>
    <cellStyle name="Cálculo 4 2" xfId="26824"/>
    <cellStyle name="Cálculo 4 2 2" xfId="43570"/>
    <cellStyle name="Cálculo 4 3" xfId="43569"/>
    <cellStyle name="Cálculo 5" xfId="26825"/>
    <cellStyle name="Cálculo 5 2" xfId="26826"/>
    <cellStyle name="Cálculo 5 2 2" xfId="43572"/>
    <cellStyle name="Cálculo 5 3" xfId="43571"/>
    <cellStyle name="Cálculo 6" xfId="26827"/>
    <cellStyle name="Cálculo 6 2" xfId="43573"/>
    <cellStyle name="Cálculo 7" xfId="26828"/>
    <cellStyle name="Cálculo 7 2" xfId="43574"/>
    <cellStyle name="Cálculo 8" xfId="26829"/>
    <cellStyle name="Cálculo 8 2" xfId="26830"/>
    <cellStyle name="Cálculo 8 2 2" xfId="43576"/>
    <cellStyle name="Cálculo 8 3" xfId="26831"/>
    <cellStyle name="Cálculo 8 3 2" xfId="43577"/>
    <cellStyle name="Cálculo 8 4" xfId="26832"/>
    <cellStyle name="Cálculo 8 4 2" xfId="43578"/>
    <cellStyle name="Cálculo 8 5" xfId="26833"/>
    <cellStyle name="Cálculo 8 5 2" xfId="43579"/>
    <cellStyle name="Cálculo 8 6" xfId="43575"/>
    <cellStyle name="Cálculo 9" xfId="26818"/>
    <cellStyle name="Cancel" xfId="26834"/>
    <cellStyle name="Cancel 2" xfId="43580"/>
    <cellStyle name="Celda de comprobación" xfId="13" builtinId="23" customBuiltin="1"/>
    <cellStyle name="Celda de comprobación 2" xfId="438"/>
    <cellStyle name="Celda de comprobación 2 2" xfId="26837"/>
    <cellStyle name="Celda de comprobación 2 2 2" xfId="43582"/>
    <cellStyle name="Celda de comprobación 2 3" xfId="26838"/>
    <cellStyle name="Celda de comprobación 2 3 2" xfId="43583"/>
    <cellStyle name="Celda de comprobación 2 4" xfId="43581"/>
    <cellStyle name="Celda de comprobación 2 5" xfId="26836"/>
    <cellStyle name="Celda de comprobación 2_Plan by Lob" xfId="26839"/>
    <cellStyle name="Celda de comprobación 3" xfId="26840"/>
    <cellStyle name="Celda de comprobación 3 2" xfId="26841"/>
    <cellStyle name="Celda de comprobación 3 2 2" xfId="43585"/>
    <cellStyle name="Celda de comprobación 3 3" xfId="43584"/>
    <cellStyle name="Celda de comprobación 4" xfId="26842"/>
    <cellStyle name="Celda de comprobación 4 2" xfId="26843"/>
    <cellStyle name="Celda de comprobación 4 2 2" xfId="43587"/>
    <cellStyle name="Celda de comprobación 4 3" xfId="43586"/>
    <cellStyle name="Celda de comprobación 5" xfId="26844"/>
    <cellStyle name="Celda de comprobación 5 2" xfId="26845"/>
    <cellStyle name="Celda de comprobación 5 2 2" xfId="43589"/>
    <cellStyle name="Celda de comprobación 5 3" xfId="43588"/>
    <cellStyle name="Celda de comprobación 6" xfId="26846"/>
    <cellStyle name="Celda de comprobación 6 2" xfId="43590"/>
    <cellStyle name="Celda de comprobación 7" xfId="26847"/>
    <cellStyle name="Celda de comprobación 7 2" xfId="43591"/>
    <cellStyle name="Celda de comprobación 8" xfId="26848"/>
    <cellStyle name="Celda de comprobación 8 2" xfId="26849"/>
    <cellStyle name="Celda de comprobación 8 2 2" xfId="43593"/>
    <cellStyle name="Celda de comprobación 8 3" xfId="26850"/>
    <cellStyle name="Celda de comprobación 8 3 2" xfId="43594"/>
    <cellStyle name="Celda de comprobación 8 4" xfId="26851"/>
    <cellStyle name="Celda de comprobación 8 4 2" xfId="43595"/>
    <cellStyle name="Celda de comprobación 8 5" xfId="26852"/>
    <cellStyle name="Celda de comprobación 8 5 2" xfId="43596"/>
    <cellStyle name="Celda de comprobación 8 6" xfId="43592"/>
    <cellStyle name="Celda de comprobación 9" xfId="26835"/>
    <cellStyle name="Celda vinculada" xfId="12" builtinId="24" customBuiltin="1"/>
    <cellStyle name="Celda vinculada 2" xfId="439"/>
    <cellStyle name="Celda vinculada 2 2" xfId="26855"/>
    <cellStyle name="Celda vinculada 2 2 2" xfId="43598"/>
    <cellStyle name="Celda vinculada 2 3" xfId="26856"/>
    <cellStyle name="Celda vinculada 2 3 2" xfId="43599"/>
    <cellStyle name="Celda vinculada 2 4" xfId="43597"/>
    <cellStyle name="Celda vinculada 2 5" xfId="26854"/>
    <cellStyle name="Celda vinculada 2_Plan by Lob" xfId="26857"/>
    <cellStyle name="Celda vinculada 3" xfId="26858"/>
    <cellStyle name="Celda vinculada 3 2" xfId="26859"/>
    <cellStyle name="Celda vinculada 3 2 2" xfId="43601"/>
    <cellStyle name="Celda vinculada 3 3" xfId="43600"/>
    <cellStyle name="Celda vinculada 4" xfId="26860"/>
    <cellStyle name="Celda vinculada 4 2" xfId="26861"/>
    <cellStyle name="Celda vinculada 4 2 2" xfId="43603"/>
    <cellStyle name="Celda vinculada 4 3" xfId="43602"/>
    <cellStyle name="Celda vinculada 5" xfId="26862"/>
    <cellStyle name="Celda vinculada 5 2" xfId="26863"/>
    <cellStyle name="Celda vinculada 5 2 2" xfId="43605"/>
    <cellStyle name="Celda vinculada 5 3" xfId="43604"/>
    <cellStyle name="Celda vinculada 6" xfId="26864"/>
    <cellStyle name="Celda vinculada 6 2" xfId="43606"/>
    <cellStyle name="Celda vinculada 7" xfId="26865"/>
    <cellStyle name="Celda vinculada 7 2" xfId="43607"/>
    <cellStyle name="Celda vinculada 8" xfId="26866"/>
    <cellStyle name="Celda vinculada 8 2" xfId="26867"/>
    <cellStyle name="Celda vinculada 8 2 2" xfId="43609"/>
    <cellStyle name="Celda vinculada 8 3" xfId="26868"/>
    <cellStyle name="Celda vinculada 8 3 2" xfId="43610"/>
    <cellStyle name="Celda vinculada 8 4" xfId="26869"/>
    <cellStyle name="Celda vinculada 8 4 2" xfId="43611"/>
    <cellStyle name="Celda vinculada 8 5" xfId="26870"/>
    <cellStyle name="Celda vinculada 8 5 2" xfId="43612"/>
    <cellStyle name="Celda vinculada 8 6" xfId="43608"/>
    <cellStyle name="Celda vinculada 9" xfId="26853"/>
    <cellStyle name="Cellule liée" xfId="26871"/>
    <cellStyle name="Cellule liée 2" xfId="43613"/>
    <cellStyle name="Célula de Verificação" xfId="26872"/>
    <cellStyle name="Célula de Verificação 2" xfId="43614"/>
    <cellStyle name="Célula Vinculada" xfId="26873"/>
    <cellStyle name="Célula Vinculada 2" xfId="43615"/>
    <cellStyle name="Check Cell" xfId="26874"/>
    <cellStyle name="Check Cell 2" xfId="26875"/>
    <cellStyle name="Check Cell 2 2" xfId="43617"/>
    <cellStyle name="Check Cell 3" xfId="26876"/>
    <cellStyle name="Check Cell 3 2" xfId="43618"/>
    <cellStyle name="Check Cell 4" xfId="26877"/>
    <cellStyle name="Check Cell 4 2" xfId="43619"/>
    <cellStyle name="Check Cell 5" xfId="26878"/>
    <cellStyle name="Check Cell 5 2" xfId="43620"/>
    <cellStyle name="Check Cell 6" xfId="26879"/>
    <cellStyle name="Check Cell 6 2" xfId="43621"/>
    <cellStyle name="Check Cell 7" xfId="26880"/>
    <cellStyle name="Check Cell 7 2" xfId="43622"/>
    <cellStyle name="Check Cell 8" xfId="43616"/>
    <cellStyle name="Check Cell_CC by Function (InsightZ)" xfId="26881"/>
    <cellStyle name="Comma 2" xfId="440"/>
    <cellStyle name="Comma 2 2" xfId="26883"/>
    <cellStyle name="Comma 2 2 2" xfId="26884"/>
    <cellStyle name="Comma 2 2 2 2" xfId="26885"/>
    <cellStyle name="Comma 2 2 2 2 2" xfId="43626"/>
    <cellStyle name="Comma 2 2 2 3" xfId="43625"/>
    <cellStyle name="Comma 2 2 3" xfId="26886"/>
    <cellStyle name="Comma 2 2 3 2" xfId="43627"/>
    <cellStyle name="Comma 2 2 4" xfId="43624"/>
    <cellStyle name="Comma 2 3" xfId="26887"/>
    <cellStyle name="Comma 2 3 2" xfId="43628"/>
    <cellStyle name="Comma 2 4" xfId="26888"/>
    <cellStyle name="Comma 2 5" xfId="26882"/>
    <cellStyle name="Comma 2 6" xfId="43623"/>
    <cellStyle name="Comma_2010 OPEX walk NAC" xfId="26889"/>
    <cellStyle name="Commentaire" xfId="26890"/>
    <cellStyle name="Commentaire 2" xfId="43629"/>
    <cellStyle name="Dane wejściowe" xfId="441"/>
    <cellStyle name="Dane wejściowe 2" xfId="26891"/>
    <cellStyle name="Dane wyjściowe" xfId="442"/>
    <cellStyle name="Dane wyjściowe 2" xfId="26892"/>
    <cellStyle name="Date" xfId="26893"/>
    <cellStyle name="Date 2" xfId="26894"/>
    <cellStyle name="Date 2 2" xfId="26895"/>
    <cellStyle name="Date 2 2 2" xfId="43632"/>
    <cellStyle name="Date 2 3" xfId="43631"/>
    <cellStyle name="Date 3" xfId="26896"/>
    <cellStyle name="Date 3 2" xfId="43633"/>
    <cellStyle name="Date 4" xfId="43630"/>
    <cellStyle name="Date_Plan by Lob" xfId="26897"/>
    <cellStyle name="Dezimal [0]_Mappe1" xfId="26898"/>
    <cellStyle name="Dezimal_Mappe1" xfId="26899"/>
    <cellStyle name="Dobre" xfId="443"/>
    <cellStyle name="Dobre 2" xfId="26900"/>
    <cellStyle name="Eingabe" xfId="26901"/>
    <cellStyle name="Eingabe 2" xfId="43634"/>
    <cellStyle name="Emphasis 1" xfId="444"/>
    <cellStyle name="Emphasis 1 2" xfId="43635"/>
    <cellStyle name="Emphasis 1 3" xfId="26902"/>
    <cellStyle name="Emphasis 2" xfId="445"/>
    <cellStyle name="Emphasis 2 2" xfId="43636"/>
    <cellStyle name="Emphasis 2 3" xfId="26903"/>
    <cellStyle name="Emphasis 3" xfId="446"/>
    <cellStyle name="Emphasis 3 2" xfId="43637"/>
    <cellStyle name="Emphasis 3 3" xfId="26904"/>
    <cellStyle name="Encabezado 4 2" xfId="447"/>
    <cellStyle name="Encabezado 4 2 2" xfId="26907"/>
    <cellStyle name="Encabezado 4 2 2 2" xfId="43639"/>
    <cellStyle name="Encabezado 4 2 3" xfId="26908"/>
    <cellStyle name="Encabezado 4 2 3 2" xfId="43640"/>
    <cellStyle name="Encabezado 4 2 4" xfId="43638"/>
    <cellStyle name="Encabezado 4 2 5" xfId="26906"/>
    <cellStyle name="Encabezado 4 2_Plan by Lob" xfId="26909"/>
    <cellStyle name="Encabezado 4 3" xfId="1238"/>
    <cellStyle name="Encabezado 4 3 2" xfId="26911"/>
    <cellStyle name="Encabezado 4 3 2 2" xfId="43642"/>
    <cellStyle name="Encabezado 4 3 3" xfId="43641"/>
    <cellStyle name="Encabezado 4 3 4" xfId="52791"/>
    <cellStyle name="Encabezado 4 3 5" xfId="26910"/>
    <cellStyle name="Encabezado 4 4" xfId="26912"/>
    <cellStyle name="Encabezado 4 4 2" xfId="26913"/>
    <cellStyle name="Encabezado 4 4 2 2" xfId="43644"/>
    <cellStyle name="Encabezado 4 4 3" xfId="43643"/>
    <cellStyle name="Encabezado 4 5" xfId="26914"/>
    <cellStyle name="Encabezado 4 5 2" xfId="26915"/>
    <cellStyle name="Encabezado 4 5 2 2" xfId="43646"/>
    <cellStyle name="Encabezado 4 5 3" xfId="43645"/>
    <cellStyle name="Encabezado 4 6" xfId="26916"/>
    <cellStyle name="Encabezado 4 6 2" xfId="43647"/>
    <cellStyle name="Encabezado 4 7" xfId="26917"/>
    <cellStyle name="Encabezado 4 7 2" xfId="43648"/>
    <cellStyle name="Encabezado 4 8" xfId="26918"/>
    <cellStyle name="Encabezado 4 8 2" xfId="26919"/>
    <cellStyle name="Encabezado 4 8 2 2" xfId="43650"/>
    <cellStyle name="Encabezado 4 8 3" xfId="26920"/>
    <cellStyle name="Encabezado 4 8 3 2" xfId="43651"/>
    <cellStyle name="Encabezado 4 8 4" xfId="26921"/>
    <cellStyle name="Encabezado 4 8 4 2" xfId="43652"/>
    <cellStyle name="Encabezado 4 8 5" xfId="26922"/>
    <cellStyle name="Encabezado 4 8 5 2" xfId="43653"/>
    <cellStyle name="Encabezado 4 8 6" xfId="43649"/>
    <cellStyle name="Encabezado 4 9" xfId="26905"/>
    <cellStyle name="Ênfase1" xfId="26923"/>
    <cellStyle name="Ênfase1 2" xfId="43654"/>
    <cellStyle name="Ênfase2" xfId="26924"/>
    <cellStyle name="Ênfase2 2" xfId="43655"/>
    <cellStyle name="Ênfase3" xfId="26925"/>
    <cellStyle name="Ênfase3 2" xfId="43656"/>
    <cellStyle name="Ênfase4" xfId="26926"/>
    <cellStyle name="Ênfase4 2" xfId="43657"/>
    <cellStyle name="Ênfase5" xfId="26927"/>
    <cellStyle name="Ênfase5 2" xfId="43658"/>
    <cellStyle name="Ênfase6" xfId="26928"/>
    <cellStyle name="Ênfase6 2" xfId="43659"/>
    <cellStyle name="Énfasis1 10" xfId="51846"/>
    <cellStyle name="Énfasis1 2" xfId="448"/>
    <cellStyle name="Énfasis1 2 2" xfId="26931"/>
    <cellStyle name="Énfasis1 2 2 2" xfId="43661"/>
    <cellStyle name="Énfasis1 2 3" xfId="43660"/>
    <cellStyle name="Énfasis1 2 4" xfId="51950"/>
    <cellStyle name="Énfasis1 2 5" xfId="26930"/>
    <cellStyle name="Énfasis1 3" xfId="1239"/>
    <cellStyle name="Énfasis1 3 2" xfId="26933"/>
    <cellStyle name="Énfasis1 3 2 2" xfId="43663"/>
    <cellStyle name="Énfasis1 3 3" xfId="43662"/>
    <cellStyle name="Énfasis1 3 4" xfId="52792"/>
    <cellStyle name="Énfasis1 3 5" xfId="26932"/>
    <cellStyle name="Énfasis1 4" xfId="26934"/>
    <cellStyle name="Énfasis1 4 2" xfId="26935"/>
    <cellStyle name="Énfasis1 4 2 2" xfId="43665"/>
    <cellStyle name="Énfasis1 4 3" xfId="43664"/>
    <cellStyle name="Énfasis1 5" xfId="26936"/>
    <cellStyle name="Énfasis1 5 2" xfId="26937"/>
    <cellStyle name="Énfasis1 5 2 2" xfId="43667"/>
    <cellStyle name="Énfasis1 5 3" xfId="43666"/>
    <cellStyle name="Énfasis1 6" xfId="26938"/>
    <cellStyle name="Énfasis1 6 2" xfId="43668"/>
    <cellStyle name="Énfasis1 7" xfId="26939"/>
    <cellStyle name="Énfasis1 7 2" xfId="43669"/>
    <cellStyle name="Énfasis1 8" xfId="26940"/>
    <cellStyle name="Énfasis1 8 2" xfId="26941"/>
    <cellStyle name="Énfasis1 8 2 2" xfId="43671"/>
    <cellStyle name="Énfasis1 8 3" xfId="26942"/>
    <cellStyle name="Énfasis1 8 3 2" xfId="43672"/>
    <cellStyle name="Énfasis1 8 4" xfId="26943"/>
    <cellStyle name="Énfasis1 8 4 2" xfId="43673"/>
    <cellStyle name="Énfasis1 8 5" xfId="26944"/>
    <cellStyle name="Énfasis1 8 5 2" xfId="43674"/>
    <cellStyle name="Énfasis1 8 6" xfId="43670"/>
    <cellStyle name="Énfasis1 9" xfId="26929"/>
    <cellStyle name="Énfasis2 10" xfId="51847"/>
    <cellStyle name="Énfasis2 2" xfId="449"/>
    <cellStyle name="Énfasis2 2 2" xfId="26947"/>
    <cellStyle name="Énfasis2 2 2 2" xfId="43676"/>
    <cellStyle name="Énfasis2 2 3" xfId="43675"/>
    <cellStyle name="Énfasis2 2 4" xfId="51951"/>
    <cellStyle name="Énfasis2 2 5" xfId="26946"/>
    <cellStyle name="Énfasis2 3" xfId="1240"/>
    <cellStyle name="Énfasis2 3 2" xfId="26949"/>
    <cellStyle name="Énfasis2 3 2 2" xfId="43678"/>
    <cellStyle name="Énfasis2 3 3" xfId="43677"/>
    <cellStyle name="Énfasis2 3 4" xfId="52793"/>
    <cellStyle name="Énfasis2 3 5" xfId="26948"/>
    <cellStyle name="Énfasis2 4" xfId="26950"/>
    <cellStyle name="Énfasis2 4 2" xfId="26951"/>
    <cellStyle name="Énfasis2 4 2 2" xfId="43680"/>
    <cellStyle name="Énfasis2 4 3" xfId="43679"/>
    <cellStyle name="Énfasis2 5" xfId="26952"/>
    <cellStyle name="Énfasis2 5 2" xfId="26953"/>
    <cellStyle name="Énfasis2 5 2 2" xfId="43682"/>
    <cellStyle name="Énfasis2 5 3" xfId="43681"/>
    <cellStyle name="Énfasis2 6" xfId="26954"/>
    <cellStyle name="Énfasis2 6 2" xfId="43683"/>
    <cellStyle name="Énfasis2 7" xfId="26955"/>
    <cellStyle name="Énfasis2 7 2" xfId="43684"/>
    <cellStyle name="Énfasis2 8" xfId="26956"/>
    <cellStyle name="Énfasis2 8 2" xfId="26957"/>
    <cellStyle name="Énfasis2 8 2 2" xfId="43686"/>
    <cellStyle name="Énfasis2 8 3" xfId="26958"/>
    <cellStyle name="Énfasis2 8 3 2" xfId="43687"/>
    <cellStyle name="Énfasis2 8 4" xfId="26959"/>
    <cellStyle name="Énfasis2 8 4 2" xfId="43688"/>
    <cellStyle name="Énfasis2 8 5" xfId="26960"/>
    <cellStyle name="Énfasis2 8 5 2" xfId="43689"/>
    <cellStyle name="Énfasis2 8 6" xfId="43685"/>
    <cellStyle name="Énfasis2 9" xfId="26945"/>
    <cellStyle name="Énfasis3 10" xfId="51848"/>
    <cellStyle name="Énfasis3 2" xfId="450"/>
    <cellStyle name="Énfasis3 2 2" xfId="26963"/>
    <cellStyle name="Énfasis3 2 2 2" xfId="43691"/>
    <cellStyle name="Énfasis3 2 3" xfId="43690"/>
    <cellStyle name="Énfasis3 2 4" xfId="51952"/>
    <cellStyle name="Énfasis3 2 5" xfId="26962"/>
    <cellStyle name="Énfasis3 3" xfId="1241"/>
    <cellStyle name="Énfasis3 3 2" xfId="26965"/>
    <cellStyle name="Énfasis3 3 2 2" xfId="43693"/>
    <cellStyle name="Énfasis3 3 3" xfId="43692"/>
    <cellStyle name="Énfasis3 3 4" xfId="52794"/>
    <cellStyle name="Énfasis3 3 5" xfId="26964"/>
    <cellStyle name="Énfasis3 4" xfId="26966"/>
    <cellStyle name="Énfasis3 4 2" xfId="26967"/>
    <cellStyle name="Énfasis3 4 2 2" xfId="43695"/>
    <cellStyle name="Énfasis3 4 3" xfId="43694"/>
    <cellStyle name="Énfasis3 5" xfId="26968"/>
    <cellStyle name="Énfasis3 5 2" xfId="26969"/>
    <cellStyle name="Énfasis3 5 2 2" xfId="43697"/>
    <cellStyle name="Énfasis3 5 3" xfId="43696"/>
    <cellStyle name="Énfasis3 6" xfId="26970"/>
    <cellStyle name="Énfasis3 6 2" xfId="43698"/>
    <cellStyle name="Énfasis3 7" xfId="26971"/>
    <cellStyle name="Énfasis3 7 2" xfId="43699"/>
    <cellStyle name="Énfasis3 8" xfId="26972"/>
    <cellStyle name="Énfasis3 8 2" xfId="26973"/>
    <cellStyle name="Énfasis3 8 2 2" xfId="43701"/>
    <cellStyle name="Énfasis3 8 3" xfId="26974"/>
    <cellStyle name="Énfasis3 8 3 2" xfId="43702"/>
    <cellStyle name="Énfasis3 8 4" xfId="26975"/>
    <cellStyle name="Énfasis3 8 4 2" xfId="43703"/>
    <cellStyle name="Énfasis3 8 5" xfId="26976"/>
    <cellStyle name="Énfasis3 8 5 2" xfId="43704"/>
    <cellStyle name="Énfasis3 8 6" xfId="43700"/>
    <cellStyle name="Énfasis3 9" xfId="26961"/>
    <cellStyle name="Énfasis4 10" xfId="51850"/>
    <cellStyle name="Énfasis4 2" xfId="451"/>
    <cellStyle name="Énfasis4 2 2" xfId="26979"/>
    <cellStyle name="Énfasis4 2 2 2" xfId="43706"/>
    <cellStyle name="Énfasis4 2 3" xfId="43705"/>
    <cellStyle name="Énfasis4 2 4" xfId="51953"/>
    <cellStyle name="Énfasis4 2 5" xfId="26978"/>
    <cellStyle name="Énfasis4 3" xfId="1242"/>
    <cellStyle name="Énfasis4 3 2" xfId="26981"/>
    <cellStyle name="Énfasis4 3 2 2" xfId="43708"/>
    <cellStyle name="Énfasis4 3 3" xfId="43707"/>
    <cellStyle name="Énfasis4 3 4" xfId="52795"/>
    <cellStyle name="Énfasis4 3 5" xfId="26980"/>
    <cellStyle name="Énfasis4 4" xfId="26982"/>
    <cellStyle name="Énfasis4 4 2" xfId="26983"/>
    <cellStyle name="Énfasis4 4 2 2" xfId="43710"/>
    <cellStyle name="Énfasis4 4 3" xfId="43709"/>
    <cellStyle name="Énfasis4 5" xfId="26984"/>
    <cellStyle name="Énfasis4 5 2" xfId="26985"/>
    <cellStyle name="Énfasis4 5 2 2" xfId="43712"/>
    <cellStyle name="Énfasis4 5 3" xfId="43711"/>
    <cellStyle name="Énfasis4 6" xfId="26986"/>
    <cellStyle name="Énfasis4 6 2" xfId="43713"/>
    <cellStyle name="Énfasis4 7" xfId="26987"/>
    <cellStyle name="Énfasis4 7 2" xfId="43714"/>
    <cellStyle name="Énfasis4 8" xfId="26988"/>
    <cellStyle name="Énfasis4 8 2" xfId="26989"/>
    <cellStyle name="Énfasis4 8 2 2" xfId="43716"/>
    <cellStyle name="Énfasis4 8 3" xfId="26990"/>
    <cellStyle name="Énfasis4 8 3 2" xfId="43717"/>
    <cellStyle name="Énfasis4 8 4" xfId="26991"/>
    <cellStyle name="Énfasis4 8 4 2" xfId="43718"/>
    <cellStyle name="Énfasis4 8 5" xfId="26992"/>
    <cellStyle name="Énfasis4 8 5 2" xfId="43719"/>
    <cellStyle name="Énfasis4 8 6" xfId="43715"/>
    <cellStyle name="Énfasis4 9" xfId="26977"/>
    <cellStyle name="Énfasis5 10" xfId="51851"/>
    <cellStyle name="Énfasis5 2" xfId="452"/>
    <cellStyle name="Énfasis5 2 2" xfId="26995"/>
    <cellStyle name="Énfasis5 2 2 2" xfId="43721"/>
    <cellStyle name="Énfasis5 2 3" xfId="43720"/>
    <cellStyle name="Énfasis5 2 4" xfId="51954"/>
    <cellStyle name="Énfasis5 2 5" xfId="26994"/>
    <cellStyle name="Énfasis5 3" xfId="1243"/>
    <cellStyle name="Énfasis5 3 2" xfId="26997"/>
    <cellStyle name="Énfasis5 3 2 2" xfId="43723"/>
    <cellStyle name="Énfasis5 3 3" xfId="43722"/>
    <cellStyle name="Énfasis5 3 4" xfId="52796"/>
    <cellStyle name="Énfasis5 3 5" xfId="26996"/>
    <cellStyle name="Énfasis5 4" xfId="26998"/>
    <cellStyle name="Énfasis5 4 2" xfId="26999"/>
    <cellStyle name="Énfasis5 4 2 2" xfId="43725"/>
    <cellStyle name="Énfasis5 4 3" xfId="43724"/>
    <cellStyle name="Énfasis5 5" xfId="27000"/>
    <cellStyle name="Énfasis5 5 2" xfId="27001"/>
    <cellStyle name="Énfasis5 5 2 2" xfId="43727"/>
    <cellStyle name="Énfasis5 5 3" xfId="43726"/>
    <cellStyle name="Énfasis5 6" xfId="27002"/>
    <cellStyle name="Énfasis5 6 2" xfId="43728"/>
    <cellStyle name="Énfasis5 7" xfId="27003"/>
    <cellStyle name="Énfasis5 7 2" xfId="43729"/>
    <cellStyle name="Énfasis5 8" xfId="27004"/>
    <cellStyle name="Énfasis5 8 2" xfId="27005"/>
    <cellStyle name="Énfasis5 8 2 2" xfId="43731"/>
    <cellStyle name="Énfasis5 8 3" xfId="27006"/>
    <cellStyle name="Énfasis5 8 3 2" xfId="43732"/>
    <cellStyle name="Énfasis5 8 4" xfId="27007"/>
    <cellStyle name="Énfasis5 8 4 2" xfId="43733"/>
    <cellStyle name="Énfasis5 8 5" xfId="27008"/>
    <cellStyle name="Énfasis5 8 5 2" xfId="43734"/>
    <cellStyle name="Énfasis5 8 6" xfId="43730"/>
    <cellStyle name="Énfasis5 9" xfId="26993"/>
    <cellStyle name="Énfasis6 10" xfId="51852"/>
    <cellStyle name="Énfasis6 2" xfId="453"/>
    <cellStyle name="Énfasis6 2 2" xfId="27011"/>
    <cellStyle name="Énfasis6 2 2 2" xfId="43736"/>
    <cellStyle name="Énfasis6 2 3" xfId="43735"/>
    <cellStyle name="Énfasis6 2 4" xfId="51955"/>
    <cellStyle name="Énfasis6 2 5" xfId="27010"/>
    <cellStyle name="Énfasis6 3" xfId="1244"/>
    <cellStyle name="Énfasis6 3 2" xfId="27013"/>
    <cellStyle name="Énfasis6 3 2 2" xfId="43738"/>
    <cellStyle name="Énfasis6 3 3" xfId="43737"/>
    <cellStyle name="Énfasis6 3 4" xfId="52797"/>
    <cellStyle name="Énfasis6 3 5" xfId="27012"/>
    <cellStyle name="Énfasis6 4" xfId="27014"/>
    <cellStyle name="Énfasis6 4 2" xfId="27015"/>
    <cellStyle name="Énfasis6 4 2 2" xfId="43740"/>
    <cellStyle name="Énfasis6 4 3" xfId="43739"/>
    <cellStyle name="Énfasis6 5" xfId="27016"/>
    <cellStyle name="Énfasis6 5 2" xfId="27017"/>
    <cellStyle name="Énfasis6 5 2 2" xfId="43742"/>
    <cellStyle name="Énfasis6 5 3" xfId="43741"/>
    <cellStyle name="Énfasis6 6" xfId="27018"/>
    <cellStyle name="Énfasis6 6 2" xfId="43743"/>
    <cellStyle name="Énfasis6 7" xfId="27019"/>
    <cellStyle name="Énfasis6 7 2" xfId="43744"/>
    <cellStyle name="Énfasis6 8" xfId="27020"/>
    <cellStyle name="Énfasis6 8 2" xfId="27021"/>
    <cellStyle name="Énfasis6 8 2 2" xfId="43746"/>
    <cellStyle name="Énfasis6 8 3" xfId="27022"/>
    <cellStyle name="Énfasis6 8 3 2" xfId="43747"/>
    <cellStyle name="Énfasis6 8 4" xfId="27023"/>
    <cellStyle name="Énfasis6 8 4 2" xfId="43748"/>
    <cellStyle name="Énfasis6 8 5" xfId="27024"/>
    <cellStyle name="Énfasis6 8 5 2" xfId="43749"/>
    <cellStyle name="Énfasis6 8 6" xfId="43745"/>
    <cellStyle name="Énfasis6 9" xfId="27009"/>
    <cellStyle name="Entrada" xfId="9" builtinId="20" customBuiltin="1"/>
    <cellStyle name="Entrada 2" xfId="454"/>
    <cellStyle name="Entrada 2 2" xfId="27027"/>
    <cellStyle name="Entrada 2 2 2" xfId="43751"/>
    <cellStyle name="Entrada 2 3" xfId="27028"/>
    <cellStyle name="Entrada 2 3 2" xfId="43752"/>
    <cellStyle name="Entrada 2 4" xfId="43750"/>
    <cellStyle name="Entrada 2 5" xfId="27026"/>
    <cellStyle name="Entrada 2_Plan by Lob" xfId="27029"/>
    <cellStyle name="Entrada 3" xfId="27030"/>
    <cellStyle name="Entrada 3 2" xfId="27031"/>
    <cellStyle name="Entrada 3 2 2" xfId="43754"/>
    <cellStyle name="Entrada 3 3" xfId="43753"/>
    <cellStyle name="Entrada 4" xfId="27032"/>
    <cellStyle name="Entrada 4 2" xfId="27033"/>
    <cellStyle name="Entrada 4 2 2" xfId="43756"/>
    <cellStyle name="Entrada 4 3" xfId="43755"/>
    <cellStyle name="Entrada 5" xfId="27034"/>
    <cellStyle name="Entrada 5 2" xfId="27035"/>
    <cellStyle name="Entrada 5 2 2" xfId="43758"/>
    <cellStyle name="Entrada 5 3" xfId="43757"/>
    <cellStyle name="Entrada 6" xfId="27036"/>
    <cellStyle name="Entrada 6 2" xfId="43759"/>
    <cellStyle name="Entrada 7" xfId="27037"/>
    <cellStyle name="Entrada 7 2" xfId="43760"/>
    <cellStyle name="Entrada 8" xfId="27038"/>
    <cellStyle name="Entrada 8 2" xfId="27039"/>
    <cellStyle name="Entrada 8 2 2" xfId="43762"/>
    <cellStyle name="Entrada 8 3" xfId="27040"/>
    <cellStyle name="Entrada 8 3 2" xfId="43763"/>
    <cellStyle name="Entrada 8 4" xfId="27041"/>
    <cellStyle name="Entrada 8 4 2" xfId="43764"/>
    <cellStyle name="Entrada 8 5" xfId="27042"/>
    <cellStyle name="Entrada 8 5 2" xfId="43765"/>
    <cellStyle name="Entrada 8 6" xfId="43761"/>
    <cellStyle name="Entrada 9" xfId="27025"/>
    <cellStyle name="Entrée" xfId="27043"/>
    <cellStyle name="Entrée 2" xfId="43766"/>
    <cellStyle name="Ergebnis" xfId="27044"/>
    <cellStyle name="Ergebnis 2" xfId="43767"/>
    <cellStyle name="Erklärender Text" xfId="27045"/>
    <cellStyle name="Erklärender Text 2" xfId="43768"/>
    <cellStyle name="ESPACIO" xfId="27046"/>
    <cellStyle name="ESPACIO 2" xfId="43769"/>
    <cellStyle name="Estilo 1" xfId="27047"/>
    <cellStyle name="Estilo 1 2" xfId="27048"/>
    <cellStyle name="Estilo 1 2 2" xfId="27049"/>
    <cellStyle name="Estilo 1 2 2 2" xfId="43772"/>
    <cellStyle name="Estilo 1 2 3" xfId="43771"/>
    <cellStyle name="Estilo 1 3" xfId="27050"/>
    <cellStyle name="Estilo 1 3 2" xfId="43773"/>
    <cellStyle name="Estilo 1 4" xfId="27051"/>
    <cellStyle name="Estilo 1 4 2" xfId="43774"/>
    <cellStyle name="Estilo 1 5" xfId="27052"/>
    <cellStyle name="Estilo 1 5 2" xfId="43775"/>
    <cellStyle name="Estilo 1 6" xfId="43770"/>
    <cellStyle name="Estilo 1_Plan by Lob" xfId="27053"/>
    <cellStyle name="Euro" xfId="455"/>
    <cellStyle name="Euro 10" xfId="27055"/>
    <cellStyle name="Euro 10 2" xfId="43777"/>
    <cellStyle name="Euro 11" xfId="27056"/>
    <cellStyle name="Euro 12" xfId="27054"/>
    <cellStyle name="Euro 13" xfId="43776"/>
    <cellStyle name="Euro 2" xfId="27057"/>
    <cellStyle name="Euro 2 10" xfId="27058"/>
    <cellStyle name="Euro 2 10 2" xfId="27059"/>
    <cellStyle name="Euro 2 10 2 2" xfId="43780"/>
    <cellStyle name="Euro 2 10 3" xfId="27060"/>
    <cellStyle name="Euro 2 10 3 2" xfId="43781"/>
    <cellStyle name="Euro 2 10 4" xfId="27061"/>
    <cellStyle name="Euro 2 10 4 2" xfId="43782"/>
    <cellStyle name="Euro 2 10 5" xfId="43779"/>
    <cellStyle name="Euro 2 11" xfId="27062"/>
    <cellStyle name="Euro 2 11 2" xfId="27063"/>
    <cellStyle name="Euro 2 11 2 2" xfId="43784"/>
    <cellStyle name="Euro 2 11 3" xfId="27064"/>
    <cellStyle name="Euro 2 11 3 2" xfId="43785"/>
    <cellStyle name="Euro 2 11 4" xfId="27065"/>
    <cellStyle name="Euro 2 11 4 2" xfId="43786"/>
    <cellStyle name="Euro 2 11 5" xfId="43783"/>
    <cellStyle name="Euro 2 12" xfId="27066"/>
    <cellStyle name="Euro 2 12 2" xfId="27067"/>
    <cellStyle name="Euro 2 12 2 2" xfId="43788"/>
    <cellStyle name="Euro 2 12 3" xfId="27068"/>
    <cellStyle name="Euro 2 12 3 2" xfId="43789"/>
    <cellStyle name="Euro 2 12 4" xfId="27069"/>
    <cellStyle name="Euro 2 12 4 2" xfId="43790"/>
    <cellStyle name="Euro 2 12 5" xfId="43787"/>
    <cellStyle name="Euro 2 13" xfId="27070"/>
    <cellStyle name="Euro 2 13 2" xfId="43791"/>
    <cellStyle name="Euro 2 14" xfId="27071"/>
    <cellStyle name="Euro 2 14 2" xfId="43792"/>
    <cellStyle name="Euro 2 15" xfId="27072"/>
    <cellStyle name="Euro 2 15 2" xfId="43793"/>
    <cellStyle name="Euro 2 16" xfId="43778"/>
    <cellStyle name="Euro 2 2" xfId="27073"/>
    <cellStyle name="Euro 2 2 2" xfId="27074"/>
    <cellStyle name="Euro 2 2 2 2" xfId="43795"/>
    <cellStyle name="Euro 2 2 3" xfId="27075"/>
    <cellStyle name="Euro 2 2 3 2" xfId="43796"/>
    <cellStyle name="Euro 2 2 4" xfId="27076"/>
    <cellStyle name="Euro 2 2 4 2" xfId="43797"/>
    <cellStyle name="Euro 2 2 5" xfId="43794"/>
    <cellStyle name="Euro 2 3" xfId="27077"/>
    <cellStyle name="Euro 2 3 2" xfId="27078"/>
    <cellStyle name="Euro 2 3 2 2" xfId="43799"/>
    <cellStyle name="Euro 2 3 3" xfId="27079"/>
    <cellStyle name="Euro 2 3 3 2" xfId="43800"/>
    <cellStyle name="Euro 2 3 4" xfId="27080"/>
    <cellStyle name="Euro 2 3 4 2" xfId="43801"/>
    <cellStyle name="Euro 2 3 5" xfId="43798"/>
    <cellStyle name="Euro 2 4" xfId="27081"/>
    <cellStyle name="Euro 2 4 2" xfId="27082"/>
    <cellStyle name="Euro 2 4 2 2" xfId="43803"/>
    <cellStyle name="Euro 2 4 3" xfId="27083"/>
    <cellStyle name="Euro 2 4 3 2" xfId="43804"/>
    <cellStyle name="Euro 2 4 4" xfId="27084"/>
    <cellStyle name="Euro 2 4 4 2" xfId="43805"/>
    <cellStyle name="Euro 2 4 5" xfId="43802"/>
    <cellStyle name="Euro 2 5" xfId="27085"/>
    <cellStyle name="Euro 2 5 2" xfId="27086"/>
    <cellStyle name="Euro 2 5 2 2" xfId="43807"/>
    <cellStyle name="Euro 2 5 3" xfId="27087"/>
    <cellStyle name="Euro 2 5 3 2" xfId="43808"/>
    <cellStyle name="Euro 2 5 4" xfId="27088"/>
    <cellStyle name="Euro 2 5 4 2" xfId="43809"/>
    <cellStyle name="Euro 2 5 5" xfId="43806"/>
    <cellStyle name="Euro 2 6" xfId="27089"/>
    <cellStyle name="Euro 2 6 2" xfId="27090"/>
    <cellStyle name="Euro 2 6 2 2" xfId="43811"/>
    <cellStyle name="Euro 2 6 3" xfId="27091"/>
    <cellStyle name="Euro 2 6 3 2" xfId="43812"/>
    <cellStyle name="Euro 2 6 4" xfId="27092"/>
    <cellStyle name="Euro 2 6 4 2" xfId="43813"/>
    <cellStyle name="Euro 2 6 5" xfId="43810"/>
    <cellStyle name="Euro 2 7" xfId="27093"/>
    <cellStyle name="Euro 2 7 2" xfId="27094"/>
    <cellStyle name="Euro 2 7 2 2" xfId="43815"/>
    <cellStyle name="Euro 2 7 3" xfId="27095"/>
    <cellStyle name="Euro 2 7 3 2" xfId="43816"/>
    <cellStyle name="Euro 2 7 4" xfId="27096"/>
    <cellStyle name="Euro 2 7 4 2" xfId="43817"/>
    <cellStyle name="Euro 2 7 5" xfId="43814"/>
    <cellStyle name="Euro 2 8" xfId="27097"/>
    <cellStyle name="Euro 2 8 2" xfId="27098"/>
    <cellStyle name="Euro 2 8 2 2" xfId="43819"/>
    <cellStyle name="Euro 2 8 3" xfId="27099"/>
    <cellStyle name="Euro 2 8 3 2" xfId="43820"/>
    <cellStyle name="Euro 2 8 4" xfId="27100"/>
    <cellStyle name="Euro 2 8 4 2" xfId="43821"/>
    <cellStyle name="Euro 2 8 5" xfId="43818"/>
    <cellStyle name="Euro 2 9" xfId="27101"/>
    <cellStyle name="Euro 2 9 2" xfId="27102"/>
    <cellStyle name="Euro 2 9 2 2" xfId="43823"/>
    <cellStyle name="Euro 2 9 3" xfId="27103"/>
    <cellStyle name="Euro 2 9 3 2" xfId="43824"/>
    <cellStyle name="Euro 2 9 4" xfId="27104"/>
    <cellStyle name="Euro 2 9 4 2" xfId="43825"/>
    <cellStyle name="Euro 2 9 5" xfId="43822"/>
    <cellStyle name="Euro 3" xfId="27105"/>
    <cellStyle name="Euro 3 10" xfId="27106"/>
    <cellStyle name="Euro 3 10 2" xfId="43827"/>
    <cellStyle name="Euro 3 11" xfId="43826"/>
    <cellStyle name="Euro 3 2" xfId="27107"/>
    <cellStyle name="Euro 3 2 2" xfId="27108"/>
    <cellStyle name="Euro 3 2 2 2" xfId="43829"/>
    <cellStyle name="Euro 3 2 3" xfId="43828"/>
    <cellStyle name="Euro 3 2_Reserva USgaap" xfId="27109"/>
    <cellStyle name="Euro 3 3" xfId="27110"/>
    <cellStyle name="Euro 3 3 2" xfId="43830"/>
    <cellStyle name="Euro 3 4" xfId="27111"/>
    <cellStyle name="Euro 3 4 2" xfId="43831"/>
    <cellStyle name="Euro 3 5" xfId="27112"/>
    <cellStyle name="Euro 3 5 2" xfId="43832"/>
    <cellStyle name="Euro 3 6" xfId="27113"/>
    <cellStyle name="Euro 3 6 2" xfId="43833"/>
    <cellStyle name="Euro 3 7" xfId="27114"/>
    <cellStyle name="Euro 3 7 2" xfId="43834"/>
    <cellStyle name="Euro 3 8" xfId="27115"/>
    <cellStyle name="Euro 3 8 2" xfId="43835"/>
    <cellStyle name="Euro 3 9" xfId="27116"/>
    <cellStyle name="Euro 3 9 2" xfId="43836"/>
    <cellStyle name="Euro 3_Reserva USgaap" xfId="27117"/>
    <cellStyle name="Euro 4" xfId="27118"/>
    <cellStyle name="Euro 4 2" xfId="27119"/>
    <cellStyle name="Euro 4 2 2" xfId="43838"/>
    <cellStyle name="Euro 4 3" xfId="43837"/>
    <cellStyle name="Euro 5" xfId="27120"/>
    <cellStyle name="Euro 5 2" xfId="27121"/>
    <cellStyle name="Euro 5 2 2" xfId="43840"/>
    <cellStyle name="Euro 5 3" xfId="43839"/>
    <cellStyle name="Euro 6" xfId="27122"/>
    <cellStyle name="Euro 6 2" xfId="27123"/>
    <cellStyle name="Euro 6 2 2" xfId="43842"/>
    <cellStyle name="Euro 6 3" xfId="43841"/>
    <cellStyle name="Euro 7" xfId="27124"/>
    <cellStyle name="Euro 7 2" xfId="27125"/>
    <cellStyle name="Euro 7 2 2" xfId="43844"/>
    <cellStyle name="Euro 7 3" xfId="43843"/>
    <cellStyle name="Euro 8" xfId="27126"/>
    <cellStyle name="Euro 8 2" xfId="27127"/>
    <cellStyle name="Euro 8 2 2" xfId="43846"/>
    <cellStyle name="Euro 8 3" xfId="43845"/>
    <cellStyle name="Euro 9" xfId="27128"/>
    <cellStyle name="Euro 9 2" xfId="27129"/>
    <cellStyle name="Euro 9 2 2" xfId="43848"/>
    <cellStyle name="Euro 9 3" xfId="43847"/>
    <cellStyle name="Euro_IAS" xfId="27130"/>
    <cellStyle name="EV_ACT_CQ_CY_A_0" xfId="27131"/>
    <cellStyle name="Explanatory Text" xfId="27132"/>
    <cellStyle name="Explanatory Text 2" xfId="27133"/>
    <cellStyle name="Explanatory Text 2 2" xfId="43850"/>
    <cellStyle name="Explanatory Text 3" xfId="27134"/>
    <cellStyle name="Explanatory Text 3 2" xfId="43851"/>
    <cellStyle name="Explanatory Text 4" xfId="27135"/>
    <cellStyle name="Explanatory Text 4 2" xfId="43852"/>
    <cellStyle name="Explanatory Text 5" xfId="27136"/>
    <cellStyle name="Explanatory Text 5 2" xfId="43853"/>
    <cellStyle name="Explanatory Text 6" xfId="27137"/>
    <cellStyle name="Explanatory Text 6 2" xfId="43854"/>
    <cellStyle name="Explanatory Text 7" xfId="27138"/>
    <cellStyle name="Explanatory Text 7 2" xfId="43855"/>
    <cellStyle name="Explanatory Text 8" xfId="43849"/>
    <cellStyle name="Explanatory Text_CC by Function (InsightZ)" xfId="27139"/>
    <cellStyle name="Fixed" xfId="27140"/>
    <cellStyle name="Fixed 2" xfId="27141"/>
    <cellStyle name="Fixed 2 2" xfId="27142"/>
    <cellStyle name="Fixed 2 2 2" xfId="43858"/>
    <cellStyle name="Fixed 2 3" xfId="43857"/>
    <cellStyle name="Fixed 3" xfId="27143"/>
    <cellStyle name="Fixed 3 2" xfId="43859"/>
    <cellStyle name="Fixed 4" xfId="43856"/>
    <cellStyle name="Fixed_Plan by Lob" xfId="27144"/>
    <cellStyle name="fussnote" xfId="27145"/>
    <cellStyle name="fussnote 2" xfId="43860"/>
    <cellStyle name="Good" xfId="27146"/>
    <cellStyle name="Good 2" xfId="27147"/>
    <cellStyle name="Good 2 2" xfId="27148"/>
    <cellStyle name="Good 2 2 2" xfId="43863"/>
    <cellStyle name="Good 2 3" xfId="43862"/>
    <cellStyle name="Good 3" xfId="27149"/>
    <cellStyle name="Good 3 2" xfId="27150"/>
    <cellStyle name="Good 3 2 2" xfId="43865"/>
    <cellStyle name="Good 3 3" xfId="43864"/>
    <cellStyle name="Good 4" xfId="27151"/>
    <cellStyle name="Good 4 2" xfId="43866"/>
    <cellStyle name="Good 5" xfId="27152"/>
    <cellStyle name="Good 5 2" xfId="43867"/>
    <cellStyle name="Good 6" xfId="27153"/>
    <cellStyle name="Good 6 2" xfId="43868"/>
    <cellStyle name="Good 7" xfId="27154"/>
    <cellStyle name="Good 7 2" xfId="43869"/>
    <cellStyle name="Good 8" xfId="43861"/>
    <cellStyle name="Good_CC by Function (InsightZ)" xfId="27155"/>
    <cellStyle name="Green_Outline" xfId="27156"/>
    <cellStyle name="Gut" xfId="27157"/>
    <cellStyle name="Gut 2" xfId="43870"/>
    <cellStyle name="header" xfId="27158"/>
    <cellStyle name="header 2" xfId="43871"/>
    <cellStyle name="Header1" xfId="27159"/>
    <cellStyle name="Header1 2" xfId="43872"/>
    <cellStyle name="Header2" xfId="27160"/>
    <cellStyle name="Header2 2" xfId="43873"/>
    <cellStyle name="Header3" xfId="27161"/>
    <cellStyle name="Header3 2" xfId="43874"/>
    <cellStyle name="Heading 1" xfId="27162"/>
    <cellStyle name="Heading 1 2" xfId="27163"/>
    <cellStyle name="Heading 1 2 2" xfId="43876"/>
    <cellStyle name="Heading 1 3" xfId="27164"/>
    <cellStyle name="Heading 1 3 2" xfId="43877"/>
    <cellStyle name="Heading 1 4" xfId="27165"/>
    <cellStyle name="Heading 1 4 2" xfId="43878"/>
    <cellStyle name="Heading 1 5" xfId="27166"/>
    <cellStyle name="Heading 1 5 2" xfId="43879"/>
    <cellStyle name="Heading 1 6" xfId="27167"/>
    <cellStyle name="Heading 1 6 2" xfId="43880"/>
    <cellStyle name="Heading 1 7" xfId="27168"/>
    <cellStyle name="Heading 1 7 2" xfId="43881"/>
    <cellStyle name="Heading 1 8" xfId="43875"/>
    <cellStyle name="Heading 1_CC by Function (InsightZ)" xfId="27169"/>
    <cellStyle name="Heading 2" xfId="27170"/>
    <cellStyle name="Heading 2 2" xfId="27171"/>
    <cellStyle name="Heading 2 2 2" xfId="43883"/>
    <cellStyle name="Heading 2 3" xfId="27172"/>
    <cellStyle name="Heading 2 3 2" xfId="43884"/>
    <cellStyle name="Heading 2 4" xfId="27173"/>
    <cellStyle name="Heading 2 4 2" xfId="43885"/>
    <cellStyle name="Heading 2 5" xfId="27174"/>
    <cellStyle name="Heading 2 5 2" xfId="43886"/>
    <cellStyle name="Heading 2 6" xfId="27175"/>
    <cellStyle name="Heading 2 6 2" xfId="43887"/>
    <cellStyle name="Heading 2 7" xfId="27176"/>
    <cellStyle name="Heading 2 7 2" xfId="43888"/>
    <cellStyle name="Heading 2 8" xfId="43882"/>
    <cellStyle name="Heading 2_CC by Function (InsightZ)" xfId="27177"/>
    <cellStyle name="Heading 3" xfId="27178"/>
    <cellStyle name="Heading 3 2" xfId="27179"/>
    <cellStyle name="Heading 3 2 2" xfId="43890"/>
    <cellStyle name="Heading 3 3" xfId="27180"/>
    <cellStyle name="Heading 3 3 2" xfId="43891"/>
    <cellStyle name="Heading 3 4" xfId="27181"/>
    <cellStyle name="Heading 3 4 2" xfId="43892"/>
    <cellStyle name="Heading 3 5" xfId="27182"/>
    <cellStyle name="Heading 3 5 2" xfId="43893"/>
    <cellStyle name="Heading 3 6" xfId="27183"/>
    <cellStyle name="Heading 3 6 2" xfId="43894"/>
    <cellStyle name="Heading 3 7" xfId="27184"/>
    <cellStyle name="Heading 3 7 2" xfId="43895"/>
    <cellStyle name="Heading 3 8" xfId="43889"/>
    <cellStyle name="Heading 3_CC by Function (InsightZ)" xfId="27185"/>
    <cellStyle name="Heading 4" xfId="27186"/>
    <cellStyle name="Heading 4 2" xfId="27187"/>
    <cellStyle name="Heading 4 2 2" xfId="43897"/>
    <cellStyle name="Heading 4 3" xfId="27188"/>
    <cellStyle name="Heading 4 3 2" xfId="43898"/>
    <cellStyle name="Heading 4 4" xfId="27189"/>
    <cellStyle name="Heading 4 4 2" xfId="43899"/>
    <cellStyle name="Heading 4 5" xfId="27190"/>
    <cellStyle name="Heading 4 5 2" xfId="43900"/>
    <cellStyle name="Heading 4 6" xfId="27191"/>
    <cellStyle name="Heading 4 6 2" xfId="43901"/>
    <cellStyle name="Heading 4 7" xfId="27192"/>
    <cellStyle name="Heading 4 7 2" xfId="43902"/>
    <cellStyle name="Heading 4 8" xfId="43896"/>
    <cellStyle name="Heading 4_CC by Function (InsightZ)" xfId="27193"/>
    <cellStyle name="Heading1" xfId="27194"/>
    <cellStyle name="Heading1 2" xfId="27195"/>
    <cellStyle name="Heading1 2 2" xfId="27196"/>
    <cellStyle name="Heading1 2 2 2" xfId="43905"/>
    <cellStyle name="Heading1 2 3" xfId="43904"/>
    <cellStyle name="Heading1 3" xfId="27197"/>
    <cellStyle name="Heading1 3 2" xfId="43906"/>
    <cellStyle name="Heading1 4" xfId="43903"/>
    <cellStyle name="Heading1_Plan by Lob" xfId="27198"/>
    <cellStyle name="Heading2" xfId="27199"/>
    <cellStyle name="Heading2 2" xfId="27200"/>
    <cellStyle name="Heading2 2 2" xfId="27201"/>
    <cellStyle name="Heading2 2 2 2" xfId="43909"/>
    <cellStyle name="Heading2 2 3" xfId="43908"/>
    <cellStyle name="Heading2 3" xfId="27202"/>
    <cellStyle name="Heading2 3 2" xfId="43910"/>
    <cellStyle name="Heading2 4" xfId="43907"/>
    <cellStyle name="Heading2_Plan by Lob" xfId="27203"/>
    <cellStyle name="Hipervínculo" xfId="21" builtinId="8"/>
    <cellStyle name="Hipervínculo 2" xfId="456"/>
    <cellStyle name="Hipervínculo 2 2" xfId="27205"/>
    <cellStyle name="Hipervínculo 2 2 2" xfId="43912"/>
    <cellStyle name="Hipervínculo 2 3" xfId="27206"/>
    <cellStyle name="Hipervínculo 2 3 2" xfId="43913"/>
    <cellStyle name="Hipervínculo 2 4" xfId="27204"/>
    <cellStyle name="Hipervínculo 2 5" xfId="43911"/>
    <cellStyle name="Hipervínculo 3" xfId="457"/>
    <cellStyle name="Hipervínculo 3 2" xfId="52025"/>
    <cellStyle name="Hipervínculo 3 3" xfId="19997"/>
    <cellStyle name="Hipervínculo 4" xfId="51842"/>
    <cellStyle name="Incorrecto 10" xfId="51854"/>
    <cellStyle name="Incorrecto 2" xfId="458"/>
    <cellStyle name="Incorrecto 2 2" xfId="27209"/>
    <cellStyle name="Incorrecto 2 2 2" xfId="43915"/>
    <cellStyle name="Incorrecto 2 3" xfId="43914"/>
    <cellStyle name="Incorrecto 2 4" xfId="51956"/>
    <cellStyle name="Incorrecto 2 5" xfId="27208"/>
    <cellStyle name="Incorrecto 3" xfId="1245"/>
    <cellStyle name="Incorrecto 3 2" xfId="27211"/>
    <cellStyle name="Incorrecto 3 2 2" xfId="43917"/>
    <cellStyle name="Incorrecto 3 3" xfId="43916"/>
    <cellStyle name="Incorrecto 3 4" xfId="52798"/>
    <cellStyle name="Incorrecto 3 5" xfId="27210"/>
    <cellStyle name="Incorrecto 4" xfId="27212"/>
    <cellStyle name="Incorrecto 4 2" xfId="27213"/>
    <cellStyle name="Incorrecto 4 2 2" xfId="43919"/>
    <cellStyle name="Incorrecto 4 3" xfId="43918"/>
    <cellStyle name="Incorrecto 5" xfId="27214"/>
    <cellStyle name="Incorrecto 5 2" xfId="27215"/>
    <cellStyle name="Incorrecto 5 2 2" xfId="43921"/>
    <cellStyle name="Incorrecto 5 3" xfId="43920"/>
    <cellStyle name="Incorrecto 6" xfId="27216"/>
    <cellStyle name="Incorrecto 6 2" xfId="43922"/>
    <cellStyle name="Incorrecto 7" xfId="27217"/>
    <cellStyle name="Incorrecto 7 2" xfId="43923"/>
    <cellStyle name="Incorrecto 8" xfId="27218"/>
    <cellStyle name="Incorrecto 8 2" xfId="27219"/>
    <cellStyle name="Incorrecto 8 2 2" xfId="43925"/>
    <cellStyle name="Incorrecto 8 3" xfId="27220"/>
    <cellStyle name="Incorrecto 8 3 2" xfId="43926"/>
    <cellStyle name="Incorrecto 8 4" xfId="27221"/>
    <cellStyle name="Incorrecto 8 4 2" xfId="43927"/>
    <cellStyle name="Incorrecto 8 5" xfId="27222"/>
    <cellStyle name="Incorrecto 8 5 2" xfId="43928"/>
    <cellStyle name="Incorrecto 8 6" xfId="43924"/>
    <cellStyle name="Incorrecto 9" xfId="27207"/>
    <cellStyle name="Incorreto" xfId="27223"/>
    <cellStyle name="Incorreto 2" xfId="43929"/>
    <cellStyle name="Input" xfId="27224"/>
    <cellStyle name="Input 2" xfId="27225"/>
    <cellStyle name="Input 2 2" xfId="43931"/>
    <cellStyle name="Input 3" xfId="27226"/>
    <cellStyle name="Input 3 2" xfId="43932"/>
    <cellStyle name="Input 4" xfId="27227"/>
    <cellStyle name="Input 4 2" xfId="43933"/>
    <cellStyle name="Input 5" xfId="27228"/>
    <cellStyle name="Input 5 2" xfId="43934"/>
    <cellStyle name="Input 6" xfId="27229"/>
    <cellStyle name="Input 6 2" xfId="43935"/>
    <cellStyle name="Input 7" xfId="27230"/>
    <cellStyle name="Input 7 2" xfId="43936"/>
    <cellStyle name="Input 8" xfId="43930"/>
    <cellStyle name="Input_CC by Function (InsightZ)" xfId="27231"/>
    <cellStyle name="Insatisfaisant" xfId="27232"/>
    <cellStyle name="Insatisfaisant 2" xfId="43937"/>
    <cellStyle name="jdd" xfId="27233"/>
    <cellStyle name="jdd 2" xfId="27234"/>
    <cellStyle name="jdd 2 2" xfId="43939"/>
    <cellStyle name="jdd 3" xfId="43938"/>
    <cellStyle name="Komórka połączona" xfId="459"/>
    <cellStyle name="Komórka połączona 2" xfId="27235"/>
    <cellStyle name="Komórka zaznaczona" xfId="460"/>
    <cellStyle name="Komórka zaznaczona 2" xfId="27236"/>
    <cellStyle name="l]_x000d__x000a_Path=M:\RIOCEN01_x000d__x000a_Name=Carlos Emilio Brousse_x000d__x000a_DDEApps=nsf,nsg,nsh,ntf,ns2,ors,org_x000d__x000a_SmartIcons=Todos_x000d__x000a_" xfId="27237"/>
    <cellStyle name="l]_x000d__x000a_Path=M:\RIOCEN01_x000d__x000a_Name=Carlos Emilio Brousse_x000d__x000a_DDEApps=nsf,nsg,nsh,ntf,ns2,ors,org_x000d__x000a_SmartIcons=Todos_x000d__x000a_ 2" xfId="43940"/>
    <cellStyle name="Linked Cell" xfId="27238"/>
    <cellStyle name="Linked Cell 2" xfId="27239"/>
    <cellStyle name="Linked Cell 2 2" xfId="43942"/>
    <cellStyle name="Linked Cell 3" xfId="27240"/>
    <cellStyle name="Linked Cell 3 2" xfId="43943"/>
    <cellStyle name="Linked Cell 4" xfId="27241"/>
    <cellStyle name="Linked Cell 4 2" xfId="43944"/>
    <cellStyle name="Linked Cell 5" xfId="27242"/>
    <cellStyle name="Linked Cell 5 2" xfId="43945"/>
    <cellStyle name="Linked Cell 6" xfId="27243"/>
    <cellStyle name="Linked Cell 6 2" xfId="43946"/>
    <cellStyle name="Linked Cell 7" xfId="27244"/>
    <cellStyle name="Linked Cell 7 2" xfId="43947"/>
    <cellStyle name="Linked Cell 8" xfId="43941"/>
    <cellStyle name="Linked Cell_CC by Function (InsightZ)" xfId="27245"/>
    <cellStyle name="Millares" xfId="6450" builtinId="3"/>
    <cellStyle name="Millares [0] 10" xfId="27248"/>
    <cellStyle name="Millares [0] 10 2" xfId="43948"/>
    <cellStyle name="Millares [0] 11" xfId="27249"/>
    <cellStyle name="Millares [0] 11 2" xfId="43949"/>
    <cellStyle name="Millares [0] 12" xfId="27247"/>
    <cellStyle name="Millares [0] 13" xfId="19912"/>
    <cellStyle name="Millares [0] 2" xfId="19913"/>
    <cellStyle name="Millares [0] 2 2" xfId="19987"/>
    <cellStyle name="Millares [0] 2 2 2" xfId="27252"/>
    <cellStyle name="Millares [0] 2 2 3" xfId="27251"/>
    <cellStyle name="Millares [0] 2 2 4" xfId="43951"/>
    <cellStyle name="Millares [0] 2 3" xfId="27253"/>
    <cellStyle name="Millares [0] 2 3 2" xfId="43952"/>
    <cellStyle name="Millares [0] 2 4" xfId="27254"/>
    <cellStyle name="Millares [0] 2 4 2" xfId="43953"/>
    <cellStyle name="Millares [0] 2 5" xfId="27255"/>
    <cellStyle name="Millares [0] 2 5 2" xfId="43954"/>
    <cellStyle name="Millares [0] 2 6" xfId="27256"/>
    <cellStyle name="Millares [0] 2 6 2" xfId="43955"/>
    <cellStyle name="Millares [0] 2 7" xfId="27257"/>
    <cellStyle name="Millares [0] 2 8" xfId="27250"/>
    <cellStyle name="Millares [0] 2 9" xfId="43950"/>
    <cellStyle name="Millares [0] 2_Plan by Lob" xfId="27258"/>
    <cellStyle name="Millares [0] 3" xfId="19914"/>
    <cellStyle name="Millares [0] 3 2" xfId="27260"/>
    <cellStyle name="Millares [0] 3 2 2" xfId="43957"/>
    <cellStyle name="Millares [0] 3 3" xfId="27261"/>
    <cellStyle name="Millares [0] 3 4" xfId="27259"/>
    <cellStyle name="Millares [0] 3 5" xfId="43956"/>
    <cellStyle name="Millares [0] 4" xfId="19986"/>
    <cellStyle name="Millares [0] 4 2" xfId="27262"/>
    <cellStyle name="Millares [0] 4 3" xfId="43958"/>
    <cellStyle name="Millares [0] 5" xfId="27263"/>
    <cellStyle name="Millares [0] 5 2" xfId="43959"/>
    <cellStyle name="Millares [0] 6" xfId="27264"/>
    <cellStyle name="Millares [0] 6 2" xfId="43960"/>
    <cellStyle name="Millares [0] 7" xfId="27265"/>
    <cellStyle name="Millares [0] 7 2" xfId="43961"/>
    <cellStyle name="Millares [0] 8" xfId="27266"/>
    <cellStyle name="Millares [0] 8 2" xfId="43962"/>
    <cellStyle name="Millares [0] 9" xfId="27267"/>
    <cellStyle name="Millares [0] 9 2" xfId="43963"/>
    <cellStyle name="Millares 10" xfId="461"/>
    <cellStyle name="Millares 10 2" xfId="27269"/>
    <cellStyle name="Millares 10 2 2" xfId="43965"/>
    <cellStyle name="Millares 10 3" xfId="27270"/>
    <cellStyle name="Millares 10 3 2" xfId="43966"/>
    <cellStyle name="Millares 10 4" xfId="27271"/>
    <cellStyle name="Millares 10 4 2" xfId="43967"/>
    <cellStyle name="Millares 10 5" xfId="27272"/>
    <cellStyle name="Millares 10 6" xfId="27268"/>
    <cellStyle name="Millares 10 7" xfId="43964"/>
    <cellStyle name="Millares 10_Plan by Lob" xfId="27273"/>
    <cellStyle name="Millares 100" xfId="27274"/>
    <cellStyle name="Millares 100 2" xfId="27275"/>
    <cellStyle name="Millares 100 2 2" xfId="27276"/>
    <cellStyle name="Millares 100 2 2 2" xfId="27277"/>
    <cellStyle name="Millares 100 2 2 2 2" xfId="43971"/>
    <cellStyle name="Millares 100 2 2 3" xfId="43970"/>
    <cellStyle name="Millares 100 2 3" xfId="27278"/>
    <cellStyle name="Millares 100 2 3 2" xfId="43972"/>
    <cellStyle name="Millares 100 2 4" xfId="43969"/>
    <cellStyle name="Millares 100 3" xfId="27279"/>
    <cellStyle name="Millares 100 3 2" xfId="27280"/>
    <cellStyle name="Millares 100 3 2 2" xfId="27281"/>
    <cellStyle name="Millares 100 3 2 2 2" xfId="43975"/>
    <cellStyle name="Millares 100 3 2 3" xfId="43974"/>
    <cellStyle name="Millares 100 3 3" xfId="27282"/>
    <cellStyle name="Millares 100 3 3 2" xfId="43976"/>
    <cellStyle name="Millares 100 3 4" xfId="43973"/>
    <cellStyle name="Millares 100 4" xfId="27283"/>
    <cellStyle name="Millares 100 4 2" xfId="43977"/>
    <cellStyle name="Millares 100 5" xfId="27284"/>
    <cellStyle name="Millares 100 5 2" xfId="43978"/>
    <cellStyle name="Millares 100 6" xfId="43968"/>
    <cellStyle name="Millares 101" xfId="27285"/>
    <cellStyle name="Millares 101 2" xfId="27286"/>
    <cellStyle name="Millares 101 2 2" xfId="27287"/>
    <cellStyle name="Millares 101 2 2 2" xfId="27288"/>
    <cellStyle name="Millares 101 2 2 2 2" xfId="43982"/>
    <cellStyle name="Millares 101 2 2 3" xfId="43981"/>
    <cellStyle name="Millares 101 2 3" xfId="27289"/>
    <cellStyle name="Millares 101 2 3 2" xfId="43983"/>
    <cellStyle name="Millares 101 2 4" xfId="43980"/>
    <cellStyle name="Millares 101 3" xfId="27290"/>
    <cellStyle name="Millares 101 3 2" xfId="27291"/>
    <cellStyle name="Millares 101 3 2 2" xfId="27292"/>
    <cellStyle name="Millares 101 3 2 2 2" xfId="43986"/>
    <cellStyle name="Millares 101 3 2 3" xfId="43985"/>
    <cellStyle name="Millares 101 3 3" xfId="27293"/>
    <cellStyle name="Millares 101 3 3 2" xfId="43987"/>
    <cellStyle name="Millares 101 3 4" xfId="43984"/>
    <cellStyle name="Millares 101 4" xfId="27294"/>
    <cellStyle name="Millares 101 4 2" xfId="43988"/>
    <cellStyle name="Millares 101 5" xfId="27295"/>
    <cellStyle name="Millares 101 5 2" xfId="43989"/>
    <cellStyle name="Millares 101 6" xfId="43979"/>
    <cellStyle name="Millares 102" xfId="27296"/>
    <cellStyle name="Millares 102 2" xfId="27297"/>
    <cellStyle name="Millares 102 2 2" xfId="27298"/>
    <cellStyle name="Millares 102 2 2 2" xfId="27299"/>
    <cellStyle name="Millares 102 2 2 2 2" xfId="43993"/>
    <cellStyle name="Millares 102 2 2 3" xfId="43992"/>
    <cellStyle name="Millares 102 2 3" xfId="27300"/>
    <cellStyle name="Millares 102 2 3 2" xfId="43994"/>
    <cellStyle name="Millares 102 2 4" xfId="43991"/>
    <cellStyle name="Millares 102 3" xfId="27301"/>
    <cellStyle name="Millares 102 3 2" xfId="27302"/>
    <cellStyle name="Millares 102 3 2 2" xfId="27303"/>
    <cellStyle name="Millares 102 3 2 2 2" xfId="43997"/>
    <cellStyle name="Millares 102 3 2 3" xfId="43996"/>
    <cellStyle name="Millares 102 3 3" xfId="27304"/>
    <cellStyle name="Millares 102 3 3 2" xfId="43998"/>
    <cellStyle name="Millares 102 3 4" xfId="43995"/>
    <cellStyle name="Millares 102 4" xfId="27305"/>
    <cellStyle name="Millares 102 4 2" xfId="43999"/>
    <cellStyle name="Millares 102 5" xfId="27306"/>
    <cellStyle name="Millares 102 5 2" xfId="44000"/>
    <cellStyle name="Millares 102 6" xfId="43990"/>
    <cellStyle name="Millares 103" xfId="27307"/>
    <cellStyle name="Millares 103 2" xfId="27308"/>
    <cellStyle name="Millares 103 2 2" xfId="27309"/>
    <cellStyle name="Millares 103 2 2 2" xfId="27310"/>
    <cellStyle name="Millares 103 2 2 2 2" xfId="44004"/>
    <cellStyle name="Millares 103 2 2 3" xfId="44003"/>
    <cellStyle name="Millares 103 2 3" xfId="27311"/>
    <cellStyle name="Millares 103 2 3 2" xfId="44005"/>
    <cellStyle name="Millares 103 2 4" xfId="44002"/>
    <cellStyle name="Millares 103 3" xfId="27312"/>
    <cellStyle name="Millares 103 3 2" xfId="27313"/>
    <cellStyle name="Millares 103 3 2 2" xfId="27314"/>
    <cellStyle name="Millares 103 3 2 2 2" xfId="44008"/>
    <cellStyle name="Millares 103 3 2 3" xfId="44007"/>
    <cellStyle name="Millares 103 3 3" xfId="27315"/>
    <cellStyle name="Millares 103 3 3 2" xfId="44009"/>
    <cellStyle name="Millares 103 3 4" xfId="44006"/>
    <cellStyle name="Millares 103 4" xfId="27316"/>
    <cellStyle name="Millares 103 4 2" xfId="44010"/>
    <cellStyle name="Millares 103 5" xfId="27317"/>
    <cellStyle name="Millares 103 5 2" xfId="44011"/>
    <cellStyle name="Millares 103 6" xfId="44001"/>
    <cellStyle name="Millares 104" xfId="27318"/>
    <cellStyle name="Millares 104 2" xfId="27319"/>
    <cellStyle name="Millares 104 2 2" xfId="27320"/>
    <cellStyle name="Millares 104 2 2 2" xfId="27321"/>
    <cellStyle name="Millares 104 2 2 2 2" xfId="44015"/>
    <cellStyle name="Millares 104 2 2 3" xfId="44014"/>
    <cellStyle name="Millares 104 2 3" xfId="27322"/>
    <cellStyle name="Millares 104 2 3 2" xfId="44016"/>
    <cellStyle name="Millares 104 2 4" xfId="44013"/>
    <cellStyle name="Millares 104 3" xfId="27323"/>
    <cellStyle name="Millares 104 3 2" xfId="27324"/>
    <cellStyle name="Millares 104 3 2 2" xfId="27325"/>
    <cellStyle name="Millares 104 3 2 2 2" xfId="44019"/>
    <cellStyle name="Millares 104 3 2 3" xfId="44018"/>
    <cellStyle name="Millares 104 3 3" xfId="27326"/>
    <cellStyle name="Millares 104 3 3 2" xfId="44020"/>
    <cellStyle name="Millares 104 3 4" xfId="44017"/>
    <cellStyle name="Millares 104 4" xfId="27327"/>
    <cellStyle name="Millares 104 4 2" xfId="44021"/>
    <cellStyle name="Millares 104 5" xfId="27328"/>
    <cellStyle name="Millares 104 5 2" xfId="44022"/>
    <cellStyle name="Millares 104 6" xfId="44012"/>
    <cellStyle name="Millares 105" xfId="27329"/>
    <cellStyle name="Millares 105 2" xfId="27330"/>
    <cellStyle name="Millares 105 2 2" xfId="27331"/>
    <cellStyle name="Millares 105 2 2 2" xfId="27332"/>
    <cellStyle name="Millares 105 2 2 2 2" xfId="44026"/>
    <cellStyle name="Millares 105 2 2 3" xfId="44025"/>
    <cellStyle name="Millares 105 2 3" xfId="27333"/>
    <cellStyle name="Millares 105 2 3 2" xfId="44027"/>
    <cellStyle name="Millares 105 2 4" xfId="44024"/>
    <cellStyle name="Millares 105 3" xfId="27334"/>
    <cellStyle name="Millares 105 3 2" xfId="27335"/>
    <cellStyle name="Millares 105 3 2 2" xfId="27336"/>
    <cellStyle name="Millares 105 3 2 2 2" xfId="44030"/>
    <cellStyle name="Millares 105 3 2 3" xfId="44029"/>
    <cellStyle name="Millares 105 3 3" xfId="27337"/>
    <cellStyle name="Millares 105 3 3 2" xfId="44031"/>
    <cellStyle name="Millares 105 3 4" xfId="44028"/>
    <cellStyle name="Millares 105 4" xfId="27338"/>
    <cellStyle name="Millares 105 4 2" xfId="44032"/>
    <cellStyle name="Millares 105 5" xfId="27339"/>
    <cellStyle name="Millares 105 5 2" xfId="44033"/>
    <cellStyle name="Millares 105 6" xfId="44023"/>
    <cellStyle name="Millares 106" xfId="27340"/>
    <cellStyle name="Millares 106 2" xfId="27341"/>
    <cellStyle name="Millares 106 2 2" xfId="27342"/>
    <cellStyle name="Millares 106 2 2 2" xfId="27343"/>
    <cellStyle name="Millares 106 2 2 2 2" xfId="44037"/>
    <cellStyle name="Millares 106 2 2 3" xfId="44036"/>
    <cellStyle name="Millares 106 2 3" xfId="27344"/>
    <cellStyle name="Millares 106 2 3 2" xfId="44038"/>
    <cellStyle name="Millares 106 2 4" xfId="44035"/>
    <cellStyle name="Millares 106 3" xfId="27345"/>
    <cellStyle name="Millares 106 3 2" xfId="27346"/>
    <cellStyle name="Millares 106 3 2 2" xfId="27347"/>
    <cellStyle name="Millares 106 3 2 2 2" xfId="44041"/>
    <cellStyle name="Millares 106 3 2 3" xfId="44040"/>
    <cellStyle name="Millares 106 3 3" xfId="27348"/>
    <cellStyle name="Millares 106 3 3 2" xfId="44042"/>
    <cellStyle name="Millares 106 3 4" xfId="44039"/>
    <cellStyle name="Millares 106 4" xfId="27349"/>
    <cellStyle name="Millares 106 4 2" xfId="44043"/>
    <cellStyle name="Millares 106 5" xfId="27350"/>
    <cellStyle name="Millares 106 5 2" xfId="44044"/>
    <cellStyle name="Millares 106 6" xfId="44034"/>
    <cellStyle name="Millares 107" xfId="27351"/>
    <cellStyle name="Millares 107 2" xfId="27352"/>
    <cellStyle name="Millares 107 2 2" xfId="27353"/>
    <cellStyle name="Millares 107 2 2 2" xfId="27354"/>
    <cellStyle name="Millares 107 2 2 2 2" xfId="44048"/>
    <cellStyle name="Millares 107 2 2 3" xfId="44047"/>
    <cellStyle name="Millares 107 2 3" xfId="27355"/>
    <cellStyle name="Millares 107 2 3 2" xfId="44049"/>
    <cellStyle name="Millares 107 2 4" xfId="44046"/>
    <cellStyle name="Millares 107 3" xfId="27356"/>
    <cellStyle name="Millares 107 3 2" xfId="27357"/>
    <cellStyle name="Millares 107 3 2 2" xfId="27358"/>
    <cellStyle name="Millares 107 3 2 2 2" xfId="44052"/>
    <cellStyle name="Millares 107 3 2 3" xfId="44051"/>
    <cellStyle name="Millares 107 3 3" xfId="27359"/>
    <cellStyle name="Millares 107 3 3 2" xfId="44053"/>
    <cellStyle name="Millares 107 3 4" xfId="44050"/>
    <cellStyle name="Millares 107 4" xfId="27360"/>
    <cellStyle name="Millares 107 4 2" xfId="44054"/>
    <cellStyle name="Millares 107 5" xfId="27361"/>
    <cellStyle name="Millares 107 5 2" xfId="44055"/>
    <cellStyle name="Millares 107 6" xfId="44045"/>
    <cellStyle name="Millares 108" xfId="27362"/>
    <cellStyle name="Millares 108 2" xfId="27363"/>
    <cellStyle name="Millares 108 2 2" xfId="27364"/>
    <cellStyle name="Millares 108 2 2 2" xfId="27365"/>
    <cellStyle name="Millares 108 2 2 2 2" xfId="44059"/>
    <cellStyle name="Millares 108 2 2 3" xfId="44058"/>
    <cellStyle name="Millares 108 2 3" xfId="27366"/>
    <cellStyle name="Millares 108 2 3 2" xfId="44060"/>
    <cellStyle name="Millares 108 2 4" xfId="44057"/>
    <cellStyle name="Millares 108 3" xfId="27367"/>
    <cellStyle name="Millares 108 3 2" xfId="27368"/>
    <cellStyle name="Millares 108 3 2 2" xfId="27369"/>
    <cellStyle name="Millares 108 3 2 2 2" xfId="44063"/>
    <cellStyle name="Millares 108 3 2 3" xfId="44062"/>
    <cellStyle name="Millares 108 3 3" xfId="27370"/>
    <cellStyle name="Millares 108 3 3 2" xfId="44064"/>
    <cellStyle name="Millares 108 3 4" xfId="44061"/>
    <cellStyle name="Millares 108 4" xfId="27371"/>
    <cellStyle name="Millares 108 4 2" xfId="44065"/>
    <cellStyle name="Millares 108 5" xfId="27372"/>
    <cellStyle name="Millares 108 5 2" xfId="44066"/>
    <cellStyle name="Millares 108 6" xfId="44056"/>
    <cellStyle name="Millares 109" xfId="27373"/>
    <cellStyle name="Millares 109 2" xfId="27374"/>
    <cellStyle name="Millares 109 2 2" xfId="27375"/>
    <cellStyle name="Millares 109 2 2 2" xfId="27376"/>
    <cellStyle name="Millares 109 2 2 2 2" xfId="44070"/>
    <cellStyle name="Millares 109 2 2 3" xfId="44069"/>
    <cellStyle name="Millares 109 2 3" xfId="27377"/>
    <cellStyle name="Millares 109 2 3 2" xfId="44071"/>
    <cellStyle name="Millares 109 2 4" xfId="44068"/>
    <cellStyle name="Millares 109 3" xfId="27378"/>
    <cellStyle name="Millares 109 3 2" xfId="27379"/>
    <cellStyle name="Millares 109 3 2 2" xfId="27380"/>
    <cellStyle name="Millares 109 3 2 2 2" xfId="44074"/>
    <cellStyle name="Millares 109 3 2 3" xfId="44073"/>
    <cellStyle name="Millares 109 3 3" xfId="27381"/>
    <cellStyle name="Millares 109 3 3 2" xfId="44075"/>
    <cellStyle name="Millares 109 3 4" xfId="44072"/>
    <cellStyle name="Millares 109 4" xfId="27382"/>
    <cellStyle name="Millares 109 4 2" xfId="44076"/>
    <cellStyle name="Millares 109 5" xfId="27383"/>
    <cellStyle name="Millares 109 5 2" xfId="44077"/>
    <cellStyle name="Millares 109 6" xfId="44067"/>
    <cellStyle name="Millares 11" xfId="462"/>
    <cellStyle name="Millares 11 10" xfId="27385"/>
    <cellStyle name="Millares 11 10 2" xfId="27386"/>
    <cellStyle name="Millares 11 10 2 2" xfId="27387"/>
    <cellStyle name="Millares 11 10 2 2 2" xfId="44081"/>
    <cellStyle name="Millares 11 10 2 3" xfId="44080"/>
    <cellStyle name="Millares 11 10 3" xfId="44079"/>
    <cellStyle name="Millares 11 11" xfId="27388"/>
    <cellStyle name="Millares 11 11 2" xfId="27389"/>
    <cellStyle name="Millares 11 11 2 2" xfId="27390"/>
    <cellStyle name="Millares 11 11 2 2 2" xfId="44084"/>
    <cellStyle name="Millares 11 11 2 3" xfId="44083"/>
    <cellStyle name="Millares 11 11 3" xfId="27391"/>
    <cellStyle name="Millares 11 11 3 2" xfId="44085"/>
    <cellStyle name="Millares 11 11 4" xfId="44082"/>
    <cellStyle name="Millares 11 12" xfId="27392"/>
    <cellStyle name="Millares 11 12 2" xfId="27393"/>
    <cellStyle name="Millares 11 12 2 2" xfId="27394"/>
    <cellStyle name="Millares 11 12 2 2 2" xfId="44088"/>
    <cellStyle name="Millares 11 12 2 3" xfId="44087"/>
    <cellStyle name="Millares 11 12 3" xfId="27395"/>
    <cellStyle name="Millares 11 12 3 2" xfId="44089"/>
    <cellStyle name="Millares 11 12 4" xfId="44086"/>
    <cellStyle name="Millares 11 13" xfId="27396"/>
    <cellStyle name="Millares 11 13 2" xfId="27397"/>
    <cellStyle name="Millares 11 13 2 2" xfId="27398"/>
    <cellStyle name="Millares 11 13 2 2 2" xfId="44092"/>
    <cellStyle name="Millares 11 13 2 3" xfId="44091"/>
    <cellStyle name="Millares 11 13 3" xfId="27399"/>
    <cellStyle name="Millares 11 13 3 2" xfId="44093"/>
    <cellStyle name="Millares 11 13 4" xfId="44090"/>
    <cellStyle name="Millares 11 14" xfId="27400"/>
    <cellStyle name="Millares 11 14 2" xfId="27401"/>
    <cellStyle name="Millares 11 14 2 2" xfId="27402"/>
    <cellStyle name="Millares 11 14 2 2 2" xfId="44096"/>
    <cellStyle name="Millares 11 14 2 3" xfId="44095"/>
    <cellStyle name="Millares 11 14 3" xfId="27403"/>
    <cellStyle name="Millares 11 14 3 2" xfId="44097"/>
    <cellStyle name="Millares 11 14 4" xfId="44094"/>
    <cellStyle name="Millares 11 15" xfId="27404"/>
    <cellStyle name="Millares 11 15 2" xfId="27405"/>
    <cellStyle name="Millares 11 15 2 2" xfId="44099"/>
    <cellStyle name="Millares 11 15 3" xfId="44098"/>
    <cellStyle name="Millares 11 16" xfId="27406"/>
    <cellStyle name="Millares 11 16 2" xfId="27407"/>
    <cellStyle name="Millares 11 16 2 2" xfId="44101"/>
    <cellStyle name="Millares 11 16 3" xfId="44100"/>
    <cellStyle name="Millares 11 17" xfId="27408"/>
    <cellStyle name="Millares 11 17 2" xfId="44102"/>
    <cellStyle name="Millares 11 18" xfId="27409"/>
    <cellStyle name="Millares 11 18 2" xfId="44103"/>
    <cellStyle name="Millares 11 19" xfId="27410"/>
    <cellStyle name="Millares 11 2" xfId="463"/>
    <cellStyle name="Millares 11 2 10" xfId="27412"/>
    <cellStyle name="Millares 11 2 10 2" xfId="27413"/>
    <cellStyle name="Millares 11 2 10 2 2" xfId="27414"/>
    <cellStyle name="Millares 11 2 10 2 2 2" xfId="44107"/>
    <cellStyle name="Millares 11 2 10 2 3" xfId="44106"/>
    <cellStyle name="Millares 11 2 10 3" xfId="27415"/>
    <cellStyle name="Millares 11 2 10 3 2" xfId="44108"/>
    <cellStyle name="Millares 11 2 10 4" xfId="44105"/>
    <cellStyle name="Millares 11 2 11" xfId="27416"/>
    <cellStyle name="Millares 11 2 11 2" xfId="27417"/>
    <cellStyle name="Millares 11 2 11 2 2" xfId="27418"/>
    <cellStyle name="Millares 11 2 11 2 2 2" xfId="44111"/>
    <cellStyle name="Millares 11 2 11 2 3" xfId="44110"/>
    <cellStyle name="Millares 11 2 11 3" xfId="27419"/>
    <cellStyle name="Millares 11 2 11 3 2" xfId="44112"/>
    <cellStyle name="Millares 11 2 11 4" xfId="44109"/>
    <cellStyle name="Millares 11 2 12" xfId="27420"/>
    <cellStyle name="Millares 11 2 12 2" xfId="27421"/>
    <cellStyle name="Millares 11 2 12 2 2" xfId="27422"/>
    <cellStyle name="Millares 11 2 12 2 2 2" xfId="44115"/>
    <cellStyle name="Millares 11 2 12 2 3" xfId="44114"/>
    <cellStyle name="Millares 11 2 12 3" xfId="27423"/>
    <cellStyle name="Millares 11 2 12 3 2" xfId="44116"/>
    <cellStyle name="Millares 11 2 12 4" xfId="44113"/>
    <cellStyle name="Millares 11 2 13" xfId="27424"/>
    <cellStyle name="Millares 11 2 13 2" xfId="27425"/>
    <cellStyle name="Millares 11 2 13 2 2" xfId="44118"/>
    <cellStyle name="Millares 11 2 13 3" xfId="44117"/>
    <cellStyle name="Millares 11 2 14" xfId="27426"/>
    <cellStyle name="Millares 11 2 14 2" xfId="27427"/>
    <cellStyle name="Millares 11 2 14 2 2" xfId="44120"/>
    <cellStyle name="Millares 11 2 14 3" xfId="44119"/>
    <cellStyle name="Millares 11 2 15" xfId="27428"/>
    <cellStyle name="Millares 11 2 15 2" xfId="44121"/>
    <cellStyle name="Millares 11 2 16" xfId="27429"/>
    <cellStyle name="Millares 11 2 16 2" xfId="44122"/>
    <cellStyle name="Millares 11 2 17" xfId="44104"/>
    <cellStyle name="Millares 11 2 18" xfId="27411"/>
    <cellStyle name="Millares 11 2 2" xfId="464"/>
    <cellStyle name="Millares 11 2 2 10" xfId="27431"/>
    <cellStyle name="Millares 11 2 2 10 2" xfId="27432"/>
    <cellStyle name="Millares 11 2 2 10 2 2" xfId="27433"/>
    <cellStyle name="Millares 11 2 2 10 2 2 2" xfId="44126"/>
    <cellStyle name="Millares 11 2 2 10 2 3" xfId="44125"/>
    <cellStyle name="Millares 11 2 2 10 3" xfId="27434"/>
    <cellStyle name="Millares 11 2 2 10 3 2" xfId="44127"/>
    <cellStyle name="Millares 11 2 2 10 4" xfId="44124"/>
    <cellStyle name="Millares 11 2 2 11" xfId="27435"/>
    <cellStyle name="Millares 11 2 2 11 2" xfId="27436"/>
    <cellStyle name="Millares 11 2 2 11 2 2" xfId="44129"/>
    <cellStyle name="Millares 11 2 2 11 3" xfId="44128"/>
    <cellStyle name="Millares 11 2 2 12" xfId="27437"/>
    <cellStyle name="Millares 11 2 2 12 2" xfId="27438"/>
    <cellStyle name="Millares 11 2 2 12 2 2" xfId="44131"/>
    <cellStyle name="Millares 11 2 2 12 3" xfId="44130"/>
    <cellStyle name="Millares 11 2 2 13" xfId="27439"/>
    <cellStyle name="Millares 11 2 2 13 2" xfId="44132"/>
    <cellStyle name="Millares 11 2 2 14" xfId="27440"/>
    <cellStyle name="Millares 11 2 2 14 2" xfId="44133"/>
    <cellStyle name="Millares 11 2 2 15" xfId="44123"/>
    <cellStyle name="Millares 11 2 2 16" xfId="27430"/>
    <cellStyle name="Millares 11 2 2 2" xfId="465"/>
    <cellStyle name="Millares 11 2 2 2 10" xfId="27441"/>
    <cellStyle name="Millares 11 2 2 2 2" xfId="2244"/>
    <cellStyle name="Millares 11 2 2 2 2 2" xfId="5369"/>
    <cellStyle name="Millares 11 2 2 2 2 2 2" xfId="11572"/>
    <cellStyle name="Millares 11 2 2 2 2 2 2 2" xfId="27445"/>
    <cellStyle name="Millares 11 2 2 2 2 2 2 2 2" xfId="27446"/>
    <cellStyle name="Millares 11 2 2 2 2 2 2 2 2 2" xfId="44139"/>
    <cellStyle name="Millares 11 2 2 2 2 2 2 2 3" xfId="44138"/>
    <cellStyle name="Millares 11 2 2 2 2 2 2 3" xfId="27447"/>
    <cellStyle name="Millares 11 2 2 2 2 2 2 3 2" xfId="27448"/>
    <cellStyle name="Millares 11 2 2 2 2 2 2 3 2 2" xfId="44141"/>
    <cellStyle name="Millares 11 2 2 2 2 2 2 3 3" xfId="44140"/>
    <cellStyle name="Millares 11 2 2 2 2 2 2 4" xfId="27449"/>
    <cellStyle name="Millares 11 2 2 2 2 2 2 4 2" xfId="44142"/>
    <cellStyle name="Millares 11 2 2 2 2 2 2 5" xfId="44137"/>
    <cellStyle name="Millares 11 2 2 2 2 2 2 6" xfId="27444"/>
    <cellStyle name="Millares 11 2 2 2 2 2 3" xfId="17774"/>
    <cellStyle name="Millares 11 2 2 2 2 2 3 2" xfId="44143"/>
    <cellStyle name="Millares 11 2 2 2 2 2 3 3" xfId="27450"/>
    <cellStyle name="Millares 11 2 2 2 2 2 4" xfId="27451"/>
    <cellStyle name="Millares 11 2 2 2 2 2 4 2" xfId="27452"/>
    <cellStyle name="Millares 11 2 2 2 2 2 4 2 2" xfId="44145"/>
    <cellStyle name="Millares 11 2 2 2 2 2 4 3" xfId="44144"/>
    <cellStyle name="Millares 11 2 2 2 2 2 5" xfId="27453"/>
    <cellStyle name="Millares 11 2 2 2 2 2 5 2" xfId="44146"/>
    <cellStyle name="Millares 11 2 2 2 2 2 6" xfId="44136"/>
    <cellStyle name="Millares 11 2 2 2 2 2 7" xfId="56608"/>
    <cellStyle name="Millares 11 2 2 2 2 2 8" xfId="27443"/>
    <cellStyle name="Millares 11 2 2 2 2 3" xfId="8472"/>
    <cellStyle name="Millares 11 2 2 2 2 3 2" xfId="27455"/>
    <cellStyle name="Millares 11 2 2 2 2 3 2 2" xfId="27456"/>
    <cellStyle name="Millares 11 2 2 2 2 3 2 2 2" xfId="44149"/>
    <cellStyle name="Millares 11 2 2 2 2 3 2 3" xfId="44148"/>
    <cellStyle name="Millares 11 2 2 2 2 3 3" xfId="27457"/>
    <cellStyle name="Millares 11 2 2 2 2 3 3 2" xfId="27458"/>
    <cellStyle name="Millares 11 2 2 2 2 3 3 2 2" xfId="44151"/>
    <cellStyle name="Millares 11 2 2 2 2 3 3 3" xfId="44150"/>
    <cellStyle name="Millares 11 2 2 2 2 3 4" xfId="27459"/>
    <cellStyle name="Millares 11 2 2 2 2 3 4 2" xfId="44152"/>
    <cellStyle name="Millares 11 2 2 2 2 3 5" xfId="44147"/>
    <cellStyle name="Millares 11 2 2 2 2 3 6" xfId="27454"/>
    <cellStyle name="Millares 11 2 2 2 2 4" xfId="14674"/>
    <cellStyle name="Millares 11 2 2 2 2 4 2" xfId="44153"/>
    <cellStyle name="Millares 11 2 2 2 2 4 3" xfId="27460"/>
    <cellStyle name="Millares 11 2 2 2 2 5" xfId="27461"/>
    <cellStyle name="Millares 11 2 2 2 2 5 2" xfId="27462"/>
    <cellStyle name="Millares 11 2 2 2 2 5 2 2" xfId="44155"/>
    <cellStyle name="Millares 11 2 2 2 2 5 3" xfId="44154"/>
    <cellStyle name="Millares 11 2 2 2 2 6" xfId="27463"/>
    <cellStyle name="Millares 11 2 2 2 2 6 2" xfId="44156"/>
    <cellStyle name="Millares 11 2 2 2 2 7" xfId="44135"/>
    <cellStyle name="Millares 11 2 2 2 2 8" xfId="53712"/>
    <cellStyle name="Millares 11 2 2 2 2 9" xfId="27442"/>
    <cellStyle name="Millares 11 2 2 2 3" xfId="2674"/>
    <cellStyle name="Millares 11 2 2 2 3 2" xfId="5798"/>
    <cellStyle name="Millares 11 2 2 2 3 2 2" xfId="12001"/>
    <cellStyle name="Millares 11 2 2 2 3 2 2 2" xfId="27467"/>
    <cellStyle name="Millares 11 2 2 2 3 2 2 2 2" xfId="44160"/>
    <cellStyle name="Millares 11 2 2 2 3 2 2 3" xfId="44159"/>
    <cellStyle name="Millares 11 2 2 2 3 2 2 4" xfId="27466"/>
    <cellStyle name="Millares 11 2 2 2 3 2 3" xfId="18203"/>
    <cellStyle name="Millares 11 2 2 2 3 2 3 2" xfId="27469"/>
    <cellStyle name="Millares 11 2 2 2 3 2 3 2 2" xfId="44162"/>
    <cellStyle name="Millares 11 2 2 2 3 2 3 3" xfId="44161"/>
    <cellStyle name="Millares 11 2 2 2 3 2 3 4" xfId="27468"/>
    <cellStyle name="Millares 11 2 2 2 3 2 4" xfId="27470"/>
    <cellStyle name="Millares 11 2 2 2 3 2 4 2" xfId="44163"/>
    <cellStyle name="Millares 11 2 2 2 3 2 5" xfId="44158"/>
    <cellStyle name="Millares 11 2 2 2 3 2 6" xfId="57031"/>
    <cellStyle name="Millares 11 2 2 2 3 2 7" xfId="27465"/>
    <cellStyle name="Millares 11 2 2 2 3 3" xfId="8901"/>
    <cellStyle name="Millares 11 2 2 2 3 3 2" xfId="44164"/>
    <cellStyle name="Millares 11 2 2 2 3 3 3" xfId="27471"/>
    <cellStyle name="Millares 11 2 2 2 3 4" xfId="15103"/>
    <cellStyle name="Millares 11 2 2 2 3 4 2" xfId="27473"/>
    <cellStyle name="Millares 11 2 2 2 3 4 2 2" xfId="44166"/>
    <cellStyle name="Millares 11 2 2 2 3 4 3" xfId="44165"/>
    <cellStyle name="Millares 11 2 2 2 3 4 4" xfId="27472"/>
    <cellStyle name="Millares 11 2 2 2 3 5" xfId="27474"/>
    <cellStyle name="Millares 11 2 2 2 3 5 2" xfId="44167"/>
    <cellStyle name="Millares 11 2 2 2 3 6" xfId="44157"/>
    <cellStyle name="Millares 11 2 2 2 3 7" xfId="54136"/>
    <cellStyle name="Millares 11 2 2 2 3 8" xfId="27464"/>
    <cellStyle name="Millares 11 2 2 2 4" xfId="3726"/>
    <cellStyle name="Millares 11 2 2 2 4 2" xfId="9930"/>
    <cellStyle name="Millares 11 2 2 2 4 2 2" xfId="27477"/>
    <cellStyle name="Millares 11 2 2 2 4 2 2 2" xfId="44170"/>
    <cellStyle name="Millares 11 2 2 2 4 2 3" xfId="44169"/>
    <cellStyle name="Millares 11 2 2 2 4 2 4" xfId="27476"/>
    <cellStyle name="Millares 11 2 2 2 4 3" xfId="16132"/>
    <cellStyle name="Millares 11 2 2 2 4 3 2" xfId="27479"/>
    <cellStyle name="Millares 11 2 2 2 4 3 2 2" xfId="44172"/>
    <cellStyle name="Millares 11 2 2 2 4 3 3" xfId="44171"/>
    <cellStyle name="Millares 11 2 2 2 4 3 4" xfId="27478"/>
    <cellStyle name="Millares 11 2 2 2 4 4" xfId="27480"/>
    <cellStyle name="Millares 11 2 2 2 4 4 2" xfId="44173"/>
    <cellStyle name="Millares 11 2 2 2 4 5" xfId="44168"/>
    <cellStyle name="Millares 11 2 2 2 4 6" xfId="55103"/>
    <cellStyle name="Millares 11 2 2 2 4 7" xfId="27475"/>
    <cellStyle name="Millares 11 2 2 2 5" xfId="6829"/>
    <cellStyle name="Millares 11 2 2 2 5 2" xfId="19845"/>
    <cellStyle name="Millares 11 2 2 2 5 2 2" xfId="44174"/>
    <cellStyle name="Millares 11 2 2 2 5 3" xfId="27481"/>
    <cellStyle name="Millares 11 2 2 2 6" xfId="13031"/>
    <cellStyle name="Millares 11 2 2 2 6 2" xfId="27483"/>
    <cellStyle name="Millares 11 2 2 2 6 2 2" xfId="44176"/>
    <cellStyle name="Millares 11 2 2 2 6 3" xfId="44175"/>
    <cellStyle name="Millares 11 2 2 2 6 4" xfId="27482"/>
    <cellStyle name="Millares 11 2 2 2 7" xfId="27484"/>
    <cellStyle name="Millares 11 2 2 2 7 2" xfId="44177"/>
    <cellStyle name="Millares 11 2 2 2 8" xfId="44134"/>
    <cellStyle name="Millares 11 2 2 2 9" xfId="52392"/>
    <cellStyle name="Millares 11 2 2 3" xfId="1720"/>
    <cellStyle name="Millares 11 2 2 3 10" xfId="27485"/>
    <cellStyle name="Millares 11 2 2 3 2" xfId="4845"/>
    <cellStyle name="Millares 11 2 2 3 2 2" xfId="11048"/>
    <cellStyle name="Millares 11 2 2 3 2 2 2" xfId="27488"/>
    <cellStyle name="Millares 11 2 2 3 2 2 2 2" xfId="27489"/>
    <cellStyle name="Millares 11 2 2 3 2 2 2 2 2" xfId="27490"/>
    <cellStyle name="Millares 11 2 2 3 2 2 2 2 2 2" xfId="44183"/>
    <cellStyle name="Millares 11 2 2 3 2 2 2 2 3" xfId="44182"/>
    <cellStyle name="Millares 11 2 2 3 2 2 2 3" xfId="27491"/>
    <cellStyle name="Millares 11 2 2 3 2 2 2 3 2" xfId="27492"/>
    <cellStyle name="Millares 11 2 2 3 2 2 2 3 2 2" xfId="44185"/>
    <cellStyle name="Millares 11 2 2 3 2 2 2 3 3" xfId="44184"/>
    <cellStyle name="Millares 11 2 2 3 2 2 2 4" xfId="27493"/>
    <cellStyle name="Millares 11 2 2 3 2 2 2 4 2" xfId="44186"/>
    <cellStyle name="Millares 11 2 2 3 2 2 2 5" xfId="44181"/>
    <cellStyle name="Millares 11 2 2 3 2 2 3" xfId="27494"/>
    <cellStyle name="Millares 11 2 2 3 2 2 3 2" xfId="44187"/>
    <cellStyle name="Millares 11 2 2 3 2 2 4" xfId="27495"/>
    <cellStyle name="Millares 11 2 2 3 2 2 4 2" xfId="27496"/>
    <cellStyle name="Millares 11 2 2 3 2 2 4 2 2" xfId="44189"/>
    <cellStyle name="Millares 11 2 2 3 2 2 4 3" xfId="44188"/>
    <cellStyle name="Millares 11 2 2 3 2 2 5" xfId="27497"/>
    <cellStyle name="Millares 11 2 2 3 2 2 5 2" xfId="44190"/>
    <cellStyle name="Millares 11 2 2 3 2 2 6" xfId="44180"/>
    <cellStyle name="Millares 11 2 2 3 2 2 7" xfId="27487"/>
    <cellStyle name="Millares 11 2 2 3 2 3" xfId="17250"/>
    <cellStyle name="Millares 11 2 2 3 2 3 2" xfId="27499"/>
    <cellStyle name="Millares 11 2 2 3 2 3 2 2" xfId="27500"/>
    <cellStyle name="Millares 11 2 2 3 2 3 2 2 2" xfId="44193"/>
    <cellStyle name="Millares 11 2 2 3 2 3 2 3" xfId="44192"/>
    <cellStyle name="Millares 11 2 2 3 2 3 3" xfId="27501"/>
    <cellStyle name="Millares 11 2 2 3 2 3 3 2" xfId="27502"/>
    <cellStyle name="Millares 11 2 2 3 2 3 3 2 2" xfId="44195"/>
    <cellStyle name="Millares 11 2 2 3 2 3 3 3" xfId="44194"/>
    <cellStyle name="Millares 11 2 2 3 2 3 4" xfId="27503"/>
    <cellStyle name="Millares 11 2 2 3 2 3 4 2" xfId="44196"/>
    <cellStyle name="Millares 11 2 2 3 2 3 5" xfId="44191"/>
    <cellStyle name="Millares 11 2 2 3 2 3 6" xfId="27498"/>
    <cellStyle name="Millares 11 2 2 3 2 4" xfId="27504"/>
    <cellStyle name="Millares 11 2 2 3 2 4 2" xfId="44197"/>
    <cellStyle name="Millares 11 2 2 3 2 5" xfId="27505"/>
    <cellStyle name="Millares 11 2 2 3 2 5 2" xfId="27506"/>
    <cellStyle name="Millares 11 2 2 3 2 5 2 2" xfId="44199"/>
    <cellStyle name="Millares 11 2 2 3 2 5 3" xfId="44198"/>
    <cellStyle name="Millares 11 2 2 3 2 6" xfId="27507"/>
    <cellStyle name="Millares 11 2 2 3 2 6 2" xfId="44200"/>
    <cellStyle name="Millares 11 2 2 3 2 7" xfId="44179"/>
    <cellStyle name="Millares 11 2 2 3 2 8" xfId="56117"/>
    <cellStyle name="Millares 11 2 2 3 2 9" xfId="27486"/>
    <cellStyle name="Millares 11 2 2 3 3" xfId="7948"/>
    <cellStyle name="Millares 11 2 2 3 3 2" xfId="27509"/>
    <cellStyle name="Millares 11 2 2 3 3 2 2" xfId="27510"/>
    <cellStyle name="Millares 11 2 2 3 3 2 2 2" xfId="27511"/>
    <cellStyle name="Millares 11 2 2 3 3 2 2 2 2" xfId="44204"/>
    <cellStyle name="Millares 11 2 2 3 3 2 2 3" xfId="44203"/>
    <cellStyle name="Millares 11 2 2 3 3 2 3" xfId="27512"/>
    <cellStyle name="Millares 11 2 2 3 3 2 3 2" xfId="27513"/>
    <cellStyle name="Millares 11 2 2 3 3 2 3 2 2" xfId="44206"/>
    <cellStyle name="Millares 11 2 2 3 3 2 3 3" xfId="44205"/>
    <cellStyle name="Millares 11 2 2 3 3 2 4" xfId="27514"/>
    <cellStyle name="Millares 11 2 2 3 3 2 4 2" xfId="44207"/>
    <cellStyle name="Millares 11 2 2 3 3 2 5" xfId="44202"/>
    <cellStyle name="Millares 11 2 2 3 3 3" xfId="27515"/>
    <cellStyle name="Millares 11 2 2 3 3 3 2" xfId="44208"/>
    <cellStyle name="Millares 11 2 2 3 3 4" xfId="27516"/>
    <cellStyle name="Millares 11 2 2 3 3 4 2" xfId="27517"/>
    <cellStyle name="Millares 11 2 2 3 3 4 2 2" xfId="44210"/>
    <cellStyle name="Millares 11 2 2 3 3 4 3" xfId="44209"/>
    <cellStyle name="Millares 11 2 2 3 3 5" xfId="27518"/>
    <cellStyle name="Millares 11 2 2 3 3 5 2" xfId="44211"/>
    <cellStyle name="Millares 11 2 2 3 3 6" xfId="44201"/>
    <cellStyle name="Millares 11 2 2 3 3 7" xfId="27508"/>
    <cellStyle name="Millares 11 2 2 3 4" xfId="14150"/>
    <cellStyle name="Millares 11 2 2 3 4 2" xfId="27520"/>
    <cellStyle name="Millares 11 2 2 3 4 2 2" xfId="27521"/>
    <cellStyle name="Millares 11 2 2 3 4 2 2 2" xfId="44214"/>
    <cellStyle name="Millares 11 2 2 3 4 2 3" xfId="44213"/>
    <cellStyle name="Millares 11 2 2 3 4 3" xfId="27522"/>
    <cellStyle name="Millares 11 2 2 3 4 3 2" xfId="27523"/>
    <cellStyle name="Millares 11 2 2 3 4 3 2 2" xfId="44216"/>
    <cellStyle name="Millares 11 2 2 3 4 3 3" xfId="44215"/>
    <cellStyle name="Millares 11 2 2 3 4 4" xfId="27524"/>
    <cellStyle name="Millares 11 2 2 3 4 4 2" xfId="44217"/>
    <cellStyle name="Millares 11 2 2 3 4 5" xfId="44212"/>
    <cellStyle name="Millares 11 2 2 3 4 6" xfId="27519"/>
    <cellStyle name="Millares 11 2 2 3 5" xfId="27525"/>
    <cellStyle name="Millares 11 2 2 3 5 2" xfId="44218"/>
    <cellStyle name="Millares 11 2 2 3 6" xfId="27526"/>
    <cellStyle name="Millares 11 2 2 3 6 2" xfId="27527"/>
    <cellStyle name="Millares 11 2 2 3 6 2 2" xfId="44220"/>
    <cellStyle name="Millares 11 2 2 3 6 3" xfId="44219"/>
    <cellStyle name="Millares 11 2 2 3 7" xfId="27528"/>
    <cellStyle name="Millares 11 2 2 3 7 2" xfId="44221"/>
    <cellStyle name="Millares 11 2 2 3 8" xfId="44178"/>
    <cellStyle name="Millares 11 2 2 3 9" xfId="53227"/>
    <cellStyle name="Millares 11 2 2 4" xfId="2673"/>
    <cellStyle name="Millares 11 2 2 4 2" xfId="5797"/>
    <cellStyle name="Millares 11 2 2 4 2 2" xfId="12000"/>
    <cellStyle name="Millares 11 2 2 4 2 2 2" xfId="57030"/>
    <cellStyle name="Millares 11 2 2 4 2 3" xfId="18202"/>
    <cellStyle name="Millares 11 2 2 4 2 4" xfId="44222"/>
    <cellStyle name="Millares 11 2 2 4 3" xfId="8900"/>
    <cellStyle name="Millares 11 2 2 4 3 2" xfId="54135"/>
    <cellStyle name="Millares 11 2 2 4 4" xfId="15102"/>
    <cellStyle name="Millares 11 2 2 4 5" xfId="27529"/>
    <cellStyle name="Millares 11 2 2 5" xfId="3725"/>
    <cellStyle name="Millares 11 2 2 5 2" xfId="9929"/>
    <cellStyle name="Millares 11 2 2 5 2 2" xfId="27532"/>
    <cellStyle name="Millares 11 2 2 5 2 2 2" xfId="27533"/>
    <cellStyle name="Millares 11 2 2 5 2 2 2 2" xfId="27534"/>
    <cellStyle name="Millares 11 2 2 5 2 2 2 2 2" xfId="44227"/>
    <cellStyle name="Millares 11 2 2 5 2 2 2 3" xfId="44226"/>
    <cellStyle name="Millares 11 2 2 5 2 2 3" xfId="27535"/>
    <cellStyle name="Millares 11 2 2 5 2 2 3 2" xfId="27536"/>
    <cellStyle name="Millares 11 2 2 5 2 2 3 2 2" xfId="44229"/>
    <cellStyle name="Millares 11 2 2 5 2 2 3 3" xfId="44228"/>
    <cellStyle name="Millares 11 2 2 5 2 2 4" xfId="27537"/>
    <cellStyle name="Millares 11 2 2 5 2 2 4 2" xfId="44230"/>
    <cellStyle name="Millares 11 2 2 5 2 2 5" xfId="44225"/>
    <cellStyle name="Millares 11 2 2 5 2 3" xfId="27538"/>
    <cellStyle name="Millares 11 2 2 5 2 3 2" xfId="44231"/>
    <cellStyle name="Millares 11 2 2 5 2 4" xfId="27539"/>
    <cellStyle name="Millares 11 2 2 5 2 4 2" xfId="27540"/>
    <cellStyle name="Millares 11 2 2 5 2 4 2 2" xfId="44233"/>
    <cellStyle name="Millares 11 2 2 5 2 4 3" xfId="44232"/>
    <cellStyle name="Millares 11 2 2 5 2 5" xfId="27541"/>
    <cellStyle name="Millares 11 2 2 5 2 5 2" xfId="44234"/>
    <cellStyle name="Millares 11 2 2 5 2 6" xfId="44224"/>
    <cellStyle name="Millares 11 2 2 5 2 7" xfId="27531"/>
    <cellStyle name="Millares 11 2 2 5 3" xfId="16131"/>
    <cellStyle name="Millares 11 2 2 5 3 2" xfId="27543"/>
    <cellStyle name="Millares 11 2 2 5 3 2 2" xfId="27544"/>
    <cellStyle name="Millares 11 2 2 5 3 2 2 2" xfId="44237"/>
    <cellStyle name="Millares 11 2 2 5 3 2 3" xfId="44236"/>
    <cellStyle name="Millares 11 2 2 5 3 3" xfId="27545"/>
    <cellStyle name="Millares 11 2 2 5 3 3 2" xfId="27546"/>
    <cellStyle name="Millares 11 2 2 5 3 3 2 2" xfId="44239"/>
    <cellStyle name="Millares 11 2 2 5 3 3 3" xfId="44238"/>
    <cellStyle name="Millares 11 2 2 5 3 4" xfId="27547"/>
    <cellStyle name="Millares 11 2 2 5 3 4 2" xfId="44240"/>
    <cellStyle name="Millares 11 2 2 5 3 5" xfId="44235"/>
    <cellStyle name="Millares 11 2 2 5 3 6" xfId="27542"/>
    <cellStyle name="Millares 11 2 2 5 4" xfId="27548"/>
    <cellStyle name="Millares 11 2 2 5 4 2" xfId="44241"/>
    <cellStyle name="Millares 11 2 2 5 5" xfId="27549"/>
    <cellStyle name="Millares 11 2 2 5 5 2" xfId="27550"/>
    <cellStyle name="Millares 11 2 2 5 5 2 2" xfId="44243"/>
    <cellStyle name="Millares 11 2 2 5 5 3" xfId="44242"/>
    <cellStyle name="Millares 11 2 2 5 6" xfId="27551"/>
    <cellStyle name="Millares 11 2 2 5 6 2" xfId="44244"/>
    <cellStyle name="Millares 11 2 2 5 7" xfId="44223"/>
    <cellStyle name="Millares 11 2 2 5 8" xfId="55102"/>
    <cellStyle name="Millares 11 2 2 5 9" xfId="27530"/>
    <cellStyle name="Millares 11 2 2 6" xfId="6828"/>
    <cellStyle name="Millares 11 2 2 6 2" xfId="19321"/>
    <cellStyle name="Millares 11 2 2 6 2 2" xfId="27554"/>
    <cellStyle name="Millares 11 2 2 6 2 2 2" xfId="27555"/>
    <cellStyle name="Millares 11 2 2 6 2 2 2 2" xfId="44248"/>
    <cellStyle name="Millares 11 2 2 6 2 2 3" xfId="44247"/>
    <cellStyle name="Millares 11 2 2 6 2 3" xfId="27556"/>
    <cellStyle name="Millares 11 2 2 6 2 3 2" xfId="27557"/>
    <cellStyle name="Millares 11 2 2 6 2 3 2 2" xfId="44250"/>
    <cellStyle name="Millares 11 2 2 6 2 3 3" xfId="44249"/>
    <cellStyle name="Millares 11 2 2 6 2 4" xfId="27558"/>
    <cellStyle name="Millares 11 2 2 6 2 4 2" xfId="44251"/>
    <cellStyle name="Millares 11 2 2 6 2 5" xfId="44246"/>
    <cellStyle name="Millares 11 2 2 6 2 6" xfId="27553"/>
    <cellStyle name="Millares 11 2 2 6 3" xfId="27559"/>
    <cellStyle name="Millares 11 2 2 6 3 2" xfId="44252"/>
    <cellStyle name="Millares 11 2 2 6 4" xfId="27560"/>
    <cellStyle name="Millares 11 2 2 6 4 2" xfId="27561"/>
    <cellStyle name="Millares 11 2 2 6 4 2 2" xfId="44254"/>
    <cellStyle name="Millares 11 2 2 6 4 3" xfId="44253"/>
    <cellStyle name="Millares 11 2 2 6 5" xfId="27562"/>
    <cellStyle name="Millares 11 2 2 6 5 2" xfId="44255"/>
    <cellStyle name="Millares 11 2 2 6 6" xfId="44245"/>
    <cellStyle name="Millares 11 2 2 6 7" xfId="27552"/>
    <cellStyle name="Millares 11 2 2 7" xfId="13030"/>
    <cellStyle name="Millares 11 2 2 7 2" xfId="27564"/>
    <cellStyle name="Millares 11 2 2 7 2 2" xfId="27565"/>
    <cellStyle name="Millares 11 2 2 7 2 2 2" xfId="44258"/>
    <cellStyle name="Millares 11 2 2 7 2 3" xfId="44257"/>
    <cellStyle name="Millares 11 2 2 7 3" xfId="27566"/>
    <cellStyle name="Millares 11 2 2 7 3 2" xfId="27567"/>
    <cellStyle name="Millares 11 2 2 7 3 2 2" xfId="44260"/>
    <cellStyle name="Millares 11 2 2 7 3 3" xfId="44259"/>
    <cellStyle name="Millares 11 2 2 7 4" xfId="27568"/>
    <cellStyle name="Millares 11 2 2 7 4 2" xfId="44261"/>
    <cellStyle name="Millares 11 2 2 7 5" xfId="44256"/>
    <cellStyle name="Millares 11 2 2 7 6" xfId="27563"/>
    <cellStyle name="Millares 11 2 2 8" xfId="27569"/>
    <cellStyle name="Millares 11 2 2 8 2" xfId="27570"/>
    <cellStyle name="Millares 11 2 2 8 2 2" xfId="27571"/>
    <cellStyle name="Millares 11 2 2 8 2 2 2" xfId="44264"/>
    <cellStyle name="Millares 11 2 2 8 2 3" xfId="44263"/>
    <cellStyle name="Millares 11 2 2 8 3" xfId="27572"/>
    <cellStyle name="Millares 11 2 2 8 3 2" xfId="44265"/>
    <cellStyle name="Millares 11 2 2 8 4" xfId="44262"/>
    <cellStyle name="Millares 11 2 2 9" xfId="27573"/>
    <cellStyle name="Millares 11 2 2 9 2" xfId="27574"/>
    <cellStyle name="Millares 11 2 2 9 2 2" xfId="27575"/>
    <cellStyle name="Millares 11 2 2 9 2 2 2" xfId="44268"/>
    <cellStyle name="Millares 11 2 2 9 2 3" xfId="44267"/>
    <cellStyle name="Millares 11 2 2 9 3" xfId="27576"/>
    <cellStyle name="Millares 11 2 2 9 3 2" xfId="44269"/>
    <cellStyle name="Millares 11 2 2 9 4" xfId="44266"/>
    <cellStyle name="Millares 11 2 3" xfId="466"/>
    <cellStyle name="Millares 11 2 3 10" xfId="27577"/>
    <cellStyle name="Millares 11 2 3 2" xfId="1999"/>
    <cellStyle name="Millares 11 2 3 2 2" xfId="5124"/>
    <cellStyle name="Millares 11 2 3 2 2 2" xfId="11327"/>
    <cellStyle name="Millares 11 2 3 2 2 2 2" xfId="27581"/>
    <cellStyle name="Millares 11 2 3 2 2 2 2 2" xfId="27582"/>
    <cellStyle name="Millares 11 2 3 2 2 2 2 2 2" xfId="44275"/>
    <cellStyle name="Millares 11 2 3 2 2 2 2 3" xfId="44274"/>
    <cellStyle name="Millares 11 2 3 2 2 2 3" xfId="27583"/>
    <cellStyle name="Millares 11 2 3 2 2 2 3 2" xfId="27584"/>
    <cellStyle name="Millares 11 2 3 2 2 2 3 2 2" xfId="44277"/>
    <cellStyle name="Millares 11 2 3 2 2 2 3 3" xfId="44276"/>
    <cellStyle name="Millares 11 2 3 2 2 2 4" xfId="27585"/>
    <cellStyle name="Millares 11 2 3 2 2 2 4 2" xfId="44278"/>
    <cellStyle name="Millares 11 2 3 2 2 2 5" xfId="44273"/>
    <cellStyle name="Millares 11 2 3 2 2 2 6" xfId="27580"/>
    <cellStyle name="Millares 11 2 3 2 2 3" xfId="17529"/>
    <cellStyle name="Millares 11 2 3 2 2 3 2" xfId="44279"/>
    <cellStyle name="Millares 11 2 3 2 2 3 3" xfId="27586"/>
    <cellStyle name="Millares 11 2 3 2 2 4" xfId="27587"/>
    <cellStyle name="Millares 11 2 3 2 2 4 2" xfId="27588"/>
    <cellStyle name="Millares 11 2 3 2 2 4 2 2" xfId="44281"/>
    <cellStyle name="Millares 11 2 3 2 2 4 3" xfId="44280"/>
    <cellStyle name="Millares 11 2 3 2 2 5" xfId="27589"/>
    <cellStyle name="Millares 11 2 3 2 2 5 2" xfId="44282"/>
    <cellStyle name="Millares 11 2 3 2 2 6" xfId="44272"/>
    <cellStyle name="Millares 11 2 3 2 2 7" xfId="56381"/>
    <cellStyle name="Millares 11 2 3 2 2 8" xfId="27579"/>
    <cellStyle name="Millares 11 2 3 2 3" xfId="8227"/>
    <cellStyle name="Millares 11 2 3 2 3 2" xfId="27591"/>
    <cellStyle name="Millares 11 2 3 2 3 2 2" xfId="27592"/>
    <cellStyle name="Millares 11 2 3 2 3 2 2 2" xfId="44285"/>
    <cellStyle name="Millares 11 2 3 2 3 2 3" xfId="44284"/>
    <cellStyle name="Millares 11 2 3 2 3 3" xfId="27593"/>
    <cellStyle name="Millares 11 2 3 2 3 3 2" xfId="27594"/>
    <cellStyle name="Millares 11 2 3 2 3 3 2 2" xfId="44287"/>
    <cellStyle name="Millares 11 2 3 2 3 3 3" xfId="44286"/>
    <cellStyle name="Millares 11 2 3 2 3 4" xfId="27595"/>
    <cellStyle name="Millares 11 2 3 2 3 4 2" xfId="44288"/>
    <cellStyle name="Millares 11 2 3 2 3 5" xfId="44283"/>
    <cellStyle name="Millares 11 2 3 2 3 6" xfId="27590"/>
    <cellStyle name="Millares 11 2 3 2 4" xfId="14429"/>
    <cellStyle name="Millares 11 2 3 2 4 2" xfId="44289"/>
    <cellStyle name="Millares 11 2 3 2 4 3" xfId="27596"/>
    <cellStyle name="Millares 11 2 3 2 5" xfId="27597"/>
    <cellStyle name="Millares 11 2 3 2 5 2" xfId="27598"/>
    <cellStyle name="Millares 11 2 3 2 5 2 2" xfId="44291"/>
    <cellStyle name="Millares 11 2 3 2 5 3" xfId="44290"/>
    <cellStyle name="Millares 11 2 3 2 6" xfId="27599"/>
    <cellStyle name="Millares 11 2 3 2 6 2" xfId="44292"/>
    <cellStyle name="Millares 11 2 3 2 7" xfId="44271"/>
    <cellStyle name="Millares 11 2 3 2 8" xfId="53486"/>
    <cellStyle name="Millares 11 2 3 2 9" xfId="27578"/>
    <cellStyle name="Millares 11 2 3 3" xfId="2675"/>
    <cellStyle name="Millares 11 2 3 3 2" xfId="5799"/>
    <cellStyle name="Millares 11 2 3 3 2 2" xfId="12002"/>
    <cellStyle name="Millares 11 2 3 3 2 2 2" xfId="27603"/>
    <cellStyle name="Millares 11 2 3 3 2 2 2 2" xfId="44296"/>
    <cellStyle name="Millares 11 2 3 3 2 2 3" xfId="44295"/>
    <cellStyle name="Millares 11 2 3 3 2 2 4" xfId="27602"/>
    <cellStyle name="Millares 11 2 3 3 2 3" xfId="18204"/>
    <cellStyle name="Millares 11 2 3 3 2 3 2" xfId="27605"/>
    <cellStyle name="Millares 11 2 3 3 2 3 2 2" xfId="44298"/>
    <cellStyle name="Millares 11 2 3 3 2 3 3" xfId="44297"/>
    <cellStyle name="Millares 11 2 3 3 2 3 4" xfId="27604"/>
    <cellStyle name="Millares 11 2 3 3 2 4" xfId="27606"/>
    <cellStyle name="Millares 11 2 3 3 2 4 2" xfId="44299"/>
    <cellStyle name="Millares 11 2 3 3 2 5" xfId="44294"/>
    <cellStyle name="Millares 11 2 3 3 2 6" xfId="57032"/>
    <cellStyle name="Millares 11 2 3 3 2 7" xfId="27601"/>
    <cellStyle name="Millares 11 2 3 3 3" xfId="8902"/>
    <cellStyle name="Millares 11 2 3 3 3 2" xfId="44300"/>
    <cellStyle name="Millares 11 2 3 3 3 3" xfId="27607"/>
    <cellStyle name="Millares 11 2 3 3 4" xfId="15104"/>
    <cellStyle name="Millares 11 2 3 3 4 2" xfId="27609"/>
    <cellStyle name="Millares 11 2 3 3 4 2 2" xfId="44302"/>
    <cellStyle name="Millares 11 2 3 3 4 3" xfId="44301"/>
    <cellStyle name="Millares 11 2 3 3 4 4" xfId="27608"/>
    <cellStyle name="Millares 11 2 3 3 5" xfId="27610"/>
    <cellStyle name="Millares 11 2 3 3 5 2" xfId="44303"/>
    <cellStyle name="Millares 11 2 3 3 6" xfId="44293"/>
    <cellStyle name="Millares 11 2 3 3 7" xfId="54137"/>
    <cellStyle name="Millares 11 2 3 3 8" xfId="27600"/>
    <cellStyle name="Millares 11 2 3 4" xfId="3727"/>
    <cellStyle name="Millares 11 2 3 4 2" xfId="9931"/>
    <cellStyle name="Millares 11 2 3 4 2 2" xfId="27613"/>
    <cellStyle name="Millares 11 2 3 4 2 2 2" xfId="44306"/>
    <cellStyle name="Millares 11 2 3 4 2 3" xfId="44305"/>
    <cellStyle name="Millares 11 2 3 4 2 4" xfId="27612"/>
    <cellStyle name="Millares 11 2 3 4 3" xfId="16133"/>
    <cellStyle name="Millares 11 2 3 4 3 2" xfId="27615"/>
    <cellStyle name="Millares 11 2 3 4 3 2 2" xfId="44308"/>
    <cellStyle name="Millares 11 2 3 4 3 3" xfId="44307"/>
    <cellStyle name="Millares 11 2 3 4 3 4" xfId="27614"/>
    <cellStyle name="Millares 11 2 3 4 4" xfId="27616"/>
    <cellStyle name="Millares 11 2 3 4 4 2" xfId="44309"/>
    <cellStyle name="Millares 11 2 3 4 5" xfId="44304"/>
    <cellStyle name="Millares 11 2 3 4 6" xfId="55104"/>
    <cellStyle name="Millares 11 2 3 4 7" xfId="27611"/>
    <cellStyle name="Millares 11 2 3 5" xfId="6830"/>
    <cellStyle name="Millares 11 2 3 5 2" xfId="19600"/>
    <cellStyle name="Millares 11 2 3 5 2 2" xfId="44310"/>
    <cellStyle name="Millares 11 2 3 5 3" xfId="27617"/>
    <cellStyle name="Millares 11 2 3 6" xfId="13032"/>
    <cellStyle name="Millares 11 2 3 6 2" xfId="27619"/>
    <cellStyle name="Millares 11 2 3 6 2 2" xfId="44312"/>
    <cellStyle name="Millares 11 2 3 6 3" xfId="44311"/>
    <cellStyle name="Millares 11 2 3 6 4" xfId="27618"/>
    <cellStyle name="Millares 11 2 3 7" xfId="27620"/>
    <cellStyle name="Millares 11 2 3 7 2" xfId="44313"/>
    <cellStyle name="Millares 11 2 3 8" xfId="44270"/>
    <cellStyle name="Millares 11 2 3 9" xfId="52393"/>
    <cellStyle name="Millares 11 2 4" xfId="1475"/>
    <cellStyle name="Millares 11 2 4 10" xfId="27621"/>
    <cellStyle name="Millares 11 2 4 2" xfId="4600"/>
    <cellStyle name="Millares 11 2 4 2 2" xfId="10803"/>
    <cellStyle name="Millares 11 2 4 2 2 2" xfId="27624"/>
    <cellStyle name="Millares 11 2 4 2 2 2 2" xfId="27625"/>
    <cellStyle name="Millares 11 2 4 2 2 2 2 2" xfId="27626"/>
    <cellStyle name="Millares 11 2 4 2 2 2 2 2 2" xfId="44319"/>
    <cellStyle name="Millares 11 2 4 2 2 2 2 3" xfId="44318"/>
    <cellStyle name="Millares 11 2 4 2 2 2 3" xfId="27627"/>
    <cellStyle name="Millares 11 2 4 2 2 2 3 2" xfId="27628"/>
    <cellStyle name="Millares 11 2 4 2 2 2 3 2 2" xfId="44321"/>
    <cellStyle name="Millares 11 2 4 2 2 2 3 3" xfId="44320"/>
    <cellStyle name="Millares 11 2 4 2 2 2 4" xfId="27629"/>
    <cellStyle name="Millares 11 2 4 2 2 2 4 2" xfId="44322"/>
    <cellStyle name="Millares 11 2 4 2 2 2 5" xfId="44317"/>
    <cellStyle name="Millares 11 2 4 2 2 3" xfId="27630"/>
    <cellStyle name="Millares 11 2 4 2 2 3 2" xfId="44323"/>
    <cellStyle name="Millares 11 2 4 2 2 4" xfId="27631"/>
    <cellStyle name="Millares 11 2 4 2 2 4 2" xfId="27632"/>
    <cellStyle name="Millares 11 2 4 2 2 4 2 2" xfId="44325"/>
    <cellStyle name="Millares 11 2 4 2 2 4 3" xfId="44324"/>
    <cellStyle name="Millares 11 2 4 2 2 5" xfId="27633"/>
    <cellStyle name="Millares 11 2 4 2 2 5 2" xfId="44326"/>
    <cellStyle name="Millares 11 2 4 2 2 6" xfId="44316"/>
    <cellStyle name="Millares 11 2 4 2 2 7" xfId="27623"/>
    <cellStyle name="Millares 11 2 4 2 3" xfId="17005"/>
    <cellStyle name="Millares 11 2 4 2 3 2" xfId="27635"/>
    <cellStyle name="Millares 11 2 4 2 3 2 2" xfId="27636"/>
    <cellStyle name="Millares 11 2 4 2 3 2 2 2" xfId="44329"/>
    <cellStyle name="Millares 11 2 4 2 3 2 3" xfId="44328"/>
    <cellStyle name="Millares 11 2 4 2 3 3" xfId="27637"/>
    <cellStyle name="Millares 11 2 4 2 3 3 2" xfId="27638"/>
    <cellStyle name="Millares 11 2 4 2 3 3 2 2" xfId="44331"/>
    <cellStyle name="Millares 11 2 4 2 3 3 3" xfId="44330"/>
    <cellStyle name="Millares 11 2 4 2 3 4" xfId="27639"/>
    <cellStyle name="Millares 11 2 4 2 3 4 2" xfId="44332"/>
    <cellStyle name="Millares 11 2 4 2 3 5" xfId="44327"/>
    <cellStyle name="Millares 11 2 4 2 3 6" xfId="27634"/>
    <cellStyle name="Millares 11 2 4 2 4" xfId="27640"/>
    <cellStyle name="Millares 11 2 4 2 4 2" xfId="44333"/>
    <cellStyle name="Millares 11 2 4 2 5" xfId="27641"/>
    <cellStyle name="Millares 11 2 4 2 5 2" xfId="27642"/>
    <cellStyle name="Millares 11 2 4 2 5 2 2" xfId="44335"/>
    <cellStyle name="Millares 11 2 4 2 5 3" xfId="44334"/>
    <cellStyle name="Millares 11 2 4 2 6" xfId="27643"/>
    <cellStyle name="Millares 11 2 4 2 6 2" xfId="44336"/>
    <cellStyle name="Millares 11 2 4 2 7" xfId="44315"/>
    <cellStyle name="Millares 11 2 4 2 8" xfId="55885"/>
    <cellStyle name="Millares 11 2 4 2 9" xfId="27622"/>
    <cellStyle name="Millares 11 2 4 3" xfId="7703"/>
    <cellStyle name="Millares 11 2 4 3 2" xfId="27645"/>
    <cellStyle name="Millares 11 2 4 3 2 2" xfId="27646"/>
    <cellStyle name="Millares 11 2 4 3 2 2 2" xfId="27647"/>
    <cellStyle name="Millares 11 2 4 3 2 2 2 2" xfId="44340"/>
    <cellStyle name="Millares 11 2 4 3 2 2 3" xfId="44339"/>
    <cellStyle name="Millares 11 2 4 3 2 3" xfId="27648"/>
    <cellStyle name="Millares 11 2 4 3 2 3 2" xfId="27649"/>
    <cellStyle name="Millares 11 2 4 3 2 3 2 2" xfId="44342"/>
    <cellStyle name="Millares 11 2 4 3 2 3 3" xfId="44341"/>
    <cellStyle name="Millares 11 2 4 3 2 4" xfId="27650"/>
    <cellStyle name="Millares 11 2 4 3 2 4 2" xfId="44343"/>
    <cellStyle name="Millares 11 2 4 3 2 5" xfId="44338"/>
    <cellStyle name="Millares 11 2 4 3 3" xfId="27651"/>
    <cellStyle name="Millares 11 2 4 3 3 2" xfId="44344"/>
    <cellStyle name="Millares 11 2 4 3 4" xfId="27652"/>
    <cellStyle name="Millares 11 2 4 3 4 2" xfId="27653"/>
    <cellStyle name="Millares 11 2 4 3 4 2 2" xfId="44346"/>
    <cellStyle name="Millares 11 2 4 3 4 3" xfId="44345"/>
    <cellStyle name="Millares 11 2 4 3 5" xfId="27654"/>
    <cellStyle name="Millares 11 2 4 3 5 2" xfId="44347"/>
    <cellStyle name="Millares 11 2 4 3 6" xfId="44337"/>
    <cellStyle name="Millares 11 2 4 3 7" xfId="27644"/>
    <cellStyle name="Millares 11 2 4 4" xfId="13905"/>
    <cellStyle name="Millares 11 2 4 4 2" xfId="27656"/>
    <cellStyle name="Millares 11 2 4 4 2 2" xfId="27657"/>
    <cellStyle name="Millares 11 2 4 4 2 2 2" xfId="44350"/>
    <cellStyle name="Millares 11 2 4 4 2 3" xfId="44349"/>
    <cellStyle name="Millares 11 2 4 4 3" xfId="27658"/>
    <cellStyle name="Millares 11 2 4 4 3 2" xfId="27659"/>
    <cellStyle name="Millares 11 2 4 4 3 2 2" xfId="44352"/>
    <cellStyle name="Millares 11 2 4 4 3 3" xfId="44351"/>
    <cellStyle name="Millares 11 2 4 4 4" xfId="27660"/>
    <cellStyle name="Millares 11 2 4 4 4 2" xfId="44353"/>
    <cellStyle name="Millares 11 2 4 4 5" xfId="44348"/>
    <cellStyle name="Millares 11 2 4 4 6" xfId="27655"/>
    <cellStyle name="Millares 11 2 4 5" xfId="27661"/>
    <cellStyle name="Millares 11 2 4 5 2" xfId="44354"/>
    <cellStyle name="Millares 11 2 4 6" xfId="27662"/>
    <cellStyle name="Millares 11 2 4 6 2" xfId="27663"/>
    <cellStyle name="Millares 11 2 4 6 2 2" xfId="44356"/>
    <cellStyle name="Millares 11 2 4 6 3" xfId="44355"/>
    <cellStyle name="Millares 11 2 4 7" xfId="27664"/>
    <cellStyle name="Millares 11 2 4 7 2" xfId="44357"/>
    <cellStyle name="Millares 11 2 4 8" xfId="44314"/>
    <cellStyle name="Millares 11 2 4 9" xfId="53002"/>
    <cellStyle name="Millares 11 2 5" xfId="2672"/>
    <cellStyle name="Millares 11 2 5 2" xfId="5796"/>
    <cellStyle name="Millares 11 2 5 2 2" xfId="11999"/>
    <cellStyle name="Millares 11 2 5 2 2 2" xfId="57029"/>
    <cellStyle name="Millares 11 2 5 2 3" xfId="18201"/>
    <cellStyle name="Millares 11 2 5 2 4" xfId="44358"/>
    <cellStyle name="Millares 11 2 5 3" xfId="8899"/>
    <cellStyle name="Millares 11 2 5 3 2" xfId="54134"/>
    <cellStyle name="Millares 11 2 5 4" xfId="15101"/>
    <cellStyle name="Millares 11 2 5 5" xfId="27665"/>
    <cellStyle name="Millares 11 2 6" xfId="3724"/>
    <cellStyle name="Millares 11 2 6 2" xfId="9928"/>
    <cellStyle name="Millares 11 2 6 2 2" xfId="27668"/>
    <cellStyle name="Millares 11 2 6 2 2 2" xfId="27669"/>
    <cellStyle name="Millares 11 2 6 2 2 2 2" xfId="27670"/>
    <cellStyle name="Millares 11 2 6 2 2 2 2 2" xfId="44363"/>
    <cellStyle name="Millares 11 2 6 2 2 2 3" xfId="44362"/>
    <cellStyle name="Millares 11 2 6 2 2 3" xfId="27671"/>
    <cellStyle name="Millares 11 2 6 2 2 3 2" xfId="27672"/>
    <cellStyle name="Millares 11 2 6 2 2 3 2 2" xfId="44365"/>
    <cellStyle name="Millares 11 2 6 2 2 3 3" xfId="44364"/>
    <cellStyle name="Millares 11 2 6 2 2 4" xfId="27673"/>
    <cellStyle name="Millares 11 2 6 2 2 4 2" xfId="44366"/>
    <cellStyle name="Millares 11 2 6 2 2 5" xfId="44361"/>
    <cellStyle name="Millares 11 2 6 2 3" xfId="27674"/>
    <cellStyle name="Millares 11 2 6 2 3 2" xfId="44367"/>
    <cellStyle name="Millares 11 2 6 2 4" xfId="27675"/>
    <cellStyle name="Millares 11 2 6 2 4 2" xfId="27676"/>
    <cellStyle name="Millares 11 2 6 2 4 2 2" xfId="44369"/>
    <cellStyle name="Millares 11 2 6 2 4 3" xfId="44368"/>
    <cellStyle name="Millares 11 2 6 2 5" xfId="27677"/>
    <cellStyle name="Millares 11 2 6 2 5 2" xfId="44370"/>
    <cellStyle name="Millares 11 2 6 2 6" xfId="44360"/>
    <cellStyle name="Millares 11 2 6 2 7" xfId="27667"/>
    <cellStyle name="Millares 11 2 6 3" xfId="16130"/>
    <cellStyle name="Millares 11 2 6 3 2" xfId="27679"/>
    <cellStyle name="Millares 11 2 6 3 2 2" xfId="27680"/>
    <cellStyle name="Millares 11 2 6 3 2 2 2" xfId="44373"/>
    <cellStyle name="Millares 11 2 6 3 2 3" xfId="44372"/>
    <cellStyle name="Millares 11 2 6 3 3" xfId="27681"/>
    <cellStyle name="Millares 11 2 6 3 3 2" xfId="27682"/>
    <cellStyle name="Millares 11 2 6 3 3 2 2" xfId="44375"/>
    <cellStyle name="Millares 11 2 6 3 3 3" xfId="44374"/>
    <cellStyle name="Millares 11 2 6 3 4" xfId="27683"/>
    <cellStyle name="Millares 11 2 6 3 4 2" xfId="44376"/>
    <cellStyle name="Millares 11 2 6 3 5" xfId="44371"/>
    <cellStyle name="Millares 11 2 6 3 6" xfId="27678"/>
    <cellStyle name="Millares 11 2 6 4" xfId="27684"/>
    <cellStyle name="Millares 11 2 6 4 2" xfId="44377"/>
    <cellStyle name="Millares 11 2 6 5" xfId="27685"/>
    <cellStyle name="Millares 11 2 6 5 2" xfId="27686"/>
    <cellStyle name="Millares 11 2 6 5 2 2" xfId="44379"/>
    <cellStyle name="Millares 11 2 6 5 3" xfId="44378"/>
    <cellStyle name="Millares 11 2 6 6" xfId="27687"/>
    <cellStyle name="Millares 11 2 6 6 2" xfId="44380"/>
    <cellStyle name="Millares 11 2 6 7" xfId="44359"/>
    <cellStyle name="Millares 11 2 6 8" xfId="55101"/>
    <cellStyle name="Millares 11 2 6 9" xfId="27666"/>
    <cellStyle name="Millares 11 2 7" xfId="6827"/>
    <cellStyle name="Millares 11 2 7 2" xfId="19076"/>
    <cellStyle name="Millares 11 2 7 2 2" xfId="44381"/>
    <cellStyle name="Millares 11 2 7 3" xfId="27688"/>
    <cellStyle name="Millares 11 2 8" xfId="13029"/>
    <cellStyle name="Millares 11 2 8 2" xfId="27690"/>
    <cellStyle name="Millares 11 2 8 2 2" xfId="27691"/>
    <cellStyle name="Millares 11 2 8 2 2 2" xfId="27692"/>
    <cellStyle name="Millares 11 2 8 2 2 2 2" xfId="44385"/>
    <cellStyle name="Millares 11 2 8 2 2 3" xfId="44384"/>
    <cellStyle name="Millares 11 2 8 2 3" xfId="27693"/>
    <cellStyle name="Millares 11 2 8 2 3 2" xfId="27694"/>
    <cellStyle name="Millares 11 2 8 2 3 2 2" xfId="44387"/>
    <cellStyle name="Millares 11 2 8 2 3 3" xfId="44386"/>
    <cellStyle name="Millares 11 2 8 2 4" xfId="27695"/>
    <cellStyle name="Millares 11 2 8 2 4 2" xfId="44388"/>
    <cellStyle name="Millares 11 2 8 2 5" xfId="44383"/>
    <cellStyle name="Millares 11 2 8 3" xfId="27696"/>
    <cellStyle name="Millares 11 2 8 3 2" xfId="44389"/>
    <cellStyle name="Millares 11 2 8 4" xfId="27697"/>
    <cellStyle name="Millares 11 2 8 4 2" xfId="27698"/>
    <cellStyle name="Millares 11 2 8 4 2 2" xfId="44391"/>
    <cellStyle name="Millares 11 2 8 4 3" xfId="44390"/>
    <cellStyle name="Millares 11 2 8 5" xfId="27699"/>
    <cellStyle name="Millares 11 2 8 5 2" xfId="44392"/>
    <cellStyle name="Millares 11 2 8 6" xfId="44382"/>
    <cellStyle name="Millares 11 2 8 7" xfId="27689"/>
    <cellStyle name="Millares 11 2 9" xfId="27700"/>
    <cellStyle name="Millares 11 2 9 2" xfId="27701"/>
    <cellStyle name="Millares 11 2 9 2 2" xfId="27702"/>
    <cellStyle name="Millares 11 2 9 2 2 2" xfId="44395"/>
    <cellStyle name="Millares 11 2 9 2 3" xfId="44394"/>
    <cellStyle name="Millares 11 2 9 3" xfId="27703"/>
    <cellStyle name="Millares 11 2 9 3 2" xfId="27704"/>
    <cellStyle name="Millares 11 2 9 3 2 2" xfId="44397"/>
    <cellStyle name="Millares 11 2 9 3 3" xfId="44396"/>
    <cellStyle name="Millares 11 2 9 4" xfId="27705"/>
    <cellStyle name="Millares 11 2 9 4 2" xfId="44398"/>
    <cellStyle name="Millares 11 2 9 5" xfId="44393"/>
    <cellStyle name="Millares 11 2_Reserva USgaap" xfId="27706"/>
    <cellStyle name="Millares 11 20" xfId="27384"/>
    <cellStyle name="Millares 11 21" xfId="44078"/>
    <cellStyle name="Millares 11 22" xfId="19915"/>
    <cellStyle name="Millares 11 3" xfId="467"/>
    <cellStyle name="Millares 11 3 10" xfId="27708"/>
    <cellStyle name="Millares 11 3 10 2" xfId="27709"/>
    <cellStyle name="Millares 11 3 10 2 2" xfId="27710"/>
    <cellStyle name="Millares 11 3 10 2 2 2" xfId="44402"/>
    <cellStyle name="Millares 11 3 10 2 3" xfId="44401"/>
    <cellStyle name="Millares 11 3 10 3" xfId="27711"/>
    <cellStyle name="Millares 11 3 10 3 2" xfId="44403"/>
    <cellStyle name="Millares 11 3 10 4" xfId="44400"/>
    <cellStyle name="Millares 11 3 11" xfId="27712"/>
    <cellStyle name="Millares 11 3 11 2" xfId="27713"/>
    <cellStyle name="Millares 11 3 11 2 2" xfId="44405"/>
    <cellStyle name="Millares 11 3 11 3" xfId="44404"/>
    <cellStyle name="Millares 11 3 12" xfId="27714"/>
    <cellStyle name="Millares 11 3 12 2" xfId="27715"/>
    <cellStyle name="Millares 11 3 12 2 2" xfId="44407"/>
    <cellStyle name="Millares 11 3 12 3" xfId="44406"/>
    <cellStyle name="Millares 11 3 13" xfId="27716"/>
    <cellStyle name="Millares 11 3 13 2" xfId="44408"/>
    <cellStyle name="Millares 11 3 14" xfId="27717"/>
    <cellStyle name="Millares 11 3 14 2" xfId="44409"/>
    <cellStyle name="Millares 11 3 15" xfId="44399"/>
    <cellStyle name="Millares 11 3 16" xfId="27707"/>
    <cellStyle name="Millares 11 3 2" xfId="468"/>
    <cellStyle name="Millares 11 3 2 10" xfId="27718"/>
    <cellStyle name="Millares 11 3 2 2" xfId="2116"/>
    <cellStyle name="Millares 11 3 2 2 2" xfId="5241"/>
    <cellStyle name="Millares 11 3 2 2 2 2" xfId="11444"/>
    <cellStyle name="Millares 11 3 2 2 2 2 2" xfId="27722"/>
    <cellStyle name="Millares 11 3 2 2 2 2 2 2" xfId="27723"/>
    <cellStyle name="Millares 11 3 2 2 2 2 2 2 2" xfId="44415"/>
    <cellStyle name="Millares 11 3 2 2 2 2 2 3" xfId="44414"/>
    <cellStyle name="Millares 11 3 2 2 2 2 3" xfId="27724"/>
    <cellStyle name="Millares 11 3 2 2 2 2 3 2" xfId="27725"/>
    <cellStyle name="Millares 11 3 2 2 2 2 3 2 2" xfId="44417"/>
    <cellStyle name="Millares 11 3 2 2 2 2 3 3" xfId="44416"/>
    <cellStyle name="Millares 11 3 2 2 2 2 4" xfId="27726"/>
    <cellStyle name="Millares 11 3 2 2 2 2 4 2" xfId="44418"/>
    <cellStyle name="Millares 11 3 2 2 2 2 5" xfId="44413"/>
    <cellStyle name="Millares 11 3 2 2 2 2 6" xfId="27721"/>
    <cellStyle name="Millares 11 3 2 2 2 3" xfId="17646"/>
    <cellStyle name="Millares 11 3 2 2 2 3 2" xfId="44419"/>
    <cellStyle name="Millares 11 3 2 2 2 3 3" xfId="27727"/>
    <cellStyle name="Millares 11 3 2 2 2 4" xfId="27728"/>
    <cellStyle name="Millares 11 3 2 2 2 4 2" xfId="27729"/>
    <cellStyle name="Millares 11 3 2 2 2 4 2 2" xfId="44421"/>
    <cellStyle name="Millares 11 3 2 2 2 4 3" xfId="44420"/>
    <cellStyle name="Millares 11 3 2 2 2 5" xfId="27730"/>
    <cellStyle name="Millares 11 3 2 2 2 5 2" xfId="44422"/>
    <cellStyle name="Millares 11 3 2 2 2 6" xfId="44412"/>
    <cellStyle name="Millares 11 3 2 2 2 7" xfId="56489"/>
    <cellStyle name="Millares 11 3 2 2 2 8" xfId="27720"/>
    <cellStyle name="Millares 11 3 2 2 3" xfId="8344"/>
    <cellStyle name="Millares 11 3 2 2 3 2" xfId="27732"/>
    <cellStyle name="Millares 11 3 2 2 3 2 2" xfId="27733"/>
    <cellStyle name="Millares 11 3 2 2 3 2 2 2" xfId="44425"/>
    <cellStyle name="Millares 11 3 2 2 3 2 3" xfId="44424"/>
    <cellStyle name="Millares 11 3 2 2 3 3" xfId="27734"/>
    <cellStyle name="Millares 11 3 2 2 3 3 2" xfId="27735"/>
    <cellStyle name="Millares 11 3 2 2 3 3 2 2" xfId="44427"/>
    <cellStyle name="Millares 11 3 2 2 3 3 3" xfId="44426"/>
    <cellStyle name="Millares 11 3 2 2 3 4" xfId="27736"/>
    <cellStyle name="Millares 11 3 2 2 3 4 2" xfId="44428"/>
    <cellStyle name="Millares 11 3 2 2 3 5" xfId="44423"/>
    <cellStyle name="Millares 11 3 2 2 3 6" xfId="27731"/>
    <cellStyle name="Millares 11 3 2 2 4" xfId="14546"/>
    <cellStyle name="Millares 11 3 2 2 4 2" xfId="44429"/>
    <cellStyle name="Millares 11 3 2 2 4 3" xfId="27737"/>
    <cellStyle name="Millares 11 3 2 2 5" xfId="27738"/>
    <cellStyle name="Millares 11 3 2 2 5 2" xfId="27739"/>
    <cellStyle name="Millares 11 3 2 2 5 2 2" xfId="44431"/>
    <cellStyle name="Millares 11 3 2 2 5 3" xfId="44430"/>
    <cellStyle name="Millares 11 3 2 2 6" xfId="27740"/>
    <cellStyle name="Millares 11 3 2 2 6 2" xfId="44432"/>
    <cellStyle name="Millares 11 3 2 2 7" xfId="44411"/>
    <cellStyle name="Millares 11 3 2 2 8" xfId="53593"/>
    <cellStyle name="Millares 11 3 2 2 9" xfId="27719"/>
    <cellStyle name="Millares 11 3 2 3" xfId="2677"/>
    <cellStyle name="Millares 11 3 2 3 2" xfId="5801"/>
    <cellStyle name="Millares 11 3 2 3 2 2" xfId="12004"/>
    <cellStyle name="Millares 11 3 2 3 2 2 2" xfId="27744"/>
    <cellStyle name="Millares 11 3 2 3 2 2 2 2" xfId="44436"/>
    <cellStyle name="Millares 11 3 2 3 2 2 3" xfId="44435"/>
    <cellStyle name="Millares 11 3 2 3 2 2 4" xfId="27743"/>
    <cellStyle name="Millares 11 3 2 3 2 3" xfId="18206"/>
    <cellStyle name="Millares 11 3 2 3 2 3 2" xfId="27746"/>
    <cellStyle name="Millares 11 3 2 3 2 3 2 2" xfId="44438"/>
    <cellStyle name="Millares 11 3 2 3 2 3 3" xfId="44437"/>
    <cellStyle name="Millares 11 3 2 3 2 3 4" xfId="27745"/>
    <cellStyle name="Millares 11 3 2 3 2 4" xfId="27747"/>
    <cellStyle name="Millares 11 3 2 3 2 4 2" xfId="44439"/>
    <cellStyle name="Millares 11 3 2 3 2 5" xfId="44434"/>
    <cellStyle name="Millares 11 3 2 3 2 6" xfId="57034"/>
    <cellStyle name="Millares 11 3 2 3 2 7" xfId="27742"/>
    <cellStyle name="Millares 11 3 2 3 3" xfId="8904"/>
    <cellStyle name="Millares 11 3 2 3 3 2" xfId="44440"/>
    <cellStyle name="Millares 11 3 2 3 3 3" xfId="27748"/>
    <cellStyle name="Millares 11 3 2 3 4" xfId="15106"/>
    <cellStyle name="Millares 11 3 2 3 4 2" xfId="27750"/>
    <cellStyle name="Millares 11 3 2 3 4 2 2" xfId="44442"/>
    <cellStyle name="Millares 11 3 2 3 4 3" xfId="44441"/>
    <cellStyle name="Millares 11 3 2 3 4 4" xfId="27749"/>
    <cellStyle name="Millares 11 3 2 3 5" xfId="27751"/>
    <cellStyle name="Millares 11 3 2 3 5 2" xfId="44443"/>
    <cellStyle name="Millares 11 3 2 3 6" xfId="44433"/>
    <cellStyle name="Millares 11 3 2 3 7" xfId="54139"/>
    <cellStyle name="Millares 11 3 2 3 8" xfId="27741"/>
    <cellStyle name="Millares 11 3 2 4" xfId="3729"/>
    <cellStyle name="Millares 11 3 2 4 2" xfId="9933"/>
    <cellStyle name="Millares 11 3 2 4 2 2" xfId="27754"/>
    <cellStyle name="Millares 11 3 2 4 2 2 2" xfId="44446"/>
    <cellStyle name="Millares 11 3 2 4 2 3" xfId="44445"/>
    <cellStyle name="Millares 11 3 2 4 2 4" xfId="27753"/>
    <cellStyle name="Millares 11 3 2 4 3" xfId="16135"/>
    <cellStyle name="Millares 11 3 2 4 3 2" xfId="27756"/>
    <cellStyle name="Millares 11 3 2 4 3 2 2" xfId="44448"/>
    <cellStyle name="Millares 11 3 2 4 3 3" xfId="44447"/>
    <cellStyle name="Millares 11 3 2 4 3 4" xfId="27755"/>
    <cellStyle name="Millares 11 3 2 4 4" xfId="27757"/>
    <cellStyle name="Millares 11 3 2 4 4 2" xfId="44449"/>
    <cellStyle name="Millares 11 3 2 4 5" xfId="44444"/>
    <cellStyle name="Millares 11 3 2 4 6" xfId="55106"/>
    <cellStyle name="Millares 11 3 2 4 7" xfId="27752"/>
    <cellStyle name="Millares 11 3 2 5" xfId="6832"/>
    <cellStyle name="Millares 11 3 2 5 2" xfId="19717"/>
    <cellStyle name="Millares 11 3 2 5 2 2" xfId="44450"/>
    <cellStyle name="Millares 11 3 2 5 3" xfId="27758"/>
    <cellStyle name="Millares 11 3 2 6" xfId="13034"/>
    <cellStyle name="Millares 11 3 2 6 2" xfId="27760"/>
    <cellStyle name="Millares 11 3 2 6 2 2" xfId="44452"/>
    <cellStyle name="Millares 11 3 2 6 3" xfId="44451"/>
    <cellStyle name="Millares 11 3 2 6 4" xfId="27759"/>
    <cellStyle name="Millares 11 3 2 7" xfId="27761"/>
    <cellStyle name="Millares 11 3 2 7 2" xfId="44453"/>
    <cellStyle name="Millares 11 3 2 8" xfId="44410"/>
    <cellStyle name="Millares 11 3 2 9" xfId="52394"/>
    <cellStyle name="Millares 11 3 3" xfId="1592"/>
    <cellStyle name="Millares 11 3 3 10" xfId="27762"/>
    <cellStyle name="Millares 11 3 3 2" xfId="4717"/>
    <cellStyle name="Millares 11 3 3 2 2" xfId="10920"/>
    <cellStyle name="Millares 11 3 3 2 2 2" xfId="27765"/>
    <cellStyle name="Millares 11 3 3 2 2 2 2" xfId="27766"/>
    <cellStyle name="Millares 11 3 3 2 2 2 2 2" xfId="27767"/>
    <cellStyle name="Millares 11 3 3 2 2 2 2 2 2" xfId="44459"/>
    <cellStyle name="Millares 11 3 3 2 2 2 2 3" xfId="44458"/>
    <cellStyle name="Millares 11 3 3 2 2 2 3" xfId="27768"/>
    <cellStyle name="Millares 11 3 3 2 2 2 3 2" xfId="27769"/>
    <cellStyle name="Millares 11 3 3 2 2 2 3 2 2" xfId="44461"/>
    <cellStyle name="Millares 11 3 3 2 2 2 3 3" xfId="44460"/>
    <cellStyle name="Millares 11 3 3 2 2 2 4" xfId="27770"/>
    <cellStyle name="Millares 11 3 3 2 2 2 4 2" xfId="44462"/>
    <cellStyle name="Millares 11 3 3 2 2 2 5" xfId="44457"/>
    <cellStyle name="Millares 11 3 3 2 2 3" xfId="27771"/>
    <cellStyle name="Millares 11 3 3 2 2 3 2" xfId="44463"/>
    <cellStyle name="Millares 11 3 3 2 2 4" xfId="27772"/>
    <cellStyle name="Millares 11 3 3 2 2 4 2" xfId="27773"/>
    <cellStyle name="Millares 11 3 3 2 2 4 2 2" xfId="44465"/>
    <cellStyle name="Millares 11 3 3 2 2 4 3" xfId="44464"/>
    <cellStyle name="Millares 11 3 3 2 2 5" xfId="27774"/>
    <cellStyle name="Millares 11 3 3 2 2 5 2" xfId="44466"/>
    <cellStyle name="Millares 11 3 3 2 2 6" xfId="44456"/>
    <cellStyle name="Millares 11 3 3 2 2 7" xfId="27764"/>
    <cellStyle name="Millares 11 3 3 2 3" xfId="17122"/>
    <cellStyle name="Millares 11 3 3 2 3 2" xfId="27776"/>
    <cellStyle name="Millares 11 3 3 2 3 2 2" xfId="27777"/>
    <cellStyle name="Millares 11 3 3 2 3 2 2 2" xfId="44469"/>
    <cellStyle name="Millares 11 3 3 2 3 2 3" xfId="44468"/>
    <cellStyle name="Millares 11 3 3 2 3 3" xfId="27778"/>
    <cellStyle name="Millares 11 3 3 2 3 3 2" xfId="27779"/>
    <cellStyle name="Millares 11 3 3 2 3 3 2 2" xfId="44471"/>
    <cellStyle name="Millares 11 3 3 2 3 3 3" xfId="44470"/>
    <cellStyle name="Millares 11 3 3 2 3 4" xfId="27780"/>
    <cellStyle name="Millares 11 3 3 2 3 4 2" xfId="44472"/>
    <cellStyle name="Millares 11 3 3 2 3 5" xfId="44467"/>
    <cellStyle name="Millares 11 3 3 2 3 6" xfId="27775"/>
    <cellStyle name="Millares 11 3 3 2 4" xfId="27781"/>
    <cellStyle name="Millares 11 3 3 2 4 2" xfId="44473"/>
    <cellStyle name="Millares 11 3 3 2 5" xfId="27782"/>
    <cellStyle name="Millares 11 3 3 2 5 2" xfId="27783"/>
    <cellStyle name="Millares 11 3 3 2 5 2 2" xfId="44475"/>
    <cellStyle name="Millares 11 3 3 2 5 3" xfId="44474"/>
    <cellStyle name="Millares 11 3 3 2 6" xfId="27784"/>
    <cellStyle name="Millares 11 3 3 2 6 2" xfId="44476"/>
    <cellStyle name="Millares 11 3 3 2 7" xfId="44455"/>
    <cellStyle name="Millares 11 3 3 2 8" xfId="55995"/>
    <cellStyle name="Millares 11 3 3 2 9" xfId="27763"/>
    <cellStyle name="Millares 11 3 3 3" xfId="7820"/>
    <cellStyle name="Millares 11 3 3 3 2" xfId="27786"/>
    <cellStyle name="Millares 11 3 3 3 2 2" xfId="27787"/>
    <cellStyle name="Millares 11 3 3 3 2 2 2" xfId="27788"/>
    <cellStyle name="Millares 11 3 3 3 2 2 2 2" xfId="44480"/>
    <cellStyle name="Millares 11 3 3 3 2 2 3" xfId="44479"/>
    <cellStyle name="Millares 11 3 3 3 2 3" xfId="27789"/>
    <cellStyle name="Millares 11 3 3 3 2 3 2" xfId="27790"/>
    <cellStyle name="Millares 11 3 3 3 2 3 2 2" xfId="44482"/>
    <cellStyle name="Millares 11 3 3 3 2 3 3" xfId="44481"/>
    <cellStyle name="Millares 11 3 3 3 2 4" xfId="27791"/>
    <cellStyle name="Millares 11 3 3 3 2 4 2" xfId="44483"/>
    <cellStyle name="Millares 11 3 3 3 2 5" xfId="44478"/>
    <cellStyle name="Millares 11 3 3 3 3" xfId="27792"/>
    <cellStyle name="Millares 11 3 3 3 3 2" xfId="44484"/>
    <cellStyle name="Millares 11 3 3 3 4" xfId="27793"/>
    <cellStyle name="Millares 11 3 3 3 4 2" xfId="27794"/>
    <cellStyle name="Millares 11 3 3 3 4 2 2" xfId="44486"/>
    <cellStyle name="Millares 11 3 3 3 4 3" xfId="44485"/>
    <cellStyle name="Millares 11 3 3 3 5" xfId="27795"/>
    <cellStyle name="Millares 11 3 3 3 5 2" xfId="44487"/>
    <cellStyle name="Millares 11 3 3 3 6" xfId="44477"/>
    <cellStyle name="Millares 11 3 3 3 7" xfId="27785"/>
    <cellStyle name="Millares 11 3 3 4" xfId="14022"/>
    <cellStyle name="Millares 11 3 3 4 2" xfId="27797"/>
    <cellStyle name="Millares 11 3 3 4 2 2" xfId="27798"/>
    <cellStyle name="Millares 11 3 3 4 2 2 2" xfId="44490"/>
    <cellStyle name="Millares 11 3 3 4 2 3" xfId="44489"/>
    <cellStyle name="Millares 11 3 3 4 3" xfId="27799"/>
    <cellStyle name="Millares 11 3 3 4 3 2" xfId="27800"/>
    <cellStyle name="Millares 11 3 3 4 3 2 2" xfId="44492"/>
    <cellStyle name="Millares 11 3 3 4 3 3" xfId="44491"/>
    <cellStyle name="Millares 11 3 3 4 4" xfId="27801"/>
    <cellStyle name="Millares 11 3 3 4 4 2" xfId="44493"/>
    <cellStyle name="Millares 11 3 3 4 5" xfId="44488"/>
    <cellStyle name="Millares 11 3 3 4 6" xfId="27796"/>
    <cellStyle name="Millares 11 3 3 5" xfId="27802"/>
    <cellStyle name="Millares 11 3 3 5 2" xfId="44494"/>
    <cellStyle name="Millares 11 3 3 6" xfId="27803"/>
    <cellStyle name="Millares 11 3 3 6 2" xfId="27804"/>
    <cellStyle name="Millares 11 3 3 6 2 2" xfId="44496"/>
    <cellStyle name="Millares 11 3 3 6 3" xfId="44495"/>
    <cellStyle name="Millares 11 3 3 7" xfId="27805"/>
    <cellStyle name="Millares 11 3 3 7 2" xfId="44497"/>
    <cellStyle name="Millares 11 3 3 8" xfId="44454"/>
    <cellStyle name="Millares 11 3 3 9" xfId="53108"/>
    <cellStyle name="Millares 11 3 4" xfId="2676"/>
    <cellStyle name="Millares 11 3 4 2" xfId="5800"/>
    <cellStyle name="Millares 11 3 4 2 2" xfId="12003"/>
    <cellStyle name="Millares 11 3 4 2 2 2" xfId="57033"/>
    <cellStyle name="Millares 11 3 4 2 3" xfId="18205"/>
    <cellStyle name="Millares 11 3 4 2 4" xfId="44498"/>
    <cellStyle name="Millares 11 3 4 3" xfId="8903"/>
    <cellStyle name="Millares 11 3 4 3 2" xfId="54138"/>
    <cellStyle name="Millares 11 3 4 4" xfId="15105"/>
    <cellStyle name="Millares 11 3 4 5" xfId="27806"/>
    <cellStyle name="Millares 11 3 5" xfId="3728"/>
    <cellStyle name="Millares 11 3 5 2" xfId="9932"/>
    <cellStyle name="Millares 11 3 5 2 2" xfId="27809"/>
    <cellStyle name="Millares 11 3 5 2 2 2" xfId="27810"/>
    <cellStyle name="Millares 11 3 5 2 2 2 2" xfId="27811"/>
    <cellStyle name="Millares 11 3 5 2 2 2 2 2" xfId="44503"/>
    <cellStyle name="Millares 11 3 5 2 2 2 3" xfId="44502"/>
    <cellStyle name="Millares 11 3 5 2 2 3" xfId="27812"/>
    <cellStyle name="Millares 11 3 5 2 2 3 2" xfId="27813"/>
    <cellStyle name="Millares 11 3 5 2 2 3 2 2" xfId="44505"/>
    <cellStyle name="Millares 11 3 5 2 2 3 3" xfId="44504"/>
    <cellStyle name="Millares 11 3 5 2 2 4" xfId="27814"/>
    <cellStyle name="Millares 11 3 5 2 2 4 2" xfId="44506"/>
    <cellStyle name="Millares 11 3 5 2 2 5" xfId="44501"/>
    <cellStyle name="Millares 11 3 5 2 3" xfId="27815"/>
    <cellStyle name="Millares 11 3 5 2 3 2" xfId="44507"/>
    <cellStyle name="Millares 11 3 5 2 4" xfId="27816"/>
    <cellStyle name="Millares 11 3 5 2 4 2" xfId="27817"/>
    <cellStyle name="Millares 11 3 5 2 4 2 2" xfId="44509"/>
    <cellStyle name="Millares 11 3 5 2 4 3" xfId="44508"/>
    <cellStyle name="Millares 11 3 5 2 5" xfId="27818"/>
    <cellStyle name="Millares 11 3 5 2 5 2" xfId="44510"/>
    <cellStyle name="Millares 11 3 5 2 6" xfId="44500"/>
    <cellStyle name="Millares 11 3 5 2 7" xfId="27808"/>
    <cellStyle name="Millares 11 3 5 3" xfId="16134"/>
    <cellStyle name="Millares 11 3 5 3 2" xfId="27820"/>
    <cellStyle name="Millares 11 3 5 3 2 2" xfId="27821"/>
    <cellStyle name="Millares 11 3 5 3 2 2 2" xfId="44513"/>
    <cellStyle name="Millares 11 3 5 3 2 3" xfId="44512"/>
    <cellStyle name="Millares 11 3 5 3 3" xfId="27822"/>
    <cellStyle name="Millares 11 3 5 3 3 2" xfId="27823"/>
    <cellStyle name="Millares 11 3 5 3 3 2 2" xfId="44515"/>
    <cellStyle name="Millares 11 3 5 3 3 3" xfId="44514"/>
    <cellStyle name="Millares 11 3 5 3 4" xfId="27824"/>
    <cellStyle name="Millares 11 3 5 3 4 2" xfId="44516"/>
    <cellStyle name="Millares 11 3 5 3 5" xfId="44511"/>
    <cellStyle name="Millares 11 3 5 3 6" xfId="27819"/>
    <cellStyle name="Millares 11 3 5 4" xfId="27825"/>
    <cellStyle name="Millares 11 3 5 4 2" xfId="44517"/>
    <cellStyle name="Millares 11 3 5 5" xfId="27826"/>
    <cellStyle name="Millares 11 3 5 5 2" xfId="27827"/>
    <cellStyle name="Millares 11 3 5 5 2 2" xfId="44519"/>
    <cellStyle name="Millares 11 3 5 5 3" xfId="44518"/>
    <cellStyle name="Millares 11 3 5 6" xfId="27828"/>
    <cellStyle name="Millares 11 3 5 6 2" xfId="44520"/>
    <cellStyle name="Millares 11 3 5 7" xfId="44499"/>
    <cellStyle name="Millares 11 3 5 8" xfId="55105"/>
    <cellStyle name="Millares 11 3 5 9" xfId="27807"/>
    <cellStyle name="Millares 11 3 6" xfId="6831"/>
    <cellStyle name="Millares 11 3 6 2" xfId="19193"/>
    <cellStyle name="Millares 11 3 6 2 2" xfId="27831"/>
    <cellStyle name="Millares 11 3 6 2 2 2" xfId="27832"/>
    <cellStyle name="Millares 11 3 6 2 2 2 2" xfId="44524"/>
    <cellStyle name="Millares 11 3 6 2 2 3" xfId="44523"/>
    <cellStyle name="Millares 11 3 6 2 3" xfId="27833"/>
    <cellStyle name="Millares 11 3 6 2 3 2" xfId="27834"/>
    <cellStyle name="Millares 11 3 6 2 3 2 2" xfId="44526"/>
    <cellStyle name="Millares 11 3 6 2 3 3" xfId="44525"/>
    <cellStyle name="Millares 11 3 6 2 4" xfId="27835"/>
    <cellStyle name="Millares 11 3 6 2 4 2" xfId="44527"/>
    <cellStyle name="Millares 11 3 6 2 5" xfId="44522"/>
    <cellStyle name="Millares 11 3 6 2 6" xfId="27830"/>
    <cellStyle name="Millares 11 3 6 3" xfId="27836"/>
    <cellStyle name="Millares 11 3 6 3 2" xfId="44528"/>
    <cellStyle name="Millares 11 3 6 4" xfId="27837"/>
    <cellStyle name="Millares 11 3 6 4 2" xfId="27838"/>
    <cellStyle name="Millares 11 3 6 4 2 2" xfId="44530"/>
    <cellStyle name="Millares 11 3 6 4 3" xfId="44529"/>
    <cellStyle name="Millares 11 3 6 5" xfId="27839"/>
    <cellStyle name="Millares 11 3 6 5 2" xfId="44531"/>
    <cellStyle name="Millares 11 3 6 6" xfId="44521"/>
    <cellStyle name="Millares 11 3 6 7" xfId="27829"/>
    <cellStyle name="Millares 11 3 7" xfId="13033"/>
    <cellStyle name="Millares 11 3 7 2" xfId="27841"/>
    <cellStyle name="Millares 11 3 7 2 2" xfId="27842"/>
    <cellStyle name="Millares 11 3 7 2 2 2" xfId="44534"/>
    <cellStyle name="Millares 11 3 7 2 3" xfId="44533"/>
    <cellStyle name="Millares 11 3 7 3" xfId="27843"/>
    <cellStyle name="Millares 11 3 7 3 2" xfId="27844"/>
    <cellStyle name="Millares 11 3 7 3 2 2" xfId="44536"/>
    <cellStyle name="Millares 11 3 7 3 3" xfId="44535"/>
    <cellStyle name="Millares 11 3 7 4" xfId="27845"/>
    <cellStyle name="Millares 11 3 7 4 2" xfId="44537"/>
    <cellStyle name="Millares 11 3 7 5" xfId="44532"/>
    <cellStyle name="Millares 11 3 7 6" xfId="27840"/>
    <cellStyle name="Millares 11 3 8" xfId="27846"/>
    <cellStyle name="Millares 11 3 8 2" xfId="27847"/>
    <cellStyle name="Millares 11 3 8 2 2" xfId="27848"/>
    <cellStyle name="Millares 11 3 8 2 2 2" xfId="44540"/>
    <cellStyle name="Millares 11 3 8 2 3" xfId="44539"/>
    <cellStyle name="Millares 11 3 8 3" xfId="27849"/>
    <cellStyle name="Millares 11 3 8 3 2" xfId="44541"/>
    <cellStyle name="Millares 11 3 8 4" xfId="44538"/>
    <cellStyle name="Millares 11 3 9" xfId="27850"/>
    <cellStyle name="Millares 11 3 9 2" xfId="27851"/>
    <cellStyle name="Millares 11 3 9 2 2" xfId="27852"/>
    <cellStyle name="Millares 11 3 9 2 2 2" xfId="44544"/>
    <cellStyle name="Millares 11 3 9 2 3" xfId="44543"/>
    <cellStyle name="Millares 11 3 9 3" xfId="27853"/>
    <cellStyle name="Millares 11 3 9 3 2" xfId="44545"/>
    <cellStyle name="Millares 11 3 9 4" xfId="44542"/>
    <cellStyle name="Millares 11 4" xfId="469"/>
    <cellStyle name="Millares 11 4 10" xfId="27854"/>
    <cellStyle name="Millares 11 4 2" xfId="1857"/>
    <cellStyle name="Millares 11 4 2 2" xfId="4982"/>
    <cellStyle name="Millares 11 4 2 2 2" xfId="11185"/>
    <cellStyle name="Millares 11 4 2 2 2 2" xfId="27858"/>
    <cellStyle name="Millares 11 4 2 2 2 2 2" xfId="27859"/>
    <cellStyle name="Millares 11 4 2 2 2 2 2 2" xfId="44551"/>
    <cellStyle name="Millares 11 4 2 2 2 2 3" xfId="44550"/>
    <cellStyle name="Millares 11 4 2 2 2 3" xfId="27860"/>
    <cellStyle name="Millares 11 4 2 2 2 3 2" xfId="27861"/>
    <cellStyle name="Millares 11 4 2 2 2 3 2 2" xfId="44553"/>
    <cellStyle name="Millares 11 4 2 2 2 3 3" xfId="44552"/>
    <cellStyle name="Millares 11 4 2 2 2 4" xfId="27862"/>
    <cellStyle name="Millares 11 4 2 2 2 4 2" xfId="44554"/>
    <cellStyle name="Millares 11 4 2 2 2 5" xfId="44549"/>
    <cellStyle name="Millares 11 4 2 2 2 6" xfId="27857"/>
    <cellStyle name="Millares 11 4 2 2 3" xfId="17387"/>
    <cellStyle name="Millares 11 4 2 2 3 2" xfId="44555"/>
    <cellStyle name="Millares 11 4 2 2 3 3" xfId="27863"/>
    <cellStyle name="Millares 11 4 2 2 4" xfId="27864"/>
    <cellStyle name="Millares 11 4 2 2 4 2" xfId="27865"/>
    <cellStyle name="Millares 11 4 2 2 4 2 2" xfId="44557"/>
    <cellStyle name="Millares 11 4 2 2 4 3" xfId="44556"/>
    <cellStyle name="Millares 11 4 2 2 5" xfId="27866"/>
    <cellStyle name="Millares 11 4 2 2 5 2" xfId="44558"/>
    <cellStyle name="Millares 11 4 2 2 6" xfId="44548"/>
    <cellStyle name="Millares 11 4 2 2 7" xfId="56246"/>
    <cellStyle name="Millares 11 4 2 2 8" xfId="27856"/>
    <cellStyle name="Millares 11 4 2 3" xfId="8085"/>
    <cellStyle name="Millares 11 4 2 3 2" xfId="27868"/>
    <cellStyle name="Millares 11 4 2 3 2 2" xfId="27869"/>
    <cellStyle name="Millares 11 4 2 3 2 2 2" xfId="44561"/>
    <cellStyle name="Millares 11 4 2 3 2 3" xfId="44560"/>
    <cellStyle name="Millares 11 4 2 3 3" xfId="27870"/>
    <cellStyle name="Millares 11 4 2 3 3 2" xfId="27871"/>
    <cellStyle name="Millares 11 4 2 3 3 2 2" xfId="44563"/>
    <cellStyle name="Millares 11 4 2 3 3 3" xfId="44562"/>
    <cellStyle name="Millares 11 4 2 3 4" xfId="27872"/>
    <cellStyle name="Millares 11 4 2 3 4 2" xfId="44564"/>
    <cellStyle name="Millares 11 4 2 3 5" xfId="44559"/>
    <cellStyle name="Millares 11 4 2 3 6" xfId="27867"/>
    <cellStyle name="Millares 11 4 2 4" xfId="14287"/>
    <cellStyle name="Millares 11 4 2 4 2" xfId="44565"/>
    <cellStyle name="Millares 11 4 2 4 3" xfId="27873"/>
    <cellStyle name="Millares 11 4 2 5" xfId="27874"/>
    <cellStyle name="Millares 11 4 2 5 2" xfId="27875"/>
    <cellStyle name="Millares 11 4 2 5 2 2" xfId="44567"/>
    <cellStyle name="Millares 11 4 2 5 3" xfId="44566"/>
    <cellStyle name="Millares 11 4 2 6" xfId="27876"/>
    <cellStyle name="Millares 11 4 2 6 2" xfId="44568"/>
    <cellStyle name="Millares 11 4 2 7" xfId="44547"/>
    <cellStyle name="Millares 11 4 2 8" xfId="53352"/>
    <cellStyle name="Millares 11 4 2 9" xfId="27855"/>
    <cellStyle name="Millares 11 4 3" xfId="2678"/>
    <cellStyle name="Millares 11 4 3 2" xfId="5802"/>
    <cellStyle name="Millares 11 4 3 2 2" xfId="12005"/>
    <cellStyle name="Millares 11 4 3 2 2 2" xfId="27880"/>
    <cellStyle name="Millares 11 4 3 2 2 2 2" xfId="44572"/>
    <cellStyle name="Millares 11 4 3 2 2 3" xfId="44571"/>
    <cellStyle name="Millares 11 4 3 2 2 4" xfId="27879"/>
    <cellStyle name="Millares 11 4 3 2 3" xfId="18207"/>
    <cellStyle name="Millares 11 4 3 2 3 2" xfId="27882"/>
    <cellStyle name="Millares 11 4 3 2 3 2 2" xfId="44574"/>
    <cellStyle name="Millares 11 4 3 2 3 3" xfId="44573"/>
    <cellStyle name="Millares 11 4 3 2 3 4" xfId="27881"/>
    <cellStyle name="Millares 11 4 3 2 4" xfId="27883"/>
    <cellStyle name="Millares 11 4 3 2 4 2" xfId="44575"/>
    <cellStyle name="Millares 11 4 3 2 5" xfId="44570"/>
    <cellStyle name="Millares 11 4 3 2 6" xfId="57035"/>
    <cellStyle name="Millares 11 4 3 2 7" xfId="27878"/>
    <cellStyle name="Millares 11 4 3 3" xfId="8905"/>
    <cellStyle name="Millares 11 4 3 3 2" xfId="44576"/>
    <cellStyle name="Millares 11 4 3 3 3" xfId="27884"/>
    <cellStyle name="Millares 11 4 3 4" xfId="15107"/>
    <cellStyle name="Millares 11 4 3 4 2" xfId="27886"/>
    <cellStyle name="Millares 11 4 3 4 2 2" xfId="44578"/>
    <cellStyle name="Millares 11 4 3 4 3" xfId="44577"/>
    <cellStyle name="Millares 11 4 3 4 4" xfId="27885"/>
    <cellStyle name="Millares 11 4 3 5" xfId="27887"/>
    <cellStyle name="Millares 11 4 3 5 2" xfId="44579"/>
    <cellStyle name="Millares 11 4 3 6" xfId="44569"/>
    <cellStyle name="Millares 11 4 3 7" xfId="54140"/>
    <cellStyle name="Millares 11 4 3 8" xfId="27877"/>
    <cellStyle name="Millares 11 4 4" xfId="3730"/>
    <cellStyle name="Millares 11 4 4 2" xfId="9934"/>
    <cellStyle name="Millares 11 4 4 2 2" xfId="27890"/>
    <cellStyle name="Millares 11 4 4 2 2 2" xfId="44582"/>
    <cellStyle name="Millares 11 4 4 2 3" xfId="44581"/>
    <cellStyle name="Millares 11 4 4 2 4" xfId="27889"/>
    <cellStyle name="Millares 11 4 4 3" xfId="16136"/>
    <cellStyle name="Millares 11 4 4 3 2" xfId="27892"/>
    <cellStyle name="Millares 11 4 4 3 2 2" xfId="44584"/>
    <cellStyle name="Millares 11 4 4 3 3" xfId="44583"/>
    <cellStyle name="Millares 11 4 4 3 4" xfId="27891"/>
    <cellStyle name="Millares 11 4 4 4" xfId="27893"/>
    <cellStyle name="Millares 11 4 4 4 2" xfId="44585"/>
    <cellStyle name="Millares 11 4 4 5" xfId="44580"/>
    <cellStyle name="Millares 11 4 4 6" xfId="55107"/>
    <cellStyle name="Millares 11 4 4 7" xfId="27888"/>
    <cellStyle name="Millares 11 4 5" xfId="6833"/>
    <cellStyle name="Millares 11 4 5 2" xfId="19458"/>
    <cellStyle name="Millares 11 4 5 2 2" xfId="44586"/>
    <cellStyle name="Millares 11 4 5 3" xfId="27894"/>
    <cellStyle name="Millares 11 4 6" xfId="13035"/>
    <cellStyle name="Millares 11 4 6 2" xfId="27896"/>
    <cellStyle name="Millares 11 4 6 2 2" xfId="44588"/>
    <cellStyle name="Millares 11 4 6 3" xfId="44587"/>
    <cellStyle name="Millares 11 4 6 4" xfId="27895"/>
    <cellStyle name="Millares 11 4 7" xfId="27897"/>
    <cellStyle name="Millares 11 4 7 2" xfId="44589"/>
    <cellStyle name="Millares 11 4 8" xfId="44546"/>
    <cellStyle name="Millares 11 4 9" xfId="52395"/>
    <cellStyle name="Millares 11 5" xfId="1333"/>
    <cellStyle name="Millares 11 5 10" xfId="27898"/>
    <cellStyle name="Millares 11 5 2" xfId="4458"/>
    <cellStyle name="Millares 11 5 2 2" xfId="10661"/>
    <cellStyle name="Millares 11 5 2 2 2" xfId="27901"/>
    <cellStyle name="Millares 11 5 2 2 2 2" xfId="27902"/>
    <cellStyle name="Millares 11 5 2 2 2 2 2" xfId="27903"/>
    <cellStyle name="Millares 11 5 2 2 2 2 2 2" xfId="44595"/>
    <cellStyle name="Millares 11 5 2 2 2 2 3" xfId="44594"/>
    <cellStyle name="Millares 11 5 2 2 2 3" xfId="27904"/>
    <cellStyle name="Millares 11 5 2 2 2 3 2" xfId="27905"/>
    <cellStyle name="Millares 11 5 2 2 2 3 2 2" xfId="44597"/>
    <cellStyle name="Millares 11 5 2 2 2 3 3" xfId="44596"/>
    <cellStyle name="Millares 11 5 2 2 2 4" xfId="27906"/>
    <cellStyle name="Millares 11 5 2 2 2 4 2" xfId="44598"/>
    <cellStyle name="Millares 11 5 2 2 2 5" xfId="44593"/>
    <cellStyle name="Millares 11 5 2 2 3" xfId="27907"/>
    <cellStyle name="Millares 11 5 2 2 3 2" xfId="44599"/>
    <cellStyle name="Millares 11 5 2 2 4" xfId="27908"/>
    <cellStyle name="Millares 11 5 2 2 4 2" xfId="27909"/>
    <cellStyle name="Millares 11 5 2 2 4 2 2" xfId="44601"/>
    <cellStyle name="Millares 11 5 2 2 4 3" xfId="44600"/>
    <cellStyle name="Millares 11 5 2 2 5" xfId="27910"/>
    <cellStyle name="Millares 11 5 2 2 5 2" xfId="44602"/>
    <cellStyle name="Millares 11 5 2 2 6" xfId="44592"/>
    <cellStyle name="Millares 11 5 2 2 7" xfId="27900"/>
    <cellStyle name="Millares 11 5 2 3" xfId="16863"/>
    <cellStyle name="Millares 11 5 2 3 2" xfId="27912"/>
    <cellStyle name="Millares 11 5 2 3 2 2" xfId="27913"/>
    <cellStyle name="Millares 11 5 2 3 2 2 2" xfId="44605"/>
    <cellStyle name="Millares 11 5 2 3 2 3" xfId="44604"/>
    <cellStyle name="Millares 11 5 2 3 3" xfId="27914"/>
    <cellStyle name="Millares 11 5 2 3 3 2" xfId="27915"/>
    <cellStyle name="Millares 11 5 2 3 3 2 2" xfId="44607"/>
    <cellStyle name="Millares 11 5 2 3 3 3" xfId="44606"/>
    <cellStyle name="Millares 11 5 2 3 4" xfId="27916"/>
    <cellStyle name="Millares 11 5 2 3 4 2" xfId="44608"/>
    <cellStyle name="Millares 11 5 2 3 5" xfId="44603"/>
    <cellStyle name="Millares 11 5 2 3 6" xfId="27911"/>
    <cellStyle name="Millares 11 5 2 4" xfId="27917"/>
    <cellStyle name="Millares 11 5 2 4 2" xfId="44609"/>
    <cellStyle name="Millares 11 5 2 5" xfId="27918"/>
    <cellStyle name="Millares 11 5 2 5 2" xfId="27919"/>
    <cellStyle name="Millares 11 5 2 5 2 2" xfId="44611"/>
    <cellStyle name="Millares 11 5 2 5 3" xfId="44610"/>
    <cellStyle name="Millares 11 5 2 6" xfId="27920"/>
    <cellStyle name="Millares 11 5 2 6 2" xfId="44612"/>
    <cellStyle name="Millares 11 5 2 7" xfId="44591"/>
    <cellStyle name="Millares 11 5 2 8" xfId="55749"/>
    <cellStyle name="Millares 11 5 2 9" xfId="27899"/>
    <cellStyle name="Millares 11 5 3" xfId="7561"/>
    <cellStyle name="Millares 11 5 3 2" xfId="27922"/>
    <cellStyle name="Millares 11 5 3 2 2" xfId="27923"/>
    <cellStyle name="Millares 11 5 3 2 2 2" xfId="27924"/>
    <cellStyle name="Millares 11 5 3 2 2 2 2" xfId="44616"/>
    <cellStyle name="Millares 11 5 3 2 2 3" xfId="44615"/>
    <cellStyle name="Millares 11 5 3 2 3" xfId="27925"/>
    <cellStyle name="Millares 11 5 3 2 3 2" xfId="27926"/>
    <cellStyle name="Millares 11 5 3 2 3 2 2" xfId="44618"/>
    <cellStyle name="Millares 11 5 3 2 3 3" xfId="44617"/>
    <cellStyle name="Millares 11 5 3 2 4" xfId="27927"/>
    <cellStyle name="Millares 11 5 3 2 4 2" xfId="44619"/>
    <cellStyle name="Millares 11 5 3 2 5" xfId="44614"/>
    <cellStyle name="Millares 11 5 3 3" xfId="27928"/>
    <cellStyle name="Millares 11 5 3 3 2" xfId="44620"/>
    <cellStyle name="Millares 11 5 3 4" xfId="27929"/>
    <cellStyle name="Millares 11 5 3 4 2" xfId="27930"/>
    <cellStyle name="Millares 11 5 3 4 2 2" xfId="44622"/>
    <cellStyle name="Millares 11 5 3 4 3" xfId="44621"/>
    <cellStyle name="Millares 11 5 3 5" xfId="27931"/>
    <cellStyle name="Millares 11 5 3 5 2" xfId="44623"/>
    <cellStyle name="Millares 11 5 3 6" xfId="44613"/>
    <cellStyle name="Millares 11 5 3 7" xfId="27921"/>
    <cellStyle name="Millares 11 5 4" xfId="13763"/>
    <cellStyle name="Millares 11 5 4 2" xfId="27933"/>
    <cellStyle name="Millares 11 5 4 2 2" xfId="27934"/>
    <cellStyle name="Millares 11 5 4 2 2 2" xfId="44626"/>
    <cellStyle name="Millares 11 5 4 2 3" xfId="44625"/>
    <cellStyle name="Millares 11 5 4 3" xfId="27935"/>
    <cellStyle name="Millares 11 5 4 3 2" xfId="27936"/>
    <cellStyle name="Millares 11 5 4 3 2 2" xfId="44628"/>
    <cellStyle name="Millares 11 5 4 3 3" xfId="44627"/>
    <cellStyle name="Millares 11 5 4 4" xfId="27937"/>
    <cellStyle name="Millares 11 5 4 4 2" xfId="44629"/>
    <cellStyle name="Millares 11 5 4 5" xfId="44624"/>
    <cellStyle name="Millares 11 5 4 6" xfId="27932"/>
    <cellStyle name="Millares 11 5 5" xfId="27938"/>
    <cellStyle name="Millares 11 5 5 2" xfId="44630"/>
    <cellStyle name="Millares 11 5 6" xfId="27939"/>
    <cellStyle name="Millares 11 5 6 2" xfId="27940"/>
    <cellStyle name="Millares 11 5 6 2 2" xfId="44632"/>
    <cellStyle name="Millares 11 5 6 3" xfId="44631"/>
    <cellStyle name="Millares 11 5 7" xfId="27941"/>
    <cellStyle name="Millares 11 5 7 2" xfId="44633"/>
    <cellStyle name="Millares 11 5 8" xfId="44590"/>
    <cellStyle name="Millares 11 5 9" xfId="52877"/>
    <cellStyle name="Millares 11 6" xfId="2671"/>
    <cellStyle name="Millares 11 6 2" xfId="5795"/>
    <cellStyle name="Millares 11 6 2 2" xfId="11998"/>
    <cellStyle name="Millares 11 6 2 2 2" xfId="57028"/>
    <cellStyle name="Millares 11 6 2 3" xfId="18200"/>
    <cellStyle name="Millares 11 6 2 4" xfId="44634"/>
    <cellStyle name="Millares 11 6 3" xfId="8898"/>
    <cellStyle name="Millares 11 6 3 2" xfId="54133"/>
    <cellStyle name="Millares 11 6 4" xfId="15100"/>
    <cellStyle name="Millares 11 6 5" xfId="27942"/>
    <cellStyle name="Millares 11 7" xfId="3723"/>
    <cellStyle name="Millares 11 7 2" xfId="9927"/>
    <cellStyle name="Millares 11 7 2 2" xfId="27945"/>
    <cellStyle name="Millares 11 7 2 2 2" xfId="27946"/>
    <cellStyle name="Millares 11 7 2 2 2 2" xfId="27947"/>
    <cellStyle name="Millares 11 7 2 2 2 2 2" xfId="44639"/>
    <cellStyle name="Millares 11 7 2 2 2 3" xfId="44638"/>
    <cellStyle name="Millares 11 7 2 2 3" xfId="27948"/>
    <cellStyle name="Millares 11 7 2 2 3 2" xfId="27949"/>
    <cellStyle name="Millares 11 7 2 2 3 2 2" xfId="44641"/>
    <cellStyle name="Millares 11 7 2 2 3 3" xfId="44640"/>
    <cellStyle name="Millares 11 7 2 2 4" xfId="27950"/>
    <cellStyle name="Millares 11 7 2 2 4 2" xfId="44642"/>
    <cellStyle name="Millares 11 7 2 2 5" xfId="44637"/>
    <cellStyle name="Millares 11 7 2 3" xfId="27951"/>
    <cellStyle name="Millares 11 7 2 3 2" xfId="44643"/>
    <cellStyle name="Millares 11 7 2 4" xfId="27952"/>
    <cellStyle name="Millares 11 7 2 4 2" xfId="27953"/>
    <cellStyle name="Millares 11 7 2 4 2 2" xfId="44645"/>
    <cellStyle name="Millares 11 7 2 4 3" xfId="44644"/>
    <cellStyle name="Millares 11 7 2 5" xfId="27954"/>
    <cellStyle name="Millares 11 7 2 5 2" xfId="44646"/>
    <cellStyle name="Millares 11 7 2 6" xfId="44636"/>
    <cellStyle name="Millares 11 7 2 7" xfId="27944"/>
    <cellStyle name="Millares 11 7 3" xfId="16129"/>
    <cellStyle name="Millares 11 7 3 2" xfId="27956"/>
    <cellStyle name="Millares 11 7 3 2 2" xfId="27957"/>
    <cellStyle name="Millares 11 7 3 2 2 2" xfId="44649"/>
    <cellStyle name="Millares 11 7 3 2 3" xfId="44648"/>
    <cellStyle name="Millares 11 7 3 3" xfId="27958"/>
    <cellStyle name="Millares 11 7 3 3 2" xfId="27959"/>
    <cellStyle name="Millares 11 7 3 3 2 2" xfId="44651"/>
    <cellStyle name="Millares 11 7 3 3 3" xfId="44650"/>
    <cellStyle name="Millares 11 7 3 4" xfId="27960"/>
    <cellStyle name="Millares 11 7 3 4 2" xfId="44652"/>
    <cellStyle name="Millares 11 7 3 5" xfId="44647"/>
    <cellStyle name="Millares 11 7 3 6" xfId="27955"/>
    <cellStyle name="Millares 11 7 4" xfId="27961"/>
    <cellStyle name="Millares 11 7 4 2" xfId="44653"/>
    <cellStyle name="Millares 11 7 5" xfId="27962"/>
    <cellStyle name="Millares 11 7 5 2" xfId="27963"/>
    <cellStyle name="Millares 11 7 5 2 2" xfId="44655"/>
    <cellStyle name="Millares 11 7 5 3" xfId="44654"/>
    <cellStyle name="Millares 11 7 6" xfId="27964"/>
    <cellStyle name="Millares 11 7 6 2" xfId="44656"/>
    <cellStyle name="Millares 11 7 7" xfId="44635"/>
    <cellStyle name="Millares 11 7 8" xfId="55100"/>
    <cellStyle name="Millares 11 7 9" xfId="27943"/>
    <cellStyle name="Millares 11 8" xfId="6826"/>
    <cellStyle name="Millares 11 8 2" xfId="18934"/>
    <cellStyle name="Millares 11 8 2 2" xfId="44657"/>
    <cellStyle name="Millares 11 8 3" xfId="27965"/>
    <cellStyle name="Millares 11 9" xfId="13028"/>
    <cellStyle name="Millares 11 9 2" xfId="27967"/>
    <cellStyle name="Millares 11 9 2 2" xfId="27968"/>
    <cellStyle name="Millares 11 9 2 2 2" xfId="27969"/>
    <cellStyle name="Millares 11 9 2 2 2 2" xfId="44661"/>
    <cellStyle name="Millares 11 9 2 2 3" xfId="44660"/>
    <cellStyle name="Millares 11 9 2 3" xfId="27970"/>
    <cellStyle name="Millares 11 9 2 3 2" xfId="27971"/>
    <cellStyle name="Millares 11 9 2 3 2 2" xfId="44663"/>
    <cellStyle name="Millares 11 9 2 3 3" xfId="44662"/>
    <cellStyle name="Millares 11 9 2 4" xfId="27972"/>
    <cellStyle name="Millares 11 9 2 4 2" xfId="44664"/>
    <cellStyle name="Millares 11 9 2 5" xfId="44659"/>
    <cellStyle name="Millares 11 9 3" xfId="27973"/>
    <cellStyle name="Millares 11 9 3 2" xfId="44665"/>
    <cellStyle name="Millares 11 9 4" xfId="27974"/>
    <cellStyle name="Millares 11 9 4 2" xfId="27975"/>
    <cellStyle name="Millares 11 9 4 2 2" xfId="44667"/>
    <cellStyle name="Millares 11 9 4 3" xfId="44666"/>
    <cellStyle name="Millares 11 9 5" xfId="27976"/>
    <cellStyle name="Millares 11 9 5 2" xfId="44668"/>
    <cellStyle name="Millares 11 9 6" xfId="44658"/>
    <cellStyle name="Millares 11 9 7" xfId="27966"/>
    <cellStyle name="Millares 11_Plan by Lob" xfId="27977"/>
    <cellStyle name="Millares 110" xfId="27978"/>
    <cellStyle name="Millares 110 2" xfId="27979"/>
    <cellStyle name="Millares 110 2 2" xfId="27980"/>
    <cellStyle name="Millares 110 2 2 2" xfId="27981"/>
    <cellStyle name="Millares 110 2 2 2 2" xfId="44672"/>
    <cellStyle name="Millares 110 2 2 3" xfId="44671"/>
    <cellStyle name="Millares 110 2 3" xfId="27982"/>
    <cellStyle name="Millares 110 2 3 2" xfId="44673"/>
    <cellStyle name="Millares 110 2 4" xfId="44670"/>
    <cellStyle name="Millares 110 3" xfId="27983"/>
    <cellStyle name="Millares 110 3 2" xfId="27984"/>
    <cellStyle name="Millares 110 3 2 2" xfId="27985"/>
    <cellStyle name="Millares 110 3 2 2 2" xfId="44676"/>
    <cellStyle name="Millares 110 3 2 3" xfId="44675"/>
    <cellStyle name="Millares 110 3 3" xfId="27986"/>
    <cellStyle name="Millares 110 3 3 2" xfId="44677"/>
    <cellStyle name="Millares 110 3 4" xfId="44674"/>
    <cellStyle name="Millares 110 4" xfId="27987"/>
    <cellStyle name="Millares 110 4 2" xfId="44678"/>
    <cellStyle name="Millares 110 5" xfId="27988"/>
    <cellStyle name="Millares 110 5 2" xfId="44679"/>
    <cellStyle name="Millares 110 6" xfId="44669"/>
    <cellStyle name="Millares 111" xfId="27989"/>
    <cellStyle name="Millares 111 2" xfId="27990"/>
    <cellStyle name="Millares 111 2 2" xfId="27991"/>
    <cellStyle name="Millares 111 2 2 2" xfId="27992"/>
    <cellStyle name="Millares 111 2 2 2 2" xfId="44683"/>
    <cellStyle name="Millares 111 2 2 3" xfId="44682"/>
    <cellStyle name="Millares 111 2 3" xfId="27993"/>
    <cellStyle name="Millares 111 2 3 2" xfId="44684"/>
    <cellStyle name="Millares 111 2 4" xfId="44681"/>
    <cellStyle name="Millares 111 3" xfId="27994"/>
    <cellStyle name="Millares 111 3 2" xfId="44685"/>
    <cellStyle name="Millares 111 4" xfId="27995"/>
    <cellStyle name="Millares 111 4 2" xfId="27996"/>
    <cellStyle name="Millares 111 4 2 2" xfId="27997"/>
    <cellStyle name="Millares 111 4 2 2 2" xfId="44688"/>
    <cellStyle name="Millares 111 4 2 3" xfId="44687"/>
    <cellStyle name="Millares 111 4 3" xfId="27998"/>
    <cellStyle name="Millares 111 4 3 2" xfId="44689"/>
    <cellStyle name="Millares 111 4 4" xfId="44686"/>
    <cellStyle name="Millares 111 5" xfId="27999"/>
    <cellStyle name="Millares 111 5 2" xfId="44690"/>
    <cellStyle name="Millares 111 6" xfId="28000"/>
    <cellStyle name="Millares 111 6 2" xfId="44691"/>
    <cellStyle name="Millares 111 7" xfId="44680"/>
    <cellStyle name="Millares 112" xfId="28001"/>
    <cellStyle name="Millares 112 2" xfId="28002"/>
    <cellStyle name="Millares 112 2 2" xfId="28003"/>
    <cellStyle name="Millares 112 2 2 2" xfId="28004"/>
    <cellStyle name="Millares 112 2 2 2 2" xfId="44695"/>
    <cellStyle name="Millares 112 2 2 3" xfId="44694"/>
    <cellStyle name="Millares 112 2 3" xfId="28005"/>
    <cellStyle name="Millares 112 2 3 2" xfId="44696"/>
    <cellStyle name="Millares 112 2 4" xfId="44693"/>
    <cellStyle name="Millares 112 3" xfId="28006"/>
    <cellStyle name="Millares 112 3 2" xfId="28007"/>
    <cellStyle name="Millares 112 3 2 2" xfId="28008"/>
    <cellStyle name="Millares 112 3 2 2 2" xfId="44699"/>
    <cellStyle name="Millares 112 3 2 3" xfId="44698"/>
    <cellStyle name="Millares 112 3 3" xfId="28009"/>
    <cellStyle name="Millares 112 3 3 2" xfId="44700"/>
    <cellStyle name="Millares 112 3 4" xfId="44697"/>
    <cellStyle name="Millares 112 4" xfId="28010"/>
    <cellStyle name="Millares 112 4 2" xfId="44701"/>
    <cellStyle name="Millares 112 5" xfId="28011"/>
    <cellStyle name="Millares 112 5 2" xfId="44702"/>
    <cellStyle name="Millares 112 6" xfId="44692"/>
    <cellStyle name="Millares 113" xfId="28012"/>
    <cellStyle name="Millares 113 2" xfId="28013"/>
    <cellStyle name="Millares 113 2 2" xfId="28014"/>
    <cellStyle name="Millares 113 2 2 2" xfId="28015"/>
    <cellStyle name="Millares 113 2 2 2 2" xfId="44706"/>
    <cellStyle name="Millares 113 2 2 3" xfId="44705"/>
    <cellStyle name="Millares 113 2 3" xfId="28016"/>
    <cellStyle name="Millares 113 2 3 2" xfId="44707"/>
    <cellStyle name="Millares 113 2 4" xfId="44704"/>
    <cellStyle name="Millares 113 3" xfId="28017"/>
    <cellStyle name="Millares 113 3 2" xfId="28018"/>
    <cellStyle name="Millares 113 3 2 2" xfId="28019"/>
    <cellStyle name="Millares 113 3 2 2 2" xfId="44710"/>
    <cellStyle name="Millares 113 3 2 3" xfId="44709"/>
    <cellStyle name="Millares 113 3 3" xfId="28020"/>
    <cellStyle name="Millares 113 3 3 2" xfId="44711"/>
    <cellStyle name="Millares 113 3 4" xfId="44708"/>
    <cellStyle name="Millares 113 4" xfId="28021"/>
    <cellStyle name="Millares 113 4 2" xfId="44712"/>
    <cellStyle name="Millares 113 5" xfId="28022"/>
    <cellStyle name="Millares 113 5 2" xfId="44713"/>
    <cellStyle name="Millares 113 6" xfId="44703"/>
    <cellStyle name="Millares 114" xfId="28023"/>
    <cellStyle name="Millares 114 2" xfId="28024"/>
    <cellStyle name="Millares 114 2 2" xfId="28025"/>
    <cellStyle name="Millares 114 2 2 2" xfId="28026"/>
    <cellStyle name="Millares 114 2 2 2 2" xfId="44717"/>
    <cellStyle name="Millares 114 2 2 3" xfId="44716"/>
    <cellStyle name="Millares 114 2 3" xfId="28027"/>
    <cellStyle name="Millares 114 2 3 2" xfId="44718"/>
    <cellStyle name="Millares 114 2 4" xfId="44715"/>
    <cellStyle name="Millares 114 3" xfId="28028"/>
    <cellStyle name="Millares 114 3 2" xfId="28029"/>
    <cellStyle name="Millares 114 3 2 2" xfId="28030"/>
    <cellStyle name="Millares 114 3 2 2 2" xfId="44721"/>
    <cellStyle name="Millares 114 3 2 3" xfId="44720"/>
    <cellStyle name="Millares 114 3 3" xfId="28031"/>
    <cellStyle name="Millares 114 3 3 2" xfId="44722"/>
    <cellStyle name="Millares 114 3 4" xfId="44719"/>
    <cellStyle name="Millares 114 4" xfId="28032"/>
    <cellStyle name="Millares 114 4 2" xfId="44723"/>
    <cellStyle name="Millares 114 5" xfId="28033"/>
    <cellStyle name="Millares 114 5 2" xfId="44724"/>
    <cellStyle name="Millares 114 6" xfId="44714"/>
    <cellStyle name="Millares 115" xfId="28034"/>
    <cellStyle name="Millares 115 2" xfId="28035"/>
    <cellStyle name="Millares 115 2 2" xfId="28036"/>
    <cellStyle name="Millares 115 2 2 2" xfId="28037"/>
    <cellStyle name="Millares 115 2 2 2 2" xfId="44728"/>
    <cellStyle name="Millares 115 2 2 3" xfId="44727"/>
    <cellStyle name="Millares 115 2 3" xfId="28038"/>
    <cellStyle name="Millares 115 2 3 2" xfId="44729"/>
    <cellStyle name="Millares 115 2 4" xfId="44726"/>
    <cellStyle name="Millares 115 3" xfId="28039"/>
    <cellStyle name="Millares 115 3 2" xfId="28040"/>
    <cellStyle name="Millares 115 3 2 2" xfId="28041"/>
    <cellStyle name="Millares 115 3 2 2 2" xfId="44732"/>
    <cellStyle name="Millares 115 3 2 3" xfId="44731"/>
    <cellStyle name="Millares 115 3 3" xfId="28042"/>
    <cellStyle name="Millares 115 3 3 2" xfId="44733"/>
    <cellStyle name="Millares 115 3 4" xfId="44730"/>
    <cellStyle name="Millares 115 4" xfId="28043"/>
    <cellStyle name="Millares 115 4 2" xfId="44734"/>
    <cellStyle name="Millares 115 5" xfId="28044"/>
    <cellStyle name="Millares 115 5 2" xfId="44735"/>
    <cellStyle name="Millares 115 6" xfId="44725"/>
    <cellStyle name="Millares 116" xfId="28045"/>
    <cellStyle name="Millares 116 2" xfId="28046"/>
    <cellStyle name="Millares 116 2 2" xfId="28047"/>
    <cellStyle name="Millares 116 2 2 2" xfId="28048"/>
    <cellStyle name="Millares 116 2 2 2 2" xfId="44739"/>
    <cellStyle name="Millares 116 2 2 3" xfId="44738"/>
    <cellStyle name="Millares 116 2 3" xfId="28049"/>
    <cellStyle name="Millares 116 2 3 2" xfId="44740"/>
    <cellStyle name="Millares 116 2 4" xfId="44737"/>
    <cellStyle name="Millares 116 3" xfId="28050"/>
    <cellStyle name="Millares 116 3 2" xfId="28051"/>
    <cellStyle name="Millares 116 3 2 2" xfId="28052"/>
    <cellStyle name="Millares 116 3 2 2 2" xfId="44743"/>
    <cellStyle name="Millares 116 3 2 3" xfId="44742"/>
    <cellStyle name="Millares 116 3 3" xfId="28053"/>
    <cellStyle name="Millares 116 3 3 2" xfId="44744"/>
    <cellStyle name="Millares 116 3 4" xfId="44741"/>
    <cellStyle name="Millares 116 4" xfId="28054"/>
    <cellStyle name="Millares 116 4 2" xfId="44745"/>
    <cellStyle name="Millares 116 5" xfId="28055"/>
    <cellStyle name="Millares 116 5 2" xfId="44746"/>
    <cellStyle name="Millares 116 6" xfId="44736"/>
    <cellStyle name="Millares 117" xfId="28056"/>
    <cellStyle name="Millares 117 2" xfId="28057"/>
    <cellStyle name="Millares 117 2 2" xfId="28058"/>
    <cellStyle name="Millares 117 2 2 2" xfId="28059"/>
    <cellStyle name="Millares 117 2 2 2 2" xfId="44750"/>
    <cellStyle name="Millares 117 2 2 3" xfId="44749"/>
    <cellStyle name="Millares 117 2 3" xfId="28060"/>
    <cellStyle name="Millares 117 2 3 2" xfId="44751"/>
    <cellStyle name="Millares 117 2 4" xfId="44748"/>
    <cellStyle name="Millares 117 3" xfId="28061"/>
    <cellStyle name="Millares 117 3 2" xfId="28062"/>
    <cellStyle name="Millares 117 3 2 2" xfId="28063"/>
    <cellStyle name="Millares 117 3 2 2 2" xfId="44754"/>
    <cellStyle name="Millares 117 3 2 3" xfId="44753"/>
    <cellStyle name="Millares 117 3 3" xfId="28064"/>
    <cellStyle name="Millares 117 3 3 2" xfId="44755"/>
    <cellStyle name="Millares 117 3 4" xfId="44752"/>
    <cellStyle name="Millares 117 4" xfId="28065"/>
    <cellStyle name="Millares 117 4 2" xfId="44756"/>
    <cellStyle name="Millares 117 5" xfId="28066"/>
    <cellStyle name="Millares 117 5 2" xfId="44757"/>
    <cellStyle name="Millares 117 6" xfId="44747"/>
    <cellStyle name="Millares 118" xfId="28067"/>
    <cellStyle name="Millares 118 2" xfId="28068"/>
    <cellStyle name="Millares 118 2 2" xfId="28069"/>
    <cellStyle name="Millares 118 2 2 2" xfId="28070"/>
    <cellStyle name="Millares 118 2 2 2 2" xfId="44761"/>
    <cellStyle name="Millares 118 2 2 3" xfId="44760"/>
    <cellStyle name="Millares 118 2 3" xfId="28071"/>
    <cellStyle name="Millares 118 2 3 2" xfId="44762"/>
    <cellStyle name="Millares 118 2 4" xfId="44759"/>
    <cellStyle name="Millares 118 3" xfId="28072"/>
    <cellStyle name="Millares 118 3 2" xfId="28073"/>
    <cellStyle name="Millares 118 3 2 2" xfId="28074"/>
    <cellStyle name="Millares 118 3 2 2 2" xfId="44765"/>
    <cellStyle name="Millares 118 3 2 3" xfId="44764"/>
    <cellStyle name="Millares 118 3 3" xfId="28075"/>
    <cellStyle name="Millares 118 3 3 2" xfId="44766"/>
    <cellStyle name="Millares 118 3 4" xfId="44763"/>
    <cellStyle name="Millares 118 4" xfId="28076"/>
    <cellStyle name="Millares 118 4 2" xfId="44767"/>
    <cellStyle name="Millares 118 5" xfId="28077"/>
    <cellStyle name="Millares 118 5 2" xfId="44768"/>
    <cellStyle name="Millares 118 6" xfId="44758"/>
    <cellStyle name="Millares 119" xfId="28078"/>
    <cellStyle name="Millares 119 2" xfId="28079"/>
    <cellStyle name="Millares 119 2 2" xfId="28080"/>
    <cellStyle name="Millares 119 2 2 2" xfId="28081"/>
    <cellStyle name="Millares 119 2 2 2 2" xfId="44772"/>
    <cellStyle name="Millares 119 2 2 3" xfId="44771"/>
    <cellStyle name="Millares 119 2 3" xfId="28082"/>
    <cellStyle name="Millares 119 2 3 2" xfId="44773"/>
    <cellStyle name="Millares 119 2 4" xfId="44770"/>
    <cellStyle name="Millares 119 3" xfId="28083"/>
    <cellStyle name="Millares 119 3 2" xfId="28084"/>
    <cellStyle name="Millares 119 3 2 2" xfId="28085"/>
    <cellStyle name="Millares 119 3 2 2 2" xfId="44776"/>
    <cellStyle name="Millares 119 3 2 3" xfId="44775"/>
    <cellStyle name="Millares 119 3 3" xfId="28086"/>
    <cellStyle name="Millares 119 3 3 2" xfId="44777"/>
    <cellStyle name="Millares 119 3 4" xfId="44774"/>
    <cellStyle name="Millares 119 4" xfId="28087"/>
    <cellStyle name="Millares 119 4 2" xfId="44778"/>
    <cellStyle name="Millares 119 5" xfId="28088"/>
    <cellStyle name="Millares 119 5 2" xfId="44779"/>
    <cellStyle name="Millares 119 6" xfId="44769"/>
    <cellStyle name="Millares 12" xfId="470"/>
    <cellStyle name="Millares 12 10" xfId="28090"/>
    <cellStyle name="Millares 12 10 2" xfId="28091"/>
    <cellStyle name="Millares 12 10 2 2" xfId="28092"/>
    <cellStyle name="Millares 12 10 2 2 2" xfId="44783"/>
    <cellStyle name="Millares 12 10 2 3" xfId="44782"/>
    <cellStyle name="Millares 12 10 3" xfId="44781"/>
    <cellStyle name="Millares 12 11" xfId="28093"/>
    <cellStyle name="Millares 12 11 2" xfId="28094"/>
    <cellStyle name="Millares 12 11 2 2" xfId="28095"/>
    <cellStyle name="Millares 12 11 2 2 2" xfId="44786"/>
    <cellStyle name="Millares 12 11 2 3" xfId="44785"/>
    <cellStyle name="Millares 12 11 3" xfId="28096"/>
    <cellStyle name="Millares 12 11 3 2" xfId="44787"/>
    <cellStyle name="Millares 12 11 4" xfId="44784"/>
    <cellStyle name="Millares 12 12" xfId="28097"/>
    <cellStyle name="Millares 12 12 2" xfId="28098"/>
    <cellStyle name="Millares 12 12 2 2" xfId="28099"/>
    <cellStyle name="Millares 12 12 2 2 2" xfId="44790"/>
    <cellStyle name="Millares 12 12 2 3" xfId="44789"/>
    <cellStyle name="Millares 12 12 3" xfId="28100"/>
    <cellStyle name="Millares 12 12 3 2" xfId="44791"/>
    <cellStyle name="Millares 12 12 4" xfId="44788"/>
    <cellStyle name="Millares 12 13" xfId="28101"/>
    <cellStyle name="Millares 12 13 2" xfId="28102"/>
    <cellStyle name="Millares 12 13 2 2" xfId="28103"/>
    <cellStyle name="Millares 12 13 2 2 2" xfId="44794"/>
    <cellStyle name="Millares 12 13 2 3" xfId="44793"/>
    <cellStyle name="Millares 12 13 3" xfId="28104"/>
    <cellStyle name="Millares 12 13 3 2" xfId="44795"/>
    <cellStyle name="Millares 12 13 4" xfId="44792"/>
    <cellStyle name="Millares 12 14" xfId="28105"/>
    <cellStyle name="Millares 12 14 2" xfId="28106"/>
    <cellStyle name="Millares 12 14 2 2" xfId="28107"/>
    <cellStyle name="Millares 12 14 2 2 2" xfId="44798"/>
    <cellStyle name="Millares 12 14 2 3" xfId="44797"/>
    <cellStyle name="Millares 12 14 3" xfId="28108"/>
    <cellStyle name="Millares 12 14 3 2" xfId="44799"/>
    <cellStyle name="Millares 12 14 4" xfId="44796"/>
    <cellStyle name="Millares 12 15" xfId="28109"/>
    <cellStyle name="Millares 12 15 2" xfId="28110"/>
    <cellStyle name="Millares 12 15 2 2" xfId="44801"/>
    <cellStyle name="Millares 12 15 3" xfId="44800"/>
    <cellStyle name="Millares 12 16" xfId="28111"/>
    <cellStyle name="Millares 12 16 2" xfId="28112"/>
    <cellStyle name="Millares 12 16 2 2" xfId="44803"/>
    <cellStyle name="Millares 12 16 3" xfId="44802"/>
    <cellStyle name="Millares 12 17" xfId="28113"/>
    <cellStyle name="Millares 12 17 2" xfId="44804"/>
    <cellStyle name="Millares 12 18" xfId="28114"/>
    <cellStyle name="Millares 12 18 2" xfId="44805"/>
    <cellStyle name="Millares 12 19" xfId="28115"/>
    <cellStyle name="Millares 12 2" xfId="471"/>
    <cellStyle name="Millares 12 2 10" xfId="28117"/>
    <cellStyle name="Millares 12 2 10 2" xfId="28118"/>
    <cellStyle name="Millares 12 2 10 2 2" xfId="28119"/>
    <cellStyle name="Millares 12 2 10 2 2 2" xfId="44809"/>
    <cellStyle name="Millares 12 2 10 2 3" xfId="44808"/>
    <cellStyle name="Millares 12 2 10 3" xfId="28120"/>
    <cellStyle name="Millares 12 2 10 3 2" xfId="44810"/>
    <cellStyle name="Millares 12 2 10 4" xfId="44807"/>
    <cellStyle name="Millares 12 2 11" xfId="28121"/>
    <cellStyle name="Millares 12 2 11 2" xfId="28122"/>
    <cellStyle name="Millares 12 2 11 2 2" xfId="28123"/>
    <cellStyle name="Millares 12 2 11 2 2 2" xfId="44813"/>
    <cellStyle name="Millares 12 2 11 2 3" xfId="44812"/>
    <cellStyle name="Millares 12 2 11 3" xfId="28124"/>
    <cellStyle name="Millares 12 2 11 3 2" xfId="44814"/>
    <cellStyle name="Millares 12 2 11 4" xfId="44811"/>
    <cellStyle name="Millares 12 2 12" xfId="28125"/>
    <cellStyle name="Millares 12 2 12 2" xfId="28126"/>
    <cellStyle name="Millares 12 2 12 2 2" xfId="28127"/>
    <cellStyle name="Millares 12 2 12 2 2 2" xfId="44817"/>
    <cellStyle name="Millares 12 2 12 2 3" xfId="44816"/>
    <cellStyle name="Millares 12 2 12 3" xfId="28128"/>
    <cellStyle name="Millares 12 2 12 3 2" xfId="44818"/>
    <cellStyle name="Millares 12 2 12 4" xfId="44815"/>
    <cellStyle name="Millares 12 2 13" xfId="28129"/>
    <cellStyle name="Millares 12 2 13 2" xfId="28130"/>
    <cellStyle name="Millares 12 2 13 2 2" xfId="44820"/>
    <cellStyle name="Millares 12 2 13 3" xfId="44819"/>
    <cellStyle name="Millares 12 2 14" xfId="28131"/>
    <cellStyle name="Millares 12 2 14 2" xfId="28132"/>
    <cellStyle name="Millares 12 2 14 2 2" xfId="44822"/>
    <cellStyle name="Millares 12 2 14 3" xfId="44821"/>
    <cellStyle name="Millares 12 2 15" xfId="28133"/>
    <cellStyle name="Millares 12 2 15 2" xfId="44823"/>
    <cellStyle name="Millares 12 2 16" xfId="28134"/>
    <cellStyle name="Millares 12 2 16 2" xfId="44824"/>
    <cellStyle name="Millares 12 2 17" xfId="28135"/>
    <cellStyle name="Millares 12 2 18" xfId="28116"/>
    <cellStyle name="Millares 12 2 19" xfId="44806"/>
    <cellStyle name="Millares 12 2 2" xfId="28136"/>
    <cellStyle name="Millares 12 2 2 10" xfId="28137"/>
    <cellStyle name="Millares 12 2 2 10 2" xfId="28138"/>
    <cellStyle name="Millares 12 2 2 10 2 2" xfId="28139"/>
    <cellStyle name="Millares 12 2 2 10 2 2 2" xfId="44828"/>
    <cellStyle name="Millares 12 2 2 10 2 3" xfId="44827"/>
    <cellStyle name="Millares 12 2 2 10 3" xfId="28140"/>
    <cellStyle name="Millares 12 2 2 10 3 2" xfId="44829"/>
    <cellStyle name="Millares 12 2 2 10 4" xfId="44826"/>
    <cellStyle name="Millares 12 2 2 11" xfId="28141"/>
    <cellStyle name="Millares 12 2 2 11 2" xfId="28142"/>
    <cellStyle name="Millares 12 2 2 11 2 2" xfId="44831"/>
    <cellStyle name="Millares 12 2 2 11 3" xfId="44830"/>
    <cellStyle name="Millares 12 2 2 12" xfId="28143"/>
    <cellStyle name="Millares 12 2 2 12 2" xfId="28144"/>
    <cellStyle name="Millares 12 2 2 12 2 2" xfId="44833"/>
    <cellStyle name="Millares 12 2 2 12 3" xfId="44832"/>
    <cellStyle name="Millares 12 2 2 13" xfId="28145"/>
    <cellStyle name="Millares 12 2 2 13 2" xfId="44834"/>
    <cellStyle name="Millares 12 2 2 14" xfId="28146"/>
    <cellStyle name="Millares 12 2 2 14 2" xfId="44835"/>
    <cellStyle name="Millares 12 2 2 15" xfId="44825"/>
    <cellStyle name="Millares 12 2 2 2" xfId="28147"/>
    <cellStyle name="Millares 12 2 2 2 2" xfId="28148"/>
    <cellStyle name="Millares 12 2 2 2 2 2" xfId="28149"/>
    <cellStyle name="Millares 12 2 2 2 2 2 2" xfId="28150"/>
    <cellStyle name="Millares 12 2 2 2 2 2 2 2" xfId="28151"/>
    <cellStyle name="Millares 12 2 2 2 2 2 2 2 2" xfId="28152"/>
    <cellStyle name="Millares 12 2 2 2 2 2 2 2 2 2" xfId="44841"/>
    <cellStyle name="Millares 12 2 2 2 2 2 2 2 3" xfId="44840"/>
    <cellStyle name="Millares 12 2 2 2 2 2 2 3" xfId="28153"/>
    <cellStyle name="Millares 12 2 2 2 2 2 2 3 2" xfId="28154"/>
    <cellStyle name="Millares 12 2 2 2 2 2 2 3 2 2" xfId="44843"/>
    <cellStyle name="Millares 12 2 2 2 2 2 2 3 3" xfId="44842"/>
    <cellStyle name="Millares 12 2 2 2 2 2 2 4" xfId="28155"/>
    <cellStyle name="Millares 12 2 2 2 2 2 2 4 2" xfId="44844"/>
    <cellStyle name="Millares 12 2 2 2 2 2 2 5" xfId="44839"/>
    <cellStyle name="Millares 12 2 2 2 2 2 3" xfId="28156"/>
    <cellStyle name="Millares 12 2 2 2 2 2 3 2" xfId="44845"/>
    <cellStyle name="Millares 12 2 2 2 2 2 4" xfId="28157"/>
    <cellStyle name="Millares 12 2 2 2 2 2 4 2" xfId="28158"/>
    <cellStyle name="Millares 12 2 2 2 2 2 4 2 2" xfId="44847"/>
    <cellStyle name="Millares 12 2 2 2 2 2 4 3" xfId="44846"/>
    <cellStyle name="Millares 12 2 2 2 2 2 5" xfId="28159"/>
    <cellStyle name="Millares 12 2 2 2 2 2 5 2" xfId="44848"/>
    <cellStyle name="Millares 12 2 2 2 2 2 6" xfId="44838"/>
    <cellStyle name="Millares 12 2 2 2 2 3" xfId="28160"/>
    <cellStyle name="Millares 12 2 2 2 2 3 2" xfId="28161"/>
    <cellStyle name="Millares 12 2 2 2 2 3 2 2" xfId="28162"/>
    <cellStyle name="Millares 12 2 2 2 2 3 2 2 2" xfId="44851"/>
    <cellStyle name="Millares 12 2 2 2 2 3 2 3" xfId="44850"/>
    <cellStyle name="Millares 12 2 2 2 2 3 3" xfId="28163"/>
    <cellStyle name="Millares 12 2 2 2 2 3 3 2" xfId="28164"/>
    <cellStyle name="Millares 12 2 2 2 2 3 3 2 2" xfId="44853"/>
    <cellStyle name="Millares 12 2 2 2 2 3 3 3" xfId="44852"/>
    <cellStyle name="Millares 12 2 2 2 2 3 4" xfId="28165"/>
    <cellStyle name="Millares 12 2 2 2 2 3 4 2" xfId="44854"/>
    <cellStyle name="Millares 12 2 2 2 2 3 5" xfId="44849"/>
    <cellStyle name="Millares 12 2 2 2 2 4" xfId="28166"/>
    <cellStyle name="Millares 12 2 2 2 2 4 2" xfId="44855"/>
    <cellStyle name="Millares 12 2 2 2 2 5" xfId="28167"/>
    <cellStyle name="Millares 12 2 2 2 2 5 2" xfId="28168"/>
    <cellStyle name="Millares 12 2 2 2 2 5 2 2" xfId="44857"/>
    <cellStyle name="Millares 12 2 2 2 2 5 3" xfId="44856"/>
    <cellStyle name="Millares 12 2 2 2 2 6" xfId="28169"/>
    <cellStyle name="Millares 12 2 2 2 2 6 2" xfId="44858"/>
    <cellStyle name="Millares 12 2 2 2 2 7" xfId="44837"/>
    <cellStyle name="Millares 12 2 2 2 3" xfId="28170"/>
    <cellStyle name="Millares 12 2 2 2 3 2" xfId="28171"/>
    <cellStyle name="Millares 12 2 2 2 3 2 2" xfId="28172"/>
    <cellStyle name="Millares 12 2 2 2 3 2 2 2" xfId="28173"/>
    <cellStyle name="Millares 12 2 2 2 3 2 2 2 2" xfId="44862"/>
    <cellStyle name="Millares 12 2 2 2 3 2 2 3" xfId="44861"/>
    <cellStyle name="Millares 12 2 2 2 3 2 3" xfId="28174"/>
    <cellStyle name="Millares 12 2 2 2 3 2 3 2" xfId="28175"/>
    <cellStyle name="Millares 12 2 2 2 3 2 3 2 2" xfId="44864"/>
    <cellStyle name="Millares 12 2 2 2 3 2 3 3" xfId="44863"/>
    <cellStyle name="Millares 12 2 2 2 3 2 4" xfId="28176"/>
    <cellStyle name="Millares 12 2 2 2 3 2 4 2" xfId="44865"/>
    <cellStyle name="Millares 12 2 2 2 3 2 5" xfId="44860"/>
    <cellStyle name="Millares 12 2 2 2 3 3" xfId="28177"/>
    <cellStyle name="Millares 12 2 2 2 3 3 2" xfId="44866"/>
    <cellStyle name="Millares 12 2 2 2 3 4" xfId="28178"/>
    <cellStyle name="Millares 12 2 2 2 3 4 2" xfId="28179"/>
    <cellStyle name="Millares 12 2 2 2 3 4 2 2" xfId="44868"/>
    <cellStyle name="Millares 12 2 2 2 3 4 3" xfId="44867"/>
    <cellStyle name="Millares 12 2 2 2 3 5" xfId="28180"/>
    <cellStyle name="Millares 12 2 2 2 3 5 2" xfId="44869"/>
    <cellStyle name="Millares 12 2 2 2 3 6" xfId="44859"/>
    <cellStyle name="Millares 12 2 2 2 4" xfId="28181"/>
    <cellStyle name="Millares 12 2 2 2 4 2" xfId="28182"/>
    <cellStyle name="Millares 12 2 2 2 4 2 2" xfId="28183"/>
    <cellStyle name="Millares 12 2 2 2 4 2 2 2" xfId="44872"/>
    <cellStyle name="Millares 12 2 2 2 4 2 3" xfId="44871"/>
    <cellStyle name="Millares 12 2 2 2 4 3" xfId="28184"/>
    <cellStyle name="Millares 12 2 2 2 4 3 2" xfId="28185"/>
    <cellStyle name="Millares 12 2 2 2 4 3 2 2" xfId="44874"/>
    <cellStyle name="Millares 12 2 2 2 4 3 3" xfId="44873"/>
    <cellStyle name="Millares 12 2 2 2 4 4" xfId="28186"/>
    <cellStyle name="Millares 12 2 2 2 4 4 2" xfId="44875"/>
    <cellStyle name="Millares 12 2 2 2 4 5" xfId="44870"/>
    <cellStyle name="Millares 12 2 2 2 5" xfId="28187"/>
    <cellStyle name="Millares 12 2 2 2 5 2" xfId="44876"/>
    <cellStyle name="Millares 12 2 2 2 6" xfId="28188"/>
    <cellStyle name="Millares 12 2 2 2 6 2" xfId="28189"/>
    <cellStyle name="Millares 12 2 2 2 6 2 2" xfId="44878"/>
    <cellStyle name="Millares 12 2 2 2 6 3" xfId="44877"/>
    <cellStyle name="Millares 12 2 2 2 7" xfId="28190"/>
    <cellStyle name="Millares 12 2 2 2 7 2" xfId="44879"/>
    <cellStyle name="Millares 12 2 2 2 8" xfId="44836"/>
    <cellStyle name="Millares 12 2 2 3" xfId="28191"/>
    <cellStyle name="Millares 12 2 2 3 2" xfId="28192"/>
    <cellStyle name="Millares 12 2 2 3 2 2" xfId="28193"/>
    <cellStyle name="Millares 12 2 2 3 2 2 2" xfId="28194"/>
    <cellStyle name="Millares 12 2 2 3 2 2 2 2" xfId="28195"/>
    <cellStyle name="Millares 12 2 2 3 2 2 2 2 2" xfId="28196"/>
    <cellStyle name="Millares 12 2 2 3 2 2 2 2 2 2" xfId="44885"/>
    <cellStyle name="Millares 12 2 2 3 2 2 2 2 3" xfId="44884"/>
    <cellStyle name="Millares 12 2 2 3 2 2 2 3" xfId="28197"/>
    <cellStyle name="Millares 12 2 2 3 2 2 2 3 2" xfId="28198"/>
    <cellStyle name="Millares 12 2 2 3 2 2 2 3 2 2" xfId="44887"/>
    <cellStyle name="Millares 12 2 2 3 2 2 2 3 3" xfId="44886"/>
    <cellStyle name="Millares 12 2 2 3 2 2 2 4" xfId="28199"/>
    <cellStyle name="Millares 12 2 2 3 2 2 2 4 2" xfId="44888"/>
    <cellStyle name="Millares 12 2 2 3 2 2 2 5" xfId="44883"/>
    <cellStyle name="Millares 12 2 2 3 2 2 3" xfId="28200"/>
    <cellStyle name="Millares 12 2 2 3 2 2 3 2" xfId="44889"/>
    <cellStyle name="Millares 12 2 2 3 2 2 4" xfId="28201"/>
    <cellStyle name="Millares 12 2 2 3 2 2 4 2" xfId="28202"/>
    <cellStyle name="Millares 12 2 2 3 2 2 4 2 2" xfId="44891"/>
    <cellStyle name="Millares 12 2 2 3 2 2 4 3" xfId="44890"/>
    <cellStyle name="Millares 12 2 2 3 2 2 5" xfId="28203"/>
    <cellStyle name="Millares 12 2 2 3 2 2 5 2" xfId="44892"/>
    <cellStyle name="Millares 12 2 2 3 2 2 6" xfId="44882"/>
    <cellStyle name="Millares 12 2 2 3 2 3" xfId="28204"/>
    <cellStyle name="Millares 12 2 2 3 2 3 2" xfId="28205"/>
    <cellStyle name="Millares 12 2 2 3 2 3 2 2" xfId="28206"/>
    <cellStyle name="Millares 12 2 2 3 2 3 2 2 2" xfId="44895"/>
    <cellStyle name="Millares 12 2 2 3 2 3 2 3" xfId="44894"/>
    <cellStyle name="Millares 12 2 2 3 2 3 3" xfId="28207"/>
    <cellStyle name="Millares 12 2 2 3 2 3 3 2" xfId="28208"/>
    <cellStyle name="Millares 12 2 2 3 2 3 3 2 2" xfId="44897"/>
    <cellStyle name="Millares 12 2 2 3 2 3 3 3" xfId="44896"/>
    <cellStyle name="Millares 12 2 2 3 2 3 4" xfId="28209"/>
    <cellStyle name="Millares 12 2 2 3 2 3 4 2" xfId="44898"/>
    <cellStyle name="Millares 12 2 2 3 2 3 5" xfId="44893"/>
    <cellStyle name="Millares 12 2 2 3 2 4" xfId="28210"/>
    <cellStyle name="Millares 12 2 2 3 2 4 2" xfId="44899"/>
    <cellStyle name="Millares 12 2 2 3 2 5" xfId="28211"/>
    <cellStyle name="Millares 12 2 2 3 2 5 2" xfId="28212"/>
    <cellStyle name="Millares 12 2 2 3 2 5 2 2" xfId="44901"/>
    <cellStyle name="Millares 12 2 2 3 2 5 3" xfId="44900"/>
    <cellStyle name="Millares 12 2 2 3 2 6" xfId="28213"/>
    <cellStyle name="Millares 12 2 2 3 2 6 2" xfId="44902"/>
    <cellStyle name="Millares 12 2 2 3 2 7" xfId="44881"/>
    <cellStyle name="Millares 12 2 2 3 3" xfId="28214"/>
    <cellStyle name="Millares 12 2 2 3 3 2" xfId="28215"/>
    <cellStyle name="Millares 12 2 2 3 3 2 2" xfId="28216"/>
    <cellStyle name="Millares 12 2 2 3 3 2 2 2" xfId="28217"/>
    <cellStyle name="Millares 12 2 2 3 3 2 2 2 2" xfId="44906"/>
    <cellStyle name="Millares 12 2 2 3 3 2 2 3" xfId="44905"/>
    <cellStyle name="Millares 12 2 2 3 3 2 3" xfId="28218"/>
    <cellStyle name="Millares 12 2 2 3 3 2 3 2" xfId="28219"/>
    <cellStyle name="Millares 12 2 2 3 3 2 3 2 2" xfId="44908"/>
    <cellStyle name="Millares 12 2 2 3 3 2 3 3" xfId="44907"/>
    <cellStyle name="Millares 12 2 2 3 3 2 4" xfId="28220"/>
    <cellStyle name="Millares 12 2 2 3 3 2 4 2" xfId="44909"/>
    <cellStyle name="Millares 12 2 2 3 3 2 5" xfId="44904"/>
    <cellStyle name="Millares 12 2 2 3 3 3" xfId="28221"/>
    <cellStyle name="Millares 12 2 2 3 3 3 2" xfId="44910"/>
    <cellStyle name="Millares 12 2 2 3 3 4" xfId="28222"/>
    <cellStyle name="Millares 12 2 2 3 3 4 2" xfId="28223"/>
    <cellStyle name="Millares 12 2 2 3 3 4 2 2" xfId="44912"/>
    <cellStyle name="Millares 12 2 2 3 3 4 3" xfId="44911"/>
    <cellStyle name="Millares 12 2 2 3 3 5" xfId="28224"/>
    <cellStyle name="Millares 12 2 2 3 3 5 2" xfId="44913"/>
    <cellStyle name="Millares 12 2 2 3 3 6" xfId="44903"/>
    <cellStyle name="Millares 12 2 2 3 4" xfId="28225"/>
    <cellStyle name="Millares 12 2 2 3 4 2" xfId="28226"/>
    <cellStyle name="Millares 12 2 2 3 4 2 2" xfId="28227"/>
    <cellStyle name="Millares 12 2 2 3 4 2 2 2" xfId="44916"/>
    <cellStyle name="Millares 12 2 2 3 4 2 3" xfId="44915"/>
    <cellStyle name="Millares 12 2 2 3 4 3" xfId="28228"/>
    <cellStyle name="Millares 12 2 2 3 4 3 2" xfId="28229"/>
    <cellStyle name="Millares 12 2 2 3 4 3 2 2" xfId="44918"/>
    <cellStyle name="Millares 12 2 2 3 4 3 3" xfId="44917"/>
    <cellStyle name="Millares 12 2 2 3 4 4" xfId="28230"/>
    <cellStyle name="Millares 12 2 2 3 4 4 2" xfId="44919"/>
    <cellStyle name="Millares 12 2 2 3 4 5" xfId="44914"/>
    <cellStyle name="Millares 12 2 2 3 5" xfId="28231"/>
    <cellStyle name="Millares 12 2 2 3 5 2" xfId="44920"/>
    <cellStyle name="Millares 12 2 2 3 6" xfId="28232"/>
    <cellStyle name="Millares 12 2 2 3 6 2" xfId="28233"/>
    <cellStyle name="Millares 12 2 2 3 6 2 2" xfId="44922"/>
    <cellStyle name="Millares 12 2 2 3 6 3" xfId="44921"/>
    <cellStyle name="Millares 12 2 2 3 7" xfId="28234"/>
    <cellStyle name="Millares 12 2 2 3 7 2" xfId="44923"/>
    <cellStyle name="Millares 12 2 2 3 8" xfId="44880"/>
    <cellStyle name="Millares 12 2 2 4" xfId="28235"/>
    <cellStyle name="Millares 12 2 2 4 2" xfId="44924"/>
    <cellStyle name="Millares 12 2 2 5" xfId="28236"/>
    <cellStyle name="Millares 12 2 2 5 2" xfId="28237"/>
    <cellStyle name="Millares 12 2 2 5 2 2" xfId="28238"/>
    <cellStyle name="Millares 12 2 2 5 2 2 2" xfId="28239"/>
    <cellStyle name="Millares 12 2 2 5 2 2 2 2" xfId="28240"/>
    <cellStyle name="Millares 12 2 2 5 2 2 2 2 2" xfId="44929"/>
    <cellStyle name="Millares 12 2 2 5 2 2 2 3" xfId="44928"/>
    <cellStyle name="Millares 12 2 2 5 2 2 3" xfId="28241"/>
    <cellStyle name="Millares 12 2 2 5 2 2 3 2" xfId="28242"/>
    <cellStyle name="Millares 12 2 2 5 2 2 3 2 2" xfId="44931"/>
    <cellStyle name="Millares 12 2 2 5 2 2 3 3" xfId="44930"/>
    <cellStyle name="Millares 12 2 2 5 2 2 4" xfId="28243"/>
    <cellStyle name="Millares 12 2 2 5 2 2 4 2" xfId="44932"/>
    <cellStyle name="Millares 12 2 2 5 2 2 5" xfId="44927"/>
    <cellStyle name="Millares 12 2 2 5 2 3" xfId="28244"/>
    <cellStyle name="Millares 12 2 2 5 2 3 2" xfId="44933"/>
    <cellStyle name="Millares 12 2 2 5 2 4" xfId="28245"/>
    <cellStyle name="Millares 12 2 2 5 2 4 2" xfId="28246"/>
    <cellStyle name="Millares 12 2 2 5 2 4 2 2" xfId="44935"/>
    <cellStyle name="Millares 12 2 2 5 2 4 3" xfId="44934"/>
    <cellStyle name="Millares 12 2 2 5 2 5" xfId="28247"/>
    <cellStyle name="Millares 12 2 2 5 2 5 2" xfId="44936"/>
    <cellStyle name="Millares 12 2 2 5 2 6" xfId="44926"/>
    <cellStyle name="Millares 12 2 2 5 3" xfId="28248"/>
    <cellStyle name="Millares 12 2 2 5 3 2" xfId="28249"/>
    <cellStyle name="Millares 12 2 2 5 3 2 2" xfId="28250"/>
    <cellStyle name="Millares 12 2 2 5 3 2 2 2" xfId="44939"/>
    <cellStyle name="Millares 12 2 2 5 3 2 3" xfId="44938"/>
    <cellStyle name="Millares 12 2 2 5 3 3" xfId="28251"/>
    <cellStyle name="Millares 12 2 2 5 3 3 2" xfId="28252"/>
    <cellStyle name="Millares 12 2 2 5 3 3 2 2" xfId="44941"/>
    <cellStyle name="Millares 12 2 2 5 3 3 3" xfId="44940"/>
    <cellStyle name="Millares 12 2 2 5 3 4" xfId="28253"/>
    <cellStyle name="Millares 12 2 2 5 3 4 2" xfId="44942"/>
    <cellStyle name="Millares 12 2 2 5 3 5" xfId="44937"/>
    <cellStyle name="Millares 12 2 2 5 4" xfId="28254"/>
    <cellStyle name="Millares 12 2 2 5 4 2" xfId="44943"/>
    <cellStyle name="Millares 12 2 2 5 5" xfId="28255"/>
    <cellStyle name="Millares 12 2 2 5 5 2" xfId="28256"/>
    <cellStyle name="Millares 12 2 2 5 5 2 2" xfId="44945"/>
    <cellStyle name="Millares 12 2 2 5 5 3" xfId="44944"/>
    <cellStyle name="Millares 12 2 2 5 6" xfId="28257"/>
    <cellStyle name="Millares 12 2 2 5 6 2" xfId="44946"/>
    <cellStyle name="Millares 12 2 2 5 7" xfId="44925"/>
    <cellStyle name="Millares 12 2 2 6" xfId="28258"/>
    <cellStyle name="Millares 12 2 2 6 2" xfId="28259"/>
    <cellStyle name="Millares 12 2 2 6 2 2" xfId="28260"/>
    <cellStyle name="Millares 12 2 2 6 2 2 2" xfId="28261"/>
    <cellStyle name="Millares 12 2 2 6 2 2 2 2" xfId="44950"/>
    <cellStyle name="Millares 12 2 2 6 2 2 3" xfId="44949"/>
    <cellStyle name="Millares 12 2 2 6 2 3" xfId="28262"/>
    <cellStyle name="Millares 12 2 2 6 2 3 2" xfId="28263"/>
    <cellStyle name="Millares 12 2 2 6 2 3 2 2" xfId="44952"/>
    <cellStyle name="Millares 12 2 2 6 2 3 3" xfId="44951"/>
    <cellStyle name="Millares 12 2 2 6 2 4" xfId="28264"/>
    <cellStyle name="Millares 12 2 2 6 2 4 2" xfId="44953"/>
    <cellStyle name="Millares 12 2 2 6 2 5" xfId="44948"/>
    <cellStyle name="Millares 12 2 2 6 3" xfId="28265"/>
    <cellStyle name="Millares 12 2 2 6 3 2" xfId="44954"/>
    <cellStyle name="Millares 12 2 2 6 4" xfId="28266"/>
    <cellStyle name="Millares 12 2 2 6 4 2" xfId="28267"/>
    <cellStyle name="Millares 12 2 2 6 4 2 2" xfId="44956"/>
    <cellStyle name="Millares 12 2 2 6 4 3" xfId="44955"/>
    <cellStyle name="Millares 12 2 2 6 5" xfId="28268"/>
    <cellStyle name="Millares 12 2 2 6 5 2" xfId="44957"/>
    <cellStyle name="Millares 12 2 2 6 6" xfId="44947"/>
    <cellStyle name="Millares 12 2 2 7" xfId="28269"/>
    <cellStyle name="Millares 12 2 2 7 2" xfId="28270"/>
    <cellStyle name="Millares 12 2 2 7 2 2" xfId="28271"/>
    <cellStyle name="Millares 12 2 2 7 2 2 2" xfId="44960"/>
    <cellStyle name="Millares 12 2 2 7 2 3" xfId="44959"/>
    <cellStyle name="Millares 12 2 2 7 3" xfId="28272"/>
    <cellStyle name="Millares 12 2 2 7 3 2" xfId="28273"/>
    <cellStyle name="Millares 12 2 2 7 3 2 2" xfId="44962"/>
    <cellStyle name="Millares 12 2 2 7 3 3" xfId="44961"/>
    <cellStyle name="Millares 12 2 2 7 4" xfId="28274"/>
    <cellStyle name="Millares 12 2 2 7 4 2" xfId="44963"/>
    <cellStyle name="Millares 12 2 2 7 5" xfId="44958"/>
    <cellStyle name="Millares 12 2 2 8" xfId="28275"/>
    <cellStyle name="Millares 12 2 2 8 2" xfId="28276"/>
    <cellStyle name="Millares 12 2 2 8 2 2" xfId="28277"/>
    <cellStyle name="Millares 12 2 2 8 2 2 2" xfId="44966"/>
    <cellStyle name="Millares 12 2 2 8 2 3" xfId="44965"/>
    <cellStyle name="Millares 12 2 2 8 3" xfId="28278"/>
    <cellStyle name="Millares 12 2 2 8 3 2" xfId="44967"/>
    <cellStyle name="Millares 12 2 2 8 4" xfId="44964"/>
    <cellStyle name="Millares 12 2 2 9" xfId="28279"/>
    <cellStyle name="Millares 12 2 2 9 2" xfId="28280"/>
    <cellStyle name="Millares 12 2 2 9 2 2" xfId="28281"/>
    <cellStyle name="Millares 12 2 2 9 2 2 2" xfId="44970"/>
    <cellStyle name="Millares 12 2 2 9 2 3" xfId="44969"/>
    <cellStyle name="Millares 12 2 2 9 3" xfId="28282"/>
    <cellStyle name="Millares 12 2 2 9 3 2" xfId="44971"/>
    <cellStyle name="Millares 12 2 2 9 4" xfId="44968"/>
    <cellStyle name="Millares 12 2 20" xfId="52108"/>
    <cellStyle name="Millares 12 2 21" xfId="19988"/>
    <cellStyle name="Millares 12 2 3" xfId="28283"/>
    <cellStyle name="Millares 12 2 3 2" xfId="28284"/>
    <cellStyle name="Millares 12 2 3 2 2" xfId="28285"/>
    <cellStyle name="Millares 12 2 3 2 2 2" xfId="28286"/>
    <cellStyle name="Millares 12 2 3 2 2 2 2" xfId="28287"/>
    <cellStyle name="Millares 12 2 3 2 2 2 2 2" xfId="28288"/>
    <cellStyle name="Millares 12 2 3 2 2 2 2 2 2" xfId="44977"/>
    <cellStyle name="Millares 12 2 3 2 2 2 2 3" xfId="44976"/>
    <cellStyle name="Millares 12 2 3 2 2 2 3" xfId="28289"/>
    <cellStyle name="Millares 12 2 3 2 2 2 3 2" xfId="28290"/>
    <cellStyle name="Millares 12 2 3 2 2 2 3 2 2" xfId="44979"/>
    <cellStyle name="Millares 12 2 3 2 2 2 3 3" xfId="44978"/>
    <cellStyle name="Millares 12 2 3 2 2 2 4" xfId="28291"/>
    <cellStyle name="Millares 12 2 3 2 2 2 4 2" xfId="44980"/>
    <cellStyle name="Millares 12 2 3 2 2 2 5" xfId="44975"/>
    <cellStyle name="Millares 12 2 3 2 2 3" xfId="28292"/>
    <cellStyle name="Millares 12 2 3 2 2 3 2" xfId="44981"/>
    <cellStyle name="Millares 12 2 3 2 2 4" xfId="28293"/>
    <cellStyle name="Millares 12 2 3 2 2 4 2" xfId="28294"/>
    <cellStyle name="Millares 12 2 3 2 2 4 2 2" xfId="44983"/>
    <cellStyle name="Millares 12 2 3 2 2 4 3" xfId="44982"/>
    <cellStyle name="Millares 12 2 3 2 2 5" xfId="28295"/>
    <cellStyle name="Millares 12 2 3 2 2 5 2" xfId="44984"/>
    <cellStyle name="Millares 12 2 3 2 2 6" xfId="44974"/>
    <cellStyle name="Millares 12 2 3 2 3" xfId="28296"/>
    <cellStyle name="Millares 12 2 3 2 3 2" xfId="28297"/>
    <cellStyle name="Millares 12 2 3 2 3 2 2" xfId="28298"/>
    <cellStyle name="Millares 12 2 3 2 3 2 2 2" xfId="44987"/>
    <cellStyle name="Millares 12 2 3 2 3 2 3" xfId="44986"/>
    <cellStyle name="Millares 12 2 3 2 3 3" xfId="28299"/>
    <cellStyle name="Millares 12 2 3 2 3 3 2" xfId="28300"/>
    <cellStyle name="Millares 12 2 3 2 3 3 2 2" xfId="44989"/>
    <cellStyle name="Millares 12 2 3 2 3 3 3" xfId="44988"/>
    <cellStyle name="Millares 12 2 3 2 3 4" xfId="28301"/>
    <cellStyle name="Millares 12 2 3 2 3 4 2" xfId="44990"/>
    <cellStyle name="Millares 12 2 3 2 3 5" xfId="44985"/>
    <cellStyle name="Millares 12 2 3 2 4" xfId="28302"/>
    <cellStyle name="Millares 12 2 3 2 4 2" xfId="44991"/>
    <cellStyle name="Millares 12 2 3 2 5" xfId="28303"/>
    <cellStyle name="Millares 12 2 3 2 5 2" xfId="28304"/>
    <cellStyle name="Millares 12 2 3 2 5 2 2" xfId="44993"/>
    <cellStyle name="Millares 12 2 3 2 5 3" xfId="44992"/>
    <cellStyle name="Millares 12 2 3 2 6" xfId="28305"/>
    <cellStyle name="Millares 12 2 3 2 6 2" xfId="44994"/>
    <cellStyle name="Millares 12 2 3 2 7" xfId="44973"/>
    <cellStyle name="Millares 12 2 3 3" xfId="28306"/>
    <cellStyle name="Millares 12 2 3 3 2" xfId="28307"/>
    <cellStyle name="Millares 12 2 3 3 2 2" xfId="28308"/>
    <cellStyle name="Millares 12 2 3 3 2 2 2" xfId="28309"/>
    <cellStyle name="Millares 12 2 3 3 2 2 2 2" xfId="44998"/>
    <cellStyle name="Millares 12 2 3 3 2 2 3" xfId="44997"/>
    <cellStyle name="Millares 12 2 3 3 2 3" xfId="28310"/>
    <cellStyle name="Millares 12 2 3 3 2 3 2" xfId="28311"/>
    <cellStyle name="Millares 12 2 3 3 2 3 2 2" xfId="45000"/>
    <cellStyle name="Millares 12 2 3 3 2 3 3" xfId="44999"/>
    <cellStyle name="Millares 12 2 3 3 2 4" xfId="28312"/>
    <cellStyle name="Millares 12 2 3 3 2 4 2" xfId="45001"/>
    <cellStyle name="Millares 12 2 3 3 2 5" xfId="44996"/>
    <cellStyle name="Millares 12 2 3 3 3" xfId="28313"/>
    <cellStyle name="Millares 12 2 3 3 3 2" xfId="45002"/>
    <cellStyle name="Millares 12 2 3 3 4" xfId="28314"/>
    <cellStyle name="Millares 12 2 3 3 4 2" xfId="28315"/>
    <cellStyle name="Millares 12 2 3 3 4 2 2" xfId="45004"/>
    <cellStyle name="Millares 12 2 3 3 4 3" xfId="45003"/>
    <cellStyle name="Millares 12 2 3 3 5" xfId="28316"/>
    <cellStyle name="Millares 12 2 3 3 5 2" xfId="45005"/>
    <cellStyle name="Millares 12 2 3 3 6" xfId="44995"/>
    <cellStyle name="Millares 12 2 3 4" xfId="28317"/>
    <cellStyle name="Millares 12 2 3 4 2" xfId="28318"/>
    <cellStyle name="Millares 12 2 3 4 2 2" xfId="28319"/>
    <cellStyle name="Millares 12 2 3 4 2 2 2" xfId="45008"/>
    <cellStyle name="Millares 12 2 3 4 2 3" xfId="45007"/>
    <cellStyle name="Millares 12 2 3 4 3" xfId="28320"/>
    <cellStyle name="Millares 12 2 3 4 3 2" xfId="28321"/>
    <cellStyle name="Millares 12 2 3 4 3 2 2" xfId="45010"/>
    <cellStyle name="Millares 12 2 3 4 3 3" xfId="45009"/>
    <cellStyle name="Millares 12 2 3 4 4" xfId="28322"/>
    <cellStyle name="Millares 12 2 3 4 4 2" xfId="45011"/>
    <cellStyle name="Millares 12 2 3 4 5" xfId="45006"/>
    <cellStyle name="Millares 12 2 3 5" xfId="28323"/>
    <cellStyle name="Millares 12 2 3 5 2" xfId="45012"/>
    <cellStyle name="Millares 12 2 3 6" xfId="28324"/>
    <cellStyle name="Millares 12 2 3 6 2" xfId="28325"/>
    <cellStyle name="Millares 12 2 3 6 2 2" xfId="45014"/>
    <cellStyle name="Millares 12 2 3 6 3" xfId="45013"/>
    <cellStyle name="Millares 12 2 3 7" xfId="28326"/>
    <cellStyle name="Millares 12 2 3 7 2" xfId="45015"/>
    <cellStyle name="Millares 12 2 3 8" xfId="44972"/>
    <cellStyle name="Millares 12 2 4" xfId="28327"/>
    <cellStyle name="Millares 12 2 4 2" xfId="28328"/>
    <cellStyle name="Millares 12 2 4 2 2" xfId="28329"/>
    <cellStyle name="Millares 12 2 4 2 2 2" xfId="28330"/>
    <cellStyle name="Millares 12 2 4 2 2 2 2" xfId="28331"/>
    <cellStyle name="Millares 12 2 4 2 2 2 2 2" xfId="28332"/>
    <cellStyle name="Millares 12 2 4 2 2 2 2 2 2" xfId="45021"/>
    <cellStyle name="Millares 12 2 4 2 2 2 2 3" xfId="45020"/>
    <cellStyle name="Millares 12 2 4 2 2 2 3" xfId="28333"/>
    <cellStyle name="Millares 12 2 4 2 2 2 3 2" xfId="28334"/>
    <cellStyle name="Millares 12 2 4 2 2 2 3 2 2" xfId="45023"/>
    <cellStyle name="Millares 12 2 4 2 2 2 3 3" xfId="45022"/>
    <cellStyle name="Millares 12 2 4 2 2 2 4" xfId="28335"/>
    <cellStyle name="Millares 12 2 4 2 2 2 4 2" xfId="45024"/>
    <cellStyle name="Millares 12 2 4 2 2 2 5" xfId="45019"/>
    <cellStyle name="Millares 12 2 4 2 2 3" xfId="28336"/>
    <cellStyle name="Millares 12 2 4 2 2 3 2" xfId="45025"/>
    <cellStyle name="Millares 12 2 4 2 2 4" xfId="28337"/>
    <cellStyle name="Millares 12 2 4 2 2 4 2" xfId="28338"/>
    <cellStyle name="Millares 12 2 4 2 2 4 2 2" xfId="45027"/>
    <cellStyle name="Millares 12 2 4 2 2 4 3" xfId="45026"/>
    <cellStyle name="Millares 12 2 4 2 2 5" xfId="28339"/>
    <cellStyle name="Millares 12 2 4 2 2 5 2" xfId="45028"/>
    <cellStyle name="Millares 12 2 4 2 2 6" xfId="45018"/>
    <cellStyle name="Millares 12 2 4 2 3" xfId="28340"/>
    <cellStyle name="Millares 12 2 4 2 3 2" xfId="28341"/>
    <cellStyle name="Millares 12 2 4 2 3 2 2" xfId="28342"/>
    <cellStyle name="Millares 12 2 4 2 3 2 2 2" xfId="45031"/>
    <cellStyle name="Millares 12 2 4 2 3 2 3" xfId="45030"/>
    <cellStyle name="Millares 12 2 4 2 3 3" xfId="28343"/>
    <cellStyle name="Millares 12 2 4 2 3 3 2" xfId="28344"/>
    <cellStyle name="Millares 12 2 4 2 3 3 2 2" xfId="45033"/>
    <cellStyle name="Millares 12 2 4 2 3 3 3" xfId="45032"/>
    <cellStyle name="Millares 12 2 4 2 3 4" xfId="28345"/>
    <cellStyle name="Millares 12 2 4 2 3 4 2" xfId="45034"/>
    <cellStyle name="Millares 12 2 4 2 3 5" xfId="45029"/>
    <cellStyle name="Millares 12 2 4 2 4" xfId="28346"/>
    <cellStyle name="Millares 12 2 4 2 4 2" xfId="45035"/>
    <cellStyle name="Millares 12 2 4 2 5" xfId="28347"/>
    <cellStyle name="Millares 12 2 4 2 5 2" xfId="28348"/>
    <cellStyle name="Millares 12 2 4 2 5 2 2" xfId="45037"/>
    <cellStyle name="Millares 12 2 4 2 5 3" xfId="45036"/>
    <cellStyle name="Millares 12 2 4 2 6" xfId="28349"/>
    <cellStyle name="Millares 12 2 4 2 6 2" xfId="45038"/>
    <cellStyle name="Millares 12 2 4 2 7" xfId="45017"/>
    <cellStyle name="Millares 12 2 4 3" xfId="28350"/>
    <cellStyle name="Millares 12 2 4 3 2" xfId="28351"/>
    <cellStyle name="Millares 12 2 4 3 2 2" xfId="28352"/>
    <cellStyle name="Millares 12 2 4 3 2 2 2" xfId="28353"/>
    <cellStyle name="Millares 12 2 4 3 2 2 2 2" xfId="45042"/>
    <cellStyle name="Millares 12 2 4 3 2 2 3" xfId="45041"/>
    <cellStyle name="Millares 12 2 4 3 2 3" xfId="28354"/>
    <cellStyle name="Millares 12 2 4 3 2 3 2" xfId="28355"/>
    <cellStyle name="Millares 12 2 4 3 2 3 2 2" xfId="45044"/>
    <cellStyle name="Millares 12 2 4 3 2 3 3" xfId="45043"/>
    <cellStyle name="Millares 12 2 4 3 2 4" xfId="28356"/>
    <cellStyle name="Millares 12 2 4 3 2 4 2" xfId="45045"/>
    <cellStyle name="Millares 12 2 4 3 2 5" xfId="45040"/>
    <cellStyle name="Millares 12 2 4 3 3" xfId="28357"/>
    <cellStyle name="Millares 12 2 4 3 3 2" xfId="45046"/>
    <cellStyle name="Millares 12 2 4 3 4" xfId="28358"/>
    <cellStyle name="Millares 12 2 4 3 4 2" xfId="28359"/>
    <cellStyle name="Millares 12 2 4 3 4 2 2" xfId="45048"/>
    <cellStyle name="Millares 12 2 4 3 4 3" xfId="45047"/>
    <cellStyle name="Millares 12 2 4 3 5" xfId="28360"/>
    <cellStyle name="Millares 12 2 4 3 5 2" xfId="45049"/>
    <cellStyle name="Millares 12 2 4 3 6" xfId="45039"/>
    <cellStyle name="Millares 12 2 4 4" xfId="28361"/>
    <cellStyle name="Millares 12 2 4 4 2" xfId="28362"/>
    <cellStyle name="Millares 12 2 4 4 2 2" xfId="28363"/>
    <cellStyle name="Millares 12 2 4 4 2 2 2" xfId="45052"/>
    <cellStyle name="Millares 12 2 4 4 2 3" xfId="45051"/>
    <cellStyle name="Millares 12 2 4 4 3" xfId="28364"/>
    <cellStyle name="Millares 12 2 4 4 3 2" xfId="28365"/>
    <cellStyle name="Millares 12 2 4 4 3 2 2" xfId="45054"/>
    <cellStyle name="Millares 12 2 4 4 3 3" xfId="45053"/>
    <cellStyle name="Millares 12 2 4 4 4" xfId="28366"/>
    <cellStyle name="Millares 12 2 4 4 4 2" xfId="45055"/>
    <cellStyle name="Millares 12 2 4 4 5" xfId="45050"/>
    <cellStyle name="Millares 12 2 4 5" xfId="28367"/>
    <cellStyle name="Millares 12 2 4 5 2" xfId="45056"/>
    <cellStyle name="Millares 12 2 4 6" xfId="28368"/>
    <cellStyle name="Millares 12 2 4 6 2" xfId="28369"/>
    <cellStyle name="Millares 12 2 4 6 2 2" xfId="45058"/>
    <cellStyle name="Millares 12 2 4 6 3" xfId="45057"/>
    <cellStyle name="Millares 12 2 4 7" xfId="28370"/>
    <cellStyle name="Millares 12 2 4 7 2" xfId="45059"/>
    <cellStyle name="Millares 12 2 4 8" xfId="45016"/>
    <cellStyle name="Millares 12 2 5" xfId="28371"/>
    <cellStyle name="Millares 12 2 5 2" xfId="45060"/>
    <cellStyle name="Millares 12 2 6" xfId="28372"/>
    <cellStyle name="Millares 12 2 6 2" xfId="28373"/>
    <cellStyle name="Millares 12 2 6 2 2" xfId="28374"/>
    <cellStyle name="Millares 12 2 6 2 2 2" xfId="28375"/>
    <cellStyle name="Millares 12 2 6 2 2 2 2" xfId="28376"/>
    <cellStyle name="Millares 12 2 6 2 2 2 2 2" xfId="45065"/>
    <cellStyle name="Millares 12 2 6 2 2 2 3" xfId="45064"/>
    <cellStyle name="Millares 12 2 6 2 2 3" xfId="28377"/>
    <cellStyle name="Millares 12 2 6 2 2 3 2" xfId="28378"/>
    <cellStyle name="Millares 12 2 6 2 2 3 2 2" xfId="45067"/>
    <cellStyle name="Millares 12 2 6 2 2 3 3" xfId="45066"/>
    <cellStyle name="Millares 12 2 6 2 2 4" xfId="28379"/>
    <cellStyle name="Millares 12 2 6 2 2 4 2" xfId="45068"/>
    <cellStyle name="Millares 12 2 6 2 2 5" xfId="45063"/>
    <cellStyle name="Millares 12 2 6 2 3" xfId="28380"/>
    <cellStyle name="Millares 12 2 6 2 3 2" xfId="45069"/>
    <cellStyle name="Millares 12 2 6 2 4" xfId="28381"/>
    <cellStyle name="Millares 12 2 6 2 4 2" xfId="28382"/>
    <cellStyle name="Millares 12 2 6 2 4 2 2" xfId="45071"/>
    <cellStyle name="Millares 12 2 6 2 4 3" xfId="45070"/>
    <cellStyle name="Millares 12 2 6 2 5" xfId="28383"/>
    <cellStyle name="Millares 12 2 6 2 5 2" xfId="45072"/>
    <cellStyle name="Millares 12 2 6 2 6" xfId="45062"/>
    <cellStyle name="Millares 12 2 6 3" xfId="28384"/>
    <cellStyle name="Millares 12 2 6 3 2" xfId="28385"/>
    <cellStyle name="Millares 12 2 6 3 2 2" xfId="28386"/>
    <cellStyle name="Millares 12 2 6 3 2 2 2" xfId="45075"/>
    <cellStyle name="Millares 12 2 6 3 2 3" xfId="45074"/>
    <cellStyle name="Millares 12 2 6 3 3" xfId="28387"/>
    <cellStyle name="Millares 12 2 6 3 3 2" xfId="28388"/>
    <cellStyle name="Millares 12 2 6 3 3 2 2" xfId="45077"/>
    <cellStyle name="Millares 12 2 6 3 3 3" xfId="45076"/>
    <cellStyle name="Millares 12 2 6 3 4" xfId="28389"/>
    <cellStyle name="Millares 12 2 6 3 4 2" xfId="45078"/>
    <cellStyle name="Millares 12 2 6 3 5" xfId="45073"/>
    <cellStyle name="Millares 12 2 6 4" xfId="28390"/>
    <cellStyle name="Millares 12 2 6 4 2" xfId="45079"/>
    <cellStyle name="Millares 12 2 6 5" xfId="28391"/>
    <cellStyle name="Millares 12 2 6 5 2" xfId="28392"/>
    <cellStyle name="Millares 12 2 6 5 2 2" xfId="45081"/>
    <cellStyle name="Millares 12 2 6 5 3" xfId="45080"/>
    <cellStyle name="Millares 12 2 6 6" xfId="28393"/>
    <cellStyle name="Millares 12 2 6 6 2" xfId="45082"/>
    <cellStyle name="Millares 12 2 6 7" xfId="45061"/>
    <cellStyle name="Millares 12 2 7" xfId="28394"/>
    <cellStyle name="Millares 12 2 7 2" xfId="45083"/>
    <cellStyle name="Millares 12 2 8" xfId="28395"/>
    <cellStyle name="Millares 12 2 8 2" xfId="28396"/>
    <cellStyle name="Millares 12 2 8 2 2" xfId="28397"/>
    <cellStyle name="Millares 12 2 8 2 2 2" xfId="28398"/>
    <cellStyle name="Millares 12 2 8 2 2 2 2" xfId="45087"/>
    <cellStyle name="Millares 12 2 8 2 2 3" xfId="45086"/>
    <cellStyle name="Millares 12 2 8 2 3" xfId="28399"/>
    <cellStyle name="Millares 12 2 8 2 3 2" xfId="28400"/>
    <cellStyle name="Millares 12 2 8 2 3 2 2" xfId="45089"/>
    <cellStyle name="Millares 12 2 8 2 3 3" xfId="45088"/>
    <cellStyle name="Millares 12 2 8 2 4" xfId="28401"/>
    <cellStyle name="Millares 12 2 8 2 4 2" xfId="45090"/>
    <cellStyle name="Millares 12 2 8 2 5" xfId="45085"/>
    <cellStyle name="Millares 12 2 8 3" xfId="28402"/>
    <cellStyle name="Millares 12 2 8 3 2" xfId="45091"/>
    <cellStyle name="Millares 12 2 8 4" xfId="28403"/>
    <cellStyle name="Millares 12 2 8 4 2" xfId="28404"/>
    <cellStyle name="Millares 12 2 8 4 2 2" xfId="45093"/>
    <cellStyle name="Millares 12 2 8 4 3" xfId="45092"/>
    <cellStyle name="Millares 12 2 8 5" xfId="28405"/>
    <cellStyle name="Millares 12 2 8 5 2" xfId="45094"/>
    <cellStyle name="Millares 12 2 8 6" xfId="45084"/>
    <cellStyle name="Millares 12 2 9" xfId="28406"/>
    <cellStyle name="Millares 12 2 9 2" xfId="28407"/>
    <cellStyle name="Millares 12 2 9 2 2" xfId="28408"/>
    <cellStyle name="Millares 12 2 9 2 2 2" xfId="45097"/>
    <cellStyle name="Millares 12 2 9 2 3" xfId="45096"/>
    <cellStyle name="Millares 12 2 9 3" xfId="28409"/>
    <cellStyle name="Millares 12 2 9 3 2" xfId="28410"/>
    <cellStyle name="Millares 12 2 9 3 2 2" xfId="45099"/>
    <cellStyle name="Millares 12 2 9 3 3" xfId="45098"/>
    <cellStyle name="Millares 12 2 9 4" xfId="28411"/>
    <cellStyle name="Millares 12 2 9 4 2" xfId="45100"/>
    <cellStyle name="Millares 12 2 9 5" xfId="45095"/>
    <cellStyle name="Millares 12 20" xfId="28089"/>
    <cellStyle name="Millares 12 21" xfId="44780"/>
    <cellStyle name="Millares 12 22" xfId="51977"/>
    <cellStyle name="Millares 12 23" xfId="19916"/>
    <cellStyle name="Millares 12 3" xfId="472"/>
    <cellStyle name="Millares 12 3 10" xfId="28413"/>
    <cellStyle name="Millares 12 3 10 2" xfId="28414"/>
    <cellStyle name="Millares 12 3 10 2 2" xfId="28415"/>
    <cellStyle name="Millares 12 3 10 2 2 2" xfId="45104"/>
    <cellStyle name="Millares 12 3 10 2 3" xfId="45103"/>
    <cellStyle name="Millares 12 3 10 3" xfId="28416"/>
    <cellStyle name="Millares 12 3 10 3 2" xfId="45105"/>
    <cellStyle name="Millares 12 3 10 4" xfId="45102"/>
    <cellStyle name="Millares 12 3 11" xfId="28417"/>
    <cellStyle name="Millares 12 3 11 2" xfId="28418"/>
    <cellStyle name="Millares 12 3 11 2 2" xfId="45107"/>
    <cellStyle name="Millares 12 3 11 3" xfId="45106"/>
    <cellStyle name="Millares 12 3 12" xfId="28419"/>
    <cellStyle name="Millares 12 3 12 2" xfId="28420"/>
    <cellStyle name="Millares 12 3 12 2 2" xfId="45109"/>
    <cellStyle name="Millares 12 3 12 3" xfId="45108"/>
    <cellStyle name="Millares 12 3 13" xfId="28421"/>
    <cellStyle name="Millares 12 3 13 2" xfId="45110"/>
    <cellStyle name="Millares 12 3 14" xfId="28422"/>
    <cellStyle name="Millares 12 3 14 2" xfId="45111"/>
    <cellStyle name="Millares 12 3 15" xfId="45101"/>
    <cellStyle name="Millares 12 3 16" xfId="52035"/>
    <cellStyle name="Millares 12 3 17" xfId="52396"/>
    <cellStyle name="Millares 12 3 18" xfId="28412"/>
    <cellStyle name="Millares 12 3 2" xfId="2679"/>
    <cellStyle name="Millares 12 3 2 10" xfId="28423"/>
    <cellStyle name="Millares 12 3 2 2" xfId="28424"/>
    <cellStyle name="Millares 12 3 2 2 2" xfId="28425"/>
    <cellStyle name="Millares 12 3 2 2 2 2" xfId="28426"/>
    <cellStyle name="Millares 12 3 2 2 2 2 2" xfId="28427"/>
    <cellStyle name="Millares 12 3 2 2 2 2 2 2" xfId="28428"/>
    <cellStyle name="Millares 12 3 2 2 2 2 2 2 2" xfId="45117"/>
    <cellStyle name="Millares 12 3 2 2 2 2 2 3" xfId="45116"/>
    <cellStyle name="Millares 12 3 2 2 2 2 3" xfId="28429"/>
    <cellStyle name="Millares 12 3 2 2 2 2 3 2" xfId="28430"/>
    <cellStyle name="Millares 12 3 2 2 2 2 3 2 2" xfId="45119"/>
    <cellStyle name="Millares 12 3 2 2 2 2 3 3" xfId="45118"/>
    <cellStyle name="Millares 12 3 2 2 2 2 4" xfId="28431"/>
    <cellStyle name="Millares 12 3 2 2 2 2 4 2" xfId="45120"/>
    <cellStyle name="Millares 12 3 2 2 2 2 5" xfId="45115"/>
    <cellStyle name="Millares 12 3 2 2 2 3" xfId="28432"/>
    <cellStyle name="Millares 12 3 2 2 2 3 2" xfId="45121"/>
    <cellStyle name="Millares 12 3 2 2 2 4" xfId="28433"/>
    <cellStyle name="Millares 12 3 2 2 2 4 2" xfId="28434"/>
    <cellStyle name="Millares 12 3 2 2 2 4 2 2" xfId="45123"/>
    <cellStyle name="Millares 12 3 2 2 2 4 3" xfId="45122"/>
    <cellStyle name="Millares 12 3 2 2 2 5" xfId="28435"/>
    <cellStyle name="Millares 12 3 2 2 2 5 2" xfId="45124"/>
    <cellStyle name="Millares 12 3 2 2 2 6" xfId="45114"/>
    <cellStyle name="Millares 12 3 2 2 3" xfId="28436"/>
    <cellStyle name="Millares 12 3 2 2 3 2" xfId="28437"/>
    <cellStyle name="Millares 12 3 2 2 3 2 2" xfId="28438"/>
    <cellStyle name="Millares 12 3 2 2 3 2 2 2" xfId="45127"/>
    <cellStyle name="Millares 12 3 2 2 3 2 3" xfId="45126"/>
    <cellStyle name="Millares 12 3 2 2 3 3" xfId="28439"/>
    <cellStyle name="Millares 12 3 2 2 3 3 2" xfId="28440"/>
    <cellStyle name="Millares 12 3 2 2 3 3 2 2" xfId="45129"/>
    <cellStyle name="Millares 12 3 2 2 3 3 3" xfId="45128"/>
    <cellStyle name="Millares 12 3 2 2 3 4" xfId="28441"/>
    <cellStyle name="Millares 12 3 2 2 3 4 2" xfId="45130"/>
    <cellStyle name="Millares 12 3 2 2 3 5" xfId="45125"/>
    <cellStyle name="Millares 12 3 2 2 4" xfId="28442"/>
    <cellStyle name="Millares 12 3 2 2 4 2" xfId="45131"/>
    <cellStyle name="Millares 12 3 2 2 5" xfId="28443"/>
    <cellStyle name="Millares 12 3 2 2 5 2" xfId="28444"/>
    <cellStyle name="Millares 12 3 2 2 5 2 2" xfId="45133"/>
    <cellStyle name="Millares 12 3 2 2 5 3" xfId="45132"/>
    <cellStyle name="Millares 12 3 2 2 6" xfId="28445"/>
    <cellStyle name="Millares 12 3 2 2 6 2" xfId="45134"/>
    <cellStyle name="Millares 12 3 2 2 7" xfId="45113"/>
    <cellStyle name="Millares 12 3 2 3" xfId="28446"/>
    <cellStyle name="Millares 12 3 2 3 2" xfId="28447"/>
    <cellStyle name="Millares 12 3 2 3 2 2" xfId="28448"/>
    <cellStyle name="Millares 12 3 2 3 2 2 2" xfId="28449"/>
    <cellStyle name="Millares 12 3 2 3 2 2 2 2" xfId="45138"/>
    <cellStyle name="Millares 12 3 2 3 2 2 3" xfId="45137"/>
    <cellStyle name="Millares 12 3 2 3 2 3" xfId="28450"/>
    <cellStyle name="Millares 12 3 2 3 2 3 2" xfId="28451"/>
    <cellStyle name="Millares 12 3 2 3 2 3 2 2" xfId="45140"/>
    <cellStyle name="Millares 12 3 2 3 2 3 3" xfId="45139"/>
    <cellStyle name="Millares 12 3 2 3 2 4" xfId="28452"/>
    <cellStyle name="Millares 12 3 2 3 2 4 2" xfId="45141"/>
    <cellStyle name="Millares 12 3 2 3 2 5" xfId="45136"/>
    <cellStyle name="Millares 12 3 2 3 3" xfId="28453"/>
    <cellStyle name="Millares 12 3 2 3 3 2" xfId="45142"/>
    <cellStyle name="Millares 12 3 2 3 4" xfId="28454"/>
    <cellStyle name="Millares 12 3 2 3 4 2" xfId="28455"/>
    <cellStyle name="Millares 12 3 2 3 4 2 2" xfId="45144"/>
    <cellStyle name="Millares 12 3 2 3 4 3" xfId="45143"/>
    <cellStyle name="Millares 12 3 2 3 5" xfId="28456"/>
    <cellStyle name="Millares 12 3 2 3 5 2" xfId="45145"/>
    <cellStyle name="Millares 12 3 2 3 6" xfId="45135"/>
    <cellStyle name="Millares 12 3 2 4" xfId="28457"/>
    <cellStyle name="Millares 12 3 2 4 2" xfId="28458"/>
    <cellStyle name="Millares 12 3 2 4 2 2" xfId="28459"/>
    <cellStyle name="Millares 12 3 2 4 2 2 2" xfId="45148"/>
    <cellStyle name="Millares 12 3 2 4 2 3" xfId="45147"/>
    <cellStyle name="Millares 12 3 2 4 3" xfId="28460"/>
    <cellStyle name="Millares 12 3 2 4 3 2" xfId="28461"/>
    <cellStyle name="Millares 12 3 2 4 3 2 2" xfId="45150"/>
    <cellStyle name="Millares 12 3 2 4 3 3" xfId="45149"/>
    <cellStyle name="Millares 12 3 2 4 4" xfId="28462"/>
    <cellStyle name="Millares 12 3 2 4 4 2" xfId="45151"/>
    <cellStyle name="Millares 12 3 2 4 5" xfId="45146"/>
    <cellStyle name="Millares 12 3 2 5" xfId="28463"/>
    <cellStyle name="Millares 12 3 2 5 2" xfId="45152"/>
    <cellStyle name="Millares 12 3 2 6" xfId="28464"/>
    <cellStyle name="Millares 12 3 2 6 2" xfId="28465"/>
    <cellStyle name="Millares 12 3 2 6 2 2" xfId="45154"/>
    <cellStyle name="Millares 12 3 2 6 3" xfId="45153"/>
    <cellStyle name="Millares 12 3 2 7" xfId="28466"/>
    <cellStyle name="Millares 12 3 2 7 2" xfId="45155"/>
    <cellStyle name="Millares 12 3 2 8" xfId="45112"/>
    <cellStyle name="Millares 12 3 2 9" xfId="54141"/>
    <cellStyle name="Millares 12 3 3" xfId="28467"/>
    <cellStyle name="Millares 12 3 3 2" xfId="28468"/>
    <cellStyle name="Millares 12 3 3 2 2" xfId="28469"/>
    <cellStyle name="Millares 12 3 3 2 2 2" xfId="28470"/>
    <cellStyle name="Millares 12 3 3 2 2 2 2" xfId="28471"/>
    <cellStyle name="Millares 12 3 3 2 2 2 2 2" xfId="28472"/>
    <cellStyle name="Millares 12 3 3 2 2 2 2 2 2" xfId="45161"/>
    <cellStyle name="Millares 12 3 3 2 2 2 2 3" xfId="45160"/>
    <cellStyle name="Millares 12 3 3 2 2 2 3" xfId="28473"/>
    <cellStyle name="Millares 12 3 3 2 2 2 3 2" xfId="28474"/>
    <cellStyle name="Millares 12 3 3 2 2 2 3 2 2" xfId="45163"/>
    <cellStyle name="Millares 12 3 3 2 2 2 3 3" xfId="45162"/>
    <cellStyle name="Millares 12 3 3 2 2 2 4" xfId="28475"/>
    <cellStyle name="Millares 12 3 3 2 2 2 4 2" xfId="45164"/>
    <cellStyle name="Millares 12 3 3 2 2 2 5" xfId="45159"/>
    <cellStyle name="Millares 12 3 3 2 2 3" xfId="28476"/>
    <cellStyle name="Millares 12 3 3 2 2 3 2" xfId="45165"/>
    <cellStyle name="Millares 12 3 3 2 2 4" xfId="28477"/>
    <cellStyle name="Millares 12 3 3 2 2 4 2" xfId="28478"/>
    <cellStyle name="Millares 12 3 3 2 2 4 2 2" xfId="45167"/>
    <cellStyle name="Millares 12 3 3 2 2 4 3" xfId="45166"/>
    <cellStyle name="Millares 12 3 3 2 2 5" xfId="28479"/>
    <cellStyle name="Millares 12 3 3 2 2 5 2" xfId="45168"/>
    <cellStyle name="Millares 12 3 3 2 2 6" xfId="45158"/>
    <cellStyle name="Millares 12 3 3 2 3" xfId="28480"/>
    <cellStyle name="Millares 12 3 3 2 3 2" xfId="28481"/>
    <cellStyle name="Millares 12 3 3 2 3 2 2" xfId="28482"/>
    <cellStyle name="Millares 12 3 3 2 3 2 2 2" xfId="45171"/>
    <cellStyle name="Millares 12 3 3 2 3 2 3" xfId="45170"/>
    <cellStyle name="Millares 12 3 3 2 3 3" xfId="28483"/>
    <cellStyle name="Millares 12 3 3 2 3 3 2" xfId="28484"/>
    <cellStyle name="Millares 12 3 3 2 3 3 2 2" xfId="45173"/>
    <cellStyle name="Millares 12 3 3 2 3 3 3" xfId="45172"/>
    <cellStyle name="Millares 12 3 3 2 3 4" xfId="28485"/>
    <cellStyle name="Millares 12 3 3 2 3 4 2" xfId="45174"/>
    <cellStyle name="Millares 12 3 3 2 3 5" xfId="45169"/>
    <cellStyle name="Millares 12 3 3 2 4" xfId="28486"/>
    <cellStyle name="Millares 12 3 3 2 4 2" xfId="45175"/>
    <cellStyle name="Millares 12 3 3 2 5" xfId="28487"/>
    <cellStyle name="Millares 12 3 3 2 5 2" xfId="28488"/>
    <cellStyle name="Millares 12 3 3 2 5 2 2" xfId="45177"/>
    <cellStyle name="Millares 12 3 3 2 5 3" xfId="45176"/>
    <cellStyle name="Millares 12 3 3 2 6" xfId="28489"/>
    <cellStyle name="Millares 12 3 3 2 6 2" xfId="45178"/>
    <cellStyle name="Millares 12 3 3 2 7" xfId="45157"/>
    <cellStyle name="Millares 12 3 3 3" xfId="28490"/>
    <cellStyle name="Millares 12 3 3 3 2" xfId="28491"/>
    <cellStyle name="Millares 12 3 3 3 2 2" xfId="28492"/>
    <cellStyle name="Millares 12 3 3 3 2 2 2" xfId="28493"/>
    <cellStyle name="Millares 12 3 3 3 2 2 2 2" xfId="45182"/>
    <cellStyle name="Millares 12 3 3 3 2 2 3" xfId="45181"/>
    <cellStyle name="Millares 12 3 3 3 2 3" xfId="28494"/>
    <cellStyle name="Millares 12 3 3 3 2 3 2" xfId="28495"/>
    <cellStyle name="Millares 12 3 3 3 2 3 2 2" xfId="45184"/>
    <cellStyle name="Millares 12 3 3 3 2 3 3" xfId="45183"/>
    <cellStyle name="Millares 12 3 3 3 2 4" xfId="28496"/>
    <cellStyle name="Millares 12 3 3 3 2 4 2" xfId="45185"/>
    <cellStyle name="Millares 12 3 3 3 2 5" xfId="45180"/>
    <cellStyle name="Millares 12 3 3 3 3" xfId="28497"/>
    <cellStyle name="Millares 12 3 3 3 3 2" xfId="45186"/>
    <cellStyle name="Millares 12 3 3 3 4" xfId="28498"/>
    <cellStyle name="Millares 12 3 3 3 4 2" xfId="28499"/>
    <cellStyle name="Millares 12 3 3 3 4 2 2" xfId="45188"/>
    <cellStyle name="Millares 12 3 3 3 4 3" xfId="45187"/>
    <cellStyle name="Millares 12 3 3 3 5" xfId="28500"/>
    <cellStyle name="Millares 12 3 3 3 5 2" xfId="45189"/>
    <cellStyle name="Millares 12 3 3 3 6" xfId="45179"/>
    <cellStyle name="Millares 12 3 3 4" xfId="28501"/>
    <cellStyle name="Millares 12 3 3 4 2" xfId="28502"/>
    <cellStyle name="Millares 12 3 3 4 2 2" xfId="28503"/>
    <cellStyle name="Millares 12 3 3 4 2 2 2" xfId="45192"/>
    <cellStyle name="Millares 12 3 3 4 2 3" xfId="45191"/>
    <cellStyle name="Millares 12 3 3 4 3" xfId="28504"/>
    <cellStyle name="Millares 12 3 3 4 3 2" xfId="28505"/>
    <cellStyle name="Millares 12 3 3 4 3 2 2" xfId="45194"/>
    <cellStyle name="Millares 12 3 3 4 3 3" xfId="45193"/>
    <cellStyle name="Millares 12 3 3 4 4" xfId="28506"/>
    <cellStyle name="Millares 12 3 3 4 4 2" xfId="45195"/>
    <cellStyle name="Millares 12 3 3 4 5" xfId="45190"/>
    <cellStyle name="Millares 12 3 3 5" xfId="28507"/>
    <cellStyle name="Millares 12 3 3 5 2" xfId="45196"/>
    <cellStyle name="Millares 12 3 3 6" xfId="28508"/>
    <cellStyle name="Millares 12 3 3 6 2" xfId="28509"/>
    <cellStyle name="Millares 12 3 3 6 2 2" xfId="45198"/>
    <cellStyle name="Millares 12 3 3 6 3" xfId="45197"/>
    <cellStyle name="Millares 12 3 3 7" xfId="28510"/>
    <cellStyle name="Millares 12 3 3 7 2" xfId="45199"/>
    <cellStyle name="Millares 12 3 3 8" xfId="45156"/>
    <cellStyle name="Millares 12 3 4" xfId="28511"/>
    <cellStyle name="Millares 12 3 4 2" xfId="45200"/>
    <cellStyle name="Millares 12 3 5" xfId="28512"/>
    <cellStyle name="Millares 12 3 5 2" xfId="28513"/>
    <cellStyle name="Millares 12 3 5 2 2" xfId="28514"/>
    <cellStyle name="Millares 12 3 5 2 2 2" xfId="28515"/>
    <cellStyle name="Millares 12 3 5 2 2 2 2" xfId="28516"/>
    <cellStyle name="Millares 12 3 5 2 2 2 2 2" xfId="45205"/>
    <cellStyle name="Millares 12 3 5 2 2 2 3" xfId="45204"/>
    <cellStyle name="Millares 12 3 5 2 2 3" xfId="28517"/>
    <cellStyle name="Millares 12 3 5 2 2 3 2" xfId="28518"/>
    <cellStyle name="Millares 12 3 5 2 2 3 2 2" xfId="45207"/>
    <cellStyle name="Millares 12 3 5 2 2 3 3" xfId="45206"/>
    <cellStyle name="Millares 12 3 5 2 2 4" xfId="28519"/>
    <cellStyle name="Millares 12 3 5 2 2 4 2" xfId="45208"/>
    <cellStyle name="Millares 12 3 5 2 2 5" xfId="45203"/>
    <cellStyle name="Millares 12 3 5 2 3" xfId="28520"/>
    <cellStyle name="Millares 12 3 5 2 3 2" xfId="45209"/>
    <cellStyle name="Millares 12 3 5 2 4" xfId="28521"/>
    <cellStyle name="Millares 12 3 5 2 4 2" xfId="28522"/>
    <cellStyle name="Millares 12 3 5 2 4 2 2" xfId="45211"/>
    <cellStyle name="Millares 12 3 5 2 4 3" xfId="45210"/>
    <cellStyle name="Millares 12 3 5 2 5" xfId="28523"/>
    <cellStyle name="Millares 12 3 5 2 5 2" xfId="45212"/>
    <cellStyle name="Millares 12 3 5 2 6" xfId="45202"/>
    <cellStyle name="Millares 12 3 5 3" xfId="28524"/>
    <cellStyle name="Millares 12 3 5 3 2" xfId="28525"/>
    <cellStyle name="Millares 12 3 5 3 2 2" xfId="28526"/>
    <cellStyle name="Millares 12 3 5 3 2 2 2" xfId="45215"/>
    <cellStyle name="Millares 12 3 5 3 2 3" xfId="45214"/>
    <cellStyle name="Millares 12 3 5 3 3" xfId="28527"/>
    <cellStyle name="Millares 12 3 5 3 3 2" xfId="28528"/>
    <cellStyle name="Millares 12 3 5 3 3 2 2" xfId="45217"/>
    <cellStyle name="Millares 12 3 5 3 3 3" xfId="45216"/>
    <cellStyle name="Millares 12 3 5 3 4" xfId="28529"/>
    <cellStyle name="Millares 12 3 5 3 4 2" xfId="45218"/>
    <cellStyle name="Millares 12 3 5 3 5" xfId="45213"/>
    <cellStyle name="Millares 12 3 5 4" xfId="28530"/>
    <cellStyle name="Millares 12 3 5 4 2" xfId="45219"/>
    <cellStyle name="Millares 12 3 5 5" xfId="28531"/>
    <cellStyle name="Millares 12 3 5 5 2" xfId="28532"/>
    <cellStyle name="Millares 12 3 5 5 2 2" xfId="45221"/>
    <cellStyle name="Millares 12 3 5 5 3" xfId="45220"/>
    <cellStyle name="Millares 12 3 5 6" xfId="28533"/>
    <cellStyle name="Millares 12 3 5 6 2" xfId="45222"/>
    <cellStyle name="Millares 12 3 5 7" xfId="45201"/>
    <cellStyle name="Millares 12 3 6" xfId="28534"/>
    <cellStyle name="Millares 12 3 6 2" xfId="28535"/>
    <cellStyle name="Millares 12 3 6 2 2" xfId="28536"/>
    <cellStyle name="Millares 12 3 6 2 2 2" xfId="28537"/>
    <cellStyle name="Millares 12 3 6 2 2 2 2" xfId="45226"/>
    <cellStyle name="Millares 12 3 6 2 2 3" xfId="45225"/>
    <cellStyle name="Millares 12 3 6 2 3" xfId="28538"/>
    <cellStyle name="Millares 12 3 6 2 3 2" xfId="28539"/>
    <cellStyle name="Millares 12 3 6 2 3 2 2" xfId="45228"/>
    <cellStyle name="Millares 12 3 6 2 3 3" xfId="45227"/>
    <cellStyle name="Millares 12 3 6 2 4" xfId="28540"/>
    <cellStyle name="Millares 12 3 6 2 4 2" xfId="45229"/>
    <cellStyle name="Millares 12 3 6 2 5" xfId="45224"/>
    <cellStyle name="Millares 12 3 6 3" xfId="28541"/>
    <cellStyle name="Millares 12 3 6 3 2" xfId="45230"/>
    <cellStyle name="Millares 12 3 6 4" xfId="28542"/>
    <cellStyle name="Millares 12 3 6 4 2" xfId="28543"/>
    <cellStyle name="Millares 12 3 6 4 2 2" xfId="45232"/>
    <cellStyle name="Millares 12 3 6 4 3" xfId="45231"/>
    <cellStyle name="Millares 12 3 6 5" xfId="28544"/>
    <cellStyle name="Millares 12 3 6 5 2" xfId="45233"/>
    <cellStyle name="Millares 12 3 6 6" xfId="45223"/>
    <cellStyle name="Millares 12 3 7" xfId="28545"/>
    <cellStyle name="Millares 12 3 7 2" xfId="28546"/>
    <cellStyle name="Millares 12 3 7 2 2" xfId="28547"/>
    <cellStyle name="Millares 12 3 7 2 2 2" xfId="45236"/>
    <cellStyle name="Millares 12 3 7 2 3" xfId="45235"/>
    <cellStyle name="Millares 12 3 7 3" xfId="28548"/>
    <cellStyle name="Millares 12 3 7 3 2" xfId="28549"/>
    <cellStyle name="Millares 12 3 7 3 2 2" xfId="45238"/>
    <cellStyle name="Millares 12 3 7 3 3" xfId="45237"/>
    <cellStyle name="Millares 12 3 7 4" xfId="28550"/>
    <cellStyle name="Millares 12 3 7 4 2" xfId="45239"/>
    <cellStyle name="Millares 12 3 7 5" xfId="45234"/>
    <cellStyle name="Millares 12 3 8" xfId="28551"/>
    <cellStyle name="Millares 12 3 8 2" xfId="28552"/>
    <cellStyle name="Millares 12 3 8 2 2" xfId="28553"/>
    <cellStyle name="Millares 12 3 8 2 2 2" xfId="45242"/>
    <cellStyle name="Millares 12 3 8 2 3" xfId="45241"/>
    <cellStyle name="Millares 12 3 8 3" xfId="28554"/>
    <cellStyle name="Millares 12 3 8 3 2" xfId="45243"/>
    <cellStyle name="Millares 12 3 8 4" xfId="45240"/>
    <cellStyle name="Millares 12 3 9" xfId="28555"/>
    <cellStyle name="Millares 12 3 9 2" xfId="28556"/>
    <cellStyle name="Millares 12 3 9 2 2" xfId="28557"/>
    <cellStyle name="Millares 12 3 9 2 2 2" xfId="45246"/>
    <cellStyle name="Millares 12 3 9 2 3" xfId="45245"/>
    <cellStyle name="Millares 12 3 9 3" xfId="28558"/>
    <cellStyle name="Millares 12 3 9 3 2" xfId="45247"/>
    <cellStyle name="Millares 12 3 9 4" xfId="45244"/>
    <cellStyle name="Millares 12 4" xfId="28559"/>
    <cellStyle name="Millares 12 4 2" xfId="28560"/>
    <cellStyle name="Millares 12 4 2 2" xfId="28561"/>
    <cellStyle name="Millares 12 4 2 2 2" xfId="28562"/>
    <cellStyle name="Millares 12 4 2 2 2 2" xfId="28563"/>
    <cellStyle name="Millares 12 4 2 2 2 2 2" xfId="28564"/>
    <cellStyle name="Millares 12 4 2 2 2 2 2 2" xfId="45253"/>
    <cellStyle name="Millares 12 4 2 2 2 2 3" xfId="45252"/>
    <cellStyle name="Millares 12 4 2 2 2 3" xfId="28565"/>
    <cellStyle name="Millares 12 4 2 2 2 3 2" xfId="28566"/>
    <cellStyle name="Millares 12 4 2 2 2 3 2 2" xfId="45255"/>
    <cellStyle name="Millares 12 4 2 2 2 3 3" xfId="45254"/>
    <cellStyle name="Millares 12 4 2 2 2 4" xfId="28567"/>
    <cellStyle name="Millares 12 4 2 2 2 4 2" xfId="45256"/>
    <cellStyle name="Millares 12 4 2 2 2 5" xfId="45251"/>
    <cellStyle name="Millares 12 4 2 2 3" xfId="28568"/>
    <cellStyle name="Millares 12 4 2 2 3 2" xfId="45257"/>
    <cellStyle name="Millares 12 4 2 2 4" xfId="28569"/>
    <cellStyle name="Millares 12 4 2 2 4 2" xfId="28570"/>
    <cellStyle name="Millares 12 4 2 2 4 2 2" xfId="45259"/>
    <cellStyle name="Millares 12 4 2 2 4 3" xfId="45258"/>
    <cellStyle name="Millares 12 4 2 2 5" xfId="28571"/>
    <cellStyle name="Millares 12 4 2 2 5 2" xfId="45260"/>
    <cellStyle name="Millares 12 4 2 2 6" xfId="45250"/>
    <cellStyle name="Millares 12 4 2 3" xfId="28572"/>
    <cellStyle name="Millares 12 4 2 3 2" xfId="28573"/>
    <cellStyle name="Millares 12 4 2 3 2 2" xfId="28574"/>
    <cellStyle name="Millares 12 4 2 3 2 2 2" xfId="45263"/>
    <cellStyle name="Millares 12 4 2 3 2 3" xfId="45262"/>
    <cellStyle name="Millares 12 4 2 3 3" xfId="28575"/>
    <cellStyle name="Millares 12 4 2 3 3 2" xfId="28576"/>
    <cellStyle name="Millares 12 4 2 3 3 2 2" xfId="45265"/>
    <cellStyle name="Millares 12 4 2 3 3 3" xfId="45264"/>
    <cellStyle name="Millares 12 4 2 3 4" xfId="28577"/>
    <cellStyle name="Millares 12 4 2 3 4 2" xfId="45266"/>
    <cellStyle name="Millares 12 4 2 3 5" xfId="45261"/>
    <cellStyle name="Millares 12 4 2 4" xfId="28578"/>
    <cellStyle name="Millares 12 4 2 4 2" xfId="45267"/>
    <cellStyle name="Millares 12 4 2 5" xfId="28579"/>
    <cellStyle name="Millares 12 4 2 5 2" xfId="28580"/>
    <cellStyle name="Millares 12 4 2 5 2 2" xfId="45269"/>
    <cellStyle name="Millares 12 4 2 5 3" xfId="45268"/>
    <cellStyle name="Millares 12 4 2 6" xfId="28581"/>
    <cellStyle name="Millares 12 4 2 6 2" xfId="45270"/>
    <cellStyle name="Millares 12 4 2 7" xfId="45249"/>
    <cellStyle name="Millares 12 4 3" xfId="28582"/>
    <cellStyle name="Millares 12 4 3 2" xfId="28583"/>
    <cellStyle name="Millares 12 4 3 2 2" xfId="28584"/>
    <cellStyle name="Millares 12 4 3 2 2 2" xfId="28585"/>
    <cellStyle name="Millares 12 4 3 2 2 2 2" xfId="45274"/>
    <cellStyle name="Millares 12 4 3 2 2 3" xfId="45273"/>
    <cellStyle name="Millares 12 4 3 2 3" xfId="28586"/>
    <cellStyle name="Millares 12 4 3 2 3 2" xfId="28587"/>
    <cellStyle name="Millares 12 4 3 2 3 2 2" xfId="45276"/>
    <cellStyle name="Millares 12 4 3 2 3 3" xfId="45275"/>
    <cellStyle name="Millares 12 4 3 2 4" xfId="28588"/>
    <cellStyle name="Millares 12 4 3 2 4 2" xfId="45277"/>
    <cellStyle name="Millares 12 4 3 2 5" xfId="45272"/>
    <cellStyle name="Millares 12 4 3 3" xfId="28589"/>
    <cellStyle name="Millares 12 4 3 3 2" xfId="45278"/>
    <cellStyle name="Millares 12 4 3 4" xfId="28590"/>
    <cellStyle name="Millares 12 4 3 4 2" xfId="28591"/>
    <cellStyle name="Millares 12 4 3 4 2 2" xfId="45280"/>
    <cellStyle name="Millares 12 4 3 4 3" xfId="45279"/>
    <cellStyle name="Millares 12 4 3 5" xfId="28592"/>
    <cellStyle name="Millares 12 4 3 5 2" xfId="45281"/>
    <cellStyle name="Millares 12 4 3 6" xfId="45271"/>
    <cellStyle name="Millares 12 4 4" xfId="28593"/>
    <cellStyle name="Millares 12 4 4 2" xfId="28594"/>
    <cellStyle name="Millares 12 4 4 2 2" xfId="28595"/>
    <cellStyle name="Millares 12 4 4 2 2 2" xfId="45284"/>
    <cellStyle name="Millares 12 4 4 2 3" xfId="45283"/>
    <cellStyle name="Millares 12 4 4 3" xfId="28596"/>
    <cellStyle name="Millares 12 4 4 3 2" xfId="28597"/>
    <cellStyle name="Millares 12 4 4 3 2 2" xfId="45286"/>
    <cellStyle name="Millares 12 4 4 3 3" xfId="45285"/>
    <cellStyle name="Millares 12 4 4 4" xfId="28598"/>
    <cellStyle name="Millares 12 4 4 4 2" xfId="45287"/>
    <cellStyle name="Millares 12 4 4 5" xfId="45282"/>
    <cellStyle name="Millares 12 4 5" xfId="28599"/>
    <cellStyle name="Millares 12 4 5 2" xfId="45288"/>
    <cellStyle name="Millares 12 4 6" xfId="28600"/>
    <cellStyle name="Millares 12 4 6 2" xfId="28601"/>
    <cellStyle name="Millares 12 4 6 2 2" xfId="45290"/>
    <cellStyle name="Millares 12 4 6 3" xfId="45289"/>
    <cellStyle name="Millares 12 4 7" xfId="28602"/>
    <cellStyle name="Millares 12 4 7 2" xfId="45291"/>
    <cellStyle name="Millares 12 4 8" xfId="45248"/>
    <cellStyle name="Millares 12 5" xfId="28603"/>
    <cellStyle name="Millares 12 5 2" xfId="28604"/>
    <cellStyle name="Millares 12 5 2 2" xfId="28605"/>
    <cellStyle name="Millares 12 5 2 2 2" xfId="28606"/>
    <cellStyle name="Millares 12 5 2 2 2 2" xfId="28607"/>
    <cellStyle name="Millares 12 5 2 2 2 2 2" xfId="28608"/>
    <cellStyle name="Millares 12 5 2 2 2 2 2 2" xfId="45297"/>
    <cellStyle name="Millares 12 5 2 2 2 2 3" xfId="45296"/>
    <cellStyle name="Millares 12 5 2 2 2 3" xfId="28609"/>
    <cellStyle name="Millares 12 5 2 2 2 3 2" xfId="28610"/>
    <cellStyle name="Millares 12 5 2 2 2 3 2 2" xfId="45299"/>
    <cellStyle name="Millares 12 5 2 2 2 3 3" xfId="45298"/>
    <cellStyle name="Millares 12 5 2 2 2 4" xfId="28611"/>
    <cellStyle name="Millares 12 5 2 2 2 4 2" xfId="45300"/>
    <cellStyle name="Millares 12 5 2 2 2 5" xfId="45295"/>
    <cellStyle name="Millares 12 5 2 2 3" xfId="28612"/>
    <cellStyle name="Millares 12 5 2 2 3 2" xfId="45301"/>
    <cellStyle name="Millares 12 5 2 2 4" xfId="28613"/>
    <cellStyle name="Millares 12 5 2 2 4 2" xfId="28614"/>
    <cellStyle name="Millares 12 5 2 2 4 2 2" xfId="45303"/>
    <cellStyle name="Millares 12 5 2 2 4 3" xfId="45302"/>
    <cellStyle name="Millares 12 5 2 2 5" xfId="28615"/>
    <cellStyle name="Millares 12 5 2 2 5 2" xfId="45304"/>
    <cellStyle name="Millares 12 5 2 2 6" xfId="45294"/>
    <cellStyle name="Millares 12 5 2 3" xfId="28616"/>
    <cellStyle name="Millares 12 5 2 3 2" xfId="28617"/>
    <cellStyle name="Millares 12 5 2 3 2 2" xfId="28618"/>
    <cellStyle name="Millares 12 5 2 3 2 2 2" xfId="45307"/>
    <cellStyle name="Millares 12 5 2 3 2 3" xfId="45306"/>
    <cellStyle name="Millares 12 5 2 3 3" xfId="28619"/>
    <cellStyle name="Millares 12 5 2 3 3 2" xfId="28620"/>
    <cellStyle name="Millares 12 5 2 3 3 2 2" xfId="45309"/>
    <cellStyle name="Millares 12 5 2 3 3 3" xfId="45308"/>
    <cellStyle name="Millares 12 5 2 3 4" xfId="28621"/>
    <cellStyle name="Millares 12 5 2 3 4 2" xfId="45310"/>
    <cellStyle name="Millares 12 5 2 3 5" xfId="45305"/>
    <cellStyle name="Millares 12 5 2 4" xfId="28622"/>
    <cellStyle name="Millares 12 5 2 4 2" xfId="45311"/>
    <cellStyle name="Millares 12 5 2 5" xfId="28623"/>
    <cellStyle name="Millares 12 5 2 5 2" xfId="28624"/>
    <cellStyle name="Millares 12 5 2 5 2 2" xfId="45313"/>
    <cellStyle name="Millares 12 5 2 5 3" xfId="45312"/>
    <cellStyle name="Millares 12 5 2 6" xfId="28625"/>
    <cellStyle name="Millares 12 5 2 6 2" xfId="45314"/>
    <cellStyle name="Millares 12 5 2 7" xfId="45293"/>
    <cellStyle name="Millares 12 5 3" xfId="28626"/>
    <cellStyle name="Millares 12 5 3 2" xfId="28627"/>
    <cellStyle name="Millares 12 5 3 2 2" xfId="28628"/>
    <cellStyle name="Millares 12 5 3 2 2 2" xfId="28629"/>
    <cellStyle name="Millares 12 5 3 2 2 2 2" xfId="45318"/>
    <cellStyle name="Millares 12 5 3 2 2 3" xfId="45317"/>
    <cellStyle name="Millares 12 5 3 2 3" xfId="28630"/>
    <cellStyle name="Millares 12 5 3 2 3 2" xfId="28631"/>
    <cellStyle name="Millares 12 5 3 2 3 2 2" xfId="45320"/>
    <cellStyle name="Millares 12 5 3 2 3 3" xfId="45319"/>
    <cellStyle name="Millares 12 5 3 2 4" xfId="28632"/>
    <cellStyle name="Millares 12 5 3 2 4 2" xfId="45321"/>
    <cellStyle name="Millares 12 5 3 2 5" xfId="45316"/>
    <cellStyle name="Millares 12 5 3 3" xfId="28633"/>
    <cellStyle name="Millares 12 5 3 3 2" xfId="45322"/>
    <cellStyle name="Millares 12 5 3 4" xfId="28634"/>
    <cellStyle name="Millares 12 5 3 4 2" xfId="28635"/>
    <cellStyle name="Millares 12 5 3 4 2 2" xfId="45324"/>
    <cellStyle name="Millares 12 5 3 4 3" xfId="45323"/>
    <cellStyle name="Millares 12 5 3 5" xfId="28636"/>
    <cellStyle name="Millares 12 5 3 5 2" xfId="45325"/>
    <cellStyle name="Millares 12 5 3 6" xfId="45315"/>
    <cellStyle name="Millares 12 5 4" xfId="28637"/>
    <cellStyle name="Millares 12 5 4 2" xfId="28638"/>
    <cellStyle name="Millares 12 5 4 2 2" xfId="28639"/>
    <cellStyle name="Millares 12 5 4 2 2 2" xfId="45328"/>
    <cellStyle name="Millares 12 5 4 2 3" xfId="45327"/>
    <cellStyle name="Millares 12 5 4 3" xfId="28640"/>
    <cellStyle name="Millares 12 5 4 3 2" xfId="28641"/>
    <cellStyle name="Millares 12 5 4 3 2 2" xfId="45330"/>
    <cellStyle name="Millares 12 5 4 3 3" xfId="45329"/>
    <cellStyle name="Millares 12 5 4 4" xfId="28642"/>
    <cellStyle name="Millares 12 5 4 4 2" xfId="45331"/>
    <cellStyle name="Millares 12 5 4 5" xfId="45326"/>
    <cellStyle name="Millares 12 5 5" xfId="28643"/>
    <cellStyle name="Millares 12 5 5 2" xfId="45332"/>
    <cellStyle name="Millares 12 5 6" xfId="28644"/>
    <cellStyle name="Millares 12 5 6 2" xfId="28645"/>
    <cellStyle name="Millares 12 5 6 2 2" xfId="45334"/>
    <cellStyle name="Millares 12 5 6 3" xfId="45333"/>
    <cellStyle name="Millares 12 5 7" xfId="28646"/>
    <cellStyle name="Millares 12 5 7 2" xfId="45335"/>
    <cellStyle name="Millares 12 5 8" xfId="45292"/>
    <cellStyle name="Millares 12 6" xfId="28647"/>
    <cellStyle name="Millares 12 6 2" xfId="45336"/>
    <cellStyle name="Millares 12 7" xfId="28648"/>
    <cellStyle name="Millares 12 7 2" xfId="28649"/>
    <cellStyle name="Millares 12 7 2 2" xfId="28650"/>
    <cellStyle name="Millares 12 7 2 2 2" xfId="28651"/>
    <cellStyle name="Millares 12 7 2 2 2 2" xfId="28652"/>
    <cellStyle name="Millares 12 7 2 2 2 2 2" xfId="45341"/>
    <cellStyle name="Millares 12 7 2 2 2 3" xfId="45340"/>
    <cellStyle name="Millares 12 7 2 2 3" xfId="28653"/>
    <cellStyle name="Millares 12 7 2 2 3 2" xfId="28654"/>
    <cellStyle name="Millares 12 7 2 2 3 2 2" xfId="45343"/>
    <cellStyle name="Millares 12 7 2 2 3 3" xfId="45342"/>
    <cellStyle name="Millares 12 7 2 2 4" xfId="28655"/>
    <cellStyle name="Millares 12 7 2 2 4 2" xfId="45344"/>
    <cellStyle name="Millares 12 7 2 2 5" xfId="45339"/>
    <cellStyle name="Millares 12 7 2 3" xfId="28656"/>
    <cellStyle name="Millares 12 7 2 3 2" xfId="45345"/>
    <cellStyle name="Millares 12 7 2 4" xfId="28657"/>
    <cellStyle name="Millares 12 7 2 4 2" xfId="28658"/>
    <cellStyle name="Millares 12 7 2 4 2 2" xfId="45347"/>
    <cellStyle name="Millares 12 7 2 4 3" xfId="45346"/>
    <cellStyle name="Millares 12 7 2 5" xfId="28659"/>
    <cellStyle name="Millares 12 7 2 5 2" xfId="45348"/>
    <cellStyle name="Millares 12 7 2 6" xfId="45338"/>
    <cellStyle name="Millares 12 7 3" xfId="28660"/>
    <cellStyle name="Millares 12 7 3 2" xfId="28661"/>
    <cellStyle name="Millares 12 7 3 2 2" xfId="28662"/>
    <cellStyle name="Millares 12 7 3 2 2 2" xfId="45351"/>
    <cellStyle name="Millares 12 7 3 2 3" xfId="45350"/>
    <cellStyle name="Millares 12 7 3 3" xfId="28663"/>
    <cellStyle name="Millares 12 7 3 3 2" xfId="28664"/>
    <cellStyle name="Millares 12 7 3 3 2 2" xfId="45353"/>
    <cellStyle name="Millares 12 7 3 3 3" xfId="45352"/>
    <cellStyle name="Millares 12 7 3 4" xfId="28665"/>
    <cellStyle name="Millares 12 7 3 4 2" xfId="45354"/>
    <cellStyle name="Millares 12 7 3 5" xfId="45349"/>
    <cellStyle name="Millares 12 7 4" xfId="28666"/>
    <cellStyle name="Millares 12 7 4 2" xfId="45355"/>
    <cellStyle name="Millares 12 7 5" xfId="28667"/>
    <cellStyle name="Millares 12 7 5 2" xfId="28668"/>
    <cellStyle name="Millares 12 7 5 2 2" xfId="45357"/>
    <cellStyle name="Millares 12 7 5 3" xfId="45356"/>
    <cellStyle name="Millares 12 7 6" xfId="28669"/>
    <cellStyle name="Millares 12 7 6 2" xfId="45358"/>
    <cellStyle name="Millares 12 7 7" xfId="45337"/>
    <cellStyle name="Millares 12 8" xfId="28670"/>
    <cellStyle name="Millares 12 8 2" xfId="45359"/>
    <cellStyle name="Millares 12 9" xfId="28671"/>
    <cellStyle name="Millares 12 9 2" xfId="28672"/>
    <cellStyle name="Millares 12 9 2 2" xfId="28673"/>
    <cellStyle name="Millares 12 9 2 2 2" xfId="28674"/>
    <cellStyle name="Millares 12 9 2 2 2 2" xfId="45363"/>
    <cellStyle name="Millares 12 9 2 2 3" xfId="45362"/>
    <cellStyle name="Millares 12 9 2 3" xfId="28675"/>
    <cellStyle name="Millares 12 9 2 3 2" xfId="28676"/>
    <cellStyle name="Millares 12 9 2 3 2 2" xfId="45365"/>
    <cellStyle name="Millares 12 9 2 3 3" xfId="45364"/>
    <cellStyle name="Millares 12 9 2 4" xfId="28677"/>
    <cellStyle name="Millares 12 9 2 4 2" xfId="45366"/>
    <cellStyle name="Millares 12 9 2 5" xfId="45361"/>
    <cellStyle name="Millares 12 9 3" xfId="28678"/>
    <cellStyle name="Millares 12 9 3 2" xfId="45367"/>
    <cellStyle name="Millares 12 9 4" xfId="28679"/>
    <cellStyle name="Millares 12 9 4 2" xfId="28680"/>
    <cellStyle name="Millares 12 9 4 2 2" xfId="45369"/>
    <cellStyle name="Millares 12 9 4 3" xfId="45368"/>
    <cellStyle name="Millares 12 9 5" xfId="28681"/>
    <cellStyle name="Millares 12 9 5 2" xfId="45370"/>
    <cellStyle name="Millares 12 9 6" xfId="45360"/>
    <cellStyle name="Millares 12_Plan by Lob" xfId="28682"/>
    <cellStyle name="Millares 120" xfId="28683"/>
    <cellStyle name="Millares 120 2" xfId="28684"/>
    <cellStyle name="Millares 120 2 2" xfId="28685"/>
    <cellStyle name="Millares 120 2 2 2" xfId="28686"/>
    <cellStyle name="Millares 120 2 2 2 2" xfId="45374"/>
    <cellStyle name="Millares 120 2 2 3" xfId="45373"/>
    <cellStyle name="Millares 120 2 3" xfId="28687"/>
    <cellStyle name="Millares 120 2 3 2" xfId="45375"/>
    <cellStyle name="Millares 120 2 4" xfId="45372"/>
    <cellStyle name="Millares 120 3" xfId="28688"/>
    <cellStyle name="Millares 120 3 2" xfId="28689"/>
    <cellStyle name="Millares 120 3 2 2" xfId="28690"/>
    <cellStyle name="Millares 120 3 2 2 2" xfId="45378"/>
    <cellStyle name="Millares 120 3 2 3" xfId="45377"/>
    <cellStyle name="Millares 120 3 3" xfId="28691"/>
    <cellStyle name="Millares 120 3 3 2" xfId="45379"/>
    <cellStyle name="Millares 120 3 4" xfId="45376"/>
    <cellStyle name="Millares 120 4" xfId="28692"/>
    <cellStyle name="Millares 120 4 2" xfId="45380"/>
    <cellStyle name="Millares 120 5" xfId="28693"/>
    <cellStyle name="Millares 120 5 2" xfId="45381"/>
    <cellStyle name="Millares 120 6" xfId="45371"/>
    <cellStyle name="Millares 121" xfId="28694"/>
    <cellStyle name="Millares 121 2" xfId="28695"/>
    <cellStyle name="Millares 121 2 2" xfId="28696"/>
    <cellStyle name="Millares 121 2 2 2" xfId="28697"/>
    <cellStyle name="Millares 121 2 2 2 2" xfId="45385"/>
    <cellStyle name="Millares 121 2 2 3" xfId="45384"/>
    <cellStyle name="Millares 121 2 3" xfId="28698"/>
    <cellStyle name="Millares 121 2 3 2" xfId="45386"/>
    <cellStyle name="Millares 121 2 4" xfId="45383"/>
    <cellStyle name="Millares 121 3" xfId="28699"/>
    <cellStyle name="Millares 121 3 2" xfId="28700"/>
    <cellStyle name="Millares 121 3 2 2" xfId="28701"/>
    <cellStyle name="Millares 121 3 2 2 2" xfId="45389"/>
    <cellStyle name="Millares 121 3 2 3" xfId="45388"/>
    <cellStyle name="Millares 121 3 3" xfId="28702"/>
    <cellStyle name="Millares 121 3 3 2" xfId="45390"/>
    <cellStyle name="Millares 121 3 4" xfId="45387"/>
    <cellStyle name="Millares 121 4" xfId="28703"/>
    <cellStyle name="Millares 121 4 2" xfId="45391"/>
    <cellStyle name="Millares 121 5" xfId="28704"/>
    <cellStyle name="Millares 121 5 2" xfId="45392"/>
    <cellStyle name="Millares 121 6" xfId="45382"/>
    <cellStyle name="Millares 122" xfId="28705"/>
    <cellStyle name="Millares 122 2" xfId="28706"/>
    <cellStyle name="Millares 122 2 2" xfId="28707"/>
    <cellStyle name="Millares 122 2 2 2" xfId="28708"/>
    <cellStyle name="Millares 122 2 2 2 2" xfId="45396"/>
    <cellStyle name="Millares 122 2 2 3" xfId="45395"/>
    <cellStyle name="Millares 122 2 3" xfId="28709"/>
    <cellStyle name="Millares 122 2 3 2" xfId="45397"/>
    <cellStyle name="Millares 122 2 4" xfId="45394"/>
    <cellStyle name="Millares 122 3" xfId="28710"/>
    <cellStyle name="Millares 122 3 2" xfId="45398"/>
    <cellStyle name="Millares 122 4" xfId="28711"/>
    <cellStyle name="Millares 122 4 2" xfId="45399"/>
    <cellStyle name="Millares 122 5" xfId="45393"/>
    <cellStyle name="Millares 123" xfId="28712"/>
    <cellStyle name="Millares 123 2" xfId="28713"/>
    <cellStyle name="Millares 123 2 2" xfId="28714"/>
    <cellStyle name="Millares 123 2 2 2" xfId="45402"/>
    <cellStyle name="Millares 123 2 3" xfId="45401"/>
    <cellStyle name="Millares 123 3" xfId="28715"/>
    <cellStyle name="Millares 123 3 2" xfId="45403"/>
    <cellStyle name="Millares 123 4" xfId="45400"/>
    <cellStyle name="Millares 124" xfId="28716"/>
    <cellStyle name="Millares 124 2" xfId="28717"/>
    <cellStyle name="Millares 124 2 2" xfId="28718"/>
    <cellStyle name="Millares 124 2 2 2" xfId="45406"/>
    <cellStyle name="Millares 124 2 3" xfId="45405"/>
    <cellStyle name="Millares 124 3" xfId="28719"/>
    <cellStyle name="Millares 124 3 2" xfId="45407"/>
    <cellStyle name="Millares 124 4" xfId="45404"/>
    <cellStyle name="Millares 125" xfId="28720"/>
    <cellStyle name="Millares 125 2" xfId="28721"/>
    <cellStyle name="Millares 125 2 2" xfId="28722"/>
    <cellStyle name="Millares 125 2 2 2" xfId="45410"/>
    <cellStyle name="Millares 125 2 3" xfId="45409"/>
    <cellStyle name="Millares 125 3" xfId="28723"/>
    <cellStyle name="Millares 125 3 2" xfId="45411"/>
    <cellStyle name="Millares 125 4" xfId="45408"/>
    <cellStyle name="Millares 126" xfId="28724"/>
    <cellStyle name="Millares 126 2" xfId="28725"/>
    <cellStyle name="Millares 126 2 2" xfId="28726"/>
    <cellStyle name="Millares 126 2 2 2" xfId="45414"/>
    <cellStyle name="Millares 126 2 3" xfId="45413"/>
    <cellStyle name="Millares 126 3" xfId="28727"/>
    <cellStyle name="Millares 126 3 2" xfId="45415"/>
    <cellStyle name="Millares 126 4" xfId="45412"/>
    <cellStyle name="Millares 127" xfId="28728"/>
    <cellStyle name="Millares 127 2" xfId="28729"/>
    <cellStyle name="Millares 127 2 2" xfId="28730"/>
    <cellStyle name="Millares 127 2 2 2" xfId="45418"/>
    <cellStyle name="Millares 127 2 3" xfId="45417"/>
    <cellStyle name="Millares 127 3" xfId="28731"/>
    <cellStyle name="Millares 127 3 2" xfId="45419"/>
    <cellStyle name="Millares 127 4" xfId="45416"/>
    <cellStyle name="Millares 128" xfId="28732"/>
    <cellStyle name="Millares 128 2" xfId="28733"/>
    <cellStyle name="Millares 128 2 2" xfId="28734"/>
    <cellStyle name="Millares 128 2 2 2" xfId="45422"/>
    <cellStyle name="Millares 128 2 3" xfId="45421"/>
    <cellStyle name="Millares 128 3" xfId="28735"/>
    <cellStyle name="Millares 128 3 2" xfId="45423"/>
    <cellStyle name="Millares 128 4" xfId="45420"/>
    <cellStyle name="Millares 129" xfId="28736"/>
    <cellStyle name="Millares 129 2" xfId="28737"/>
    <cellStyle name="Millares 129 2 2" xfId="28738"/>
    <cellStyle name="Millares 129 2 2 2" xfId="45426"/>
    <cellStyle name="Millares 129 2 3" xfId="45425"/>
    <cellStyle name="Millares 129 3" xfId="28739"/>
    <cellStyle name="Millares 129 3 2" xfId="45427"/>
    <cellStyle name="Millares 129 4" xfId="45424"/>
    <cellStyle name="Millares 13" xfId="473"/>
    <cellStyle name="Millares 13 10" xfId="28741"/>
    <cellStyle name="Millares 13 10 2" xfId="28742"/>
    <cellStyle name="Millares 13 10 2 2" xfId="28743"/>
    <cellStyle name="Millares 13 10 2 2 2" xfId="45431"/>
    <cellStyle name="Millares 13 10 2 3" xfId="45430"/>
    <cellStyle name="Millares 13 10 3" xfId="28744"/>
    <cellStyle name="Millares 13 10 3 2" xfId="45432"/>
    <cellStyle name="Millares 13 10 4" xfId="45429"/>
    <cellStyle name="Millares 13 11" xfId="28745"/>
    <cellStyle name="Millares 13 11 2" xfId="28746"/>
    <cellStyle name="Millares 13 11 2 2" xfId="28747"/>
    <cellStyle name="Millares 13 11 2 2 2" xfId="45435"/>
    <cellStyle name="Millares 13 11 2 3" xfId="45434"/>
    <cellStyle name="Millares 13 11 3" xfId="28748"/>
    <cellStyle name="Millares 13 11 3 2" xfId="45436"/>
    <cellStyle name="Millares 13 11 4" xfId="45433"/>
    <cellStyle name="Millares 13 12" xfId="28749"/>
    <cellStyle name="Millares 13 12 2" xfId="28750"/>
    <cellStyle name="Millares 13 12 2 2" xfId="28751"/>
    <cellStyle name="Millares 13 12 2 2 2" xfId="45439"/>
    <cellStyle name="Millares 13 12 2 3" xfId="45438"/>
    <cellStyle name="Millares 13 12 3" xfId="28752"/>
    <cellStyle name="Millares 13 12 3 2" xfId="45440"/>
    <cellStyle name="Millares 13 12 4" xfId="45437"/>
    <cellStyle name="Millares 13 13" xfId="28753"/>
    <cellStyle name="Millares 13 13 2" xfId="28754"/>
    <cellStyle name="Millares 13 13 2 2" xfId="28755"/>
    <cellStyle name="Millares 13 13 2 2 2" xfId="45443"/>
    <cellStyle name="Millares 13 13 2 3" xfId="45442"/>
    <cellStyle name="Millares 13 13 3" xfId="28756"/>
    <cellStyle name="Millares 13 13 3 2" xfId="45444"/>
    <cellStyle name="Millares 13 13 4" xfId="45441"/>
    <cellStyle name="Millares 13 14" xfId="28757"/>
    <cellStyle name="Millares 13 14 2" xfId="28758"/>
    <cellStyle name="Millares 13 14 2 2" xfId="28759"/>
    <cellStyle name="Millares 13 14 2 2 2" xfId="45447"/>
    <cellStyle name="Millares 13 14 2 3" xfId="45446"/>
    <cellStyle name="Millares 13 14 3" xfId="28760"/>
    <cellStyle name="Millares 13 14 3 2" xfId="45448"/>
    <cellStyle name="Millares 13 14 4" xfId="45445"/>
    <cellStyle name="Millares 13 15" xfId="28761"/>
    <cellStyle name="Millares 13 15 2" xfId="28762"/>
    <cellStyle name="Millares 13 15 2 2" xfId="45450"/>
    <cellStyle name="Millares 13 15 3" xfId="45449"/>
    <cellStyle name="Millares 13 16" xfId="28763"/>
    <cellStyle name="Millares 13 16 2" xfId="28764"/>
    <cellStyle name="Millares 13 16 2 2" xfId="45452"/>
    <cellStyle name="Millares 13 16 3" xfId="45451"/>
    <cellStyle name="Millares 13 17" xfId="28765"/>
    <cellStyle name="Millares 13 17 2" xfId="45453"/>
    <cellStyle name="Millares 13 18" xfId="28766"/>
    <cellStyle name="Millares 13 18 2" xfId="45454"/>
    <cellStyle name="Millares 13 19" xfId="28767"/>
    <cellStyle name="Millares 13 2" xfId="474"/>
    <cellStyle name="Millares 13 2 10" xfId="28769"/>
    <cellStyle name="Millares 13 2 10 2" xfId="28770"/>
    <cellStyle name="Millares 13 2 10 2 2" xfId="28771"/>
    <cellStyle name="Millares 13 2 10 2 2 2" xfId="45458"/>
    <cellStyle name="Millares 13 2 10 2 3" xfId="45457"/>
    <cellStyle name="Millares 13 2 10 3" xfId="28772"/>
    <cellStyle name="Millares 13 2 10 3 2" xfId="45459"/>
    <cellStyle name="Millares 13 2 10 4" xfId="45456"/>
    <cellStyle name="Millares 13 2 11" xfId="28773"/>
    <cellStyle name="Millares 13 2 11 2" xfId="28774"/>
    <cellStyle name="Millares 13 2 11 2 2" xfId="28775"/>
    <cellStyle name="Millares 13 2 11 2 2 2" xfId="45462"/>
    <cellStyle name="Millares 13 2 11 2 3" xfId="45461"/>
    <cellStyle name="Millares 13 2 11 3" xfId="28776"/>
    <cellStyle name="Millares 13 2 11 3 2" xfId="45463"/>
    <cellStyle name="Millares 13 2 11 4" xfId="45460"/>
    <cellStyle name="Millares 13 2 12" xfId="28777"/>
    <cellStyle name="Millares 13 2 12 2" xfId="28778"/>
    <cellStyle name="Millares 13 2 12 2 2" xfId="45465"/>
    <cellStyle name="Millares 13 2 12 3" xfId="45464"/>
    <cellStyle name="Millares 13 2 13" xfId="28779"/>
    <cellStyle name="Millares 13 2 13 2" xfId="28780"/>
    <cellStyle name="Millares 13 2 13 2 2" xfId="45467"/>
    <cellStyle name="Millares 13 2 13 3" xfId="45466"/>
    <cellStyle name="Millares 13 2 14" xfId="28781"/>
    <cellStyle name="Millares 13 2 14 2" xfId="45468"/>
    <cellStyle name="Millares 13 2 15" xfId="28782"/>
    <cellStyle name="Millares 13 2 15 2" xfId="45469"/>
    <cellStyle name="Millares 13 2 16" xfId="28783"/>
    <cellStyle name="Millares 13 2 17" xfId="28768"/>
    <cellStyle name="Millares 13 2 18" xfId="45455"/>
    <cellStyle name="Millares 13 2 19" xfId="19989"/>
    <cellStyle name="Millares 13 2 2" xfId="475"/>
    <cellStyle name="Millares 13 2 2 10" xfId="28784"/>
    <cellStyle name="Millares 13 2 2 2" xfId="2287"/>
    <cellStyle name="Millares 13 2 2 2 2" xfId="5412"/>
    <cellStyle name="Millares 13 2 2 2 2 2" xfId="11615"/>
    <cellStyle name="Millares 13 2 2 2 2 2 2" xfId="28788"/>
    <cellStyle name="Millares 13 2 2 2 2 2 2 2" xfId="28789"/>
    <cellStyle name="Millares 13 2 2 2 2 2 2 2 2" xfId="45475"/>
    <cellStyle name="Millares 13 2 2 2 2 2 2 3" xfId="45474"/>
    <cellStyle name="Millares 13 2 2 2 2 2 3" xfId="28790"/>
    <cellStyle name="Millares 13 2 2 2 2 2 3 2" xfId="28791"/>
    <cellStyle name="Millares 13 2 2 2 2 2 3 2 2" xfId="45477"/>
    <cellStyle name="Millares 13 2 2 2 2 2 3 3" xfId="45476"/>
    <cellStyle name="Millares 13 2 2 2 2 2 4" xfId="28792"/>
    <cellStyle name="Millares 13 2 2 2 2 2 4 2" xfId="45478"/>
    <cellStyle name="Millares 13 2 2 2 2 2 5" xfId="45473"/>
    <cellStyle name="Millares 13 2 2 2 2 2 6" xfId="28787"/>
    <cellStyle name="Millares 13 2 2 2 2 3" xfId="17817"/>
    <cellStyle name="Millares 13 2 2 2 2 3 2" xfId="45479"/>
    <cellStyle name="Millares 13 2 2 2 2 3 3" xfId="28793"/>
    <cellStyle name="Millares 13 2 2 2 2 4" xfId="28794"/>
    <cellStyle name="Millares 13 2 2 2 2 4 2" xfId="28795"/>
    <cellStyle name="Millares 13 2 2 2 2 4 2 2" xfId="45481"/>
    <cellStyle name="Millares 13 2 2 2 2 4 3" xfId="45480"/>
    <cellStyle name="Millares 13 2 2 2 2 5" xfId="28796"/>
    <cellStyle name="Millares 13 2 2 2 2 5 2" xfId="45482"/>
    <cellStyle name="Millares 13 2 2 2 2 6" xfId="45472"/>
    <cellStyle name="Millares 13 2 2 2 2 7" xfId="56646"/>
    <cellStyle name="Millares 13 2 2 2 2 8" xfId="28786"/>
    <cellStyle name="Millares 13 2 2 2 3" xfId="8515"/>
    <cellStyle name="Millares 13 2 2 2 3 2" xfId="28798"/>
    <cellStyle name="Millares 13 2 2 2 3 2 2" xfId="28799"/>
    <cellStyle name="Millares 13 2 2 2 3 2 2 2" xfId="45485"/>
    <cellStyle name="Millares 13 2 2 2 3 2 3" xfId="45484"/>
    <cellStyle name="Millares 13 2 2 2 3 3" xfId="28800"/>
    <cellStyle name="Millares 13 2 2 2 3 3 2" xfId="28801"/>
    <cellStyle name="Millares 13 2 2 2 3 3 2 2" xfId="45487"/>
    <cellStyle name="Millares 13 2 2 2 3 3 3" xfId="45486"/>
    <cellStyle name="Millares 13 2 2 2 3 4" xfId="28802"/>
    <cellStyle name="Millares 13 2 2 2 3 4 2" xfId="45488"/>
    <cellStyle name="Millares 13 2 2 2 3 5" xfId="45483"/>
    <cellStyle name="Millares 13 2 2 2 3 6" xfId="28797"/>
    <cellStyle name="Millares 13 2 2 2 4" xfId="14717"/>
    <cellStyle name="Millares 13 2 2 2 4 2" xfId="45489"/>
    <cellStyle name="Millares 13 2 2 2 4 3" xfId="28803"/>
    <cellStyle name="Millares 13 2 2 2 5" xfId="28804"/>
    <cellStyle name="Millares 13 2 2 2 5 2" xfId="28805"/>
    <cellStyle name="Millares 13 2 2 2 5 2 2" xfId="45491"/>
    <cellStyle name="Millares 13 2 2 2 5 3" xfId="45490"/>
    <cellStyle name="Millares 13 2 2 2 6" xfId="28806"/>
    <cellStyle name="Millares 13 2 2 2 6 2" xfId="45492"/>
    <cellStyle name="Millares 13 2 2 2 7" xfId="45471"/>
    <cellStyle name="Millares 13 2 2 2 8" xfId="53750"/>
    <cellStyle name="Millares 13 2 2 2 9" xfId="28785"/>
    <cellStyle name="Millares 13 2 2 3" xfId="2682"/>
    <cellStyle name="Millares 13 2 2 3 2" xfId="5805"/>
    <cellStyle name="Millares 13 2 2 3 2 2" xfId="12008"/>
    <cellStyle name="Millares 13 2 2 3 2 2 2" xfId="28810"/>
    <cellStyle name="Millares 13 2 2 3 2 2 2 2" xfId="45496"/>
    <cellStyle name="Millares 13 2 2 3 2 2 3" xfId="45495"/>
    <cellStyle name="Millares 13 2 2 3 2 2 4" xfId="28809"/>
    <cellStyle name="Millares 13 2 2 3 2 3" xfId="18210"/>
    <cellStyle name="Millares 13 2 2 3 2 3 2" xfId="28812"/>
    <cellStyle name="Millares 13 2 2 3 2 3 2 2" xfId="45498"/>
    <cellStyle name="Millares 13 2 2 3 2 3 3" xfId="45497"/>
    <cellStyle name="Millares 13 2 2 3 2 3 4" xfId="28811"/>
    <cellStyle name="Millares 13 2 2 3 2 4" xfId="28813"/>
    <cellStyle name="Millares 13 2 2 3 2 4 2" xfId="45499"/>
    <cellStyle name="Millares 13 2 2 3 2 5" xfId="45494"/>
    <cellStyle name="Millares 13 2 2 3 2 6" xfId="28808"/>
    <cellStyle name="Millares 13 2 2 3 3" xfId="8908"/>
    <cellStyle name="Millares 13 2 2 3 3 2" xfId="45500"/>
    <cellStyle name="Millares 13 2 2 3 3 3" xfId="28814"/>
    <cellStyle name="Millares 13 2 2 3 4" xfId="15110"/>
    <cellStyle name="Millares 13 2 2 3 4 2" xfId="28816"/>
    <cellStyle name="Millares 13 2 2 3 4 2 2" xfId="45502"/>
    <cellStyle name="Millares 13 2 2 3 4 3" xfId="45501"/>
    <cellStyle name="Millares 13 2 2 3 4 4" xfId="28815"/>
    <cellStyle name="Millares 13 2 2 3 5" xfId="28817"/>
    <cellStyle name="Millares 13 2 2 3 5 2" xfId="45503"/>
    <cellStyle name="Millares 13 2 2 3 6" xfId="45493"/>
    <cellStyle name="Millares 13 2 2 3 7" xfId="28807"/>
    <cellStyle name="Millares 13 2 2 4" xfId="3733"/>
    <cellStyle name="Millares 13 2 2 4 2" xfId="9937"/>
    <cellStyle name="Millares 13 2 2 4 2 2" xfId="28820"/>
    <cellStyle name="Millares 13 2 2 4 2 2 2" xfId="45506"/>
    <cellStyle name="Millares 13 2 2 4 2 3" xfId="45505"/>
    <cellStyle name="Millares 13 2 2 4 2 4" xfId="28819"/>
    <cellStyle name="Millares 13 2 2 4 3" xfId="16139"/>
    <cellStyle name="Millares 13 2 2 4 3 2" xfId="28822"/>
    <cellStyle name="Millares 13 2 2 4 3 2 2" xfId="45508"/>
    <cellStyle name="Millares 13 2 2 4 3 3" xfId="45507"/>
    <cellStyle name="Millares 13 2 2 4 3 4" xfId="28821"/>
    <cellStyle name="Millares 13 2 2 4 4" xfId="28823"/>
    <cellStyle name="Millares 13 2 2 4 4 2" xfId="45509"/>
    <cellStyle name="Millares 13 2 2 4 5" xfId="45504"/>
    <cellStyle name="Millares 13 2 2 4 6" xfId="55110"/>
    <cellStyle name="Millares 13 2 2 4 7" xfId="28818"/>
    <cellStyle name="Millares 13 2 2 5" xfId="6836"/>
    <cellStyle name="Millares 13 2 2 5 2" xfId="19888"/>
    <cellStyle name="Millares 13 2 2 5 2 2" xfId="45510"/>
    <cellStyle name="Millares 13 2 2 5 3" xfId="28824"/>
    <cellStyle name="Millares 13 2 2 6" xfId="13038"/>
    <cellStyle name="Millares 13 2 2 6 2" xfId="28826"/>
    <cellStyle name="Millares 13 2 2 6 2 2" xfId="45512"/>
    <cellStyle name="Millares 13 2 2 6 3" xfId="45511"/>
    <cellStyle name="Millares 13 2 2 6 4" xfId="28825"/>
    <cellStyle name="Millares 13 2 2 7" xfId="28827"/>
    <cellStyle name="Millares 13 2 2 7 2" xfId="45513"/>
    <cellStyle name="Millares 13 2 2 8" xfId="45470"/>
    <cellStyle name="Millares 13 2 2 9" xfId="52397"/>
    <cellStyle name="Millares 13 2 3" xfId="1763"/>
    <cellStyle name="Millares 13 2 3 10" xfId="28828"/>
    <cellStyle name="Millares 13 2 3 2" xfId="4888"/>
    <cellStyle name="Millares 13 2 3 2 2" xfId="11091"/>
    <cellStyle name="Millares 13 2 3 2 2 2" xfId="28831"/>
    <cellStyle name="Millares 13 2 3 2 2 2 2" xfId="28832"/>
    <cellStyle name="Millares 13 2 3 2 2 2 2 2" xfId="28833"/>
    <cellStyle name="Millares 13 2 3 2 2 2 2 2 2" xfId="45519"/>
    <cellStyle name="Millares 13 2 3 2 2 2 2 3" xfId="45518"/>
    <cellStyle name="Millares 13 2 3 2 2 2 3" xfId="28834"/>
    <cellStyle name="Millares 13 2 3 2 2 2 3 2" xfId="28835"/>
    <cellStyle name="Millares 13 2 3 2 2 2 3 2 2" xfId="45521"/>
    <cellStyle name="Millares 13 2 3 2 2 2 3 3" xfId="45520"/>
    <cellStyle name="Millares 13 2 3 2 2 2 4" xfId="28836"/>
    <cellStyle name="Millares 13 2 3 2 2 2 4 2" xfId="45522"/>
    <cellStyle name="Millares 13 2 3 2 2 2 5" xfId="45517"/>
    <cellStyle name="Millares 13 2 3 2 2 3" xfId="28837"/>
    <cellStyle name="Millares 13 2 3 2 2 3 2" xfId="45523"/>
    <cellStyle name="Millares 13 2 3 2 2 4" xfId="28838"/>
    <cellStyle name="Millares 13 2 3 2 2 4 2" xfId="28839"/>
    <cellStyle name="Millares 13 2 3 2 2 4 2 2" xfId="45525"/>
    <cellStyle name="Millares 13 2 3 2 2 4 3" xfId="45524"/>
    <cellStyle name="Millares 13 2 3 2 2 5" xfId="28840"/>
    <cellStyle name="Millares 13 2 3 2 2 5 2" xfId="45526"/>
    <cellStyle name="Millares 13 2 3 2 2 6" xfId="45516"/>
    <cellStyle name="Millares 13 2 3 2 2 7" xfId="28830"/>
    <cellStyle name="Millares 13 2 3 2 3" xfId="17293"/>
    <cellStyle name="Millares 13 2 3 2 3 2" xfId="28842"/>
    <cellStyle name="Millares 13 2 3 2 3 2 2" xfId="28843"/>
    <cellStyle name="Millares 13 2 3 2 3 2 2 2" xfId="45529"/>
    <cellStyle name="Millares 13 2 3 2 3 2 3" xfId="45528"/>
    <cellStyle name="Millares 13 2 3 2 3 3" xfId="28844"/>
    <cellStyle name="Millares 13 2 3 2 3 3 2" xfId="28845"/>
    <cellStyle name="Millares 13 2 3 2 3 3 2 2" xfId="45531"/>
    <cellStyle name="Millares 13 2 3 2 3 3 3" xfId="45530"/>
    <cellStyle name="Millares 13 2 3 2 3 4" xfId="28846"/>
    <cellStyle name="Millares 13 2 3 2 3 4 2" xfId="45532"/>
    <cellStyle name="Millares 13 2 3 2 3 5" xfId="45527"/>
    <cellStyle name="Millares 13 2 3 2 3 6" xfId="28841"/>
    <cellStyle name="Millares 13 2 3 2 4" xfId="28847"/>
    <cellStyle name="Millares 13 2 3 2 4 2" xfId="45533"/>
    <cellStyle name="Millares 13 2 3 2 5" xfId="28848"/>
    <cellStyle name="Millares 13 2 3 2 5 2" xfId="28849"/>
    <cellStyle name="Millares 13 2 3 2 5 2 2" xfId="45535"/>
    <cellStyle name="Millares 13 2 3 2 5 3" xfId="45534"/>
    <cellStyle name="Millares 13 2 3 2 6" xfId="28850"/>
    <cellStyle name="Millares 13 2 3 2 6 2" xfId="45536"/>
    <cellStyle name="Millares 13 2 3 2 7" xfId="45515"/>
    <cellStyle name="Millares 13 2 3 2 8" xfId="56158"/>
    <cellStyle name="Millares 13 2 3 2 9" xfId="28829"/>
    <cellStyle name="Millares 13 2 3 3" xfId="7991"/>
    <cellStyle name="Millares 13 2 3 3 2" xfId="28852"/>
    <cellStyle name="Millares 13 2 3 3 2 2" xfId="28853"/>
    <cellStyle name="Millares 13 2 3 3 2 2 2" xfId="28854"/>
    <cellStyle name="Millares 13 2 3 3 2 2 2 2" xfId="45540"/>
    <cellStyle name="Millares 13 2 3 3 2 2 3" xfId="45539"/>
    <cellStyle name="Millares 13 2 3 3 2 3" xfId="28855"/>
    <cellStyle name="Millares 13 2 3 3 2 3 2" xfId="28856"/>
    <cellStyle name="Millares 13 2 3 3 2 3 2 2" xfId="45542"/>
    <cellStyle name="Millares 13 2 3 3 2 3 3" xfId="45541"/>
    <cellStyle name="Millares 13 2 3 3 2 4" xfId="28857"/>
    <cellStyle name="Millares 13 2 3 3 2 4 2" xfId="45543"/>
    <cellStyle name="Millares 13 2 3 3 2 5" xfId="45538"/>
    <cellStyle name="Millares 13 2 3 3 3" xfId="28858"/>
    <cellStyle name="Millares 13 2 3 3 3 2" xfId="45544"/>
    <cellStyle name="Millares 13 2 3 3 4" xfId="28859"/>
    <cellStyle name="Millares 13 2 3 3 4 2" xfId="28860"/>
    <cellStyle name="Millares 13 2 3 3 4 2 2" xfId="45546"/>
    <cellStyle name="Millares 13 2 3 3 4 3" xfId="45545"/>
    <cellStyle name="Millares 13 2 3 3 5" xfId="28861"/>
    <cellStyle name="Millares 13 2 3 3 5 2" xfId="45547"/>
    <cellStyle name="Millares 13 2 3 3 6" xfId="45537"/>
    <cellStyle name="Millares 13 2 3 3 7" xfId="28851"/>
    <cellStyle name="Millares 13 2 3 4" xfId="14193"/>
    <cellStyle name="Millares 13 2 3 4 2" xfId="28863"/>
    <cellStyle name="Millares 13 2 3 4 2 2" xfId="28864"/>
    <cellStyle name="Millares 13 2 3 4 2 2 2" xfId="45550"/>
    <cellStyle name="Millares 13 2 3 4 2 3" xfId="45549"/>
    <cellStyle name="Millares 13 2 3 4 3" xfId="28865"/>
    <cellStyle name="Millares 13 2 3 4 3 2" xfId="28866"/>
    <cellStyle name="Millares 13 2 3 4 3 2 2" xfId="45552"/>
    <cellStyle name="Millares 13 2 3 4 3 3" xfId="45551"/>
    <cellStyle name="Millares 13 2 3 4 4" xfId="28867"/>
    <cellStyle name="Millares 13 2 3 4 4 2" xfId="45553"/>
    <cellStyle name="Millares 13 2 3 4 5" xfId="45548"/>
    <cellStyle name="Millares 13 2 3 4 6" xfId="28862"/>
    <cellStyle name="Millares 13 2 3 5" xfId="28868"/>
    <cellStyle name="Millares 13 2 3 5 2" xfId="45554"/>
    <cellStyle name="Millares 13 2 3 6" xfId="28869"/>
    <cellStyle name="Millares 13 2 3 6 2" xfId="28870"/>
    <cellStyle name="Millares 13 2 3 6 2 2" xfId="45556"/>
    <cellStyle name="Millares 13 2 3 6 3" xfId="45555"/>
    <cellStyle name="Millares 13 2 3 7" xfId="28871"/>
    <cellStyle name="Millares 13 2 3 7 2" xfId="45557"/>
    <cellStyle name="Millares 13 2 3 8" xfId="45514"/>
    <cellStyle name="Millares 13 2 3 9" xfId="53265"/>
    <cellStyle name="Millares 13 2 4" xfId="2681"/>
    <cellStyle name="Millares 13 2 4 2" xfId="5804"/>
    <cellStyle name="Millares 13 2 4 2 2" xfId="12007"/>
    <cellStyle name="Millares 13 2 4 2 2 2" xfId="57037"/>
    <cellStyle name="Millares 13 2 4 2 3" xfId="18209"/>
    <cellStyle name="Millares 13 2 4 2 4" xfId="45558"/>
    <cellStyle name="Millares 13 2 4 3" xfId="8907"/>
    <cellStyle name="Millares 13 2 4 3 2" xfId="54143"/>
    <cellStyle name="Millares 13 2 4 4" xfId="15109"/>
    <cellStyle name="Millares 13 2 4 5" xfId="28872"/>
    <cellStyle name="Millares 13 2 5" xfId="3732"/>
    <cellStyle name="Millares 13 2 5 2" xfId="9936"/>
    <cellStyle name="Millares 13 2 5 2 2" xfId="28875"/>
    <cellStyle name="Millares 13 2 5 2 2 2" xfId="28876"/>
    <cellStyle name="Millares 13 2 5 2 2 2 2" xfId="28877"/>
    <cellStyle name="Millares 13 2 5 2 2 2 2 2" xfId="45563"/>
    <cellStyle name="Millares 13 2 5 2 2 2 3" xfId="45562"/>
    <cellStyle name="Millares 13 2 5 2 2 3" xfId="28878"/>
    <cellStyle name="Millares 13 2 5 2 2 3 2" xfId="28879"/>
    <cellStyle name="Millares 13 2 5 2 2 3 2 2" xfId="45565"/>
    <cellStyle name="Millares 13 2 5 2 2 3 3" xfId="45564"/>
    <cellStyle name="Millares 13 2 5 2 2 4" xfId="28880"/>
    <cellStyle name="Millares 13 2 5 2 2 4 2" xfId="45566"/>
    <cellStyle name="Millares 13 2 5 2 2 5" xfId="45561"/>
    <cellStyle name="Millares 13 2 5 2 3" xfId="28881"/>
    <cellStyle name="Millares 13 2 5 2 3 2" xfId="45567"/>
    <cellStyle name="Millares 13 2 5 2 4" xfId="28882"/>
    <cellStyle name="Millares 13 2 5 2 4 2" xfId="28883"/>
    <cellStyle name="Millares 13 2 5 2 4 2 2" xfId="45569"/>
    <cellStyle name="Millares 13 2 5 2 4 3" xfId="45568"/>
    <cellStyle name="Millares 13 2 5 2 5" xfId="28884"/>
    <cellStyle name="Millares 13 2 5 2 5 2" xfId="45570"/>
    <cellStyle name="Millares 13 2 5 2 6" xfId="45560"/>
    <cellStyle name="Millares 13 2 5 2 7" xfId="28874"/>
    <cellStyle name="Millares 13 2 5 3" xfId="16138"/>
    <cellStyle name="Millares 13 2 5 3 2" xfId="28886"/>
    <cellStyle name="Millares 13 2 5 3 2 2" xfId="28887"/>
    <cellStyle name="Millares 13 2 5 3 2 2 2" xfId="45573"/>
    <cellStyle name="Millares 13 2 5 3 2 3" xfId="45572"/>
    <cellStyle name="Millares 13 2 5 3 3" xfId="28888"/>
    <cellStyle name="Millares 13 2 5 3 3 2" xfId="28889"/>
    <cellStyle name="Millares 13 2 5 3 3 2 2" xfId="45575"/>
    <cellStyle name="Millares 13 2 5 3 3 3" xfId="45574"/>
    <cellStyle name="Millares 13 2 5 3 4" xfId="28890"/>
    <cellStyle name="Millares 13 2 5 3 4 2" xfId="45576"/>
    <cellStyle name="Millares 13 2 5 3 5" xfId="45571"/>
    <cellStyle name="Millares 13 2 5 3 6" xfId="28885"/>
    <cellStyle name="Millares 13 2 5 4" xfId="28891"/>
    <cellStyle name="Millares 13 2 5 4 2" xfId="45577"/>
    <cellStyle name="Millares 13 2 5 5" xfId="28892"/>
    <cellStyle name="Millares 13 2 5 5 2" xfId="28893"/>
    <cellStyle name="Millares 13 2 5 5 2 2" xfId="45579"/>
    <cellStyle name="Millares 13 2 5 5 3" xfId="45578"/>
    <cellStyle name="Millares 13 2 5 6" xfId="28894"/>
    <cellStyle name="Millares 13 2 5 6 2" xfId="45580"/>
    <cellStyle name="Millares 13 2 5 7" xfId="45559"/>
    <cellStyle name="Millares 13 2 5 8" xfId="55109"/>
    <cellStyle name="Millares 13 2 5 9" xfId="28873"/>
    <cellStyle name="Millares 13 2 6" xfId="6835"/>
    <cellStyle name="Millares 13 2 6 2" xfId="19364"/>
    <cellStyle name="Millares 13 2 6 2 2" xfId="45581"/>
    <cellStyle name="Millares 13 2 6 3" xfId="28895"/>
    <cellStyle name="Millares 13 2 7" xfId="13037"/>
    <cellStyle name="Millares 13 2 7 2" xfId="28897"/>
    <cellStyle name="Millares 13 2 7 2 2" xfId="28898"/>
    <cellStyle name="Millares 13 2 7 2 2 2" xfId="28899"/>
    <cellStyle name="Millares 13 2 7 2 2 2 2" xfId="45585"/>
    <cellStyle name="Millares 13 2 7 2 2 3" xfId="45584"/>
    <cellStyle name="Millares 13 2 7 2 3" xfId="28900"/>
    <cellStyle name="Millares 13 2 7 2 3 2" xfId="28901"/>
    <cellStyle name="Millares 13 2 7 2 3 2 2" xfId="45587"/>
    <cellStyle name="Millares 13 2 7 2 3 3" xfId="45586"/>
    <cellStyle name="Millares 13 2 7 2 4" xfId="28902"/>
    <cellStyle name="Millares 13 2 7 2 4 2" xfId="45588"/>
    <cellStyle name="Millares 13 2 7 2 5" xfId="45583"/>
    <cellStyle name="Millares 13 2 7 3" xfId="28903"/>
    <cellStyle name="Millares 13 2 7 3 2" xfId="45589"/>
    <cellStyle name="Millares 13 2 7 4" xfId="28904"/>
    <cellStyle name="Millares 13 2 7 4 2" xfId="28905"/>
    <cellStyle name="Millares 13 2 7 4 2 2" xfId="45591"/>
    <cellStyle name="Millares 13 2 7 4 3" xfId="45590"/>
    <cellStyle name="Millares 13 2 7 5" xfId="28906"/>
    <cellStyle name="Millares 13 2 7 5 2" xfId="45592"/>
    <cellStyle name="Millares 13 2 7 6" xfId="45582"/>
    <cellStyle name="Millares 13 2 7 7" xfId="28896"/>
    <cellStyle name="Millares 13 2 8" xfId="28907"/>
    <cellStyle name="Millares 13 2 8 2" xfId="28908"/>
    <cellStyle name="Millares 13 2 8 2 2" xfId="28909"/>
    <cellStyle name="Millares 13 2 8 2 2 2" xfId="45595"/>
    <cellStyle name="Millares 13 2 8 2 3" xfId="45594"/>
    <cellStyle name="Millares 13 2 8 3" xfId="28910"/>
    <cellStyle name="Millares 13 2 8 3 2" xfId="28911"/>
    <cellStyle name="Millares 13 2 8 3 2 2" xfId="45597"/>
    <cellStyle name="Millares 13 2 8 3 3" xfId="45596"/>
    <cellStyle name="Millares 13 2 8 4" xfId="28912"/>
    <cellStyle name="Millares 13 2 8 4 2" xfId="45598"/>
    <cellStyle name="Millares 13 2 8 5" xfId="45593"/>
    <cellStyle name="Millares 13 2 9" xfId="28913"/>
    <cellStyle name="Millares 13 2 9 2" xfId="28914"/>
    <cellStyle name="Millares 13 2 9 2 2" xfId="28915"/>
    <cellStyle name="Millares 13 2 9 2 2 2" xfId="45601"/>
    <cellStyle name="Millares 13 2 9 2 3" xfId="45600"/>
    <cellStyle name="Millares 13 2 9 3" xfId="28916"/>
    <cellStyle name="Millares 13 2 9 3 2" xfId="45602"/>
    <cellStyle name="Millares 13 2 9 4" xfId="45599"/>
    <cellStyle name="Millares 13 2_Reserva USgaap" xfId="28917"/>
    <cellStyle name="Millares 13 20" xfId="28740"/>
    <cellStyle name="Millares 13 21" xfId="45428"/>
    <cellStyle name="Millares 13 22" xfId="19917"/>
    <cellStyle name="Millares 13 3" xfId="476"/>
    <cellStyle name="Millares 13 3 10" xfId="28918"/>
    <cellStyle name="Millares 13 3 2" xfId="1900"/>
    <cellStyle name="Millares 13 3 2 2" xfId="5025"/>
    <cellStyle name="Millares 13 3 2 2 2" xfId="11228"/>
    <cellStyle name="Millares 13 3 2 2 2 2" xfId="28922"/>
    <cellStyle name="Millares 13 3 2 2 2 2 2" xfId="28923"/>
    <cellStyle name="Millares 13 3 2 2 2 2 2 2" xfId="45608"/>
    <cellStyle name="Millares 13 3 2 2 2 2 3" xfId="45607"/>
    <cellStyle name="Millares 13 3 2 2 2 3" xfId="28924"/>
    <cellStyle name="Millares 13 3 2 2 2 3 2" xfId="28925"/>
    <cellStyle name="Millares 13 3 2 2 2 3 2 2" xfId="45610"/>
    <cellStyle name="Millares 13 3 2 2 2 3 3" xfId="45609"/>
    <cellStyle name="Millares 13 3 2 2 2 4" xfId="28926"/>
    <cellStyle name="Millares 13 3 2 2 2 4 2" xfId="45611"/>
    <cellStyle name="Millares 13 3 2 2 2 5" xfId="45606"/>
    <cellStyle name="Millares 13 3 2 2 2 6" xfId="28921"/>
    <cellStyle name="Millares 13 3 2 2 3" xfId="17430"/>
    <cellStyle name="Millares 13 3 2 2 3 2" xfId="45612"/>
    <cellStyle name="Millares 13 3 2 2 3 3" xfId="28927"/>
    <cellStyle name="Millares 13 3 2 2 4" xfId="28928"/>
    <cellStyle name="Millares 13 3 2 2 4 2" xfId="28929"/>
    <cellStyle name="Millares 13 3 2 2 4 2 2" xfId="45614"/>
    <cellStyle name="Millares 13 3 2 2 4 3" xfId="45613"/>
    <cellStyle name="Millares 13 3 2 2 5" xfId="28930"/>
    <cellStyle name="Millares 13 3 2 2 5 2" xfId="45615"/>
    <cellStyle name="Millares 13 3 2 2 6" xfId="45605"/>
    <cellStyle name="Millares 13 3 2 2 7" xfId="56286"/>
    <cellStyle name="Millares 13 3 2 2 8" xfId="28920"/>
    <cellStyle name="Millares 13 3 2 3" xfId="8128"/>
    <cellStyle name="Millares 13 3 2 3 2" xfId="28932"/>
    <cellStyle name="Millares 13 3 2 3 2 2" xfId="28933"/>
    <cellStyle name="Millares 13 3 2 3 2 2 2" xfId="45618"/>
    <cellStyle name="Millares 13 3 2 3 2 3" xfId="45617"/>
    <cellStyle name="Millares 13 3 2 3 3" xfId="28934"/>
    <cellStyle name="Millares 13 3 2 3 3 2" xfId="28935"/>
    <cellStyle name="Millares 13 3 2 3 3 2 2" xfId="45620"/>
    <cellStyle name="Millares 13 3 2 3 3 3" xfId="45619"/>
    <cellStyle name="Millares 13 3 2 3 4" xfId="28936"/>
    <cellStyle name="Millares 13 3 2 3 4 2" xfId="45621"/>
    <cellStyle name="Millares 13 3 2 3 5" xfId="45616"/>
    <cellStyle name="Millares 13 3 2 3 6" xfId="28931"/>
    <cellStyle name="Millares 13 3 2 4" xfId="14330"/>
    <cellStyle name="Millares 13 3 2 4 2" xfId="45622"/>
    <cellStyle name="Millares 13 3 2 4 3" xfId="28937"/>
    <cellStyle name="Millares 13 3 2 5" xfId="28938"/>
    <cellStyle name="Millares 13 3 2 5 2" xfId="28939"/>
    <cellStyle name="Millares 13 3 2 5 2 2" xfId="45624"/>
    <cellStyle name="Millares 13 3 2 5 3" xfId="45623"/>
    <cellStyle name="Millares 13 3 2 6" xfId="28940"/>
    <cellStyle name="Millares 13 3 2 6 2" xfId="45625"/>
    <cellStyle name="Millares 13 3 2 7" xfId="45604"/>
    <cellStyle name="Millares 13 3 2 8" xfId="53392"/>
    <cellStyle name="Millares 13 3 2 9" xfId="28919"/>
    <cellStyle name="Millares 13 3 3" xfId="2683"/>
    <cellStyle name="Millares 13 3 3 2" xfId="5806"/>
    <cellStyle name="Millares 13 3 3 2 2" xfId="12009"/>
    <cellStyle name="Millares 13 3 3 2 2 2" xfId="28944"/>
    <cellStyle name="Millares 13 3 3 2 2 2 2" xfId="45629"/>
    <cellStyle name="Millares 13 3 3 2 2 3" xfId="45628"/>
    <cellStyle name="Millares 13 3 3 2 2 4" xfId="28943"/>
    <cellStyle name="Millares 13 3 3 2 3" xfId="18211"/>
    <cellStyle name="Millares 13 3 3 2 3 2" xfId="28946"/>
    <cellStyle name="Millares 13 3 3 2 3 2 2" xfId="45631"/>
    <cellStyle name="Millares 13 3 3 2 3 3" xfId="45630"/>
    <cellStyle name="Millares 13 3 3 2 3 4" xfId="28945"/>
    <cellStyle name="Millares 13 3 3 2 4" xfId="28947"/>
    <cellStyle name="Millares 13 3 3 2 4 2" xfId="45632"/>
    <cellStyle name="Millares 13 3 3 2 5" xfId="45627"/>
    <cellStyle name="Millares 13 3 3 2 6" xfId="28942"/>
    <cellStyle name="Millares 13 3 3 3" xfId="8909"/>
    <cellStyle name="Millares 13 3 3 3 2" xfId="45633"/>
    <cellStyle name="Millares 13 3 3 3 3" xfId="28948"/>
    <cellStyle name="Millares 13 3 3 4" xfId="15111"/>
    <cellStyle name="Millares 13 3 3 4 2" xfId="28950"/>
    <cellStyle name="Millares 13 3 3 4 2 2" xfId="45635"/>
    <cellStyle name="Millares 13 3 3 4 3" xfId="45634"/>
    <cellStyle name="Millares 13 3 3 4 4" xfId="28949"/>
    <cellStyle name="Millares 13 3 3 5" xfId="28951"/>
    <cellStyle name="Millares 13 3 3 5 2" xfId="45636"/>
    <cellStyle name="Millares 13 3 3 6" xfId="45626"/>
    <cellStyle name="Millares 13 3 3 7" xfId="28941"/>
    <cellStyle name="Millares 13 3 4" xfId="3734"/>
    <cellStyle name="Millares 13 3 4 2" xfId="9938"/>
    <cellStyle name="Millares 13 3 4 2 2" xfId="28954"/>
    <cellStyle name="Millares 13 3 4 2 2 2" xfId="45639"/>
    <cellStyle name="Millares 13 3 4 2 3" xfId="45638"/>
    <cellStyle name="Millares 13 3 4 2 4" xfId="28953"/>
    <cellStyle name="Millares 13 3 4 3" xfId="16140"/>
    <cellStyle name="Millares 13 3 4 3 2" xfId="28956"/>
    <cellStyle name="Millares 13 3 4 3 2 2" xfId="45641"/>
    <cellStyle name="Millares 13 3 4 3 3" xfId="45640"/>
    <cellStyle name="Millares 13 3 4 3 4" xfId="28955"/>
    <cellStyle name="Millares 13 3 4 4" xfId="28957"/>
    <cellStyle name="Millares 13 3 4 4 2" xfId="45642"/>
    <cellStyle name="Millares 13 3 4 5" xfId="45637"/>
    <cellStyle name="Millares 13 3 4 6" xfId="55111"/>
    <cellStyle name="Millares 13 3 4 7" xfId="28952"/>
    <cellStyle name="Millares 13 3 5" xfId="6837"/>
    <cellStyle name="Millares 13 3 5 2" xfId="19501"/>
    <cellStyle name="Millares 13 3 5 2 2" xfId="45643"/>
    <cellStyle name="Millares 13 3 5 3" xfId="28958"/>
    <cellStyle name="Millares 13 3 6" xfId="13039"/>
    <cellStyle name="Millares 13 3 6 2" xfId="28960"/>
    <cellStyle name="Millares 13 3 6 2 2" xfId="45645"/>
    <cellStyle name="Millares 13 3 6 3" xfId="45644"/>
    <cellStyle name="Millares 13 3 6 4" xfId="28959"/>
    <cellStyle name="Millares 13 3 7" xfId="28961"/>
    <cellStyle name="Millares 13 3 7 2" xfId="45646"/>
    <cellStyle name="Millares 13 3 8" xfId="45603"/>
    <cellStyle name="Millares 13 3 9" xfId="52398"/>
    <cellStyle name="Millares 13 4" xfId="1376"/>
    <cellStyle name="Millares 13 4 10" xfId="28962"/>
    <cellStyle name="Millares 13 4 2" xfId="4501"/>
    <cellStyle name="Millares 13 4 2 2" xfId="10704"/>
    <cellStyle name="Millares 13 4 2 2 2" xfId="28965"/>
    <cellStyle name="Millares 13 4 2 2 2 2" xfId="28966"/>
    <cellStyle name="Millares 13 4 2 2 2 2 2" xfId="28967"/>
    <cellStyle name="Millares 13 4 2 2 2 2 2 2" xfId="45652"/>
    <cellStyle name="Millares 13 4 2 2 2 2 3" xfId="45651"/>
    <cellStyle name="Millares 13 4 2 2 2 3" xfId="28968"/>
    <cellStyle name="Millares 13 4 2 2 2 3 2" xfId="28969"/>
    <cellStyle name="Millares 13 4 2 2 2 3 2 2" xfId="45654"/>
    <cellStyle name="Millares 13 4 2 2 2 3 3" xfId="45653"/>
    <cellStyle name="Millares 13 4 2 2 2 4" xfId="28970"/>
    <cellStyle name="Millares 13 4 2 2 2 4 2" xfId="45655"/>
    <cellStyle name="Millares 13 4 2 2 2 5" xfId="45650"/>
    <cellStyle name="Millares 13 4 2 2 3" xfId="28971"/>
    <cellStyle name="Millares 13 4 2 2 3 2" xfId="45656"/>
    <cellStyle name="Millares 13 4 2 2 4" xfId="28972"/>
    <cellStyle name="Millares 13 4 2 2 4 2" xfId="28973"/>
    <cellStyle name="Millares 13 4 2 2 4 2 2" xfId="45658"/>
    <cellStyle name="Millares 13 4 2 2 4 3" xfId="45657"/>
    <cellStyle name="Millares 13 4 2 2 5" xfId="28974"/>
    <cellStyle name="Millares 13 4 2 2 5 2" xfId="45659"/>
    <cellStyle name="Millares 13 4 2 2 6" xfId="45649"/>
    <cellStyle name="Millares 13 4 2 2 7" xfId="28964"/>
    <cellStyle name="Millares 13 4 2 3" xfId="16906"/>
    <cellStyle name="Millares 13 4 2 3 2" xfId="28976"/>
    <cellStyle name="Millares 13 4 2 3 2 2" xfId="28977"/>
    <cellStyle name="Millares 13 4 2 3 2 2 2" xfId="45662"/>
    <cellStyle name="Millares 13 4 2 3 2 3" xfId="45661"/>
    <cellStyle name="Millares 13 4 2 3 3" xfId="28978"/>
    <cellStyle name="Millares 13 4 2 3 3 2" xfId="28979"/>
    <cellStyle name="Millares 13 4 2 3 3 2 2" xfId="45664"/>
    <cellStyle name="Millares 13 4 2 3 3 3" xfId="45663"/>
    <cellStyle name="Millares 13 4 2 3 4" xfId="28980"/>
    <cellStyle name="Millares 13 4 2 3 4 2" xfId="45665"/>
    <cellStyle name="Millares 13 4 2 3 5" xfId="45660"/>
    <cellStyle name="Millares 13 4 2 3 6" xfId="28975"/>
    <cellStyle name="Millares 13 4 2 4" xfId="28981"/>
    <cellStyle name="Millares 13 4 2 4 2" xfId="45666"/>
    <cellStyle name="Millares 13 4 2 5" xfId="28982"/>
    <cellStyle name="Millares 13 4 2 5 2" xfId="28983"/>
    <cellStyle name="Millares 13 4 2 5 2 2" xfId="45668"/>
    <cellStyle name="Millares 13 4 2 5 3" xfId="45667"/>
    <cellStyle name="Millares 13 4 2 6" xfId="28984"/>
    <cellStyle name="Millares 13 4 2 6 2" xfId="45669"/>
    <cellStyle name="Millares 13 4 2 7" xfId="45648"/>
    <cellStyle name="Millares 13 4 2 8" xfId="55790"/>
    <cellStyle name="Millares 13 4 2 9" xfId="28963"/>
    <cellStyle name="Millares 13 4 3" xfId="7604"/>
    <cellStyle name="Millares 13 4 3 2" xfId="28986"/>
    <cellStyle name="Millares 13 4 3 2 2" xfId="28987"/>
    <cellStyle name="Millares 13 4 3 2 2 2" xfId="28988"/>
    <cellStyle name="Millares 13 4 3 2 2 2 2" xfId="45673"/>
    <cellStyle name="Millares 13 4 3 2 2 3" xfId="45672"/>
    <cellStyle name="Millares 13 4 3 2 3" xfId="28989"/>
    <cellStyle name="Millares 13 4 3 2 3 2" xfId="28990"/>
    <cellStyle name="Millares 13 4 3 2 3 2 2" xfId="45675"/>
    <cellStyle name="Millares 13 4 3 2 3 3" xfId="45674"/>
    <cellStyle name="Millares 13 4 3 2 4" xfId="28991"/>
    <cellStyle name="Millares 13 4 3 2 4 2" xfId="45676"/>
    <cellStyle name="Millares 13 4 3 2 5" xfId="45671"/>
    <cellStyle name="Millares 13 4 3 3" xfId="28992"/>
    <cellStyle name="Millares 13 4 3 3 2" xfId="45677"/>
    <cellStyle name="Millares 13 4 3 4" xfId="28993"/>
    <cellStyle name="Millares 13 4 3 4 2" xfId="28994"/>
    <cellStyle name="Millares 13 4 3 4 2 2" xfId="45679"/>
    <cellStyle name="Millares 13 4 3 4 3" xfId="45678"/>
    <cellStyle name="Millares 13 4 3 5" xfId="28995"/>
    <cellStyle name="Millares 13 4 3 5 2" xfId="45680"/>
    <cellStyle name="Millares 13 4 3 6" xfId="45670"/>
    <cellStyle name="Millares 13 4 3 7" xfId="28985"/>
    <cellStyle name="Millares 13 4 4" xfId="13806"/>
    <cellStyle name="Millares 13 4 4 2" xfId="28997"/>
    <cellStyle name="Millares 13 4 4 2 2" xfId="28998"/>
    <cellStyle name="Millares 13 4 4 2 2 2" xfId="45683"/>
    <cellStyle name="Millares 13 4 4 2 3" xfId="45682"/>
    <cellStyle name="Millares 13 4 4 3" xfId="28999"/>
    <cellStyle name="Millares 13 4 4 3 2" xfId="29000"/>
    <cellStyle name="Millares 13 4 4 3 2 2" xfId="45685"/>
    <cellStyle name="Millares 13 4 4 3 3" xfId="45684"/>
    <cellStyle name="Millares 13 4 4 4" xfId="29001"/>
    <cellStyle name="Millares 13 4 4 4 2" xfId="45686"/>
    <cellStyle name="Millares 13 4 4 5" xfId="45681"/>
    <cellStyle name="Millares 13 4 4 6" xfId="28996"/>
    <cellStyle name="Millares 13 4 5" xfId="29002"/>
    <cellStyle name="Millares 13 4 5 2" xfId="45687"/>
    <cellStyle name="Millares 13 4 6" xfId="29003"/>
    <cellStyle name="Millares 13 4 6 2" xfId="29004"/>
    <cellStyle name="Millares 13 4 6 2 2" xfId="45689"/>
    <cellStyle name="Millares 13 4 6 3" xfId="45688"/>
    <cellStyle name="Millares 13 4 7" xfId="29005"/>
    <cellStyle name="Millares 13 4 7 2" xfId="45690"/>
    <cellStyle name="Millares 13 4 8" xfId="45647"/>
    <cellStyle name="Millares 13 4 9" xfId="52914"/>
    <cellStyle name="Millares 13 5" xfId="2680"/>
    <cellStyle name="Millares 13 5 2" xfId="5803"/>
    <cellStyle name="Millares 13 5 2 2" xfId="12006"/>
    <cellStyle name="Millares 13 5 2 2 2" xfId="57036"/>
    <cellStyle name="Millares 13 5 2 3" xfId="18208"/>
    <cellStyle name="Millares 13 5 2 4" xfId="45691"/>
    <cellStyle name="Millares 13 5 3" xfId="8906"/>
    <cellStyle name="Millares 13 5 3 2" xfId="54142"/>
    <cellStyle name="Millares 13 5 4" xfId="15108"/>
    <cellStyle name="Millares 13 5 5" xfId="29006"/>
    <cellStyle name="Millares 13 6" xfId="3731"/>
    <cellStyle name="Millares 13 6 2" xfId="9935"/>
    <cellStyle name="Millares 13 6 2 2" xfId="29009"/>
    <cellStyle name="Millares 13 6 2 2 2" xfId="29010"/>
    <cellStyle name="Millares 13 6 2 2 2 2" xfId="29011"/>
    <cellStyle name="Millares 13 6 2 2 2 2 2" xfId="45696"/>
    <cellStyle name="Millares 13 6 2 2 2 3" xfId="45695"/>
    <cellStyle name="Millares 13 6 2 2 3" xfId="29012"/>
    <cellStyle name="Millares 13 6 2 2 3 2" xfId="29013"/>
    <cellStyle name="Millares 13 6 2 2 3 2 2" xfId="45698"/>
    <cellStyle name="Millares 13 6 2 2 3 3" xfId="45697"/>
    <cellStyle name="Millares 13 6 2 2 4" xfId="29014"/>
    <cellStyle name="Millares 13 6 2 2 4 2" xfId="45699"/>
    <cellStyle name="Millares 13 6 2 2 5" xfId="45694"/>
    <cellStyle name="Millares 13 6 2 3" xfId="29015"/>
    <cellStyle name="Millares 13 6 2 3 2" xfId="45700"/>
    <cellStyle name="Millares 13 6 2 4" xfId="29016"/>
    <cellStyle name="Millares 13 6 2 4 2" xfId="29017"/>
    <cellStyle name="Millares 13 6 2 4 2 2" xfId="45702"/>
    <cellStyle name="Millares 13 6 2 4 3" xfId="45701"/>
    <cellStyle name="Millares 13 6 2 5" xfId="29018"/>
    <cellStyle name="Millares 13 6 2 5 2" xfId="45703"/>
    <cellStyle name="Millares 13 6 2 6" xfId="45693"/>
    <cellStyle name="Millares 13 6 2 7" xfId="29008"/>
    <cellStyle name="Millares 13 6 3" xfId="16137"/>
    <cellStyle name="Millares 13 6 3 2" xfId="29020"/>
    <cellStyle name="Millares 13 6 3 2 2" xfId="29021"/>
    <cellStyle name="Millares 13 6 3 2 2 2" xfId="45706"/>
    <cellStyle name="Millares 13 6 3 2 3" xfId="45705"/>
    <cellStyle name="Millares 13 6 3 3" xfId="29022"/>
    <cellStyle name="Millares 13 6 3 3 2" xfId="29023"/>
    <cellStyle name="Millares 13 6 3 3 2 2" xfId="45708"/>
    <cellStyle name="Millares 13 6 3 3 3" xfId="45707"/>
    <cellStyle name="Millares 13 6 3 4" xfId="29024"/>
    <cellStyle name="Millares 13 6 3 4 2" xfId="45709"/>
    <cellStyle name="Millares 13 6 3 5" xfId="45704"/>
    <cellStyle name="Millares 13 6 3 6" xfId="29019"/>
    <cellStyle name="Millares 13 6 4" xfId="29025"/>
    <cellStyle name="Millares 13 6 4 2" xfId="45710"/>
    <cellStyle name="Millares 13 6 5" xfId="29026"/>
    <cellStyle name="Millares 13 6 5 2" xfId="29027"/>
    <cellStyle name="Millares 13 6 5 2 2" xfId="45712"/>
    <cellStyle name="Millares 13 6 5 3" xfId="45711"/>
    <cellStyle name="Millares 13 6 6" xfId="29028"/>
    <cellStyle name="Millares 13 6 6 2" xfId="45713"/>
    <cellStyle name="Millares 13 6 7" xfId="45692"/>
    <cellStyle name="Millares 13 6 8" xfId="55108"/>
    <cellStyle name="Millares 13 6 9" xfId="29007"/>
    <cellStyle name="Millares 13 7" xfId="6834"/>
    <cellStyle name="Millares 13 7 2" xfId="18977"/>
    <cellStyle name="Millares 13 7 2 2" xfId="45714"/>
    <cellStyle name="Millares 13 7 3" xfId="29029"/>
    <cellStyle name="Millares 13 8" xfId="13036"/>
    <cellStyle name="Millares 13 8 2" xfId="29031"/>
    <cellStyle name="Millares 13 8 2 2" xfId="29032"/>
    <cellStyle name="Millares 13 8 2 2 2" xfId="29033"/>
    <cellStyle name="Millares 13 8 2 2 2 2" xfId="45718"/>
    <cellStyle name="Millares 13 8 2 2 3" xfId="45717"/>
    <cellStyle name="Millares 13 8 2 3" xfId="29034"/>
    <cellStyle name="Millares 13 8 2 3 2" xfId="29035"/>
    <cellStyle name="Millares 13 8 2 3 2 2" xfId="45720"/>
    <cellStyle name="Millares 13 8 2 3 3" xfId="45719"/>
    <cellStyle name="Millares 13 8 2 4" xfId="29036"/>
    <cellStyle name="Millares 13 8 2 4 2" xfId="45721"/>
    <cellStyle name="Millares 13 8 2 5" xfId="45716"/>
    <cellStyle name="Millares 13 8 3" xfId="29037"/>
    <cellStyle name="Millares 13 8 3 2" xfId="45722"/>
    <cellStyle name="Millares 13 8 4" xfId="29038"/>
    <cellStyle name="Millares 13 8 4 2" xfId="29039"/>
    <cellStyle name="Millares 13 8 4 2 2" xfId="45724"/>
    <cellStyle name="Millares 13 8 4 3" xfId="45723"/>
    <cellStyle name="Millares 13 8 5" xfId="29040"/>
    <cellStyle name="Millares 13 8 5 2" xfId="45725"/>
    <cellStyle name="Millares 13 8 6" xfId="45715"/>
    <cellStyle name="Millares 13 8 7" xfId="29030"/>
    <cellStyle name="Millares 13 9" xfId="29041"/>
    <cellStyle name="Millares 13 9 2" xfId="29042"/>
    <cellStyle name="Millares 13 9 2 2" xfId="29043"/>
    <cellStyle name="Millares 13 9 2 2 2" xfId="45728"/>
    <cellStyle name="Millares 13 9 2 3" xfId="45727"/>
    <cellStyle name="Millares 13 9 3" xfId="29044"/>
    <cellStyle name="Millares 13 9 3 2" xfId="29045"/>
    <cellStyle name="Millares 13 9 3 2 2" xfId="45730"/>
    <cellStyle name="Millares 13 9 3 3" xfId="45729"/>
    <cellStyle name="Millares 13 9 4" xfId="29046"/>
    <cellStyle name="Millares 13 9 4 2" xfId="45731"/>
    <cellStyle name="Millares 13 9 5" xfId="45726"/>
    <cellStyle name="Millares 13_Plan by Lob" xfId="29047"/>
    <cellStyle name="Millares 130" xfId="29048"/>
    <cellStyle name="Millares 130 2" xfId="45732"/>
    <cellStyle name="Millares 131" xfId="29049"/>
    <cellStyle name="Millares 131 2" xfId="29050"/>
    <cellStyle name="Millares 131 2 2" xfId="29051"/>
    <cellStyle name="Millares 131 2 2 2" xfId="45735"/>
    <cellStyle name="Millares 131 2 3" xfId="45734"/>
    <cellStyle name="Millares 131 3" xfId="29052"/>
    <cellStyle name="Millares 131 3 2" xfId="45736"/>
    <cellStyle name="Millares 131 4" xfId="45733"/>
    <cellStyle name="Millares 132" xfId="29053"/>
    <cellStyle name="Millares 132 2" xfId="29054"/>
    <cellStyle name="Millares 132 2 2" xfId="29055"/>
    <cellStyle name="Millares 132 2 2 2" xfId="45739"/>
    <cellStyle name="Millares 132 2 3" xfId="45738"/>
    <cellStyle name="Millares 132 3" xfId="29056"/>
    <cellStyle name="Millares 132 3 2" xfId="45740"/>
    <cellStyle name="Millares 132 4" xfId="45737"/>
    <cellStyle name="Millares 133" xfId="29057"/>
    <cellStyle name="Millares 133 2" xfId="29058"/>
    <cellStyle name="Millares 133 2 2" xfId="29059"/>
    <cellStyle name="Millares 133 2 2 2" xfId="45743"/>
    <cellStyle name="Millares 133 2 3" xfId="45742"/>
    <cellStyle name="Millares 133 3" xfId="29060"/>
    <cellStyle name="Millares 133 3 2" xfId="45744"/>
    <cellStyle name="Millares 133 4" xfId="45741"/>
    <cellStyle name="Millares 134" xfId="29061"/>
    <cellStyle name="Millares 134 2" xfId="29062"/>
    <cellStyle name="Millares 134 2 2" xfId="29063"/>
    <cellStyle name="Millares 134 2 2 2" xfId="45747"/>
    <cellStyle name="Millares 134 2 3" xfId="45746"/>
    <cellStyle name="Millares 134 3" xfId="29064"/>
    <cellStyle name="Millares 134 3 2" xfId="45748"/>
    <cellStyle name="Millares 134 4" xfId="45745"/>
    <cellStyle name="Millares 135" xfId="29065"/>
    <cellStyle name="Millares 135 2" xfId="29066"/>
    <cellStyle name="Millares 135 2 2" xfId="29067"/>
    <cellStyle name="Millares 135 2 2 2" xfId="45751"/>
    <cellStyle name="Millares 135 2 3" xfId="45750"/>
    <cellStyle name="Millares 135 3" xfId="29068"/>
    <cellStyle name="Millares 135 3 2" xfId="45752"/>
    <cellStyle name="Millares 135 4" xfId="45749"/>
    <cellStyle name="Millares 136" xfId="29069"/>
    <cellStyle name="Millares 136 2" xfId="29070"/>
    <cellStyle name="Millares 136 2 2" xfId="29071"/>
    <cellStyle name="Millares 136 2 2 2" xfId="45755"/>
    <cellStyle name="Millares 136 2 3" xfId="45754"/>
    <cellStyle name="Millares 136 3" xfId="29072"/>
    <cellStyle name="Millares 136 3 2" xfId="45756"/>
    <cellStyle name="Millares 136 4" xfId="45753"/>
    <cellStyle name="Millares 137" xfId="29073"/>
    <cellStyle name="Millares 137 2" xfId="29074"/>
    <cellStyle name="Millares 137 2 2" xfId="29075"/>
    <cellStyle name="Millares 137 2 2 2" xfId="45759"/>
    <cellStyle name="Millares 137 2 3" xfId="45758"/>
    <cellStyle name="Millares 137 3" xfId="29076"/>
    <cellStyle name="Millares 137 3 2" xfId="45760"/>
    <cellStyle name="Millares 137 4" xfId="45757"/>
    <cellStyle name="Millares 138" xfId="29077"/>
    <cellStyle name="Millares 138 2" xfId="45761"/>
    <cellStyle name="Millares 139" xfId="29078"/>
    <cellStyle name="Millares 139 2" xfId="29079"/>
    <cellStyle name="Millares 139 2 2" xfId="29080"/>
    <cellStyle name="Millares 139 2 2 2" xfId="45764"/>
    <cellStyle name="Millares 139 2 3" xfId="45763"/>
    <cellStyle name="Millares 139 3" xfId="29081"/>
    <cellStyle name="Millares 139 3 2" xfId="45765"/>
    <cellStyle name="Millares 139 4" xfId="45762"/>
    <cellStyle name="Millares 14" xfId="477"/>
    <cellStyle name="Millares 14 2" xfId="478"/>
    <cellStyle name="Millares 14 2 2" xfId="479"/>
    <cellStyle name="Millares 14 2 2 2" xfId="2181"/>
    <cellStyle name="Millares 14 2 2 2 2" xfId="5306"/>
    <cellStyle name="Millares 14 2 2 2 2 2" xfId="11509"/>
    <cellStyle name="Millares 14 2 2 2 2 3" xfId="17711"/>
    <cellStyle name="Millares 14 2 2 2 2 4" xfId="56548"/>
    <cellStyle name="Millares 14 2 2 2 3" xfId="8409"/>
    <cellStyle name="Millares 14 2 2 2 4" xfId="14611"/>
    <cellStyle name="Millares 14 2 2 2 5" xfId="53652"/>
    <cellStyle name="Millares 14 2 2 3" xfId="2686"/>
    <cellStyle name="Millares 14 2 2 3 2" xfId="5809"/>
    <cellStyle name="Millares 14 2 2 3 2 2" xfId="12012"/>
    <cellStyle name="Millares 14 2 2 3 2 3" xfId="18214"/>
    <cellStyle name="Millares 14 2 2 3 2 4" xfId="57040"/>
    <cellStyle name="Millares 14 2 2 3 3" xfId="8912"/>
    <cellStyle name="Millares 14 2 2 3 4" xfId="15114"/>
    <cellStyle name="Millares 14 2 2 3 5" xfId="54146"/>
    <cellStyle name="Millares 14 2 2 4" xfId="3737"/>
    <cellStyle name="Millares 14 2 2 4 2" xfId="9941"/>
    <cellStyle name="Millares 14 2 2 4 3" xfId="16143"/>
    <cellStyle name="Millares 14 2 2 4 4" xfId="55114"/>
    <cellStyle name="Millares 14 2 2 5" xfId="6840"/>
    <cellStyle name="Millares 14 2 2 5 2" xfId="19782"/>
    <cellStyle name="Millares 14 2 2 5 3" xfId="52400"/>
    <cellStyle name="Millares 14 2 2 6" xfId="13042"/>
    <cellStyle name="Millares 14 2 2 7" xfId="29084"/>
    <cellStyle name="Millares 14 2 3" xfId="1657"/>
    <cellStyle name="Millares 14 2 3 2" xfId="4782"/>
    <cellStyle name="Millares 14 2 3 2 2" xfId="10985"/>
    <cellStyle name="Millares 14 2 3 2 3" xfId="17187"/>
    <cellStyle name="Millares 14 2 3 2 4" xfId="56057"/>
    <cellStyle name="Millares 14 2 3 3" xfId="7885"/>
    <cellStyle name="Millares 14 2 3 3 2" xfId="53167"/>
    <cellStyle name="Millares 14 2 3 4" xfId="14087"/>
    <cellStyle name="Millares 14 2 3 5" xfId="29083"/>
    <cellStyle name="Millares 14 2 4" xfId="2685"/>
    <cellStyle name="Millares 14 2 4 2" xfId="5808"/>
    <cellStyle name="Millares 14 2 4 2 2" xfId="12011"/>
    <cellStyle name="Millares 14 2 4 2 3" xfId="18213"/>
    <cellStyle name="Millares 14 2 4 2 4" xfId="57039"/>
    <cellStyle name="Millares 14 2 4 3" xfId="8911"/>
    <cellStyle name="Millares 14 2 4 3 2" xfId="54145"/>
    <cellStyle name="Millares 14 2 4 4" xfId="15113"/>
    <cellStyle name="Millares 14 2 4 5" xfId="45767"/>
    <cellStyle name="Millares 14 2 5" xfId="3736"/>
    <cellStyle name="Millares 14 2 5 2" xfId="9940"/>
    <cellStyle name="Millares 14 2 5 3" xfId="16142"/>
    <cellStyle name="Millares 14 2 5 4" xfId="55113"/>
    <cellStyle name="Millares 14 2 6" xfId="6839"/>
    <cellStyle name="Millares 14 2 6 2" xfId="19258"/>
    <cellStyle name="Millares 14 2 6 3" xfId="52399"/>
    <cellStyle name="Millares 14 2 7" xfId="13041"/>
    <cellStyle name="Millares 14 2 8" xfId="19990"/>
    <cellStyle name="Millares 14 3" xfId="480"/>
    <cellStyle name="Millares 14 3 2" xfId="1936"/>
    <cellStyle name="Millares 14 3 2 2" xfId="5061"/>
    <cellStyle name="Millares 14 3 2 2 2" xfId="11264"/>
    <cellStyle name="Millares 14 3 2 2 3" xfId="17466"/>
    <cellStyle name="Millares 14 3 2 2 4" xfId="56321"/>
    <cellStyle name="Millares 14 3 2 3" xfId="8164"/>
    <cellStyle name="Millares 14 3 2 3 2" xfId="53427"/>
    <cellStyle name="Millares 14 3 2 4" xfId="14366"/>
    <cellStyle name="Millares 14 3 2 5" xfId="45768"/>
    <cellStyle name="Millares 14 3 3" xfId="2687"/>
    <cellStyle name="Millares 14 3 3 2" xfId="5810"/>
    <cellStyle name="Millares 14 3 3 2 2" xfId="12013"/>
    <cellStyle name="Millares 14 3 3 2 3" xfId="18215"/>
    <cellStyle name="Millares 14 3 3 2 4" xfId="57041"/>
    <cellStyle name="Millares 14 3 3 3" xfId="8913"/>
    <cellStyle name="Millares 14 3 3 4" xfId="15115"/>
    <cellStyle name="Millares 14 3 3 5" xfId="54147"/>
    <cellStyle name="Millares 14 3 4" xfId="3738"/>
    <cellStyle name="Millares 14 3 4 2" xfId="9942"/>
    <cellStyle name="Millares 14 3 4 3" xfId="16144"/>
    <cellStyle name="Millares 14 3 4 4" xfId="55115"/>
    <cellStyle name="Millares 14 3 5" xfId="6841"/>
    <cellStyle name="Millares 14 3 5 2" xfId="19537"/>
    <cellStyle name="Millares 14 3 5 3" xfId="52401"/>
    <cellStyle name="Millares 14 3 6" xfId="13043"/>
    <cellStyle name="Millares 14 3 7" xfId="29085"/>
    <cellStyle name="Millares 14 4" xfId="1412"/>
    <cellStyle name="Millares 14 4 2" xfId="4537"/>
    <cellStyle name="Millares 14 4 2 2" xfId="10740"/>
    <cellStyle name="Millares 14 4 2 2 2" xfId="55825"/>
    <cellStyle name="Millares 14 4 2 3" xfId="16942"/>
    <cellStyle name="Millares 14 4 2 4" xfId="45769"/>
    <cellStyle name="Millares 14 4 3" xfId="7640"/>
    <cellStyle name="Millares 14 4 3 2" xfId="52943"/>
    <cellStyle name="Millares 14 4 4" xfId="13842"/>
    <cellStyle name="Millares 14 4 5" xfId="29086"/>
    <cellStyle name="Millares 14 5" xfId="2684"/>
    <cellStyle name="Millares 14 5 2" xfId="5807"/>
    <cellStyle name="Millares 14 5 2 2" xfId="12010"/>
    <cellStyle name="Millares 14 5 2 3" xfId="18212"/>
    <cellStyle name="Millares 14 5 2 4" xfId="57038"/>
    <cellStyle name="Millares 14 5 3" xfId="8910"/>
    <cellStyle name="Millares 14 5 3 2" xfId="54144"/>
    <cellStyle name="Millares 14 5 4" xfId="15112"/>
    <cellStyle name="Millares 14 5 5" xfId="29087"/>
    <cellStyle name="Millares 14 6" xfId="3735"/>
    <cellStyle name="Millares 14 6 2" xfId="9939"/>
    <cellStyle name="Millares 14 6 2 2" xfId="55112"/>
    <cellStyle name="Millares 14 6 3" xfId="16141"/>
    <cellStyle name="Millares 14 6 4" xfId="29082"/>
    <cellStyle name="Millares 14 7" xfId="6838"/>
    <cellStyle name="Millares 14 7 2" xfId="19013"/>
    <cellStyle name="Millares 14 7 3" xfId="45766"/>
    <cellStyle name="Millares 14 8" xfId="13040"/>
    <cellStyle name="Millares 14 8 2" xfId="52065"/>
    <cellStyle name="Millares 14 9" xfId="19918"/>
    <cellStyle name="Millares 14_Plan by Lob" xfId="29088"/>
    <cellStyle name="Millares 140" xfId="29089"/>
    <cellStyle name="Millares 140 2" xfId="29090"/>
    <cellStyle name="Millares 140 2 2" xfId="29091"/>
    <cellStyle name="Millares 140 2 2 2" xfId="45772"/>
    <cellStyle name="Millares 140 2 3" xfId="45771"/>
    <cellStyle name="Millares 140 3" xfId="29092"/>
    <cellStyle name="Millares 140 3 2" xfId="45773"/>
    <cellStyle name="Millares 140 4" xfId="45770"/>
    <cellStyle name="Millares 141" xfId="29093"/>
    <cellStyle name="Millares 141 2" xfId="29094"/>
    <cellStyle name="Millares 141 2 2" xfId="29095"/>
    <cellStyle name="Millares 141 2 2 2" xfId="45776"/>
    <cellStyle name="Millares 141 2 3" xfId="45775"/>
    <cellStyle name="Millares 141 3" xfId="29096"/>
    <cellStyle name="Millares 141 3 2" xfId="45777"/>
    <cellStyle name="Millares 141 4" xfId="45774"/>
    <cellStyle name="Millares 142" xfId="29097"/>
    <cellStyle name="Millares 142 2" xfId="29098"/>
    <cellStyle name="Millares 142 2 2" xfId="29099"/>
    <cellStyle name="Millares 142 2 2 2" xfId="45780"/>
    <cellStyle name="Millares 142 2 3" xfId="45779"/>
    <cellStyle name="Millares 142 3" xfId="29100"/>
    <cellStyle name="Millares 142 3 2" xfId="45781"/>
    <cellStyle name="Millares 142 4" xfId="45778"/>
    <cellStyle name="Millares 143" xfId="29101"/>
    <cellStyle name="Millares 143 2" xfId="29102"/>
    <cellStyle name="Millares 143 2 2" xfId="29103"/>
    <cellStyle name="Millares 143 2 2 2" xfId="45784"/>
    <cellStyle name="Millares 143 2 3" xfId="45783"/>
    <cellStyle name="Millares 143 3" xfId="29104"/>
    <cellStyle name="Millares 143 3 2" xfId="45785"/>
    <cellStyle name="Millares 143 4" xfId="45782"/>
    <cellStyle name="Millares 144" xfId="29105"/>
    <cellStyle name="Millares 144 2" xfId="29106"/>
    <cellStyle name="Millares 144 2 2" xfId="29107"/>
    <cellStyle name="Millares 144 2 2 2" xfId="45788"/>
    <cellStyle name="Millares 144 2 3" xfId="45787"/>
    <cellStyle name="Millares 144 3" xfId="29108"/>
    <cellStyle name="Millares 144 3 2" xfId="45789"/>
    <cellStyle name="Millares 144 4" xfId="45786"/>
    <cellStyle name="Millares 145" xfId="29109"/>
    <cellStyle name="Millares 145 2" xfId="29110"/>
    <cellStyle name="Millares 145 2 2" xfId="29111"/>
    <cellStyle name="Millares 145 2 2 2" xfId="45792"/>
    <cellStyle name="Millares 145 2 3" xfId="45791"/>
    <cellStyle name="Millares 145 3" xfId="29112"/>
    <cellStyle name="Millares 145 3 2" xfId="45793"/>
    <cellStyle name="Millares 145 4" xfId="45790"/>
    <cellStyle name="Millares 146" xfId="29113"/>
    <cellStyle name="Millares 146 2" xfId="29114"/>
    <cellStyle name="Millares 146 2 2" xfId="29115"/>
    <cellStyle name="Millares 146 2 2 2" xfId="45796"/>
    <cellStyle name="Millares 146 2 3" xfId="45795"/>
    <cellStyle name="Millares 146 3" xfId="29116"/>
    <cellStyle name="Millares 146 3 2" xfId="45797"/>
    <cellStyle name="Millares 146 4" xfId="45794"/>
    <cellStyle name="Millares 147" xfId="29117"/>
    <cellStyle name="Millares 147 2" xfId="29118"/>
    <cellStyle name="Millares 147 2 2" xfId="29119"/>
    <cellStyle name="Millares 147 2 2 2" xfId="45800"/>
    <cellStyle name="Millares 147 2 3" xfId="45799"/>
    <cellStyle name="Millares 147 3" xfId="29120"/>
    <cellStyle name="Millares 147 3 2" xfId="45801"/>
    <cellStyle name="Millares 147 4" xfId="45798"/>
    <cellStyle name="Millares 148" xfId="29121"/>
    <cellStyle name="Millares 148 2" xfId="29122"/>
    <cellStyle name="Millares 148 2 2" xfId="29123"/>
    <cellStyle name="Millares 148 2 2 2" xfId="45804"/>
    <cellStyle name="Millares 148 2 3" xfId="45803"/>
    <cellStyle name="Millares 148 3" xfId="29124"/>
    <cellStyle name="Millares 148 3 2" xfId="45805"/>
    <cellStyle name="Millares 148 4" xfId="45802"/>
    <cellStyle name="Millares 149" xfId="29125"/>
    <cellStyle name="Millares 149 2" xfId="45806"/>
    <cellStyle name="Millares 15" xfId="481"/>
    <cellStyle name="Millares 15 10" xfId="29127"/>
    <cellStyle name="Millares 15 10 2" xfId="29128"/>
    <cellStyle name="Millares 15 10 2 2" xfId="29129"/>
    <cellStyle name="Millares 15 10 2 2 2" xfId="45810"/>
    <cellStyle name="Millares 15 10 2 3" xfId="45809"/>
    <cellStyle name="Millares 15 10 3" xfId="29130"/>
    <cellStyle name="Millares 15 10 3 2" xfId="45811"/>
    <cellStyle name="Millares 15 10 4" xfId="45808"/>
    <cellStyle name="Millares 15 11" xfId="29131"/>
    <cellStyle name="Millares 15 11 2" xfId="29132"/>
    <cellStyle name="Millares 15 11 2 2" xfId="29133"/>
    <cellStyle name="Millares 15 11 2 2 2" xfId="45814"/>
    <cellStyle name="Millares 15 11 2 3" xfId="45813"/>
    <cellStyle name="Millares 15 11 3" xfId="29134"/>
    <cellStyle name="Millares 15 11 3 2" xfId="45815"/>
    <cellStyle name="Millares 15 11 4" xfId="45812"/>
    <cellStyle name="Millares 15 12" xfId="29135"/>
    <cellStyle name="Millares 15 12 2" xfId="29136"/>
    <cellStyle name="Millares 15 12 2 2" xfId="29137"/>
    <cellStyle name="Millares 15 12 2 2 2" xfId="45818"/>
    <cellStyle name="Millares 15 12 2 3" xfId="45817"/>
    <cellStyle name="Millares 15 12 3" xfId="29138"/>
    <cellStyle name="Millares 15 12 3 2" xfId="45819"/>
    <cellStyle name="Millares 15 12 4" xfId="45816"/>
    <cellStyle name="Millares 15 13" xfId="29139"/>
    <cellStyle name="Millares 15 13 2" xfId="29140"/>
    <cellStyle name="Millares 15 13 2 2" xfId="29141"/>
    <cellStyle name="Millares 15 13 2 2 2" xfId="45822"/>
    <cellStyle name="Millares 15 13 2 3" xfId="45821"/>
    <cellStyle name="Millares 15 13 3" xfId="29142"/>
    <cellStyle name="Millares 15 13 3 2" xfId="45823"/>
    <cellStyle name="Millares 15 13 4" xfId="45820"/>
    <cellStyle name="Millares 15 14" xfId="29143"/>
    <cellStyle name="Millares 15 14 2" xfId="29144"/>
    <cellStyle name="Millares 15 14 2 2" xfId="29145"/>
    <cellStyle name="Millares 15 14 2 2 2" xfId="45826"/>
    <cellStyle name="Millares 15 14 2 3" xfId="45825"/>
    <cellStyle name="Millares 15 14 3" xfId="29146"/>
    <cellStyle name="Millares 15 14 3 2" xfId="45827"/>
    <cellStyle name="Millares 15 14 4" xfId="45824"/>
    <cellStyle name="Millares 15 15" xfId="29147"/>
    <cellStyle name="Millares 15 15 2" xfId="45828"/>
    <cellStyle name="Millares 15 16" xfId="29148"/>
    <cellStyle name="Millares 15 16 2" xfId="29149"/>
    <cellStyle name="Millares 15 16 2 2" xfId="45830"/>
    <cellStyle name="Millares 15 16 3" xfId="45829"/>
    <cellStyle name="Millares 15 17" xfId="29150"/>
    <cellStyle name="Millares 15 17 2" xfId="29151"/>
    <cellStyle name="Millares 15 17 2 2" xfId="45832"/>
    <cellStyle name="Millares 15 17 3" xfId="45831"/>
    <cellStyle name="Millares 15 18" xfId="29152"/>
    <cellStyle name="Millares 15 18 2" xfId="45833"/>
    <cellStyle name="Millares 15 19" xfId="29153"/>
    <cellStyle name="Millares 15 19 2" xfId="45834"/>
    <cellStyle name="Millares 15 2" xfId="482"/>
    <cellStyle name="Millares 15 2 10" xfId="52402"/>
    <cellStyle name="Millares 15 2 11" xfId="29154"/>
    <cellStyle name="Millares 15 2 2" xfId="483"/>
    <cellStyle name="Millares 15 2 2 2" xfId="2295"/>
    <cellStyle name="Millares 15 2 2 2 2" xfId="5420"/>
    <cellStyle name="Millares 15 2 2 2 2 2" xfId="11623"/>
    <cellStyle name="Millares 15 2 2 2 2 2 2" xfId="29159"/>
    <cellStyle name="Millares 15 2 2 2 2 2 2 2" xfId="45840"/>
    <cellStyle name="Millares 15 2 2 2 2 2 3" xfId="45839"/>
    <cellStyle name="Millares 15 2 2 2 2 2 4" xfId="29158"/>
    <cellStyle name="Millares 15 2 2 2 2 3" xfId="17825"/>
    <cellStyle name="Millares 15 2 2 2 2 3 2" xfId="29161"/>
    <cellStyle name="Millares 15 2 2 2 2 3 2 2" xfId="45842"/>
    <cellStyle name="Millares 15 2 2 2 2 3 3" xfId="45841"/>
    <cellStyle name="Millares 15 2 2 2 2 3 4" xfId="29160"/>
    <cellStyle name="Millares 15 2 2 2 2 4" xfId="29162"/>
    <cellStyle name="Millares 15 2 2 2 2 4 2" xfId="45843"/>
    <cellStyle name="Millares 15 2 2 2 2 5" xfId="45838"/>
    <cellStyle name="Millares 15 2 2 2 2 6" xfId="56654"/>
    <cellStyle name="Millares 15 2 2 2 2 7" xfId="29157"/>
    <cellStyle name="Millares 15 2 2 2 3" xfId="8523"/>
    <cellStyle name="Millares 15 2 2 2 3 2" xfId="45844"/>
    <cellStyle name="Millares 15 2 2 2 3 3" xfId="29163"/>
    <cellStyle name="Millares 15 2 2 2 4" xfId="14725"/>
    <cellStyle name="Millares 15 2 2 2 4 2" xfId="29165"/>
    <cellStyle name="Millares 15 2 2 2 4 2 2" xfId="45846"/>
    <cellStyle name="Millares 15 2 2 2 4 3" xfId="45845"/>
    <cellStyle name="Millares 15 2 2 2 4 4" xfId="29164"/>
    <cellStyle name="Millares 15 2 2 2 5" xfId="29166"/>
    <cellStyle name="Millares 15 2 2 2 5 2" xfId="45847"/>
    <cellStyle name="Millares 15 2 2 2 6" xfId="45837"/>
    <cellStyle name="Millares 15 2 2 2 7" xfId="53758"/>
    <cellStyle name="Millares 15 2 2 2 8" xfId="29156"/>
    <cellStyle name="Millares 15 2 2 3" xfId="2690"/>
    <cellStyle name="Millares 15 2 2 3 2" xfId="5813"/>
    <cellStyle name="Millares 15 2 2 3 2 2" xfId="12016"/>
    <cellStyle name="Millares 15 2 2 3 2 2 2" xfId="45850"/>
    <cellStyle name="Millares 15 2 2 3 2 2 3" xfId="29169"/>
    <cellStyle name="Millares 15 2 2 3 2 3" xfId="18218"/>
    <cellStyle name="Millares 15 2 2 3 2 3 2" xfId="45849"/>
    <cellStyle name="Millares 15 2 2 3 2 4" xfId="57044"/>
    <cellStyle name="Millares 15 2 2 3 2 5" xfId="29168"/>
    <cellStyle name="Millares 15 2 2 3 3" xfId="8916"/>
    <cellStyle name="Millares 15 2 2 3 3 2" xfId="29171"/>
    <cellStyle name="Millares 15 2 2 3 3 2 2" xfId="45852"/>
    <cellStyle name="Millares 15 2 2 3 3 3" xfId="45851"/>
    <cellStyle name="Millares 15 2 2 3 3 4" xfId="29170"/>
    <cellStyle name="Millares 15 2 2 3 4" xfId="15118"/>
    <cellStyle name="Millares 15 2 2 3 4 2" xfId="45853"/>
    <cellStyle name="Millares 15 2 2 3 4 3" xfId="29172"/>
    <cellStyle name="Millares 15 2 2 3 5" xfId="45848"/>
    <cellStyle name="Millares 15 2 2 3 6" xfId="54150"/>
    <cellStyle name="Millares 15 2 2 3 7" xfId="29167"/>
    <cellStyle name="Millares 15 2 2 4" xfId="3741"/>
    <cellStyle name="Millares 15 2 2 4 2" xfId="9945"/>
    <cellStyle name="Millares 15 2 2 4 2 2" xfId="45854"/>
    <cellStyle name="Millares 15 2 2 4 3" xfId="16147"/>
    <cellStyle name="Millares 15 2 2 4 3 2" xfId="55118"/>
    <cellStyle name="Millares 15 2 2 4 4" xfId="29173"/>
    <cellStyle name="Millares 15 2 2 5" xfId="6844"/>
    <cellStyle name="Millares 15 2 2 5 2" xfId="19896"/>
    <cellStyle name="Millares 15 2 2 5 2 2" xfId="45856"/>
    <cellStyle name="Millares 15 2 2 5 2 3" xfId="29175"/>
    <cellStyle name="Millares 15 2 2 5 3" xfId="45855"/>
    <cellStyle name="Millares 15 2 2 5 4" xfId="29174"/>
    <cellStyle name="Millares 15 2 2 6" xfId="13046"/>
    <cellStyle name="Millares 15 2 2 6 2" xfId="45857"/>
    <cellStyle name="Millares 15 2 2 6 3" xfId="29176"/>
    <cellStyle name="Millares 15 2 2 7" xfId="45836"/>
    <cellStyle name="Millares 15 2 2 8" xfId="52403"/>
    <cellStyle name="Millares 15 2 2 9" xfId="29155"/>
    <cellStyle name="Millares 15 2 3" xfId="1771"/>
    <cellStyle name="Millares 15 2 3 2" xfId="4896"/>
    <cellStyle name="Millares 15 2 3 2 2" xfId="11099"/>
    <cellStyle name="Millares 15 2 3 2 2 2" xfId="56166"/>
    <cellStyle name="Millares 15 2 3 2 3" xfId="17301"/>
    <cellStyle name="Millares 15 2 3 2 4" xfId="45858"/>
    <cellStyle name="Millares 15 2 3 3" xfId="7999"/>
    <cellStyle name="Millares 15 2 3 3 2" xfId="53273"/>
    <cellStyle name="Millares 15 2 3 4" xfId="14201"/>
    <cellStyle name="Millares 15 2 3 5" xfId="29177"/>
    <cellStyle name="Millares 15 2 4" xfId="2689"/>
    <cellStyle name="Millares 15 2 4 2" xfId="5812"/>
    <cellStyle name="Millares 15 2 4 2 2" xfId="12015"/>
    <cellStyle name="Millares 15 2 4 2 2 2" xfId="29181"/>
    <cellStyle name="Millares 15 2 4 2 2 2 2" xfId="45862"/>
    <cellStyle name="Millares 15 2 4 2 2 3" xfId="45861"/>
    <cellStyle name="Millares 15 2 4 2 2 4" xfId="29180"/>
    <cellStyle name="Millares 15 2 4 2 3" xfId="18217"/>
    <cellStyle name="Millares 15 2 4 2 3 2" xfId="29183"/>
    <cellStyle name="Millares 15 2 4 2 3 2 2" xfId="45864"/>
    <cellStyle name="Millares 15 2 4 2 3 3" xfId="45863"/>
    <cellStyle name="Millares 15 2 4 2 3 4" xfId="29182"/>
    <cellStyle name="Millares 15 2 4 2 4" xfId="29184"/>
    <cellStyle name="Millares 15 2 4 2 4 2" xfId="45865"/>
    <cellStyle name="Millares 15 2 4 2 5" xfId="45860"/>
    <cellStyle name="Millares 15 2 4 2 6" xfId="57043"/>
    <cellStyle name="Millares 15 2 4 2 7" xfId="29179"/>
    <cellStyle name="Millares 15 2 4 3" xfId="8915"/>
    <cellStyle name="Millares 15 2 4 3 2" xfId="45866"/>
    <cellStyle name="Millares 15 2 4 3 3" xfId="29185"/>
    <cellStyle name="Millares 15 2 4 4" xfId="15117"/>
    <cellStyle name="Millares 15 2 4 4 2" xfId="29187"/>
    <cellStyle name="Millares 15 2 4 4 2 2" xfId="45868"/>
    <cellStyle name="Millares 15 2 4 4 3" xfId="45867"/>
    <cellStyle name="Millares 15 2 4 4 4" xfId="29186"/>
    <cellStyle name="Millares 15 2 4 5" xfId="29188"/>
    <cellStyle name="Millares 15 2 4 5 2" xfId="45869"/>
    <cellStyle name="Millares 15 2 4 6" xfId="45859"/>
    <cellStyle name="Millares 15 2 4 7" xfId="54149"/>
    <cellStyle name="Millares 15 2 4 8" xfId="29178"/>
    <cellStyle name="Millares 15 2 5" xfId="3740"/>
    <cellStyle name="Millares 15 2 5 2" xfId="9944"/>
    <cellStyle name="Millares 15 2 5 2 2" xfId="29191"/>
    <cellStyle name="Millares 15 2 5 2 2 2" xfId="45872"/>
    <cellStyle name="Millares 15 2 5 2 3" xfId="45871"/>
    <cellStyle name="Millares 15 2 5 2 4" xfId="29190"/>
    <cellStyle name="Millares 15 2 5 3" xfId="16146"/>
    <cellStyle name="Millares 15 2 5 3 2" xfId="29193"/>
    <cellStyle name="Millares 15 2 5 3 2 2" xfId="45874"/>
    <cellStyle name="Millares 15 2 5 3 3" xfId="45873"/>
    <cellStyle name="Millares 15 2 5 3 4" xfId="29192"/>
    <cellStyle name="Millares 15 2 5 4" xfId="29194"/>
    <cellStyle name="Millares 15 2 5 4 2" xfId="45875"/>
    <cellStyle name="Millares 15 2 5 5" xfId="45870"/>
    <cellStyle name="Millares 15 2 5 6" xfId="55117"/>
    <cellStyle name="Millares 15 2 5 7" xfId="29189"/>
    <cellStyle name="Millares 15 2 6" xfId="6843"/>
    <cellStyle name="Millares 15 2 6 2" xfId="19372"/>
    <cellStyle name="Millares 15 2 6 2 2" xfId="45876"/>
    <cellStyle name="Millares 15 2 6 3" xfId="29195"/>
    <cellStyle name="Millares 15 2 7" xfId="13045"/>
    <cellStyle name="Millares 15 2 7 2" xfId="29197"/>
    <cellStyle name="Millares 15 2 7 2 2" xfId="45878"/>
    <cellStyle name="Millares 15 2 7 3" xfId="45877"/>
    <cellStyle name="Millares 15 2 7 4" xfId="29196"/>
    <cellStyle name="Millares 15 2 8" xfId="29198"/>
    <cellStyle name="Millares 15 2 8 2" xfId="45879"/>
    <cellStyle name="Millares 15 2 9" xfId="45835"/>
    <cellStyle name="Millares 15 2_Reserva USgaap" xfId="29199"/>
    <cellStyle name="Millares 15 20" xfId="29200"/>
    <cellStyle name="Millares 15 21" xfId="29126"/>
    <cellStyle name="Millares 15 22" xfId="45807"/>
    <cellStyle name="Millares 15 23" xfId="19919"/>
    <cellStyle name="Millares 15 3" xfId="484"/>
    <cellStyle name="Millares 15 3 10" xfId="29201"/>
    <cellStyle name="Millares 15 3 2" xfId="29202"/>
    <cellStyle name="Millares 15 3 2 2" xfId="29203"/>
    <cellStyle name="Millares 15 3 2 2 2" xfId="29204"/>
    <cellStyle name="Millares 15 3 2 2 2 2" xfId="29205"/>
    <cellStyle name="Millares 15 3 2 2 2 2 2" xfId="29206"/>
    <cellStyle name="Millares 15 3 2 2 2 2 2 2" xfId="45885"/>
    <cellStyle name="Millares 15 3 2 2 2 2 3" xfId="45884"/>
    <cellStyle name="Millares 15 3 2 2 2 3" xfId="29207"/>
    <cellStyle name="Millares 15 3 2 2 2 3 2" xfId="29208"/>
    <cellStyle name="Millares 15 3 2 2 2 3 2 2" xfId="45887"/>
    <cellStyle name="Millares 15 3 2 2 2 3 3" xfId="45886"/>
    <cellStyle name="Millares 15 3 2 2 2 4" xfId="29209"/>
    <cellStyle name="Millares 15 3 2 2 2 4 2" xfId="45888"/>
    <cellStyle name="Millares 15 3 2 2 2 5" xfId="45883"/>
    <cellStyle name="Millares 15 3 2 2 3" xfId="29210"/>
    <cellStyle name="Millares 15 3 2 2 3 2" xfId="45889"/>
    <cellStyle name="Millares 15 3 2 2 4" xfId="29211"/>
    <cellStyle name="Millares 15 3 2 2 4 2" xfId="29212"/>
    <cellStyle name="Millares 15 3 2 2 4 2 2" xfId="45891"/>
    <cellStyle name="Millares 15 3 2 2 4 3" xfId="45890"/>
    <cellStyle name="Millares 15 3 2 2 5" xfId="29213"/>
    <cellStyle name="Millares 15 3 2 2 5 2" xfId="45892"/>
    <cellStyle name="Millares 15 3 2 2 6" xfId="45882"/>
    <cellStyle name="Millares 15 3 2 3" xfId="29214"/>
    <cellStyle name="Millares 15 3 2 3 2" xfId="29215"/>
    <cellStyle name="Millares 15 3 2 3 2 2" xfId="29216"/>
    <cellStyle name="Millares 15 3 2 3 2 2 2" xfId="45895"/>
    <cellStyle name="Millares 15 3 2 3 2 3" xfId="45894"/>
    <cellStyle name="Millares 15 3 2 3 3" xfId="29217"/>
    <cellStyle name="Millares 15 3 2 3 3 2" xfId="29218"/>
    <cellStyle name="Millares 15 3 2 3 3 2 2" xfId="45897"/>
    <cellStyle name="Millares 15 3 2 3 3 3" xfId="45896"/>
    <cellStyle name="Millares 15 3 2 3 4" xfId="29219"/>
    <cellStyle name="Millares 15 3 2 3 4 2" xfId="45898"/>
    <cellStyle name="Millares 15 3 2 3 5" xfId="45893"/>
    <cellStyle name="Millares 15 3 2 4" xfId="29220"/>
    <cellStyle name="Millares 15 3 2 4 2" xfId="45899"/>
    <cellStyle name="Millares 15 3 2 5" xfId="29221"/>
    <cellStyle name="Millares 15 3 2 5 2" xfId="29222"/>
    <cellStyle name="Millares 15 3 2 5 2 2" xfId="45901"/>
    <cellStyle name="Millares 15 3 2 5 3" xfId="45900"/>
    <cellStyle name="Millares 15 3 2 6" xfId="29223"/>
    <cellStyle name="Millares 15 3 2 6 2" xfId="45902"/>
    <cellStyle name="Millares 15 3 2 7" xfId="45881"/>
    <cellStyle name="Millares 15 3 3" xfId="29224"/>
    <cellStyle name="Millares 15 3 3 2" xfId="29225"/>
    <cellStyle name="Millares 15 3 3 2 2" xfId="29226"/>
    <cellStyle name="Millares 15 3 3 2 2 2" xfId="29227"/>
    <cellStyle name="Millares 15 3 3 2 2 2 2" xfId="45906"/>
    <cellStyle name="Millares 15 3 3 2 2 3" xfId="45905"/>
    <cellStyle name="Millares 15 3 3 2 3" xfId="29228"/>
    <cellStyle name="Millares 15 3 3 2 3 2" xfId="29229"/>
    <cellStyle name="Millares 15 3 3 2 3 2 2" xfId="45908"/>
    <cellStyle name="Millares 15 3 3 2 3 3" xfId="45907"/>
    <cellStyle name="Millares 15 3 3 2 4" xfId="29230"/>
    <cellStyle name="Millares 15 3 3 2 4 2" xfId="45909"/>
    <cellStyle name="Millares 15 3 3 2 5" xfId="45904"/>
    <cellStyle name="Millares 15 3 3 3" xfId="29231"/>
    <cellStyle name="Millares 15 3 3 3 2" xfId="45910"/>
    <cellStyle name="Millares 15 3 3 4" xfId="29232"/>
    <cellStyle name="Millares 15 3 3 4 2" xfId="29233"/>
    <cellStyle name="Millares 15 3 3 4 2 2" xfId="45912"/>
    <cellStyle name="Millares 15 3 3 4 3" xfId="45911"/>
    <cellStyle name="Millares 15 3 3 5" xfId="29234"/>
    <cellStyle name="Millares 15 3 3 5 2" xfId="45913"/>
    <cellStyle name="Millares 15 3 3 6" xfId="45903"/>
    <cellStyle name="Millares 15 3 4" xfId="29235"/>
    <cellStyle name="Millares 15 3 4 2" xfId="29236"/>
    <cellStyle name="Millares 15 3 4 2 2" xfId="29237"/>
    <cellStyle name="Millares 15 3 4 2 2 2" xfId="45916"/>
    <cellStyle name="Millares 15 3 4 2 3" xfId="45915"/>
    <cellStyle name="Millares 15 3 4 3" xfId="29238"/>
    <cellStyle name="Millares 15 3 4 3 2" xfId="29239"/>
    <cellStyle name="Millares 15 3 4 3 2 2" xfId="45918"/>
    <cellStyle name="Millares 15 3 4 3 3" xfId="45917"/>
    <cellStyle name="Millares 15 3 4 4" xfId="29240"/>
    <cellStyle name="Millares 15 3 4 4 2" xfId="45919"/>
    <cellStyle name="Millares 15 3 4 5" xfId="45914"/>
    <cellStyle name="Millares 15 3 5" xfId="29241"/>
    <cellStyle name="Millares 15 3 5 2" xfId="45920"/>
    <cellStyle name="Millares 15 3 6" xfId="29242"/>
    <cellStyle name="Millares 15 3 6 2" xfId="29243"/>
    <cellStyle name="Millares 15 3 6 2 2" xfId="45922"/>
    <cellStyle name="Millares 15 3 6 3" xfId="45921"/>
    <cellStyle name="Millares 15 3 7" xfId="29244"/>
    <cellStyle name="Millares 15 3 7 2" xfId="45923"/>
    <cellStyle name="Millares 15 3 8" xfId="45880"/>
    <cellStyle name="Millares 15 3 9" xfId="52404"/>
    <cellStyle name="Millares 15 4" xfId="485"/>
    <cellStyle name="Millares 15 4 2" xfId="2042"/>
    <cellStyle name="Millares 15 4 2 2" xfId="5167"/>
    <cellStyle name="Millares 15 4 2 2 2" xfId="11370"/>
    <cellStyle name="Millares 15 4 2 2 3" xfId="17572"/>
    <cellStyle name="Millares 15 4 2 2 4" xfId="56419"/>
    <cellStyle name="Millares 15 4 2 3" xfId="8270"/>
    <cellStyle name="Millares 15 4 2 3 2" xfId="53524"/>
    <cellStyle name="Millares 15 4 2 4" xfId="14472"/>
    <cellStyle name="Millares 15 4 2 5" xfId="45924"/>
    <cellStyle name="Millares 15 4 3" xfId="2691"/>
    <cellStyle name="Millares 15 4 3 2" xfId="5814"/>
    <cellStyle name="Millares 15 4 3 2 2" xfId="12017"/>
    <cellStyle name="Millares 15 4 3 2 3" xfId="18219"/>
    <cellStyle name="Millares 15 4 3 2 4" xfId="57045"/>
    <cellStyle name="Millares 15 4 3 3" xfId="8917"/>
    <cellStyle name="Millares 15 4 3 4" xfId="15119"/>
    <cellStyle name="Millares 15 4 3 5" xfId="54151"/>
    <cellStyle name="Millares 15 4 4" xfId="3742"/>
    <cellStyle name="Millares 15 4 4 2" xfId="9946"/>
    <cellStyle name="Millares 15 4 4 3" xfId="16148"/>
    <cellStyle name="Millares 15 4 4 4" xfId="55119"/>
    <cellStyle name="Millares 15 4 5" xfId="6845"/>
    <cellStyle name="Millares 15 4 5 2" xfId="19643"/>
    <cellStyle name="Millares 15 4 5 3" xfId="52405"/>
    <cellStyle name="Millares 15 4 6" xfId="13047"/>
    <cellStyle name="Millares 15 4 7" xfId="29245"/>
    <cellStyle name="Millares 15 5" xfId="1518"/>
    <cellStyle name="Millares 15 5 2" xfId="4643"/>
    <cellStyle name="Millares 15 5 2 2" xfId="10846"/>
    <cellStyle name="Millares 15 5 2 2 2" xfId="29249"/>
    <cellStyle name="Millares 15 5 2 2 2 2" xfId="29250"/>
    <cellStyle name="Millares 15 5 2 2 2 2 2" xfId="45929"/>
    <cellStyle name="Millares 15 5 2 2 2 3" xfId="45928"/>
    <cellStyle name="Millares 15 5 2 2 3" xfId="29251"/>
    <cellStyle name="Millares 15 5 2 2 3 2" xfId="29252"/>
    <cellStyle name="Millares 15 5 2 2 3 2 2" xfId="45931"/>
    <cellStyle name="Millares 15 5 2 2 3 3" xfId="45930"/>
    <cellStyle name="Millares 15 5 2 2 4" xfId="29253"/>
    <cellStyle name="Millares 15 5 2 2 4 2" xfId="45932"/>
    <cellStyle name="Millares 15 5 2 2 5" xfId="45927"/>
    <cellStyle name="Millares 15 5 2 2 6" xfId="29248"/>
    <cellStyle name="Millares 15 5 2 3" xfId="17048"/>
    <cellStyle name="Millares 15 5 2 3 2" xfId="45933"/>
    <cellStyle name="Millares 15 5 2 3 3" xfId="29254"/>
    <cellStyle name="Millares 15 5 2 4" xfId="29255"/>
    <cellStyle name="Millares 15 5 2 4 2" xfId="29256"/>
    <cellStyle name="Millares 15 5 2 4 2 2" xfId="45935"/>
    <cellStyle name="Millares 15 5 2 4 3" xfId="45934"/>
    <cellStyle name="Millares 15 5 2 5" xfId="29257"/>
    <cellStyle name="Millares 15 5 2 5 2" xfId="45936"/>
    <cellStyle name="Millares 15 5 2 6" xfId="45926"/>
    <cellStyle name="Millares 15 5 2 7" xfId="55925"/>
    <cellStyle name="Millares 15 5 2 8" xfId="29247"/>
    <cellStyle name="Millares 15 5 3" xfId="7746"/>
    <cellStyle name="Millares 15 5 3 2" xfId="29259"/>
    <cellStyle name="Millares 15 5 3 2 2" xfId="29260"/>
    <cellStyle name="Millares 15 5 3 2 2 2" xfId="45939"/>
    <cellStyle name="Millares 15 5 3 2 3" xfId="45938"/>
    <cellStyle name="Millares 15 5 3 3" xfId="29261"/>
    <cellStyle name="Millares 15 5 3 3 2" xfId="29262"/>
    <cellStyle name="Millares 15 5 3 3 2 2" xfId="45941"/>
    <cellStyle name="Millares 15 5 3 3 3" xfId="45940"/>
    <cellStyle name="Millares 15 5 3 4" xfId="29263"/>
    <cellStyle name="Millares 15 5 3 4 2" xfId="45942"/>
    <cellStyle name="Millares 15 5 3 5" xfId="45937"/>
    <cellStyle name="Millares 15 5 3 6" xfId="29258"/>
    <cellStyle name="Millares 15 5 4" xfId="13948"/>
    <cellStyle name="Millares 15 5 4 2" xfId="45943"/>
    <cellStyle name="Millares 15 5 4 3" xfId="29264"/>
    <cellStyle name="Millares 15 5 5" xfId="29265"/>
    <cellStyle name="Millares 15 5 5 2" xfId="29266"/>
    <cellStyle name="Millares 15 5 5 2 2" xfId="45945"/>
    <cellStyle name="Millares 15 5 5 3" xfId="45944"/>
    <cellStyle name="Millares 15 5 6" xfId="29267"/>
    <cellStyle name="Millares 15 5 6 2" xfId="45946"/>
    <cellStyle name="Millares 15 5 7" xfId="45925"/>
    <cellStyle name="Millares 15 5 8" xfId="53040"/>
    <cellStyle name="Millares 15 5 9" xfId="29246"/>
    <cellStyle name="Millares 15 6" xfId="2688"/>
    <cellStyle name="Millares 15 6 2" xfId="5811"/>
    <cellStyle name="Millares 15 6 2 2" xfId="12014"/>
    <cellStyle name="Millares 15 6 2 2 2" xfId="57042"/>
    <cellStyle name="Millares 15 6 2 3" xfId="18216"/>
    <cellStyle name="Millares 15 6 2 4" xfId="45947"/>
    <cellStyle name="Millares 15 6 3" xfId="8914"/>
    <cellStyle name="Millares 15 6 3 2" xfId="54148"/>
    <cellStyle name="Millares 15 6 4" xfId="15116"/>
    <cellStyle name="Millares 15 6 5" xfId="29268"/>
    <cellStyle name="Millares 15 7" xfId="3739"/>
    <cellStyle name="Millares 15 7 2" xfId="9943"/>
    <cellStyle name="Millares 15 7 2 2" xfId="29271"/>
    <cellStyle name="Millares 15 7 2 2 2" xfId="29272"/>
    <cellStyle name="Millares 15 7 2 2 2 2" xfId="45951"/>
    <cellStyle name="Millares 15 7 2 2 3" xfId="45950"/>
    <cellStyle name="Millares 15 7 2 3" xfId="29273"/>
    <cellStyle name="Millares 15 7 2 3 2" xfId="29274"/>
    <cellStyle name="Millares 15 7 2 3 2 2" xfId="45953"/>
    <cellStyle name="Millares 15 7 2 3 3" xfId="45952"/>
    <cellStyle name="Millares 15 7 2 4" xfId="29275"/>
    <cellStyle name="Millares 15 7 2 4 2" xfId="45954"/>
    <cellStyle name="Millares 15 7 2 5" xfId="45949"/>
    <cellStyle name="Millares 15 7 2 6" xfId="29270"/>
    <cellStyle name="Millares 15 7 3" xfId="16145"/>
    <cellStyle name="Millares 15 7 3 2" xfId="45955"/>
    <cellStyle name="Millares 15 7 3 3" xfId="29276"/>
    <cellStyle name="Millares 15 7 4" xfId="29277"/>
    <cellStyle name="Millares 15 7 4 2" xfId="29278"/>
    <cellStyle name="Millares 15 7 4 2 2" xfId="45957"/>
    <cellStyle name="Millares 15 7 4 3" xfId="45956"/>
    <cellStyle name="Millares 15 7 5" xfId="29279"/>
    <cellStyle name="Millares 15 7 5 2" xfId="45958"/>
    <cellStyle name="Millares 15 7 6" xfId="45948"/>
    <cellStyle name="Millares 15 7 7" xfId="55116"/>
    <cellStyle name="Millares 15 7 8" xfId="29269"/>
    <cellStyle name="Millares 15 8" xfId="6842"/>
    <cellStyle name="Millares 15 8 2" xfId="19119"/>
    <cellStyle name="Millares 15 8 2 2" xfId="29282"/>
    <cellStyle name="Millares 15 8 2 2 2" xfId="45961"/>
    <cellStyle name="Millares 15 8 2 3" xfId="45960"/>
    <cellStyle name="Millares 15 8 2 4" xfId="29281"/>
    <cellStyle name="Millares 15 8 3" xfId="29283"/>
    <cellStyle name="Millares 15 8 3 2" xfId="29284"/>
    <cellStyle name="Millares 15 8 3 2 2" xfId="45963"/>
    <cellStyle name="Millares 15 8 3 3" xfId="45962"/>
    <cellStyle name="Millares 15 8 4" xfId="29285"/>
    <cellStyle name="Millares 15 8 4 2" xfId="45964"/>
    <cellStyle name="Millares 15 8 5" xfId="45959"/>
    <cellStyle name="Millares 15 8 6" xfId="29280"/>
    <cellStyle name="Millares 15 9" xfId="13044"/>
    <cellStyle name="Millares 15 9 2" xfId="29287"/>
    <cellStyle name="Millares 15 9 2 2" xfId="29288"/>
    <cellStyle name="Millares 15 9 2 2 2" xfId="45967"/>
    <cellStyle name="Millares 15 9 2 3" xfId="45966"/>
    <cellStyle name="Millares 15 9 3" xfId="29289"/>
    <cellStyle name="Millares 15 9 3 2" xfId="45968"/>
    <cellStyle name="Millares 15 9 4" xfId="45965"/>
    <cellStyle name="Millares 15 9 5" xfId="29286"/>
    <cellStyle name="Millares 15_Plan by Lob" xfId="29290"/>
    <cellStyle name="Millares 150" xfId="29291"/>
    <cellStyle name="Millares 150 2" xfId="45969"/>
    <cellStyle name="Millares 151" xfId="29292"/>
    <cellStyle name="Millares 151 2" xfId="29293"/>
    <cellStyle name="Millares 151 2 2" xfId="29294"/>
    <cellStyle name="Millares 151 2 2 2" xfId="45972"/>
    <cellStyle name="Millares 151 2 3" xfId="45971"/>
    <cellStyle name="Millares 151 3" xfId="29295"/>
    <cellStyle name="Millares 151 3 2" xfId="45973"/>
    <cellStyle name="Millares 151 4" xfId="45970"/>
    <cellStyle name="Millares 152" xfId="29296"/>
    <cellStyle name="Millares 152 2" xfId="45974"/>
    <cellStyle name="Millares 153" xfId="29297"/>
    <cellStyle name="Millares 153 2" xfId="45975"/>
    <cellStyle name="Millares 154" xfId="29298"/>
    <cellStyle name="Millares 154 2" xfId="29299"/>
    <cellStyle name="Millares 154 2 2" xfId="29300"/>
    <cellStyle name="Millares 154 2 2 2" xfId="45978"/>
    <cellStyle name="Millares 154 2 3" xfId="45977"/>
    <cellStyle name="Millares 154 3" xfId="29301"/>
    <cellStyle name="Millares 154 3 2" xfId="45979"/>
    <cellStyle name="Millares 154 4" xfId="45976"/>
    <cellStyle name="Millares 155" xfId="29302"/>
    <cellStyle name="Millares 155 2" xfId="29303"/>
    <cellStyle name="Millares 155 2 2" xfId="29304"/>
    <cellStyle name="Millares 155 2 2 2" xfId="45982"/>
    <cellStyle name="Millares 155 2 3" xfId="45981"/>
    <cellStyle name="Millares 155 3" xfId="29305"/>
    <cellStyle name="Millares 155 3 2" xfId="45983"/>
    <cellStyle name="Millares 155 4" xfId="45980"/>
    <cellStyle name="Millares 156" xfId="29306"/>
    <cellStyle name="Millares 156 2" xfId="29307"/>
    <cellStyle name="Millares 156 2 2" xfId="29308"/>
    <cellStyle name="Millares 156 2 2 2" xfId="45986"/>
    <cellStyle name="Millares 156 2 3" xfId="45985"/>
    <cellStyle name="Millares 156 3" xfId="29309"/>
    <cellStyle name="Millares 156 3 2" xfId="45987"/>
    <cellStyle name="Millares 156 4" xfId="45984"/>
    <cellStyle name="Millares 157" xfId="29310"/>
    <cellStyle name="Millares 157 2" xfId="29311"/>
    <cellStyle name="Millares 157 2 2" xfId="29312"/>
    <cellStyle name="Millares 157 2 2 2" xfId="45990"/>
    <cellStyle name="Millares 157 2 3" xfId="45989"/>
    <cellStyle name="Millares 157 3" xfId="29313"/>
    <cellStyle name="Millares 157 3 2" xfId="45991"/>
    <cellStyle name="Millares 157 4" xfId="45988"/>
    <cellStyle name="Millares 158" xfId="29314"/>
    <cellStyle name="Millares 158 2" xfId="29315"/>
    <cellStyle name="Millares 158 2 2" xfId="29316"/>
    <cellStyle name="Millares 158 2 2 2" xfId="45994"/>
    <cellStyle name="Millares 158 2 3" xfId="45993"/>
    <cellStyle name="Millares 158 3" xfId="29317"/>
    <cellStyle name="Millares 158 3 2" xfId="45995"/>
    <cellStyle name="Millares 158 4" xfId="45992"/>
    <cellStyle name="Millares 159" xfId="29318"/>
    <cellStyle name="Millares 159 2" xfId="45996"/>
    <cellStyle name="Millares 16" xfId="486"/>
    <cellStyle name="Millares 16 10" xfId="45997"/>
    <cellStyle name="Millares 16 11" xfId="52406"/>
    <cellStyle name="Millares 16 12" xfId="19920"/>
    <cellStyle name="Millares 16 2" xfId="1807"/>
    <cellStyle name="Millares 16 2 2" xfId="4932"/>
    <cellStyle name="Millares 16 2 2 2" xfId="11135"/>
    <cellStyle name="Millares 16 2 2 2 2" xfId="56199"/>
    <cellStyle name="Millares 16 2 2 3" xfId="17337"/>
    <cellStyle name="Millares 16 2 2 4" xfId="45998"/>
    <cellStyle name="Millares 16 2 3" xfId="8035"/>
    <cellStyle name="Millares 16 2 3 2" xfId="53305"/>
    <cellStyle name="Millares 16 2 4" xfId="14237"/>
    <cellStyle name="Millares 16 2 5" xfId="29320"/>
    <cellStyle name="Millares 16 3" xfId="2692"/>
    <cellStyle name="Millares 16 3 2" xfId="5815"/>
    <cellStyle name="Millares 16 3 2 2" xfId="12018"/>
    <cellStyle name="Millares 16 3 2 2 2" xfId="57046"/>
    <cellStyle name="Millares 16 3 2 3" xfId="18220"/>
    <cellStyle name="Millares 16 3 2 4" xfId="45999"/>
    <cellStyle name="Millares 16 3 3" xfId="8918"/>
    <cellStyle name="Millares 16 3 3 2" xfId="54152"/>
    <cellStyle name="Millares 16 3 4" xfId="15120"/>
    <cellStyle name="Millares 16 3 5" xfId="29321"/>
    <cellStyle name="Millares 16 4" xfId="3743"/>
    <cellStyle name="Millares 16 4 2" xfId="9947"/>
    <cellStyle name="Millares 16 4 2 2" xfId="46000"/>
    <cellStyle name="Millares 16 4 3" xfId="16149"/>
    <cellStyle name="Millares 16 4 3 2" xfId="55120"/>
    <cellStyle name="Millares 16 4 4" xfId="29322"/>
    <cellStyle name="Millares 16 5" xfId="6846"/>
    <cellStyle name="Millares 16 5 2" xfId="19408"/>
    <cellStyle name="Millares 16 5 2 2" xfId="29325"/>
    <cellStyle name="Millares 16 5 2 2 2" xfId="46003"/>
    <cellStyle name="Millares 16 5 2 3" xfId="46002"/>
    <cellStyle name="Millares 16 5 2 4" xfId="29324"/>
    <cellStyle name="Millares 16 5 3" xfId="29326"/>
    <cellStyle name="Millares 16 5 3 2" xfId="46004"/>
    <cellStyle name="Millares 16 5 4" xfId="46001"/>
    <cellStyle name="Millares 16 5 5" xfId="29323"/>
    <cellStyle name="Millares 16 6" xfId="13048"/>
    <cellStyle name="Millares 16 6 2" xfId="29328"/>
    <cellStyle name="Millares 16 6 2 2" xfId="29329"/>
    <cellStyle name="Millares 16 6 2 2 2" xfId="46007"/>
    <cellStyle name="Millares 16 6 2 3" xfId="46006"/>
    <cellStyle name="Millares 16 6 3" xfId="29330"/>
    <cellStyle name="Millares 16 6 3 2" xfId="46008"/>
    <cellStyle name="Millares 16 6 4" xfId="46005"/>
    <cellStyle name="Millares 16 6 5" xfId="29327"/>
    <cellStyle name="Millares 16 7" xfId="29331"/>
    <cellStyle name="Millares 16 7 2" xfId="29332"/>
    <cellStyle name="Millares 16 7 2 2" xfId="29333"/>
    <cellStyle name="Millares 16 7 2 2 2" xfId="46011"/>
    <cellStyle name="Millares 16 7 2 3" xfId="46010"/>
    <cellStyle name="Millares 16 7 3" xfId="29334"/>
    <cellStyle name="Millares 16 7 3 2" xfId="46012"/>
    <cellStyle name="Millares 16 7 4" xfId="46009"/>
    <cellStyle name="Millares 16 8" xfId="29335"/>
    <cellStyle name="Millares 16 9" xfId="29319"/>
    <cellStyle name="Millares 16_Plan by Lob" xfId="29336"/>
    <cellStyle name="Millares 160" xfId="29337"/>
    <cellStyle name="Millares 160 2" xfId="29338"/>
    <cellStyle name="Millares 160 2 2" xfId="29339"/>
    <cellStyle name="Millares 160 2 2 2" xfId="46015"/>
    <cellStyle name="Millares 160 2 3" xfId="46014"/>
    <cellStyle name="Millares 160 3" xfId="29340"/>
    <cellStyle name="Millares 160 3 2" xfId="46016"/>
    <cellStyle name="Millares 160 4" xfId="46013"/>
    <cellStyle name="Millares 161" xfId="29341"/>
    <cellStyle name="Millares 161 2" xfId="29342"/>
    <cellStyle name="Millares 161 2 2" xfId="29343"/>
    <cellStyle name="Millares 161 2 2 2" xfId="46019"/>
    <cellStyle name="Millares 161 2 3" xfId="46018"/>
    <cellStyle name="Millares 161 3" xfId="29344"/>
    <cellStyle name="Millares 161 3 2" xfId="46020"/>
    <cellStyle name="Millares 161 4" xfId="46017"/>
    <cellStyle name="Millares 162" xfId="29345"/>
    <cellStyle name="Millares 162 2" xfId="29346"/>
    <cellStyle name="Millares 162 2 2" xfId="29347"/>
    <cellStyle name="Millares 162 2 2 2" xfId="46023"/>
    <cellStyle name="Millares 162 2 3" xfId="46022"/>
    <cellStyle name="Millares 162 3" xfId="29348"/>
    <cellStyle name="Millares 162 3 2" xfId="46024"/>
    <cellStyle name="Millares 162 4" xfId="46021"/>
    <cellStyle name="Millares 163" xfId="29349"/>
    <cellStyle name="Millares 163 2" xfId="29350"/>
    <cellStyle name="Millares 163 2 2" xfId="29351"/>
    <cellStyle name="Millares 163 2 2 2" xfId="46027"/>
    <cellStyle name="Millares 163 2 3" xfId="46026"/>
    <cellStyle name="Millares 163 3" xfId="29352"/>
    <cellStyle name="Millares 163 3 2" xfId="46028"/>
    <cellStyle name="Millares 163 4" xfId="46025"/>
    <cellStyle name="Millares 164" xfId="29353"/>
    <cellStyle name="Millares 164 2" xfId="46029"/>
    <cellStyle name="Millares 165" xfId="29354"/>
    <cellStyle name="Millares 165 2" xfId="29355"/>
    <cellStyle name="Millares 165 2 2" xfId="29356"/>
    <cellStyle name="Millares 165 2 2 2" xfId="46032"/>
    <cellStyle name="Millares 165 2 3" xfId="46031"/>
    <cellStyle name="Millares 165 3" xfId="29357"/>
    <cellStyle name="Millares 165 3 2" xfId="46033"/>
    <cellStyle name="Millares 165 4" xfId="46030"/>
    <cellStyle name="Millares 166" xfId="29358"/>
    <cellStyle name="Millares 166 2" xfId="29359"/>
    <cellStyle name="Millares 166 2 2" xfId="29360"/>
    <cellStyle name="Millares 166 2 2 2" xfId="46036"/>
    <cellStyle name="Millares 166 2 3" xfId="46035"/>
    <cellStyle name="Millares 166 3" xfId="29361"/>
    <cellStyle name="Millares 166 3 2" xfId="46037"/>
    <cellStyle name="Millares 166 4" xfId="46034"/>
    <cellStyle name="Millares 167" xfId="29362"/>
    <cellStyle name="Millares 167 2" xfId="29363"/>
    <cellStyle name="Millares 167 2 2" xfId="29364"/>
    <cellStyle name="Millares 167 2 2 2" xfId="46040"/>
    <cellStyle name="Millares 167 2 3" xfId="46039"/>
    <cellStyle name="Millares 167 3" xfId="29365"/>
    <cellStyle name="Millares 167 3 2" xfId="46041"/>
    <cellStyle name="Millares 167 4" xfId="46038"/>
    <cellStyle name="Millares 168" xfId="29366"/>
    <cellStyle name="Millares 168 2" xfId="29367"/>
    <cellStyle name="Millares 168 2 2" xfId="29368"/>
    <cellStyle name="Millares 168 2 2 2" xfId="46044"/>
    <cellStyle name="Millares 168 2 3" xfId="46043"/>
    <cellStyle name="Millares 168 3" xfId="29369"/>
    <cellStyle name="Millares 168 3 2" xfId="46045"/>
    <cellStyle name="Millares 168 4" xfId="46042"/>
    <cellStyle name="Millares 169" xfId="29370"/>
    <cellStyle name="Millares 169 2" xfId="46046"/>
    <cellStyle name="Millares 17" xfId="1265"/>
    <cellStyle name="Millares 17 2" xfId="4390"/>
    <cellStyle name="Millares 17 2 2" xfId="10593"/>
    <cellStyle name="Millares 17 2 2 2" xfId="46048"/>
    <cellStyle name="Millares 17 2 3" xfId="16795"/>
    <cellStyle name="Millares 17 2 3 2" xfId="55686"/>
    <cellStyle name="Millares 17 2 4" xfId="29372"/>
    <cellStyle name="Millares 17 3" xfId="7493"/>
    <cellStyle name="Millares 17 3 2" xfId="46049"/>
    <cellStyle name="Millares 17 3 3" xfId="29373"/>
    <cellStyle name="Millares 17 4" xfId="13695"/>
    <cellStyle name="Millares 17 4 2" xfId="29374"/>
    <cellStyle name="Millares 17 5" xfId="29371"/>
    <cellStyle name="Millares 17 6" xfId="46047"/>
    <cellStyle name="Millares 17 7" xfId="52817"/>
    <cellStyle name="Millares 17 8" xfId="19921"/>
    <cellStyle name="Millares 17_Plan by Lob" xfId="29375"/>
    <cellStyle name="Millares 170" xfId="29376"/>
    <cellStyle name="Millares 170 2" xfId="29377"/>
    <cellStyle name="Millares 170 2 2" xfId="29378"/>
    <cellStyle name="Millares 170 2 2 2" xfId="46052"/>
    <cellStyle name="Millares 170 2 3" xfId="46051"/>
    <cellStyle name="Millares 170 3" xfId="29379"/>
    <cellStyle name="Millares 170 3 2" xfId="46053"/>
    <cellStyle name="Millares 170 4" xfId="46050"/>
    <cellStyle name="Millares 171" xfId="29380"/>
    <cellStyle name="Millares 171 2" xfId="46054"/>
    <cellStyle name="Millares 172" xfId="29381"/>
    <cellStyle name="Millares 172 2" xfId="29382"/>
    <cellStyle name="Millares 172 2 2" xfId="29383"/>
    <cellStyle name="Millares 172 2 2 2" xfId="46057"/>
    <cellStyle name="Millares 172 2 3" xfId="46056"/>
    <cellStyle name="Millares 172 3" xfId="29384"/>
    <cellStyle name="Millares 172 3 2" xfId="46058"/>
    <cellStyle name="Millares 172 4" xfId="46055"/>
    <cellStyle name="Millares 173" xfId="29385"/>
    <cellStyle name="Millares 173 2" xfId="46059"/>
    <cellStyle name="Millares 174" xfId="29386"/>
    <cellStyle name="Millares 174 2" xfId="29387"/>
    <cellStyle name="Millares 174 2 2" xfId="29388"/>
    <cellStyle name="Millares 174 2 2 2" xfId="29389"/>
    <cellStyle name="Millares 174 2 2 2 2" xfId="46063"/>
    <cellStyle name="Millares 174 2 2 3" xfId="46062"/>
    <cellStyle name="Millares 174 2 3" xfId="29390"/>
    <cellStyle name="Millares 174 2 3 2" xfId="46064"/>
    <cellStyle name="Millares 174 2 4" xfId="46061"/>
    <cellStyle name="Millares 174 3" xfId="29391"/>
    <cellStyle name="Millares 174 3 2" xfId="29392"/>
    <cellStyle name="Millares 174 3 2 2" xfId="46066"/>
    <cellStyle name="Millares 174 3 3" xfId="46065"/>
    <cellStyle name="Millares 174 4" xfId="29393"/>
    <cellStyle name="Millares 174 4 2" xfId="46067"/>
    <cellStyle name="Millares 174 5" xfId="46060"/>
    <cellStyle name="Millares 175" xfId="29394"/>
    <cellStyle name="Millares 175 2" xfId="46068"/>
    <cellStyle name="Millares 176" xfId="29395"/>
    <cellStyle name="Millares 176 2" xfId="46069"/>
    <cellStyle name="Millares 177" xfId="29396"/>
    <cellStyle name="Millares 177 2" xfId="46070"/>
    <cellStyle name="Millares 178" xfId="29397"/>
    <cellStyle name="Millares 178 2" xfId="46071"/>
    <cellStyle name="Millares 179" xfId="29398"/>
    <cellStyle name="Millares 179 2" xfId="46072"/>
    <cellStyle name="Millares 18" xfId="3340"/>
    <cellStyle name="Millares 18 2" xfId="29400"/>
    <cellStyle name="Millares 18 2 2" xfId="46074"/>
    <cellStyle name="Millares 18 3" xfId="29401"/>
    <cellStyle name="Millares 18 3 2" xfId="46075"/>
    <cellStyle name="Millares 18 4" xfId="29402"/>
    <cellStyle name="Millares 18 5" xfId="29399"/>
    <cellStyle name="Millares 18 6" xfId="46073"/>
    <cellStyle name="Millares 18 7" xfId="54719"/>
    <cellStyle name="Millares 18 8" xfId="19922"/>
    <cellStyle name="Millares 180" xfId="29403"/>
    <cellStyle name="Millares 180 2" xfId="46076"/>
    <cellStyle name="Millares 181" xfId="29404"/>
    <cellStyle name="Millares 181 2" xfId="46077"/>
    <cellStyle name="Millares 182" xfId="29405"/>
    <cellStyle name="Millares 182 2" xfId="46078"/>
    <cellStyle name="Millares 183" xfId="29406"/>
    <cellStyle name="Millares 183 2" xfId="46079"/>
    <cellStyle name="Millares 184" xfId="29407"/>
    <cellStyle name="Millares 184 2" xfId="46080"/>
    <cellStyle name="Millares 185" xfId="29408"/>
    <cellStyle name="Millares 185 2" xfId="29409"/>
    <cellStyle name="Millares 185 2 2" xfId="46082"/>
    <cellStyle name="Millares 185 3" xfId="46081"/>
    <cellStyle name="Millares 186" xfId="29410"/>
    <cellStyle name="Millares 186 2" xfId="29411"/>
    <cellStyle name="Millares 186 2 2" xfId="46084"/>
    <cellStyle name="Millares 186 3" xfId="46083"/>
    <cellStyle name="Millares 187" xfId="29412"/>
    <cellStyle name="Millares 187 2" xfId="46085"/>
    <cellStyle name="Millares 188" xfId="29413"/>
    <cellStyle name="Millares 188 2" xfId="46086"/>
    <cellStyle name="Millares 189" xfId="29414"/>
    <cellStyle name="Millares 189 2" xfId="29415"/>
    <cellStyle name="Millares 189 2 2" xfId="46088"/>
    <cellStyle name="Millares 189 3" xfId="46087"/>
    <cellStyle name="Millares 19" xfId="3347"/>
    <cellStyle name="Millares 19 2" xfId="9552"/>
    <cellStyle name="Millares 19 2 2" xfId="46090"/>
    <cellStyle name="Millares 19 2 3" xfId="29417"/>
    <cellStyle name="Millares 19 3" xfId="15754"/>
    <cellStyle name="Millares 19 3 2" xfId="29419"/>
    <cellStyle name="Millares 19 3 2 2" xfId="29420"/>
    <cellStyle name="Millares 19 3 2 2 2" xfId="46093"/>
    <cellStyle name="Millares 19 3 2 3" xfId="46092"/>
    <cellStyle name="Millares 19 3 3" xfId="29421"/>
    <cellStyle name="Millares 19 3 3 2" xfId="46094"/>
    <cellStyle name="Millares 19 3 4" xfId="46091"/>
    <cellStyle name="Millares 19 3 5" xfId="29418"/>
    <cellStyle name="Millares 19 4" xfId="29422"/>
    <cellStyle name="Millares 19 5" xfId="29416"/>
    <cellStyle name="Millares 19 6" xfId="46089"/>
    <cellStyle name="Millares 19 7" xfId="54725"/>
    <cellStyle name="Millares 19 8" xfId="19923"/>
    <cellStyle name="Millares 19_Plan by Lob" xfId="29423"/>
    <cellStyle name="Millares 190" xfId="29424"/>
    <cellStyle name="Millares 190 2" xfId="46095"/>
    <cellStyle name="Millares 191" xfId="29425"/>
    <cellStyle name="Millares 191 2" xfId="46096"/>
    <cellStyle name="Millares 192" xfId="19924"/>
    <cellStyle name="Millares 192 2" xfId="19925"/>
    <cellStyle name="Millares 192 2 2" xfId="29427"/>
    <cellStyle name="Millares 192 3" xfId="29428"/>
    <cellStyle name="Millares 192 4" xfId="29426"/>
    <cellStyle name="Millares 192 5" xfId="40980"/>
    <cellStyle name="Millares 193" xfId="19926"/>
    <cellStyle name="Millares 193 2" xfId="19927"/>
    <cellStyle name="Millares 193 2 2" xfId="29430"/>
    <cellStyle name="Millares 193 3" xfId="29431"/>
    <cellStyle name="Millares 193 4" xfId="29429"/>
    <cellStyle name="Millares 193 5" xfId="40981"/>
    <cellStyle name="Millares 194" xfId="29432"/>
    <cellStyle name="Millares 195" xfId="29433"/>
    <cellStyle name="Millares 196" xfId="29434"/>
    <cellStyle name="Millares 197" xfId="29435"/>
    <cellStyle name="Millares 198" xfId="29436"/>
    <cellStyle name="Millares 199" xfId="29437"/>
    <cellStyle name="Millares 2" xfId="17"/>
    <cellStyle name="Millares 2 10" xfId="487"/>
    <cellStyle name="Millares 2 10 2" xfId="488"/>
    <cellStyle name="Millares 2 10 2 2" xfId="1808"/>
    <cellStyle name="Millares 2 10 2 2 2" xfId="4933"/>
    <cellStyle name="Millares 2 10 2 2 2 2" xfId="11136"/>
    <cellStyle name="Millares 2 10 2 2 2 3" xfId="17338"/>
    <cellStyle name="Millares 2 10 2 2 2 4" xfId="56200"/>
    <cellStyle name="Millares 2 10 2 2 3" xfId="8036"/>
    <cellStyle name="Millares 2 10 2 2 3 2" xfId="53306"/>
    <cellStyle name="Millares 2 10 2 2 4" xfId="14238"/>
    <cellStyle name="Millares 2 10 2 2 5" xfId="46099"/>
    <cellStyle name="Millares 2 10 2 3" xfId="2694"/>
    <cellStyle name="Millares 2 10 2 3 2" xfId="5817"/>
    <cellStyle name="Millares 2 10 2 3 2 2" xfId="12020"/>
    <cellStyle name="Millares 2 10 2 3 2 3" xfId="18222"/>
    <cellStyle name="Millares 2 10 2 3 2 4" xfId="57048"/>
    <cellStyle name="Millares 2 10 2 3 3" xfId="8920"/>
    <cellStyle name="Millares 2 10 2 3 4" xfId="15122"/>
    <cellStyle name="Millares 2 10 2 3 5" xfId="54154"/>
    <cellStyle name="Millares 2 10 2 4" xfId="3745"/>
    <cellStyle name="Millares 2 10 2 4 2" xfId="9949"/>
    <cellStyle name="Millares 2 10 2 4 3" xfId="16151"/>
    <cellStyle name="Millares 2 10 2 4 4" xfId="55122"/>
    <cellStyle name="Millares 2 10 2 5" xfId="6848"/>
    <cellStyle name="Millares 2 10 2 5 2" xfId="19409"/>
    <cellStyle name="Millares 2 10 2 5 3" xfId="52408"/>
    <cellStyle name="Millares 2 10 2 6" xfId="13050"/>
    <cellStyle name="Millares 2 10 2 7" xfId="29440"/>
    <cellStyle name="Millares 2 10 3" xfId="1797"/>
    <cellStyle name="Millares 2 10 3 2" xfId="4922"/>
    <cellStyle name="Millares 2 10 3 2 2" xfId="11125"/>
    <cellStyle name="Millares 2 10 3 2 2 2" xfId="56191"/>
    <cellStyle name="Millares 2 10 3 2 3" xfId="17327"/>
    <cellStyle name="Millares 2 10 3 2 4" xfId="46100"/>
    <cellStyle name="Millares 2 10 3 3" xfId="8025"/>
    <cellStyle name="Millares 2 10 3 3 2" xfId="53298"/>
    <cellStyle name="Millares 2 10 3 4" xfId="14227"/>
    <cellStyle name="Millares 2 10 3 5" xfId="29441"/>
    <cellStyle name="Millares 2 10 4" xfId="2693"/>
    <cellStyle name="Millares 2 10 4 2" xfId="5816"/>
    <cellStyle name="Millares 2 10 4 2 2" xfId="12019"/>
    <cellStyle name="Millares 2 10 4 2 2 2" xfId="57047"/>
    <cellStyle name="Millares 2 10 4 2 3" xfId="18221"/>
    <cellStyle name="Millares 2 10 4 2 4" xfId="46101"/>
    <cellStyle name="Millares 2 10 4 3" xfId="8919"/>
    <cellStyle name="Millares 2 10 4 3 2" xfId="54153"/>
    <cellStyle name="Millares 2 10 4 4" xfId="15121"/>
    <cellStyle name="Millares 2 10 4 5" xfId="29442"/>
    <cellStyle name="Millares 2 10 5" xfId="3744"/>
    <cellStyle name="Millares 2 10 5 2" xfId="9948"/>
    <cellStyle name="Millares 2 10 5 2 2" xfId="55121"/>
    <cellStyle name="Millares 2 10 5 3" xfId="16150"/>
    <cellStyle name="Millares 2 10 5 4" xfId="46098"/>
    <cellStyle name="Millares 2 10 6" xfId="6847"/>
    <cellStyle name="Millares 2 10 6 2" xfId="19398"/>
    <cellStyle name="Millares 2 10 6 3" xfId="52407"/>
    <cellStyle name="Millares 2 10 7" xfId="13049"/>
    <cellStyle name="Millares 2 10 8" xfId="29439"/>
    <cellStyle name="Millares 2 11" xfId="1266"/>
    <cellStyle name="Millares 2 11 2" xfId="4391"/>
    <cellStyle name="Millares 2 11 2 2" xfId="10594"/>
    <cellStyle name="Millares 2 11 2 2 2" xfId="46103"/>
    <cellStyle name="Millares 2 11 2 3" xfId="16796"/>
    <cellStyle name="Millares 2 11 2 3 2" xfId="55687"/>
    <cellStyle name="Millares 2 11 2 4" xfId="29444"/>
    <cellStyle name="Millares 2 11 3" xfId="7494"/>
    <cellStyle name="Millares 2 11 3 2" xfId="46104"/>
    <cellStyle name="Millares 2 11 3 3" xfId="29445"/>
    <cellStyle name="Millares 2 11 4" xfId="13696"/>
    <cellStyle name="Millares 2 11 4 2" xfId="46105"/>
    <cellStyle name="Millares 2 11 4 3" xfId="29446"/>
    <cellStyle name="Millares 2 11 5" xfId="46102"/>
    <cellStyle name="Millares 2 11 6" xfId="52818"/>
    <cellStyle name="Millares 2 11 7" xfId="29443"/>
    <cellStyle name="Millares 2 12" xfId="2298"/>
    <cellStyle name="Millares 2 12 2" xfId="5422"/>
    <cellStyle name="Millares 2 12 2 2" xfId="11625"/>
    <cellStyle name="Millares 2 12 2 2 2" xfId="46107"/>
    <cellStyle name="Millares 2 12 2 3" xfId="17827"/>
    <cellStyle name="Millares 2 12 2 3 2" xfId="56655"/>
    <cellStyle name="Millares 2 12 2 4" xfId="29448"/>
    <cellStyle name="Millares 2 12 3" xfId="8525"/>
    <cellStyle name="Millares 2 12 3 2" xfId="46106"/>
    <cellStyle name="Millares 2 12 4" xfId="14727"/>
    <cellStyle name="Millares 2 12 4 2" xfId="53760"/>
    <cellStyle name="Millares 2 12 5" xfId="29447"/>
    <cellStyle name="Millares 2 13" xfId="3350"/>
    <cellStyle name="Millares 2 13 2" xfId="9554"/>
    <cellStyle name="Millares 2 13 2 2" xfId="46109"/>
    <cellStyle name="Millares 2 13 2 3" xfId="29450"/>
    <cellStyle name="Millares 2 13 3" xfId="15756"/>
    <cellStyle name="Millares 2 13 3 2" xfId="46108"/>
    <cellStyle name="Millares 2 13 4" xfId="54727"/>
    <cellStyle name="Millares 2 13 5" xfId="29449"/>
    <cellStyle name="Millares 2 14" xfId="6453"/>
    <cellStyle name="Millares 2 14 2" xfId="18867"/>
    <cellStyle name="Millares 2 14 2 2" xfId="46111"/>
    <cellStyle name="Millares 2 14 2 3" xfId="29452"/>
    <cellStyle name="Millares 2 14 3" xfId="46110"/>
    <cellStyle name="Millares 2 14 4" xfId="29451"/>
    <cellStyle name="Millares 2 15" xfId="12655"/>
    <cellStyle name="Millares 2 15 2" xfId="29454"/>
    <cellStyle name="Millares 2 15 2 2" xfId="29455"/>
    <cellStyle name="Millares 2 15 2 2 2" xfId="46114"/>
    <cellStyle name="Millares 2 15 2 3" xfId="46113"/>
    <cellStyle name="Millares 2 15 3" xfId="29456"/>
    <cellStyle name="Millares 2 15 3 2" xfId="46115"/>
    <cellStyle name="Millares 2 15 4" xfId="29457"/>
    <cellStyle name="Millares 2 15 4 2" xfId="46116"/>
    <cellStyle name="Millares 2 15 5" xfId="46112"/>
    <cellStyle name="Millares 2 15 6" xfId="29453"/>
    <cellStyle name="Millares 2 16" xfId="29458"/>
    <cellStyle name="Millares 2 16 2" xfId="29459"/>
    <cellStyle name="Millares 2 16 2 2" xfId="46118"/>
    <cellStyle name="Millares 2 16 3" xfId="46117"/>
    <cellStyle name="Millares 2 17" xfId="29460"/>
    <cellStyle name="Millares 2 17 2" xfId="29461"/>
    <cellStyle name="Millares 2 17 2 2" xfId="46120"/>
    <cellStyle name="Millares 2 17 3" xfId="46119"/>
    <cellStyle name="Millares 2 18" xfId="29462"/>
    <cellStyle name="Millares 2 18 2" xfId="46121"/>
    <cellStyle name="Millares 2 19" xfId="29463"/>
    <cellStyle name="Millares 2 19 2" xfId="29464"/>
    <cellStyle name="Millares 2 19 2 2" xfId="46123"/>
    <cellStyle name="Millares 2 19 3" xfId="46122"/>
    <cellStyle name="Millares 2 2" xfId="489"/>
    <cellStyle name="Millares 2 2 10" xfId="29466"/>
    <cellStyle name="Millares 2 2 10 2" xfId="29467"/>
    <cellStyle name="Millares 2 2 10 2 2" xfId="29468"/>
    <cellStyle name="Millares 2 2 10 2 2 2" xfId="46127"/>
    <cellStyle name="Millares 2 2 10 2 3" xfId="46126"/>
    <cellStyle name="Millares 2 2 10 3" xfId="29469"/>
    <cellStyle name="Millares 2 2 10 3 2" xfId="46128"/>
    <cellStyle name="Millares 2 2 10 4" xfId="46125"/>
    <cellStyle name="Millares 2 2 11" xfId="29470"/>
    <cellStyle name="Millares 2 2 11 2" xfId="46129"/>
    <cellStyle name="Millares 2 2 12" xfId="29471"/>
    <cellStyle name="Millares 2 2 12 2" xfId="29472"/>
    <cellStyle name="Millares 2 2 12 2 2" xfId="46131"/>
    <cellStyle name="Millares 2 2 12 3" xfId="46130"/>
    <cellStyle name="Millares 2 2 13" xfId="29473"/>
    <cellStyle name="Millares 2 2 13 2" xfId="46132"/>
    <cellStyle name="Millares 2 2 14" xfId="29474"/>
    <cellStyle name="Millares 2 2 15" xfId="29465"/>
    <cellStyle name="Millares 2 2 16" xfId="46124"/>
    <cellStyle name="Millares 2 2 17" xfId="51926"/>
    <cellStyle name="Millares 2 2 18" xfId="19928"/>
    <cellStyle name="Millares 2 2 2" xfId="490"/>
    <cellStyle name="Millares 2 2 2 2" xfId="491"/>
    <cellStyle name="Millares 2 2 2 2 2" xfId="29477"/>
    <cellStyle name="Millares 2 2 2 2 2 2" xfId="29478"/>
    <cellStyle name="Millares 2 2 2 2 2 2 2" xfId="29479"/>
    <cellStyle name="Millares 2 2 2 2 2 2 2 2" xfId="46137"/>
    <cellStyle name="Millares 2 2 2 2 2 2 3" xfId="46136"/>
    <cellStyle name="Millares 2 2 2 2 2 3" xfId="29480"/>
    <cellStyle name="Millares 2 2 2 2 2 3 2" xfId="46138"/>
    <cellStyle name="Millares 2 2 2 2 2 4" xfId="46135"/>
    <cellStyle name="Millares 2 2 2 2 3" xfId="29481"/>
    <cellStyle name="Millares 2 2 2 2 3 2" xfId="29482"/>
    <cellStyle name="Millares 2 2 2 2 3 2 2" xfId="29483"/>
    <cellStyle name="Millares 2 2 2 2 3 2 2 2" xfId="46141"/>
    <cellStyle name="Millares 2 2 2 2 3 2 3" xfId="46140"/>
    <cellStyle name="Millares 2 2 2 2 3 3" xfId="29484"/>
    <cellStyle name="Millares 2 2 2 2 3 3 2" xfId="46142"/>
    <cellStyle name="Millares 2 2 2 2 3 4" xfId="46139"/>
    <cellStyle name="Millares 2 2 2 2 4" xfId="29485"/>
    <cellStyle name="Millares 2 2 2 2 4 2" xfId="46143"/>
    <cellStyle name="Millares 2 2 2 2 5" xfId="29486"/>
    <cellStyle name="Millares 2 2 2 2 5 2" xfId="46144"/>
    <cellStyle name="Millares 2 2 2 2 6" xfId="46134"/>
    <cellStyle name="Millares 2 2 2 2 7" xfId="52098"/>
    <cellStyle name="Millares 2 2 2 2 8" xfId="29476"/>
    <cellStyle name="Millares 2 2 2 3" xfId="492"/>
    <cellStyle name="Millares 2 2 2 3 2" xfId="2695"/>
    <cellStyle name="Millares 2 2 2 3 2 2" xfId="54155"/>
    <cellStyle name="Millares 2 2 2 3 2 3" xfId="46145"/>
    <cellStyle name="Millares 2 2 2 3 3" xfId="52037"/>
    <cellStyle name="Millares 2 2 2 3 4" xfId="52409"/>
    <cellStyle name="Millares 2 2 2 3 5" xfId="29487"/>
    <cellStyle name="Millares 2 2 2 4" xfId="29488"/>
    <cellStyle name="Millares 2 2 2 5" xfId="29475"/>
    <cellStyle name="Millares 2 2 2 6" xfId="46133"/>
    <cellStyle name="Millares 2 2 2 7" xfId="51968"/>
    <cellStyle name="Millares 2 2 2_Plan by Lob" xfId="29489"/>
    <cellStyle name="Millares 2 2 3" xfId="493"/>
    <cellStyle name="Millares 2 2 3 2" xfId="29491"/>
    <cellStyle name="Millares 2 2 3 2 2" xfId="46147"/>
    <cellStyle name="Millares 2 2 3 3" xfId="46146"/>
    <cellStyle name="Millares 2 2 3 4" xfId="51991"/>
    <cellStyle name="Millares 2 2 3 5" xfId="29490"/>
    <cellStyle name="Millares 2 2 4" xfId="494"/>
    <cellStyle name="Millares 2 2 4 2" xfId="2696"/>
    <cellStyle name="Millares 2 2 4 2 2" xfId="54156"/>
    <cellStyle name="Millares 2 2 4 2 3" xfId="46148"/>
    <cellStyle name="Millares 2 2 4 3" xfId="52026"/>
    <cellStyle name="Millares 2 2 4 4" xfId="52410"/>
    <cellStyle name="Millares 2 2 4 5" xfId="29492"/>
    <cellStyle name="Millares 2 2 5" xfId="29493"/>
    <cellStyle name="Millares 2 2 5 2" xfId="46149"/>
    <cellStyle name="Millares 2 2 6" xfId="29494"/>
    <cellStyle name="Millares 2 2 6 2" xfId="29495"/>
    <cellStyle name="Millares 2 2 6 2 2" xfId="29496"/>
    <cellStyle name="Millares 2 2 6 2 2 2" xfId="46152"/>
    <cellStyle name="Millares 2 2 6 2 3" xfId="46151"/>
    <cellStyle name="Millares 2 2 6 3" xfId="29497"/>
    <cellStyle name="Millares 2 2 6 3 2" xfId="46153"/>
    <cellStyle name="Millares 2 2 6 4" xfId="46150"/>
    <cellStyle name="Millares 2 2 7" xfId="29498"/>
    <cellStyle name="Millares 2 2 7 2" xfId="29499"/>
    <cellStyle name="Millares 2 2 7 2 2" xfId="29500"/>
    <cellStyle name="Millares 2 2 7 2 2 2" xfId="46156"/>
    <cellStyle name="Millares 2 2 7 2 3" xfId="46155"/>
    <cellStyle name="Millares 2 2 7 3" xfId="29501"/>
    <cellStyle name="Millares 2 2 7 3 2" xfId="46157"/>
    <cellStyle name="Millares 2 2 7 4" xfId="46154"/>
    <cellStyle name="Millares 2 2 8" xfId="29502"/>
    <cellStyle name="Millares 2 2 8 2" xfId="29503"/>
    <cellStyle name="Millares 2 2 8 2 2" xfId="29504"/>
    <cellStyle name="Millares 2 2 8 2 2 2" xfId="46160"/>
    <cellStyle name="Millares 2 2 8 2 3" xfId="46159"/>
    <cellStyle name="Millares 2 2 8 3" xfId="29505"/>
    <cellStyle name="Millares 2 2 8 3 2" xfId="46161"/>
    <cellStyle name="Millares 2 2 8 4" xfId="46158"/>
    <cellStyle name="Millares 2 2 9" xfId="29506"/>
    <cellStyle name="Millares 2 2 9 2" xfId="29507"/>
    <cellStyle name="Millares 2 2 9 2 2" xfId="29508"/>
    <cellStyle name="Millares 2 2 9 2 2 2" xfId="46164"/>
    <cellStyle name="Millares 2 2 9 2 3" xfId="46163"/>
    <cellStyle name="Millares 2 2 9 3" xfId="29509"/>
    <cellStyle name="Millares 2 2 9 3 2" xfId="46165"/>
    <cellStyle name="Millares 2 2 9 4" xfId="46162"/>
    <cellStyle name="Millares 2 2_Plan by Lob" xfId="29510"/>
    <cellStyle name="Millares 2 20" xfId="29511"/>
    <cellStyle name="Millares 2 20 2" xfId="46166"/>
    <cellStyle name="Millares 2 21" xfId="29512"/>
    <cellStyle name="Millares 2 22" xfId="29438"/>
    <cellStyle name="Millares 2 23" xfId="46097"/>
    <cellStyle name="Millares 2 24" xfId="51833"/>
    <cellStyle name="Millares 2 25" xfId="51827"/>
    <cellStyle name="Millares 2 26" xfId="51834"/>
    <cellStyle name="Millares 2 27" xfId="51825"/>
    <cellStyle name="Millares 2 28" xfId="51835"/>
    <cellStyle name="Millares 2 29" xfId="51824"/>
    <cellStyle name="Millares 2 3" xfId="495"/>
    <cellStyle name="Millares 2 3 10" xfId="13051"/>
    <cellStyle name="Millares 2 3 10 2" xfId="29514"/>
    <cellStyle name="Millares 2 3 11" xfId="29513"/>
    <cellStyle name="Millares 2 3 12" xfId="46167"/>
    <cellStyle name="Millares 2 3 13" xfId="51944"/>
    <cellStyle name="Millares 2 3 14" xfId="19929"/>
    <cellStyle name="Millares 2 3 2" xfId="496"/>
    <cellStyle name="Millares 2 3 2 10" xfId="19991"/>
    <cellStyle name="Millares 2 3 2 2" xfId="497"/>
    <cellStyle name="Millares 2 3 2 2 2" xfId="498"/>
    <cellStyle name="Millares 2 3 2 2 2 2" xfId="499"/>
    <cellStyle name="Millares 2 3 2 2 2 2 2" xfId="2273"/>
    <cellStyle name="Millares 2 3 2 2 2 2 2 2" xfId="5398"/>
    <cellStyle name="Millares 2 3 2 2 2 2 2 2 2" xfId="11601"/>
    <cellStyle name="Millares 2 3 2 2 2 2 2 2 3" xfId="17803"/>
    <cellStyle name="Millares 2 3 2 2 2 2 2 2 4" xfId="56634"/>
    <cellStyle name="Millares 2 3 2 2 2 2 2 3" xfId="8501"/>
    <cellStyle name="Millares 2 3 2 2 2 2 2 4" xfId="14703"/>
    <cellStyle name="Millares 2 3 2 2 2 2 2 5" xfId="53738"/>
    <cellStyle name="Millares 2 3 2 2 2 2 3" xfId="2701"/>
    <cellStyle name="Millares 2 3 2 2 2 2 3 2" xfId="5822"/>
    <cellStyle name="Millares 2 3 2 2 2 2 3 2 2" xfId="12025"/>
    <cellStyle name="Millares 2 3 2 2 2 2 3 2 3" xfId="18227"/>
    <cellStyle name="Millares 2 3 2 2 2 2 3 2 4" xfId="57053"/>
    <cellStyle name="Millares 2 3 2 2 2 2 3 3" xfId="8925"/>
    <cellStyle name="Millares 2 3 2 2 2 2 3 4" xfId="15127"/>
    <cellStyle name="Millares 2 3 2 2 2 2 3 5" xfId="54161"/>
    <cellStyle name="Millares 2 3 2 2 2 2 4" xfId="3750"/>
    <cellStyle name="Millares 2 3 2 2 2 2 4 2" xfId="9954"/>
    <cellStyle name="Millares 2 3 2 2 2 2 4 3" xfId="16156"/>
    <cellStyle name="Millares 2 3 2 2 2 2 4 4" xfId="55126"/>
    <cellStyle name="Millares 2 3 2 2 2 2 5" xfId="6853"/>
    <cellStyle name="Millares 2 3 2 2 2 2 5 2" xfId="19874"/>
    <cellStyle name="Millares 2 3 2 2 2 2 6" xfId="13055"/>
    <cellStyle name="Millares 2 3 2 2 2 2 7" xfId="52412"/>
    <cellStyle name="Millares 2 3 2 2 2 3" xfId="1749"/>
    <cellStyle name="Millares 2 3 2 2 2 3 2" xfId="4874"/>
    <cellStyle name="Millares 2 3 2 2 2 3 2 2" xfId="11077"/>
    <cellStyle name="Millares 2 3 2 2 2 3 2 3" xfId="17279"/>
    <cellStyle name="Millares 2 3 2 2 2 3 2 4" xfId="56145"/>
    <cellStyle name="Millares 2 3 2 2 2 3 3" xfId="7977"/>
    <cellStyle name="Millares 2 3 2 2 2 3 4" xfId="14179"/>
    <cellStyle name="Millares 2 3 2 2 2 3 5" xfId="53253"/>
    <cellStyle name="Millares 2 3 2 2 2 4" xfId="2700"/>
    <cellStyle name="Millares 2 3 2 2 2 4 2" xfId="5821"/>
    <cellStyle name="Millares 2 3 2 2 2 4 2 2" xfId="12024"/>
    <cellStyle name="Millares 2 3 2 2 2 4 2 3" xfId="18226"/>
    <cellStyle name="Millares 2 3 2 2 2 4 2 4" xfId="57052"/>
    <cellStyle name="Millares 2 3 2 2 2 4 3" xfId="8924"/>
    <cellStyle name="Millares 2 3 2 2 2 4 4" xfId="15126"/>
    <cellStyle name="Millares 2 3 2 2 2 4 5" xfId="54160"/>
    <cellStyle name="Millares 2 3 2 2 2 5" xfId="3749"/>
    <cellStyle name="Millares 2 3 2 2 2 5 2" xfId="9953"/>
    <cellStyle name="Millares 2 3 2 2 2 5 3" xfId="16155"/>
    <cellStyle name="Millares 2 3 2 2 2 5 4" xfId="55125"/>
    <cellStyle name="Millares 2 3 2 2 2 6" xfId="6852"/>
    <cellStyle name="Millares 2 3 2 2 2 6 2" xfId="19350"/>
    <cellStyle name="Millares 2 3 2 2 2 6 3" xfId="52411"/>
    <cellStyle name="Millares 2 3 2 2 2 7" xfId="13054"/>
    <cellStyle name="Millares 2 3 2 2 2 8" xfId="46169"/>
    <cellStyle name="Millares 2 3 2 2 3" xfId="500"/>
    <cellStyle name="Millares 2 3 2 2 3 2" xfId="2028"/>
    <cellStyle name="Millares 2 3 2 2 3 2 2" xfId="5153"/>
    <cellStyle name="Millares 2 3 2 2 3 2 2 2" xfId="11356"/>
    <cellStyle name="Millares 2 3 2 2 3 2 2 3" xfId="17558"/>
    <cellStyle name="Millares 2 3 2 2 3 2 2 4" xfId="56407"/>
    <cellStyle name="Millares 2 3 2 2 3 2 3" xfId="8256"/>
    <cellStyle name="Millares 2 3 2 2 3 2 4" xfId="14458"/>
    <cellStyle name="Millares 2 3 2 2 3 2 5" xfId="53512"/>
    <cellStyle name="Millares 2 3 2 2 3 3" xfId="2702"/>
    <cellStyle name="Millares 2 3 2 2 3 3 2" xfId="5823"/>
    <cellStyle name="Millares 2 3 2 2 3 3 2 2" xfId="12026"/>
    <cellStyle name="Millares 2 3 2 2 3 3 2 3" xfId="18228"/>
    <cellStyle name="Millares 2 3 2 2 3 3 2 4" xfId="57054"/>
    <cellStyle name="Millares 2 3 2 2 3 3 3" xfId="8926"/>
    <cellStyle name="Millares 2 3 2 2 3 3 4" xfId="15128"/>
    <cellStyle name="Millares 2 3 2 2 3 3 5" xfId="54162"/>
    <cellStyle name="Millares 2 3 2 2 3 4" xfId="3751"/>
    <cellStyle name="Millares 2 3 2 2 3 4 2" xfId="9955"/>
    <cellStyle name="Millares 2 3 2 2 3 4 3" xfId="16157"/>
    <cellStyle name="Millares 2 3 2 2 3 4 4" xfId="55127"/>
    <cellStyle name="Millares 2 3 2 2 3 5" xfId="6854"/>
    <cellStyle name="Millares 2 3 2 2 3 5 2" xfId="19629"/>
    <cellStyle name="Millares 2 3 2 2 3 6" xfId="13056"/>
    <cellStyle name="Millares 2 3 2 2 3 7" xfId="52146"/>
    <cellStyle name="Millares 2 3 2 2 4" xfId="1504"/>
    <cellStyle name="Millares 2 3 2 2 4 2" xfId="4629"/>
    <cellStyle name="Millares 2 3 2 2 4 2 2" xfId="10832"/>
    <cellStyle name="Millares 2 3 2 2 4 2 3" xfId="17034"/>
    <cellStyle name="Millares 2 3 2 2 4 2 4" xfId="55912"/>
    <cellStyle name="Millares 2 3 2 2 4 3" xfId="7732"/>
    <cellStyle name="Millares 2 3 2 2 4 4" xfId="13934"/>
    <cellStyle name="Millares 2 3 2 2 4 5" xfId="53028"/>
    <cellStyle name="Millares 2 3 2 2 5" xfId="2699"/>
    <cellStyle name="Millares 2 3 2 2 5 2" xfId="5820"/>
    <cellStyle name="Millares 2 3 2 2 5 2 2" xfId="12023"/>
    <cellStyle name="Millares 2 3 2 2 5 2 3" xfId="18225"/>
    <cellStyle name="Millares 2 3 2 2 5 2 4" xfId="57051"/>
    <cellStyle name="Millares 2 3 2 2 5 3" xfId="8923"/>
    <cellStyle name="Millares 2 3 2 2 5 4" xfId="15125"/>
    <cellStyle name="Millares 2 3 2 2 5 5" xfId="54159"/>
    <cellStyle name="Millares 2 3 2 2 6" xfId="3748"/>
    <cellStyle name="Millares 2 3 2 2 6 2" xfId="9952"/>
    <cellStyle name="Millares 2 3 2 2 6 3" xfId="16154"/>
    <cellStyle name="Millares 2 3 2 2 6 4" xfId="55124"/>
    <cellStyle name="Millares 2 3 2 2 7" xfId="6851"/>
    <cellStyle name="Millares 2 3 2 2 7 2" xfId="19105"/>
    <cellStyle name="Millares 2 3 2 2 8" xfId="13053"/>
    <cellStyle name="Millares 2 3 2 2 9" xfId="29516"/>
    <cellStyle name="Millares 2 3 2 3" xfId="501"/>
    <cellStyle name="Millares 2 3 2 3 2" xfId="502"/>
    <cellStyle name="Millares 2 3 2 3 2 2" xfId="2145"/>
    <cellStyle name="Millares 2 3 2 3 2 2 2" xfId="5270"/>
    <cellStyle name="Millares 2 3 2 3 2 2 2 2" xfId="11473"/>
    <cellStyle name="Millares 2 3 2 3 2 2 2 3" xfId="17675"/>
    <cellStyle name="Millares 2 3 2 3 2 2 2 4" xfId="56515"/>
    <cellStyle name="Millares 2 3 2 3 2 2 3" xfId="8373"/>
    <cellStyle name="Millares 2 3 2 3 2 2 4" xfId="14575"/>
    <cellStyle name="Millares 2 3 2 3 2 2 5" xfId="53619"/>
    <cellStyle name="Millares 2 3 2 3 2 3" xfId="2704"/>
    <cellStyle name="Millares 2 3 2 3 2 3 2" xfId="5825"/>
    <cellStyle name="Millares 2 3 2 3 2 3 2 2" xfId="12028"/>
    <cellStyle name="Millares 2 3 2 3 2 3 2 3" xfId="18230"/>
    <cellStyle name="Millares 2 3 2 3 2 3 2 4" xfId="57056"/>
    <cellStyle name="Millares 2 3 2 3 2 3 3" xfId="8928"/>
    <cellStyle name="Millares 2 3 2 3 2 3 4" xfId="15130"/>
    <cellStyle name="Millares 2 3 2 3 2 3 5" xfId="54164"/>
    <cellStyle name="Millares 2 3 2 3 2 4" xfId="3753"/>
    <cellStyle name="Millares 2 3 2 3 2 4 2" xfId="9957"/>
    <cellStyle name="Millares 2 3 2 3 2 4 3" xfId="16159"/>
    <cellStyle name="Millares 2 3 2 3 2 4 4" xfId="55129"/>
    <cellStyle name="Millares 2 3 2 3 2 5" xfId="6856"/>
    <cellStyle name="Millares 2 3 2 3 2 5 2" xfId="19746"/>
    <cellStyle name="Millares 2 3 2 3 2 5 3" xfId="52414"/>
    <cellStyle name="Millares 2 3 2 3 2 6" xfId="13058"/>
    <cellStyle name="Millares 2 3 2 3 2 7" xfId="46170"/>
    <cellStyle name="Millares 2 3 2 3 3" xfId="1621"/>
    <cellStyle name="Millares 2 3 2 3 3 2" xfId="4746"/>
    <cellStyle name="Millares 2 3 2 3 3 2 2" xfId="10949"/>
    <cellStyle name="Millares 2 3 2 3 3 2 3" xfId="17151"/>
    <cellStyle name="Millares 2 3 2 3 3 2 4" xfId="56023"/>
    <cellStyle name="Millares 2 3 2 3 3 3" xfId="7849"/>
    <cellStyle name="Millares 2 3 2 3 3 4" xfId="14051"/>
    <cellStyle name="Millares 2 3 2 3 3 5" xfId="53134"/>
    <cellStyle name="Millares 2 3 2 3 4" xfId="2703"/>
    <cellStyle name="Millares 2 3 2 3 4 2" xfId="5824"/>
    <cellStyle name="Millares 2 3 2 3 4 2 2" xfId="12027"/>
    <cellStyle name="Millares 2 3 2 3 4 2 3" xfId="18229"/>
    <cellStyle name="Millares 2 3 2 3 4 2 4" xfId="57055"/>
    <cellStyle name="Millares 2 3 2 3 4 3" xfId="8927"/>
    <cellStyle name="Millares 2 3 2 3 4 4" xfId="15129"/>
    <cellStyle name="Millares 2 3 2 3 4 5" xfId="54163"/>
    <cellStyle name="Millares 2 3 2 3 5" xfId="3752"/>
    <cellStyle name="Millares 2 3 2 3 5 2" xfId="9956"/>
    <cellStyle name="Millares 2 3 2 3 5 3" xfId="16158"/>
    <cellStyle name="Millares 2 3 2 3 5 4" xfId="55128"/>
    <cellStyle name="Millares 2 3 2 3 6" xfId="6855"/>
    <cellStyle name="Millares 2 3 2 3 6 2" xfId="19222"/>
    <cellStyle name="Millares 2 3 2 3 6 3" xfId="52413"/>
    <cellStyle name="Millares 2 3 2 3 7" xfId="13057"/>
    <cellStyle name="Millares 2 3 2 3 8" xfId="29517"/>
    <cellStyle name="Millares 2 3 2 4" xfId="503"/>
    <cellStyle name="Millares 2 3 2 4 2" xfId="1886"/>
    <cellStyle name="Millares 2 3 2 4 2 2" xfId="5011"/>
    <cellStyle name="Millares 2 3 2 4 2 2 2" xfId="11214"/>
    <cellStyle name="Millares 2 3 2 4 2 2 3" xfId="17416"/>
    <cellStyle name="Millares 2 3 2 4 2 2 4" xfId="56273"/>
    <cellStyle name="Millares 2 3 2 4 2 3" xfId="8114"/>
    <cellStyle name="Millares 2 3 2 4 2 4" xfId="14316"/>
    <cellStyle name="Millares 2 3 2 4 2 5" xfId="53379"/>
    <cellStyle name="Millares 2 3 2 4 3" xfId="2705"/>
    <cellStyle name="Millares 2 3 2 4 3 2" xfId="5826"/>
    <cellStyle name="Millares 2 3 2 4 3 2 2" xfId="12029"/>
    <cellStyle name="Millares 2 3 2 4 3 2 3" xfId="18231"/>
    <cellStyle name="Millares 2 3 2 4 3 2 4" xfId="57057"/>
    <cellStyle name="Millares 2 3 2 4 3 3" xfId="8929"/>
    <cellStyle name="Millares 2 3 2 4 3 4" xfId="15131"/>
    <cellStyle name="Millares 2 3 2 4 3 5" xfId="54165"/>
    <cellStyle name="Millares 2 3 2 4 4" xfId="3754"/>
    <cellStyle name="Millares 2 3 2 4 4 2" xfId="9958"/>
    <cellStyle name="Millares 2 3 2 4 4 3" xfId="16160"/>
    <cellStyle name="Millares 2 3 2 4 4 4" xfId="55130"/>
    <cellStyle name="Millares 2 3 2 4 5" xfId="6857"/>
    <cellStyle name="Millares 2 3 2 4 5 2" xfId="19487"/>
    <cellStyle name="Millares 2 3 2 4 5 3" xfId="52415"/>
    <cellStyle name="Millares 2 3 2 4 6" xfId="13059"/>
    <cellStyle name="Millares 2 3 2 4 7" xfId="29518"/>
    <cellStyle name="Millares 2 3 2 5" xfId="1362"/>
    <cellStyle name="Millares 2 3 2 5 2" xfId="4487"/>
    <cellStyle name="Millares 2 3 2 5 2 2" xfId="10690"/>
    <cellStyle name="Millares 2 3 2 5 2 3" xfId="16892"/>
    <cellStyle name="Millares 2 3 2 5 2 4" xfId="55777"/>
    <cellStyle name="Millares 2 3 2 5 3" xfId="7590"/>
    <cellStyle name="Millares 2 3 2 5 3 2" xfId="52902"/>
    <cellStyle name="Millares 2 3 2 5 4" xfId="13792"/>
    <cellStyle name="Millares 2 3 2 5 5" xfId="29515"/>
    <cellStyle name="Millares 2 3 2 6" xfId="2698"/>
    <cellStyle name="Millares 2 3 2 6 2" xfId="5819"/>
    <cellStyle name="Millares 2 3 2 6 2 2" xfId="12022"/>
    <cellStyle name="Millares 2 3 2 6 2 3" xfId="18224"/>
    <cellStyle name="Millares 2 3 2 6 2 4" xfId="57050"/>
    <cellStyle name="Millares 2 3 2 6 3" xfId="8922"/>
    <cellStyle name="Millares 2 3 2 6 3 2" xfId="54158"/>
    <cellStyle name="Millares 2 3 2 6 4" xfId="15124"/>
    <cellStyle name="Millares 2 3 2 6 5" xfId="46168"/>
    <cellStyle name="Millares 2 3 2 7" xfId="3747"/>
    <cellStyle name="Millares 2 3 2 7 2" xfId="9951"/>
    <cellStyle name="Millares 2 3 2 7 3" xfId="16153"/>
    <cellStyle name="Millares 2 3 2 7 4" xfId="52014"/>
    <cellStyle name="Millares 2 3 2 8" xfId="6850"/>
    <cellStyle name="Millares 2 3 2 8 2" xfId="18963"/>
    <cellStyle name="Millares 2 3 2 9" xfId="13052"/>
    <cellStyle name="Millares 2 3 3" xfId="504"/>
    <cellStyle name="Millares 2 3 3 2" xfId="505"/>
    <cellStyle name="Millares 2 3 3 2 2" xfId="506"/>
    <cellStyle name="Millares 2 3 3 2 2 2" xfId="2205"/>
    <cellStyle name="Millares 2 3 3 2 2 2 2" xfId="5330"/>
    <cellStyle name="Millares 2 3 3 2 2 2 2 2" xfId="11533"/>
    <cellStyle name="Millares 2 3 3 2 2 2 2 3" xfId="17735"/>
    <cellStyle name="Millares 2 3 3 2 2 2 2 4" xfId="56571"/>
    <cellStyle name="Millares 2 3 3 2 2 2 3" xfId="8433"/>
    <cellStyle name="Millares 2 3 3 2 2 2 4" xfId="14635"/>
    <cellStyle name="Millares 2 3 3 2 2 2 5" xfId="53675"/>
    <cellStyle name="Millares 2 3 3 2 2 3" xfId="2708"/>
    <cellStyle name="Millares 2 3 3 2 2 3 2" xfId="5829"/>
    <cellStyle name="Millares 2 3 3 2 2 3 2 2" xfId="12032"/>
    <cellStyle name="Millares 2 3 3 2 2 3 2 3" xfId="18234"/>
    <cellStyle name="Millares 2 3 3 2 2 3 2 4" xfId="57060"/>
    <cellStyle name="Millares 2 3 3 2 2 3 3" xfId="8932"/>
    <cellStyle name="Millares 2 3 3 2 2 3 4" xfId="15134"/>
    <cellStyle name="Millares 2 3 3 2 2 3 5" xfId="54168"/>
    <cellStyle name="Millares 2 3 3 2 2 4" xfId="3757"/>
    <cellStyle name="Millares 2 3 3 2 2 4 2" xfId="9961"/>
    <cellStyle name="Millares 2 3 3 2 2 4 3" xfId="16163"/>
    <cellStyle name="Millares 2 3 3 2 2 4 4" xfId="55133"/>
    <cellStyle name="Millares 2 3 3 2 2 5" xfId="6860"/>
    <cellStyle name="Millares 2 3 3 2 2 5 2" xfId="19806"/>
    <cellStyle name="Millares 2 3 3 2 2 6" xfId="13062"/>
    <cellStyle name="Millares 2 3 3 2 2 7" xfId="52417"/>
    <cellStyle name="Millares 2 3 3 2 3" xfId="1681"/>
    <cellStyle name="Millares 2 3 3 2 3 2" xfId="4806"/>
    <cellStyle name="Millares 2 3 3 2 3 2 2" xfId="11009"/>
    <cellStyle name="Millares 2 3 3 2 3 2 3" xfId="17211"/>
    <cellStyle name="Millares 2 3 3 2 3 2 4" xfId="56080"/>
    <cellStyle name="Millares 2 3 3 2 3 3" xfId="7909"/>
    <cellStyle name="Millares 2 3 3 2 3 4" xfId="14111"/>
    <cellStyle name="Millares 2 3 3 2 3 5" xfId="53190"/>
    <cellStyle name="Millares 2 3 3 2 4" xfId="2707"/>
    <cellStyle name="Millares 2 3 3 2 4 2" xfId="5828"/>
    <cellStyle name="Millares 2 3 3 2 4 2 2" xfId="12031"/>
    <cellStyle name="Millares 2 3 3 2 4 2 3" xfId="18233"/>
    <cellStyle name="Millares 2 3 3 2 4 2 4" xfId="57059"/>
    <cellStyle name="Millares 2 3 3 2 4 3" xfId="8931"/>
    <cellStyle name="Millares 2 3 3 2 4 4" xfId="15133"/>
    <cellStyle name="Millares 2 3 3 2 4 5" xfId="54167"/>
    <cellStyle name="Millares 2 3 3 2 5" xfId="3756"/>
    <cellStyle name="Millares 2 3 3 2 5 2" xfId="9960"/>
    <cellStyle name="Millares 2 3 3 2 5 3" xfId="16162"/>
    <cellStyle name="Millares 2 3 3 2 5 4" xfId="55132"/>
    <cellStyle name="Millares 2 3 3 2 6" xfId="6859"/>
    <cellStyle name="Millares 2 3 3 2 6 2" xfId="19282"/>
    <cellStyle name="Millares 2 3 3 2 6 3" xfId="52416"/>
    <cellStyle name="Millares 2 3 3 2 7" xfId="13061"/>
    <cellStyle name="Millares 2 3 3 2 8" xfId="46171"/>
    <cellStyle name="Millares 2 3 3 3" xfId="507"/>
    <cellStyle name="Millares 2 3 3 3 2" xfId="1960"/>
    <cellStyle name="Millares 2 3 3 3 2 2" xfId="5085"/>
    <cellStyle name="Millares 2 3 3 3 2 2 2" xfId="11288"/>
    <cellStyle name="Millares 2 3 3 3 2 2 3" xfId="17490"/>
    <cellStyle name="Millares 2 3 3 3 2 2 4" xfId="56344"/>
    <cellStyle name="Millares 2 3 3 3 2 3" xfId="8188"/>
    <cellStyle name="Millares 2 3 3 3 2 4" xfId="14390"/>
    <cellStyle name="Millares 2 3 3 3 2 5" xfId="53450"/>
    <cellStyle name="Millares 2 3 3 3 3" xfId="2709"/>
    <cellStyle name="Millares 2 3 3 3 3 2" xfId="5830"/>
    <cellStyle name="Millares 2 3 3 3 3 2 2" xfId="12033"/>
    <cellStyle name="Millares 2 3 3 3 3 2 3" xfId="18235"/>
    <cellStyle name="Millares 2 3 3 3 3 2 4" xfId="57061"/>
    <cellStyle name="Millares 2 3 3 3 3 3" xfId="8933"/>
    <cellStyle name="Millares 2 3 3 3 3 4" xfId="15135"/>
    <cellStyle name="Millares 2 3 3 3 3 5" xfId="54169"/>
    <cellStyle name="Millares 2 3 3 3 4" xfId="3758"/>
    <cellStyle name="Millares 2 3 3 3 4 2" xfId="9962"/>
    <cellStyle name="Millares 2 3 3 3 4 3" xfId="16164"/>
    <cellStyle name="Millares 2 3 3 3 4 4" xfId="55134"/>
    <cellStyle name="Millares 2 3 3 3 5" xfId="6861"/>
    <cellStyle name="Millares 2 3 3 3 5 2" xfId="19561"/>
    <cellStyle name="Millares 2 3 3 3 6" xfId="13063"/>
    <cellStyle name="Millares 2 3 3 3 7" xfId="52083"/>
    <cellStyle name="Millares 2 3 3 4" xfId="1436"/>
    <cellStyle name="Millares 2 3 3 4 2" xfId="4561"/>
    <cellStyle name="Millares 2 3 3 4 2 2" xfId="10764"/>
    <cellStyle name="Millares 2 3 3 4 2 3" xfId="16966"/>
    <cellStyle name="Millares 2 3 3 4 2 4" xfId="55848"/>
    <cellStyle name="Millares 2 3 3 4 3" xfId="7664"/>
    <cellStyle name="Millares 2 3 3 4 4" xfId="13866"/>
    <cellStyle name="Millares 2 3 3 4 5" xfId="52966"/>
    <cellStyle name="Millares 2 3 3 5" xfId="2706"/>
    <cellStyle name="Millares 2 3 3 5 2" xfId="5827"/>
    <cellStyle name="Millares 2 3 3 5 2 2" xfId="12030"/>
    <cellStyle name="Millares 2 3 3 5 2 3" xfId="18232"/>
    <cellStyle name="Millares 2 3 3 5 2 4" xfId="57058"/>
    <cellStyle name="Millares 2 3 3 5 3" xfId="8930"/>
    <cellStyle name="Millares 2 3 3 5 4" xfId="15132"/>
    <cellStyle name="Millares 2 3 3 5 5" xfId="54166"/>
    <cellStyle name="Millares 2 3 3 6" xfId="3755"/>
    <cellStyle name="Millares 2 3 3 6 2" xfId="9959"/>
    <cellStyle name="Millares 2 3 3 6 3" xfId="16161"/>
    <cellStyle name="Millares 2 3 3 6 4" xfId="55131"/>
    <cellStyle name="Millares 2 3 3 7" xfId="6858"/>
    <cellStyle name="Millares 2 3 3 7 2" xfId="19037"/>
    <cellStyle name="Millares 2 3 3 8" xfId="13060"/>
    <cellStyle name="Millares 2 3 3 9" xfId="29519"/>
    <cellStyle name="Millares 2 3 4" xfId="508"/>
    <cellStyle name="Millares 2 3 4 2" xfId="509"/>
    <cellStyle name="Millares 2 3 4 2 2" xfId="2089"/>
    <cellStyle name="Millares 2 3 4 2 2 2" xfId="5214"/>
    <cellStyle name="Millares 2 3 4 2 2 2 2" xfId="11417"/>
    <cellStyle name="Millares 2 3 4 2 2 2 3" xfId="17619"/>
    <cellStyle name="Millares 2 3 4 2 2 2 4" xfId="56463"/>
    <cellStyle name="Millares 2 3 4 2 2 3" xfId="8317"/>
    <cellStyle name="Millares 2 3 4 2 2 4" xfId="14519"/>
    <cellStyle name="Millares 2 3 4 2 2 5" xfId="53567"/>
    <cellStyle name="Millares 2 3 4 2 3" xfId="2711"/>
    <cellStyle name="Millares 2 3 4 2 3 2" xfId="5832"/>
    <cellStyle name="Millares 2 3 4 2 3 2 2" xfId="12035"/>
    <cellStyle name="Millares 2 3 4 2 3 2 3" xfId="18237"/>
    <cellStyle name="Millares 2 3 4 2 3 2 4" xfId="57063"/>
    <cellStyle name="Millares 2 3 4 2 3 3" xfId="8935"/>
    <cellStyle name="Millares 2 3 4 2 3 4" xfId="15137"/>
    <cellStyle name="Millares 2 3 4 2 3 5" xfId="54171"/>
    <cellStyle name="Millares 2 3 4 2 4" xfId="3760"/>
    <cellStyle name="Millares 2 3 4 2 4 2" xfId="9964"/>
    <cellStyle name="Millares 2 3 4 2 4 3" xfId="16166"/>
    <cellStyle name="Millares 2 3 4 2 4 4" xfId="55136"/>
    <cellStyle name="Millares 2 3 4 2 5" xfId="6863"/>
    <cellStyle name="Millares 2 3 4 2 5 2" xfId="19690"/>
    <cellStyle name="Millares 2 3 4 2 5 3" xfId="52419"/>
    <cellStyle name="Millares 2 3 4 2 6" xfId="13065"/>
    <cellStyle name="Millares 2 3 4 2 7" xfId="46172"/>
    <cellStyle name="Millares 2 3 4 3" xfId="1565"/>
    <cellStyle name="Millares 2 3 4 3 2" xfId="4690"/>
    <cellStyle name="Millares 2 3 4 3 2 2" xfId="10893"/>
    <cellStyle name="Millares 2 3 4 3 2 3" xfId="17095"/>
    <cellStyle name="Millares 2 3 4 3 2 4" xfId="55969"/>
    <cellStyle name="Millares 2 3 4 3 3" xfId="7793"/>
    <cellStyle name="Millares 2 3 4 3 4" xfId="13995"/>
    <cellStyle name="Millares 2 3 4 3 5" xfId="53082"/>
    <cellStyle name="Millares 2 3 4 4" xfId="2710"/>
    <cellStyle name="Millares 2 3 4 4 2" xfId="5831"/>
    <cellStyle name="Millares 2 3 4 4 2 2" xfId="12034"/>
    <cellStyle name="Millares 2 3 4 4 2 3" xfId="18236"/>
    <cellStyle name="Millares 2 3 4 4 2 4" xfId="57062"/>
    <cellStyle name="Millares 2 3 4 4 3" xfId="8934"/>
    <cellStyle name="Millares 2 3 4 4 4" xfId="15136"/>
    <cellStyle name="Millares 2 3 4 4 5" xfId="54170"/>
    <cellStyle name="Millares 2 3 4 5" xfId="3759"/>
    <cellStyle name="Millares 2 3 4 5 2" xfId="9963"/>
    <cellStyle name="Millares 2 3 4 5 3" xfId="16165"/>
    <cellStyle name="Millares 2 3 4 5 4" xfId="55135"/>
    <cellStyle name="Millares 2 3 4 6" xfId="6862"/>
    <cellStyle name="Millares 2 3 4 6 2" xfId="19166"/>
    <cellStyle name="Millares 2 3 4 6 3" xfId="52418"/>
    <cellStyle name="Millares 2 3 4 7" xfId="13064"/>
    <cellStyle name="Millares 2 3 4 8" xfId="29520"/>
    <cellStyle name="Millares 2 3 5" xfId="510"/>
    <cellStyle name="Millares 2 3 5 2" xfId="1819"/>
    <cellStyle name="Millares 2 3 5 2 2" xfId="4944"/>
    <cellStyle name="Millares 2 3 5 2 2 2" xfId="11147"/>
    <cellStyle name="Millares 2 3 5 2 2 3" xfId="17349"/>
    <cellStyle name="Millares 2 3 5 2 2 4" xfId="56209"/>
    <cellStyle name="Millares 2 3 5 2 3" xfId="8047"/>
    <cellStyle name="Millares 2 3 5 2 3 2" xfId="53315"/>
    <cellStyle name="Millares 2 3 5 2 4" xfId="14249"/>
    <cellStyle name="Millares 2 3 5 2 5" xfId="46173"/>
    <cellStyle name="Millares 2 3 5 3" xfId="2712"/>
    <cellStyle name="Millares 2 3 5 3 2" xfId="5833"/>
    <cellStyle name="Millares 2 3 5 3 2 2" xfId="12036"/>
    <cellStyle name="Millares 2 3 5 3 2 3" xfId="18238"/>
    <cellStyle name="Millares 2 3 5 3 2 4" xfId="57064"/>
    <cellStyle name="Millares 2 3 5 3 3" xfId="8936"/>
    <cellStyle name="Millares 2 3 5 3 4" xfId="15138"/>
    <cellStyle name="Millares 2 3 5 3 5" xfId="54172"/>
    <cellStyle name="Millares 2 3 5 4" xfId="3761"/>
    <cellStyle name="Millares 2 3 5 4 2" xfId="9965"/>
    <cellStyle name="Millares 2 3 5 4 3" xfId="16167"/>
    <cellStyle name="Millares 2 3 5 4 4" xfId="55137"/>
    <cellStyle name="Millares 2 3 5 5" xfId="6864"/>
    <cellStyle name="Millares 2 3 5 5 2" xfId="19420"/>
    <cellStyle name="Millares 2 3 5 5 3" xfId="52420"/>
    <cellStyle name="Millares 2 3 5 6" xfId="13066"/>
    <cellStyle name="Millares 2 3 5 7" xfId="29521"/>
    <cellStyle name="Millares 2 3 6" xfId="1294"/>
    <cellStyle name="Millares 2 3 6 2" xfId="4419"/>
    <cellStyle name="Millares 2 3 6 2 2" xfId="10622"/>
    <cellStyle name="Millares 2 3 6 2 2 2" xfId="55712"/>
    <cellStyle name="Millares 2 3 6 2 3" xfId="16824"/>
    <cellStyle name="Millares 2 3 6 2 4" xfId="46174"/>
    <cellStyle name="Millares 2 3 6 3" xfId="7522"/>
    <cellStyle name="Millares 2 3 6 3 2" xfId="52841"/>
    <cellStyle name="Millares 2 3 6 4" xfId="13724"/>
    <cellStyle name="Millares 2 3 6 5" xfId="29522"/>
    <cellStyle name="Millares 2 3 7" xfId="2697"/>
    <cellStyle name="Millares 2 3 7 2" xfId="5818"/>
    <cellStyle name="Millares 2 3 7 2 2" xfId="12021"/>
    <cellStyle name="Millares 2 3 7 2 2 2" xfId="57049"/>
    <cellStyle name="Millares 2 3 7 2 3" xfId="18223"/>
    <cellStyle name="Millares 2 3 7 2 4" xfId="46175"/>
    <cellStyle name="Millares 2 3 7 3" xfId="8921"/>
    <cellStyle name="Millares 2 3 7 3 2" xfId="54157"/>
    <cellStyle name="Millares 2 3 7 4" xfId="15123"/>
    <cellStyle name="Millares 2 3 7 5" xfId="29523"/>
    <cellStyle name="Millares 2 3 8" xfId="3746"/>
    <cellStyle name="Millares 2 3 8 2" xfId="9950"/>
    <cellStyle name="Millares 2 3 8 2 2" xfId="46176"/>
    <cellStyle name="Millares 2 3 8 3" xfId="16152"/>
    <cellStyle name="Millares 2 3 8 3 2" xfId="55123"/>
    <cellStyle name="Millares 2 3 8 4" xfId="29524"/>
    <cellStyle name="Millares 2 3 9" xfId="6849"/>
    <cellStyle name="Millares 2 3 9 2" xfId="18895"/>
    <cellStyle name="Millares 2 3 9 2 2" xfId="46177"/>
    <cellStyle name="Millares 2 3 9 3" xfId="29525"/>
    <cellStyle name="Millares 2 3_Plan by Lob" xfId="29526"/>
    <cellStyle name="Millares 2 30" xfId="51838"/>
    <cellStyle name="Millares 2 31" xfId="51925"/>
    <cellStyle name="Millares 2 32" xfId="52167"/>
    <cellStyle name="Millares 2 4" xfId="511"/>
    <cellStyle name="Millares 2 4 10" xfId="29527"/>
    <cellStyle name="Millares 2 4 11" xfId="46178"/>
    <cellStyle name="Millares 2 4 12" xfId="51990"/>
    <cellStyle name="Millares 2 4 13" xfId="19930"/>
    <cellStyle name="Millares 2 4 2" xfId="512"/>
    <cellStyle name="Millares 2 4 2 2" xfId="513"/>
    <cellStyle name="Millares 2 4 2 2 2" xfId="514"/>
    <cellStyle name="Millares 2 4 2 2 2 2" xfId="2245"/>
    <cellStyle name="Millares 2 4 2 2 2 2 2" xfId="5370"/>
    <cellStyle name="Millares 2 4 2 2 2 2 2 2" xfId="11573"/>
    <cellStyle name="Millares 2 4 2 2 2 2 2 3" xfId="17775"/>
    <cellStyle name="Millares 2 4 2 2 2 2 2 4" xfId="56609"/>
    <cellStyle name="Millares 2 4 2 2 2 2 3" xfId="8473"/>
    <cellStyle name="Millares 2 4 2 2 2 2 4" xfId="14675"/>
    <cellStyle name="Millares 2 4 2 2 2 2 5" xfId="53713"/>
    <cellStyle name="Millares 2 4 2 2 2 3" xfId="2716"/>
    <cellStyle name="Millares 2 4 2 2 2 3 2" xfId="5837"/>
    <cellStyle name="Millares 2 4 2 2 2 3 2 2" xfId="12040"/>
    <cellStyle name="Millares 2 4 2 2 2 3 2 3" xfId="18242"/>
    <cellStyle name="Millares 2 4 2 2 2 3 2 4" xfId="57068"/>
    <cellStyle name="Millares 2 4 2 2 2 3 3" xfId="8940"/>
    <cellStyle name="Millares 2 4 2 2 2 3 4" xfId="15142"/>
    <cellStyle name="Millares 2 4 2 2 2 3 5" xfId="54176"/>
    <cellStyle name="Millares 2 4 2 2 2 4" xfId="3765"/>
    <cellStyle name="Millares 2 4 2 2 2 4 2" xfId="9969"/>
    <cellStyle name="Millares 2 4 2 2 2 4 3" xfId="16171"/>
    <cellStyle name="Millares 2 4 2 2 2 4 4" xfId="55141"/>
    <cellStyle name="Millares 2 4 2 2 2 5" xfId="6868"/>
    <cellStyle name="Millares 2 4 2 2 2 5 2" xfId="19846"/>
    <cellStyle name="Millares 2 4 2 2 2 6" xfId="13070"/>
    <cellStyle name="Millares 2 4 2 2 2 7" xfId="52422"/>
    <cellStyle name="Millares 2 4 2 2 3" xfId="1721"/>
    <cellStyle name="Millares 2 4 2 2 3 2" xfId="4846"/>
    <cellStyle name="Millares 2 4 2 2 3 2 2" xfId="11049"/>
    <cellStyle name="Millares 2 4 2 2 3 2 3" xfId="17251"/>
    <cellStyle name="Millares 2 4 2 2 3 2 4" xfId="56118"/>
    <cellStyle name="Millares 2 4 2 2 3 3" xfId="7949"/>
    <cellStyle name="Millares 2 4 2 2 3 4" xfId="14151"/>
    <cellStyle name="Millares 2 4 2 2 3 5" xfId="53228"/>
    <cellStyle name="Millares 2 4 2 2 4" xfId="2715"/>
    <cellStyle name="Millares 2 4 2 2 4 2" xfId="5836"/>
    <cellStyle name="Millares 2 4 2 2 4 2 2" xfId="12039"/>
    <cellStyle name="Millares 2 4 2 2 4 2 3" xfId="18241"/>
    <cellStyle name="Millares 2 4 2 2 4 2 4" xfId="57067"/>
    <cellStyle name="Millares 2 4 2 2 4 3" xfId="8939"/>
    <cellStyle name="Millares 2 4 2 2 4 4" xfId="15141"/>
    <cellStyle name="Millares 2 4 2 2 4 5" xfId="54175"/>
    <cellStyle name="Millares 2 4 2 2 5" xfId="3764"/>
    <cellStyle name="Millares 2 4 2 2 5 2" xfId="9968"/>
    <cellStyle name="Millares 2 4 2 2 5 3" xfId="16170"/>
    <cellStyle name="Millares 2 4 2 2 5 4" xfId="55140"/>
    <cellStyle name="Millares 2 4 2 2 6" xfId="6867"/>
    <cellStyle name="Millares 2 4 2 2 6 2" xfId="19322"/>
    <cellStyle name="Millares 2 4 2 2 6 3" xfId="52421"/>
    <cellStyle name="Millares 2 4 2 2 7" xfId="13069"/>
    <cellStyle name="Millares 2 4 2 2 8" xfId="46179"/>
    <cellStyle name="Millares 2 4 2 3" xfId="515"/>
    <cellStyle name="Millares 2 4 2 3 2" xfId="2000"/>
    <cellStyle name="Millares 2 4 2 3 2 2" xfId="5125"/>
    <cellStyle name="Millares 2 4 2 3 2 2 2" xfId="11328"/>
    <cellStyle name="Millares 2 4 2 3 2 2 3" xfId="17530"/>
    <cellStyle name="Millares 2 4 2 3 2 2 4" xfId="56382"/>
    <cellStyle name="Millares 2 4 2 3 2 3" xfId="8228"/>
    <cellStyle name="Millares 2 4 2 3 2 4" xfId="14430"/>
    <cellStyle name="Millares 2 4 2 3 2 5" xfId="53487"/>
    <cellStyle name="Millares 2 4 2 3 3" xfId="2717"/>
    <cellStyle name="Millares 2 4 2 3 3 2" xfId="5838"/>
    <cellStyle name="Millares 2 4 2 3 3 2 2" xfId="12041"/>
    <cellStyle name="Millares 2 4 2 3 3 2 3" xfId="18243"/>
    <cellStyle name="Millares 2 4 2 3 3 2 4" xfId="57069"/>
    <cellStyle name="Millares 2 4 2 3 3 3" xfId="8941"/>
    <cellStyle name="Millares 2 4 2 3 3 4" xfId="15143"/>
    <cellStyle name="Millares 2 4 2 3 3 5" xfId="54177"/>
    <cellStyle name="Millares 2 4 2 3 4" xfId="3766"/>
    <cellStyle name="Millares 2 4 2 3 4 2" xfId="9970"/>
    <cellStyle name="Millares 2 4 2 3 4 3" xfId="16172"/>
    <cellStyle name="Millares 2 4 2 3 4 4" xfId="55142"/>
    <cellStyle name="Millares 2 4 2 3 5" xfId="6869"/>
    <cellStyle name="Millares 2 4 2 3 5 2" xfId="19601"/>
    <cellStyle name="Millares 2 4 2 3 6" xfId="13071"/>
    <cellStyle name="Millares 2 4 2 3 7" xfId="52121"/>
    <cellStyle name="Millares 2 4 2 4" xfId="1476"/>
    <cellStyle name="Millares 2 4 2 4 2" xfId="4601"/>
    <cellStyle name="Millares 2 4 2 4 2 2" xfId="10804"/>
    <cellStyle name="Millares 2 4 2 4 2 3" xfId="17006"/>
    <cellStyle name="Millares 2 4 2 4 2 4" xfId="55886"/>
    <cellStyle name="Millares 2 4 2 4 3" xfId="7704"/>
    <cellStyle name="Millares 2 4 2 4 4" xfId="13906"/>
    <cellStyle name="Millares 2 4 2 4 5" xfId="53003"/>
    <cellStyle name="Millares 2 4 2 5" xfId="2714"/>
    <cellStyle name="Millares 2 4 2 5 2" xfId="5835"/>
    <cellStyle name="Millares 2 4 2 5 2 2" xfId="12038"/>
    <cellStyle name="Millares 2 4 2 5 2 3" xfId="18240"/>
    <cellStyle name="Millares 2 4 2 5 2 4" xfId="57066"/>
    <cellStyle name="Millares 2 4 2 5 3" xfId="8938"/>
    <cellStyle name="Millares 2 4 2 5 4" xfId="15140"/>
    <cellStyle name="Millares 2 4 2 5 5" xfId="54174"/>
    <cellStyle name="Millares 2 4 2 6" xfId="3763"/>
    <cellStyle name="Millares 2 4 2 6 2" xfId="9967"/>
    <cellStyle name="Millares 2 4 2 6 3" xfId="16169"/>
    <cellStyle name="Millares 2 4 2 6 4" xfId="55139"/>
    <cellStyle name="Millares 2 4 2 7" xfId="6866"/>
    <cellStyle name="Millares 2 4 2 7 2" xfId="19077"/>
    <cellStyle name="Millares 2 4 2 8" xfId="13068"/>
    <cellStyle name="Millares 2 4 2 9" xfId="29528"/>
    <cellStyle name="Millares 2 4 3" xfId="516"/>
    <cellStyle name="Millares 2 4 3 2" xfId="517"/>
    <cellStyle name="Millares 2 4 3 2 2" xfId="2117"/>
    <cellStyle name="Millares 2 4 3 2 2 2" xfId="5242"/>
    <cellStyle name="Millares 2 4 3 2 2 2 2" xfId="11445"/>
    <cellStyle name="Millares 2 4 3 2 2 2 3" xfId="17647"/>
    <cellStyle name="Millares 2 4 3 2 2 2 4" xfId="56490"/>
    <cellStyle name="Millares 2 4 3 2 2 3" xfId="8345"/>
    <cellStyle name="Millares 2 4 3 2 2 4" xfId="14547"/>
    <cellStyle name="Millares 2 4 3 2 2 5" xfId="53594"/>
    <cellStyle name="Millares 2 4 3 2 3" xfId="2719"/>
    <cellStyle name="Millares 2 4 3 2 3 2" xfId="5840"/>
    <cellStyle name="Millares 2 4 3 2 3 2 2" xfId="12043"/>
    <cellStyle name="Millares 2 4 3 2 3 2 3" xfId="18245"/>
    <cellStyle name="Millares 2 4 3 2 3 2 4" xfId="57071"/>
    <cellStyle name="Millares 2 4 3 2 3 3" xfId="8943"/>
    <cellStyle name="Millares 2 4 3 2 3 4" xfId="15145"/>
    <cellStyle name="Millares 2 4 3 2 3 5" xfId="54179"/>
    <cellStyle name="Millares 2 4 3 2 4" xfId="3768"/>
    <cellStyle name="Millares 2 4 3 2 4 2" xfId="9972"/>
    <cellStyle name="Millares 2 4 3 2 4 3" xfId="16174"/>
    <cellStyle name="Millares 2 4 3 2 4 4" xfId="55144"/>
    <cellStyle name="Millares 2 4 3 2 5" xfId="6871"/>
    <cellStyle name="Millares 2 4 3 2 5 2" xfId="19718"/>
    <cellStyle name="Millares 2 4 3 2 5 3" xfId="52424"/>
    <cellStyle name="Millares 2 4 3 2 6" xfId="13073"/>
    <cellStyle name="Millares 2 4 3 2 7" xfId="46180"/>
    <cellStyle name="Millares 2 4 3 3" xfId="1593"/>
    <cellStyle name="Millares 2 4 3 3 2" xfId="4718"/>
    <cellStyle name="Millares 2 4 3 3 2 2" xfId="10921"/>
    <cellStyle name="Millares 2 4 3 3 2 3" xfId="17123"/>
    <cellStyle name="Millares 2 4 3 3 2 4" xfId="55996"/>
    <cellStyle name="Millares 2 4 3 3 3" xfId="7821"/>
    <cellStyle name="Millares 2 4 3 3 4" xfId="14023"/>
    <cellStyle name="Millares 2 4 3 3 5" xfId="53109"/>
    <cellStyle name="Millares 2 4 3 4" xfId="2718"/>
    <cellStyle name="Millares 2 4 3 4 2" xfId="5839"/>
    <cellStyle name="Millares 2 4 3 4 2 2" xfId="12042"/>
    <cellStyle name="Millares 2 4 3 4 2 3" xfId="18244"/>
    <cellStyle name="Millares 2 4 3 4 2 4" xfId="57070"/>
    <cellStyle name="Millares 2 4 3 4 3" xfId="8942"/>
    <cellStyle name="Millares 2 4 3 4 4" xfId="15144"/>
    <cellStyle name="Millares 2 4 3 4 5" xfId="54178"/>
    <cellStyle name="Millares 2 4 3 5" xfId="3767"/>
    <cellStyle name="Millares 2 4 3 5 2" xfId="9971"/>
    <cellStyle name="Millares 2 4 3 5 3" xfId="16173"/>
    <cellStyle name="Millares 2 4 3 5 4" xfId="55143"/>
    <cellStyle name="Millares 2 4 3 6" xfId="6870"/>
    <cellStyle name="Millares 2 4 3 6 2" xfId="19194"/>
    <cellStyle name="Millares 2 4 3 6 3" xfId="52423"/>
    <cellStyle name="Millares 2 4 3 7" xfId="13072"/>
    <cellStyle name="Millares 2 4 3 8" xfId="29529"/>
    <cellStyle name="Millares 2 4 4" xfId="518"/>
    <cellStyle name="Millares 2 4 4 2" xfId="1858"/>
    <cellStyle name="Millares 2 4 4 2 2" xfId="4983"/>
    <cellStyle name="Millares 2 4 4 2 2 2" xfId="11186"/>
    <cellStyle name="Millares 2 4 4 2 2 3" xfId="17388"/>
    <cellStyle name="Millares 2 4 4 2 2 4" xfId="56247"/>
    <cellStyle name="Millares 2 4 4 2 3" xfId="8086"/>
    <cellStyle name="Millares 2 4 4 2 3 2" xfId="53353"/>
    <cellStyle name="Millares 2 4 4 2 4" xfId="14288"/>
    <cellStyle name="Millares 2 4 4 2 5" xfId="46181"/>
    <cellStyle name="Millares 2 4 4 3" xfId="2720"/>
    <cellStyle name="Millares 2 4 4 3 2" xfId="5841"/>
    <cellStyle name="Millares 2 4 4 3 2 2" xfId="12044"/>
    <cellStyle name="Millares 2 4 4 3 2 3" xfId="18246"/>
    <cellStyle name="Millares 2 4 4 3 2 4" xfId="57072"/>
    <cellStyle name="Millares 2 4 4 3 3" xfId="8944"/>
    <cellStyle name="Millares 2 4 4 3 4" xfId="15146"/>
    <cellStyle name="Millares 2 4 4 3 5" xfId="54180"/>
    <cellStyle name="Millares 2 4 4 4" xfId="3769"/>
    <cellStyle name="Millares 2 4 4 4 2" xfId="9973"/>
    <cellStyle name="Millares 2 4 4 4 3" xfId="16175"/>
    <cellStyle name="Millares 2 4 4 4 4" xfId="55145"/>
    <cellStyle name="Millares 2 4 4 5" xfId="6872"/>
    <cellStyle name="Millares 2 4 4 5 2" xfId="19459"/>
    <cellStyle name="Millares 2 4 4 5 3" xfId="52425"/>
    <cellStyle name="Millares 2 4 4 6" xfId="13074"/>
    <cellStyle name="Millares 2 4 4 7" xfId="29530"/>
    <cellStyle name="Millares 2 4 5" xfId="1334"/>
    <cellStyle name="Millares 2 4 5 2" xfId="4459"/>
    <cellStyle name="Millares 2 4 5 2 2" xfId="10662"/>
    <cellStyle name="Millares 2 4 5 2 2 2" xfId="46184"/>
    <cellStyle name="Millares 2 4 5 2 2 3" xfId="29533"/>
    <cellStyle name="Millares 2 4 5 2 3" xfId="16864"/>
    <cellStyle name="Millares 2 4 5 2 3 2" xfId="46183"/>
    <cellStyle name="Millares 2 4 5 2 4" xfId="55750"/>
    <cellStyle name="Millares 2 4 5 2 5" xfId="29532"/>
    <cellStyle name="Millares 2 4 5 3" xfId="7562"/>
    <cellStyle name="Millares 2 4 5 3 2" xfId="46185"/>
    <cellStyle name="Millares 2 4 5 3 3" xfId="29534"/>
    <cellStyle name="Millares 2 4 5 4" xfId="13764"/>
    <cellStyle name="Millares 2 4 5 4 2" xfId="46182"/>
    <cellStyle name="Millares 2 4 5 5" xfId="52878"/>
    <cellStyle name="Millares 2 4 5 6" xfId="29531"/>
    <cellStyle name="Millares 2 4 6" xfId="2713"/>
    <cellStyle name="Millares 2 4 6 2" xfId="5834"/>
    <cellStyle name="Millares 2 4 6 2 2" xfId="12037"/>
    <cellStyle name="Millares 2 4 6 2 2 2" xfId="57065"/>
    <cellStyle name="Millares 2 4 6 2 3" xfId="18239"/>
    <cellStyle name="Millares 2 4 6 2 4" xfId="46186"/>
    <cellStyle name="Millares 2 4 6 3" xfId="8937"/>
    <cellStyle name="Millares 2 4 6 3 2" xfId="54173"/>
    <cellStyle name="Millares 2 4 6 4" xfId="15139"/>
    <cellStyle name="Millares 2 4 6 5" xfId="29535"/>
    <cellStyle name="Millares 2 4 7" xfId="3762"/>
    <cellStyle name="Millares 2 4 7 2" xfId="9966"/>
    <cellStyle name="Millares 2 4 7 2 2" xfId="46187"/>
    <cellStyle name="Millares 2 4 7 3" xfId="16168"/>
    <cellStyle name="Millares 2 4 7 3 2" xfId="55138"/>
    <cellStyle name="Millares 2 4 7 4" xfId="29536"/>
    <cellStyle name="Millares 2 4 8" xfId="6865"/>
    <cellStyle name="Millares 2 4 8 2" xfId="18935"/>
    <cellStyle name="Millares 2 4 8 2 2" xfId="46188"/>
    <cellStyle name="Millares 2 4 8 3" xfId="29537"/>
    <cellStyle name="Millares 2 4 9" xfId="13067"/>
    <cellStyle name="Millares 2 4 9 2" xfId="29538"/>
    <cellStyle name="Millares 2 4_Plan by Lob" xfId="29539"/>
    <cellStyle name="Millares 2 5" xfId="519"/>
    <cellStyle name="Millares 2 5 10" xfId="46189"/>
    <cellStyle name="Millares 2 5 11" xfId="52058"/>
    <cellStyle name="Millares 2 5 12" xfId="52426"/>
    <cellStyle name="Millares 2 5 13" xfId="19931"/>
    <cellStyle name="Millares 2 5 2" xfId="520"/>
    <cellStyle name="Millares 2 5 2 2" xfId="521"/>
    <cellStyle name="Millares 2 5 2 2 2" xfId="2177"/>
    <cellStyle name="Millares 2 5 2 2 2 2" xfId="5302"/>
    <cellStyle name="Millares 2 5 2 2 2 2 2" xfId="11505"/>
    <cellStyle name="Millares 2 5 2 2 2 2 3" xfId="17707"/>
    <cellStyle name="Millares 2 5 2 2 2 2 4" xfId="56544"/>
    <cellStyle name="Millares 2 5 2 2 2 3" xfId="8405"/>
    <cellStyle name="Millares 2 5 2 2 2 4" xfId="14607"/>
    <cellStyle name="Millares 2 5 2 2 2 5" xfId="53648"/>
    <cellStyle name="Millares 2 5 2 2 3" xfId="2723"/>
    <cellStyle name="Millares 2 5 2 2 3 2" xfId="5844"/>
    <cellStyle name="Millares 2 5 2 2 3 2 2" xfId="12047"/>
    <cellStyle name="Millares 2 5 2 2 3 2 3" xfId="18249"/>
    <cellStyle name="Millares 2 5 2 2 3 2 4" xfId="57075"/>
    <cellStyle name="Millares 2 5 2 2 3 3" xfId="8947"/>
    <cellStyle name="Millares 2 5 2 2 3 4" xfId="15149"/>
    <cellStyle name="Millares 2 5 2 2 3 5" xfId="54183"/>
    <cellStyle name="Millares 2 5 2 2 4" xfId="3772"/>
    <cellStyle name="Millares 2 5 2 2 4 2" xfId="9976"/>
    <cellStyle name="Millares 2 5 2 2 4 3" xfId="16178"/>
    <cellStyle name="Millares 2 5 2 2 4 4" xfId="55148"/>
    <cellStyle name="Millares 2 5 2 2 5" xfId="6875"/>
    <cellStyle name="Millares 2 5 2 2 5 2" xfId="19778"/>
    <cellStyle name="Millares 2 5 2 2 5 3" xfId="52428"/>
    <cellStyle name="Millares 2 5 2 2 6" xfId="13077"/>
    <cellStyle name="Millares 2 5 2 2 7" xfId="46190"/>
    <cellStyle name="Millares 2 5 2 3" xfId="1653"/>
    <cellStyle name="Millares 2 5 2 3 2" xfId="4778"/>
    <cellStyle name="Millares 2 5 2 3 2 2" xfId="10981"/>
    <cellStyle name="Millares 2 5 2 3 2 3" xfId="17183"/>
    <cellStyle name="Millares 2 5 2 3 2 4" xfId="56053"/>
    <cellStyle name="Millares 2 5 2 3 3" xfId="7881"/>
    <cellStyle name="Millares 2 5 2 3 4" xfId="14083"/>
    <cellStyle name="Millares 2 5 2 3 5" xfId="53163"/>
    <cellStyle name="Millares 2 5 2 4" xfId="2722"/>
    <cellStyle name="Millares 2 5 2 4 2" xfId="5843"/>
    <cellStyle name="Millares 2 5 2 4 2 2" xfId="12046"/>
    <cellStyle name="Millares 2 5 2 4 2 3" xfId="18248"/>
    <cellStyle name="Millares 2 5 2 4 2 4" xfId="57074"/>
    <cellStyle name="Millares 2 5 2 4 3" xfId="8946"/>
    <cellStyle name="Millares 2 5 2 4 4" xfId="15148"/>
    <cellStyle name="Millares 2 5 2 4 5" xfId="54182"/>
    <cellStyle name="Millares 2 5 2 5" xfId="3771"/>
    <cellStyle name="Millares 2 5 2 5 2" xfId="9975"/>
    <cellStyle name="Millares 2 5 2 5 3" xfId="16177"/>
    <cellStyle name="Millares 2 5 2 5 4" xfId="55147"/>
    <cellStyle name="Millares 2 5 2 6" xfId="6874"/>
    <cellStyle name="Millares 2 5 2 6 2" xfId="19254"/>
    <cellStyle name="Millares 2 5 2 6 3" xfId="52427"/>
    <cellStyle name="Millares 2 5 2 7" xfId="13076"/>
    <cellStyle name="Millares 2 5 2 8" xfId="29541"/>
    <cellStyle name="Millares 2 5 3" xfId="522"/>
    <cellStyle name="Millares 2 5 3 2" xfId="1931"/>
    <cellStyle name="Millares 2 5 3 2 2" xfId="5056"/>
    <cellStyle name="Millares 2 5 3 2 2 2" xfId="11259"/>
    <cellStyle name="Millares 2 5 3 2 2 3" xfId="17461"/>
    <cellStyle name="Millares 2 5 3 2 2 4" xfId="56316"/>
    <cellStyle name="Millares 2 5 3 2 3" xfId="8159"/>
    <cellStyle name="Millares 2 5 3 2 3 2" xfId="53422"/>
    <cellStyle name="Millares 2 5 3 2 4" xfId="14361"/>
    <cellStyle name="Millares 2 5 3 2 5" xfId="46191"/>
    <cellStyle name="Millares 2 5 3 3" xfId="2724"/>
    <cellStyle name="Millares 2 5 3 3 2" xfId="5845"/>
    <cellStyle name="Millares 2 5 3 3 2 2" xfId="12048"/>
    <cellStyle name="Millares 2 5 3 3 2 3" xfId="18250"/>
    <cellStyle name="Millares 2 5 3 3 2 4" xfId="57076"/>
    <cellStyle name="Millares 2 5 3 3 3" xfId="8948"/>
    <cellStyle name="Millares 2 5 3 3 4" xfId="15150"/>
    <cellStyle name="Millares 2 5 3 3 5" xfId="54184"/>
    <cellStyle name="Millares 2 5 3 4" xfId="3773"/>
    <cellStyle name="Millares 2 5 3 4 2" xfId="9977"/>
    <cellStyle name="Millares 2 5 3 4 3" xfId="16179"/>
    <cellStyle name="Millares 2 5 3 4 4" xfId="55149"/>
    <cellStyle name="Millares 2 5 3 5" xfId="6876"/>
    <cellStyle name="Millares 2 5 3 5 2" xfId="19532"/>
    <cellStyle name="Millares 2 5 3 5 3" xfId="52429"/>
    <cellStyle name="Millares 2 5 3 6" xfId="13078"/>
    <cellStyle name="Millares 2 5 3 7" xfId="29542"/>
    <cellStyle name="Millares 2 5 4" xfId="1407"/>
    <cellStyle name="Millares 2 5 4 2" xfId="4532"/>
    <cellStyle name="Millares 2 5 4 2 2" xfId="10735"/>
    <cellStyle name="Millares 2 5 4 2 2 2" xfId="55820"/>
    <cellStyle name="Millares 2 5 4 2 3" xfId="16937"/>
    <cellStyle name="Millares 2 5 4 2 4" xfId="46192"/>
    <cellStyle name="Millares 2 5 4 3" xfId="7635"/>
    <cellStyle name="Millares 2 5 4 3 2" xfId="52938"/>
    <cellStyle name="Millares 2 5 4 4" xfId="13837"/>
    <cellStyle name="Millares 2 5 4 5" xfId="29543"/>
    <cellStyle name="Millares 2 5 5" xfId="2721"/>
    <cellStyle name="Millares 2 5 5 2" xfId="5842"/>
    <cellStyle name="Millares 2 5 5 2 2" xfId="12045"/>
    <cellStyle name="Millares 2 5 5 2 2 2" xfId="57073"/>
    <cellStyle name="Millares 2 5 5 2 3" xfId="18247"/>
    <cellStyle name="Millares 2 5 5 2 4" xfId="46193"/>
    <cellStyle name="Millares 2 5 5 3" xfId="8945"/>
    <cellStyle name="Millares 2 5 5 3 2" xfId="54181"/>
    <cellStyle name="Millares 2 5 5 4" xfId="15147"/>
    <cellStyle name="Millares 2 5 5 5" xfId="29544"/>
    <cellStyle name="Millares 2 5 6" xfId="3770"/>
    <cellStyle name="Millares 2 5 6 2" xfId="9974"/>
    <cellStyle name="Millares 2 5 6 2 2" xfId="46194"/>
    <cellStyle name="Millares 2 5 6 3" xfId="16176"/>
    <cellStyle name="Millares 2 5 6 3 2" xfId="55146"/>
    <cellStyle name="Millares 2 5 6 4" xfId="29545"/>
    <cellStyle name="Millares 2 5 7" xfId="6873"/>
    <cellStyle name="Millares 2 5 7 2" xfId="19008"/>
    <cellStyle name="Millares 2 5 7 2 2" xfId="46195"/>
    <cellStyle name="Millares 2 5 7 3" xfId="29546"/>
    <cellStyle name="Millares 2 5 8" xfId="13075"/>
    <cellStyle name="Millares 2 5 8 2" xfId="29547"/>
    <cellStyle name="Millares 2 5 9" xfId="29540"/>
    <cellStyle name="Millares 2 6" xfId="523"/>
    <cellStyle name="Millares 2 6 2" xfId="524"/>
    <cellStyle name="Millares 2 6 2 2" xfId="525"/>
    <cellStyle name="Millares 2 6 2 2 2" xfId="2182"/>
    <cellStyle name="Millares 2 6 2 2 2 2" xfId="5307"/>
    <cellStyle name="Millares 2 6 2 2 2 2 2" xfId="11510"/>
    <cellStyle name="Millares 2 6 2 2 2 2 3" xfId="17712"/>
    <cellStyle name="Millares 2 6 2 2 2 2 4" xfId="56549"/>
    <cellStyle name="Millares 2 6 2 2 2 3" xfId="8410"/>
    <cellStyle name="Millares 2 6 2 2 2 4" xfId="14612"/>
    <cellStyle name="Millares 2 6 2 2 2 5" xfId="53653"/>
    <cellStyle name="Millares 2 6 2 2 3" xfId="2727"/>
    <cellStyle name="Millares 2 6 2 2 3 2" xfId="5848"/>
    <cellStyle name="Millares 2 6 2 2 3 2 2" xfId="12051"/>
    <cellStyle name="Millares 2 6 2 2 3 2 3" xfId="18253"/>
    <cellStyle name="Millares 2 6 2 2 3 2 4" xfId="57079"/>
    <cellStyle name="Millares 2 6 2 2 3 3" xfId="8951"/>
    <cellStyle name="Millares 2 6 2 2 3 4" xfId="15153"/>
    <cellStyle name="Millares 2 6 2 2 3 5" xfId="54187"/>
    <cellStyle name="Millares 2 6 2 2 4" xfId="3776"/>
    <cellStyle name="Millares 2 6 2 2 4 2" xfId="9980"/>
    <cellStyle name="Millares 2 6 2 2 4 3" xfId="16182"/>
    <cellStyle name="Millares 2 6 2 2 4 4" xfId="55152"/>
    <cellStyle name="Millares 2 6 2 2 5" xfId="6879"/>
    <cellStyle name="Millares 2 6 2 2 5 2" xfId="19783"/>
    <cellStyle name="Millares 2 6 2 2 5 3" xfId="52431"/>
    <cellStyle name="Millares 2 6 2 2 6" xfId="13081"/>
    <cellStyle name="Millares 2 6 2 2 7" xfId="46197"/>
    <cellStyle name="Millares 2 6 2 3" xfId="1658"/>
    <cellStyle name="Millares 2 6 2 3 2" xfId="4783"/>
    <cellStyle name="Millares 2 6 2 3 2 2" xfId="10986"/>
    <cellStyle name="Millares 2 6 2 3 2 3" xfId="17188"/>
    <cellStyle name="Millares 2 6 2 3 2 4" xfId="56058"/>
    <cellStyle name="Millares 2 6 2 3 3" xfId="7886"/>
    <cellStyle name="Millares 2 6 2 3 4" xfId="14088"/>
    <cellStyle name="Millares 2 6 2 3 5" xfId="53168"/>
    <cellStyle name="Millares 2 6 2 4" xfId="2726"/>
    <cellStyle name="Millares 2 6 2 4 2" xfId="5847"/>
    <cellStyle name="Millares 2 6 2 4 2 2" xfId="12050"/>
    <cellStyle name="Millares 2 6 2 4 2 3" xfId="18252"/>
    <cellStyle name="Millares 2 6 2 4 2 4" xfId="57078"/>
    <cellStyle name="Millares 2 6 2 4 3" xfId="8950"/>
    <cellStyle name="Millares 2 6 2 4 4" xfId="15152"/>
    <cellStyle name="Millares 2 6 2 4 5" xfId="54186"/>
    <cellStyle name="Millares 2 6 2 5" xfId="3775"/>
    <cellStyle name="Millares 2 6 2 5 2" xfId="9979"/>
    <cellStyle name="Millares 2 6 2 5 3" xfId="16181"/>
    <cellStyle name="Millares 2 6 2 5 4" xfId="55151"/>
    <cellStyle name="Millares 2 6 2 6" xfId="6878"/>
    <cellStyle name="Millares 2 6 2 6 2" xfId="19259"/>
    <cellStyle name="Millares 2 6 2 6 3" xfId="52430"/>
    <cellStyle name="Millares 2 6 2 7" xfId="13080"/>
    <cellStyle name="Millares 2 6 2 8" xfId="29549"/>
    <cellStyle name="Millares 2 6 3" xfId="526"/>
    <cellStyle name="Millares 2 6 3 2" xfId="1937"/>
    <cellStyle name="Millares 2 6 3 2 2" xfId="5062"/>
    <cellStyle name="Millares 2 6 3 2 2 2" xfId="11265"/>
    <cellStyle name="Millares 2 6 3 2 2 3" xfId="17467"/>
    <cellStyle name="Millares 2 6 3 2 2 4" xfId="56322"/>
    <cellStyle name="Millares 2 6 3 2 3" xfId="8165"/>
    <cellStyle name="Millares 2 6 3 2 3 2" xfId="53428"/>
    <cellStyle name="Millares 2 6 3 2 4" xfId="14367"/>
    <cellStyle name="Millares 2 6 3 2 5" xfId="46198"/>
    <cellStyle name="Millares 2 6 3 3" xfId="2728"/>
    <cellStyle name="Millares 2 6 3 3 2" xfId="5849"/>
    <cellStyle name="Millares 2 6 3 3 2 2" xfId="12052"/>
    <cellStyle name="Millares 2 6 3 3 2 3" xfId="18254"/>
    <cellStyle name="Millares 2 6 3 3 2 4" xfId="57080"/>
    <cellStyle name="Millares 2 6 3 3 3" xfId="8952"/>
    <cellStyle name="Millares 2 6 3 3 4" xfId="15154"/>
    <cellStyle name="Millares 2 6 3 3 5" xfId="54188"/>
    <cellStyle name="Millares 2 6 3 4" xfId="3777"/>
    <cellStyle name="Millares 2 6 3 4 2" xfId="9981"/>
    <cellStyle name="Millares 2 6 3 4 3" xfId="16183"/>
    <cellStyle name="Millares 2 6 3 4 4" xfId="55153"/>
    <cellStyle name="Millares 2 6 3 5" xfId="6880"/>
    <cellStyle name="Millares 2 6 3 5 2" xfId="19538"/>
    <cellStyle name="Millares 2 6 3 5 3" xfId="52432"/>
    <cellStyle name="Millares 2 6 3 6" xfId="13082"/>
    <cellStyle name="Millares 2 6 3 7" xfId="29550"/>
    <cellStyle name="Millares 2 6 4" xfId="1413"/>
    <cellStyle name="Millares 2 6 4 2" xfId="4538"/>
    <cellStyle name="Millares 2 6 4 2 2" xfId="10741"/>
    <cellStyle name="Millares 2 6 4 2 2 2" xfId="55826"/>
    <cellStyle name="Millares 2 6 4 2 3" xfId="16943"/>
    <cellStyle name="Millares 2 6 4 2 4" xfId="46199"/>
    <cellStyle name="Millares 2 6 4 3" xfId="7641"/>
    <cellStyle name="Millares 2 6 4 3 2" xfId="52944"/>
    <cellStyle name="Millares 2 6 4 4" xfId="13843"/>
    <cellStyle name="Millares 2 6 4 5" xfId="29551"/>
    <cellStyle name="Millares 2 6 5" xfId="2725"/>
    <cellStyle name="Millares 2 6 5 2" xfId="5846"/>
    <cellStyle name="Millares 2 6 5 2 2" xfId="12049"/>
    <cellStyle name="Millares 2 6 5 2 2 2" xfId="57077"/>
    <cellStyle name="Millares 2 6 5 2 3" xfId="18251"/>
    <cellStyle name="Millares 2 6 5 2 4" xfId="46200"/>
    <cellStyle name="Millares 2 6 5 3" xfId="8949"/>
    <cellStyle name="Millares 2 6 5 3 2" xfId="54185"/>
    <cellStyle name="Millares 2 6 5 4" xfId="15151"/>
    <cellStyle name="Millares 2 6 5 5" xfId="29552"/>
    <cellStyle name="Millares 2 6 6" xfId="3774"/>
    <cellStyle name="Millares 2 6 6 2" xfId="9978"/>
    <cellStyle name="Millares 2 6 6 2 2" xfId="55150"/>
    <cellStyle name="Millares 2 6 6 3" xfId="16180"/>
    <cellStyle name="Millares 2 6 6 4" xfId="29548"/>
    <cellStyle name="Millares 2 6 7" xfId="6877"/>
    <cellStyle name="Millares 2 6 7 2" xfId="19014"/>
    <cellStyle name="Millares 2 6 7 3" xfId="46196"/>
    <cellStyle name="Millares 2 6 8" xfId="13079"/>
    <cellStyle name="Millares 2 6 9" xfId="20002"/>
    <cellStyle name="Millares 2 7" xfId="527"/>
    <cellStyle name="Millares 2 7 2" xfId="2729"/>
    <cellStyle name="Millares 2 7 2 2" xfId="46202"/>
    <cellStyle name="Millares 2 7 2 3" xfId="54189"/>
    <cellStyle name="Millares 2 7 2 4" xfId="29554"/>
    <cellStyle name="Millares 2 7 3" xfId="29555"/>
    <cellStyle name="Millares 2 7 3 2" xfId="46203"/>
    <cellStyle name="Millares 2 7 4" xfId="29556"/>
    <cellStyle name="Millares 2 7 4 2" xfId="46204"/>
    <cellStyle name="Millares 2 7 5" xfId="29557"/>
    <cellStyle name="Millares 2 7 5 2" xfId="46205"/>
    <cellStyle name="Millares 2 7 6" xfId="46201"/>
    <cellStyle name="Millares 2 7 7" xfId="52093"/>
    <cellStyle name="Millares 2 7 8" xfId="52433"/>
    <cellStyle name="Millares 2 7 9" xfId="29553"/>
    <cellStyle name="Millares 2 8" xfId="528"/>
    <cellStyle name="Millares 2 8 10" xfId="29558"/>
    <cellStyle name="Millares 2 8 2" xfId="529"/>
    <cellStyle name="Millares 2 8 2 2" xfId="2068"/>
    <cellStyle name="Millares 2 8 2 2 2" xfId="5193"/>
    <cellStyle name="Millares 2 8 2 2 2 2" xfId="11396"/>
    <cellStyle name="Millares 2 8 2 2 2 3" xfId="17598"/>
    <cellStyle name="Millares 2 8 2 2 2 4" xfId="56445"/>
    <cellStyle name="Millares 2 8 2 2 3" xfId="8296"/>
    <cellStyle name="Millares 2 8 2 2 3 2" xfId="53549"/>
    <cellStyle name="Millares 2 8 2 2 4" xfId="14498"/>
    <cellStyle name="Millares 2 8 2 2 5" xfId="46207"/>
    <cellStyle name="Millares 2 8 2 3" xfId="2731"/>
    <cellStyle name="Millares 2 8 2 3 2" xfId="5851"/>
    <cellStyle name="Millares 2 8 2 3 2 2" xfId="12054"/>
    <cellStyle name="Millares 2 8 2 3 2 3" xfId="18256"/>
    <cellStyle name="Millares 2 8 2 3 2 4" xfId="57082"/>
    <cellStyle name="Millares 2 8 2 3 3" xfId="8954"/>
    <cellStyle name="Millares 2 8 2 3 4" xfId="15156"/>
    <cellStyle name="Millares 2 8 2 3 5" xfId="54191"/>
    <cellStyle name="Millares 2 8 2 4" xfId="3779"/>
    <cellStyle name="Millares 2 8 2 4 2" xfId="9983"/>
    <cellStyle name="Millares 2 8 2 4 3" xfId="16185"/>
    <cellStyle name="Millares 2 8 2 4 4" xfId="55155"/>
    <cellStyle name="Millares 2 8 2 5" xfId="6882"/>
    <cellStyle name="Millares 2 8 2 5 2" xfId="19669"/>
    <cellStyle name="Millares 2 8 2 5 3" xfId="52435"/>
    <cellStyle name="Millares 2 8 2 6" xfId="13084"/>
    <cellStyle name="Millares 2 8 2 7" xfId="29559"/>
    <cellStyle name="Millares 2 8 3" xfId="1544"/>
    <cellStyle name="Millares 2 8 3 2" xfId="4669"/>
    <cellStyle name="Millares 2 8 3 2 2" xfId="10872"/>
    <cellStyle name="Millares 2 8 3 2 2 2" xfId="55950"/>
    <cellStyle name="Millares 2 8 3 2 3" xfId="17074"/>
    <cellStyle name="Millares 2 8 3 2 4" xfId="46208"/>
    <cellStyle name="Millares 2 8 3 3" xfId="7772"/>
    <cellStyle name="Millares 2 8 3 3 2" xfId="53065"/>
    <cellStyle name="Millares 2 8 3 4" xfId="13974"/>
    <cellStyle name="Millares 2 8 3 5" xfId="29560"/>
    <cellStyle name="Millares 2 8 4" xfId="2730"/>
    <cellStyle name="Millares 2 8 4 2" xfId="5850"/>
    <cellStyle name="Millares 2 8 4 2 2" xfId="12053"/>
    <cellStyle name="Millares 2 8 4 2 2 2" xfId="57081"/>
    <cellStyle name="Millares 2 8 4 2 3" xfId="18255"/>
    <cellStyle name="Millares 2 8 4 2 4" xfId="46209"/>
    <cellStyle name="Millares 2 8 4 3" xfId="8953"/>
    <cellStyle name="Millares 2 8 4 3 2" xfId="54190"/>
    <cellStyle name="Millares 2 8 4 4" xfId="15155"/>
    <cellStyle name="Millares 2 8 4 5" xfId="29561"/>
    <cellStyle name="Millares 2 8 5" xfId="3778"/>
    <cellStyle name="Millares 2 8 5 2" xfId="9982"/>
    <cellStyle name="Millares 2 8 5 2 2" xfId="29564"/>
    <cellStyle name="Millares 2 8 5 2 2 2" xfId="46212"/>
    <cellStyle name="Millares 2 8 5 2 3" xfId="46211"/>
    <cellStyle name="Millares 2 8 5 2 4" xfId="29563"/>
    <cellStyle name="Millares 2 8 5 3" xfId="16184"/>
    <cellStyle name="Millares 2 8 5 3 2" xfId="46213"/>
    <cellStyle name="Millares 2 8 5 3 3" xfId="29565"/>
    <cellStyle name="Millares 2 8 5 4" xfId="46210"/>
    <cellStyle name="Millares 2 8 5 5" xfId="55154"/>
    <cellStyle name="Millares 2 8 5 6" xfId="29562"/>
    <cellStyle name="Millares 2 8 6" xfId="6881"/>
    <cellStyle name="Millares 2 8 6 2" xfId="19145"/>
    <cellStyle name="Millares 2 8 6 2 2" xfId="29568"/>
    <cellStyle name="Millares 2 8 6 2 2 2" xfId="46216"/>
    <cellStyle name="Millares 2 8 6 2 3" xfId="46215"/>
    <cellStyle name="Millares 2 8 6 2 4" xfId="29567"/>
    <cellStyle name="Millares 2 8 6 3" xfId="29569"/>
    <cellStyle name="Millares 2 8 6 3 2" xfId="46217"/>
    <cellStyle name="Millares 2 8 6 4" xfId="46214"/>
    <cellStyle name="Millares 2 8 6 5" xfId="29566"/>
    <cellStyle name="Millares 2 8 7" xfId="13083"/>
    <cellStyle name="Millares 2 8 7 2" xfId="29571"/>
    <cellStyle name="Millares 2 8 7 2 2" xfId="29572"/>
    <cellStyle name="Millares 2 8 7 2 2 2" xfId="46220"/>
    <cellStyle name="Millares 2 8 7 2 3" xfId="46219"/>
    <cellStyle name="Millares 2 8 7 3" xfId="29573"/>
    <cellStyle name="Millares 2 8 7 3 2" xfId="46221"/>
    <cellStyle name="Millares 2 8 7 4" xfId="46218"/>
    <cellStyle name="Millares 2 8 7 5" xfId="29570"/>
    <cellStyle name="Millares 2 8 8" xfId="46206"/>
    <cellStyle name="Millares 2 8 9" xfId="52434"/>
    <cellStyle name="Millares 2 9" xfId="530"/>
    <cellStyle name="Millares 2 9 2" xfId="531"/>
    <cellStyle name="Millares 2 9 2 2" xfId="2078"/>
    <cellStyle name="Millares 2 9 2 2 2" xfId="5203"/>
    <cellStyle name="Millares 2 9 2 2 2 2" xfId="11406"/>
    <cellStyle name="Millares 2 9 2 2 2 3" xfId="17608"/>
    <cellStyle name="Millares 2 9 2 2 2 4" xfId="56453"/>
    <cellStyle name="Millares 2 9 2 2 3" xfId="8306"/>
    <cellStyle name="Millares 2 9 2 2 3 2" xfId="53557"/>
    <cellStyle name="Millares 2 9 2 2 4" xfId="14508"/>
    <cellStyle name="Millares 2 9 2 2 5" xfId="46223"/>
    <cellStyle name="Millares 2 9 2 3" xfId="2733"/>
    <cellStyle name="Millares 2 9 2 3 2" xfId="5853"/>
    <cellStyle name="Millares 2 9 2 3 2 2" xfId="12056"/>
    <cellStyle name="Millares 2 9 2 3 2 3" xfId="18258"/>
    <cellStyle name="Millares 2 9 2 3 2 4" xfId="57084"/>
    <cellStyle name="Millares 2 9 2 3 3" xfId="8956"/>
    <cellStyle name="Millares 2 9 2 3 4" xfId="15158"/>
    <cellStyle name="Millares 2 9 2 3 5" xfId="54193"/>
    <cellStyle name="Millares 2 9 2 4" xfId="3781"/>
    <cellStyle name="Millares 2 9 2 4 2" xfId="9985"/>
    <cellStyle name="Millares 2 9 2 4 3" xfId="16187"/>
    <cellStyle name="Millares 2 9 2 4 4" xfId="55157"/>
    <cellStyle name="Millares 2 9 2 5" xfId="6884"/>
    <cellStyle name="Millares 2 9 2 5 2" xfId="19679"/>
    <cellStyle name="Millares 2 9 2 5 3" xfId="52437"/>
    <cellStyle name="Millares 2 9 2 6" xfId="13086"/>
    <cellStyle name="Millares 2 9 2 7" xfId="29575"/>
    <cellStyle name="Millares 2 9 3" xfId="1554"/>
    <cellStyle name="Millares 2 9 3 2" xfId="4679"/>
    <cellStyle name="Millares 2 9 3 2 2" xfId="10882"/>
    <cellStyle name="Millares 2 9 3 2 2 2" xfId="55958"/>
    <cellStyle name="Millares 2 9 3 2 3" xfId="17084"/>
    <cellStyle name="Millares 2 9 3 2 4" xfId="46224"/>
    <cellStyle name="Millares 2 9 3 3" xfId="7782"/>
    <cellStyle name="Millares 2 9 3 3 2" xfId="53072"/>
    <cellStyle name="Millares 2 9 3 4" xfId="13984"/>
    <cellStyle name="Millares 2 9 3 5" xfId="29576"/>
    <cellStyle name="Millares 2 9 4" xfId="2732"/>
    <cellStyle name="Millares 2 9 4 2" xfId="5852"/>
    <cellStyle name="Millares 2 9 4 2 2" xfId="12055"/>
    <cellStyle name="Millares 2 9 4 2 2 2" xfId="57083"/>
    <cellStyle name="Millares 2 9 4 2 3" xfId="18257"/>
    <cellStyle name="Millares 2 9 4 2 4" xfId="46225"/>
    <cellStyle name="Millares 2 9 4 3" xfId="8955"/>
    <cellStyle name="Millares 2 9 4 3 2" xfId="54192"/>
    <cellStyle name="Millares 2 9 4 4" xfId="15157"/>
    <cellStyle name="Millares 2 9 4 5" xfId="29577"/>
    <cellStyle name="Millares 2 9 5" xfId="3780"/>
    <cellStyle name="Millares 2 9 5 2" xfId="9984"/>
    <cellStyle name="Millares 2 9 5 2 2" xfId="55156"/>
    <cellStyle name="Millares 2 9 5 3" xfId="16186"/>
    <cellStyle name="Millares 2 9 5 4" xfId="46222"/>
    <cellStyle name="Millares 2 9 6" xfId="6883"/>
    <cellStyle name="Millares 2 9 6 2" xfId="19155"/>
    <cellStyle name="Millares 2 9 6 3" xfId="52436"/>
    <cellStyle name="Millares 2 9 7" xfId="13085"/>
    <cellStyle name="Millares 2 9 8" xfId="29574"/>
    <cellStyle name="Millares 2_2012" xfId="29578"/>
    <cellStyle name="Millares 20" xfId="18866"/>
    <cellStyle name="Millares 20 2" xfId="29580"/>
    <cellStyle name="Millares 20 2 2" xfId="29581"/>
    <cellStyle name="Millares 20 2 2 2" xfId="29582"/>
    <cellStyle name="Millares 20 2 2 2 2" xfId="46228"/>
    <cellStyle name="Millares 20 2 2 3" xfId="46227"/>
    <cellStyle name="Millares 20 2 3" xfId="29583"/>
    <cellStyle name="Millares 20 2 3 2" xfId="46229"/>
    <cellStyle name="Millares 20 2 4" xfId="29584"/>
    <cellStyle name="Millares 20 2 4 2" xfId="46230"/>
    <cellStyle name="Millares 20 2 5" xfId="46226"/>
    <cellStyle name="Millares 20 3" xfId="29585"/>
    <cellStyle name="Millares 20 3 2" xfId="46231"/>
    <cellStyle name="Millares 20 4" xfId="29586"/>
    <cellStyle name="Millares 20 5" xfId="29579"/>
    <cellStyle name="Millares 20 6" xfId="57656"/>
    <cellStyle name="Millares 20 7" xfId="19932"/>
    <cellStyle name="Millares 200" xfId="29587"/>
    <cellStyle name="Millares 201" xfId="29588"/>
    <cellStyle name="Millares 202" xfId="29589"/>
    <cellStyle name="Millares 203" xfId="29590"/>
    <cellStyle name="Millares 204" xfId="27246"/>
    <cellStyle name="Millares 205" xfId="40979"/>
    <cellStyle name="Millares 206" xfId="49873"/>
    <cellStyle name="Millares 207" xfId="51815"/>
    <cellStyle name="Millares 208" xfId="51817"/>
    <cellStyle name="Millares 209" xfId="51819"/>
    <cellStyle name="Millares 21" xfId="532"/>
    <cellStyle name="Millares 21 2" xfId="533"/>
    <cellStyle name="Millares 21 2 2" xfId="534"/>
    <cellStyle name="Millares 21 2 2 2" xfId="29593"/>
    <cellStyle name="Millares 21 2 2 3" xfId="52099"/>
    <cellStyle name="Millares 21 2 2 4" xfId="19992"/>
    <cellStyle name="Millares 21 2 3" xfId="535"/>
    <cellStyle name="Millares 21 2 3 2" xfId="2734"/>
    <cellStyle name="Millares 21 2 3 3" xfId="52438"/>
    <cellStyle name="Millares 21 2 3 4" xfId="29594"/>
    <cellStyle name="Millares 21 2 4" xfId="29592"/>
    <cellStyle name="Millares 21 2 5" xfId="46233"/>
    <cellStyle name="Millares 21 2 6" xfId="51969"/>
    <cellStyle name="Millares 21 2 7" xfId="19934"/>
    <cellStyle name="Millares 21 3" xfId="536"/>
    <cellStyle name="Millares 21 3 2" xfId="29595"/>
    <cellStyle name="Millares 21 3 3" xfId="46234"/>
    <cellStyle name="Millares 21 3 4" xfId="51992"/>
    <cellStyle name="Millares 21 3 5" xfId="20003"/>
    <cellStyle name="Millares 21 4" xfId="537"/>
    <cellStyle name="Millares 21 4 2" xfId="2735"/>
    <cellStyle name="Millares 21 4 3" xfId="52439"/>
    <cellStyle name="Millares 21 4 4" xfId="29596"/>
    <cellStyle name="Millares 21 5" xfId="29591"/>
    <cellStyle name="Millares 21 6" xfId="46232"/>
    <cellStyle name="Millares 21 7" xfId="51927"/>
    <cellStyle name="Millares 21 8" xfId="19933"/>
    <cellStyle name="Millares 210" xfId="51831"/>
    <cellStyle name="Millares 211" xfId="51829"/>
    <cellStyle name="Millares 212" xfId="51830"/>
    <cellStyle name="Millares 213" xfId="51828"/>
    <cellStyle name="Millares 214" xfId="51832"/>
    <cellStyle name="Millares 215" xfId="51826"/>
    <cellStyle name="Millares 216" xfId="51837"/>
    <cellStyle name="Millares 217" xfId="51823"/>
    <cellStyle name="Millares 218" xfId="51840"/>
    <cellStyle name="Millares 219" xfId="51841"/>
    <cellStyle name="Millares 22" xfId="19935"/>
    <cellStyle name="Millares 22 2" xfId="29598"/>
    <cellStyle name="Millares 22 2 2" xfId="46236"/>
    <cellStyle name="Millares 22 3" xfId="29599"/>
    <cellStyle name="Millares 22 4" xfId="29597"/>
    <cellStyle name="Millares 22 5" xfId="46235"/>
    <cellStyle name="Millares 220" xfId="51924"/>
    <cellStyle name="Millares 221" xfId="57637"/>
    <cellStyle name="Millares 222" xfId="57692"/>
    <cellStyle name="Millares 223" xfId="57693"/>
    <cellStyle name="Millares 224" xfId="57709"/>
    <cellStyle name="Millares 23" xfId="19936"/>
    <cellStyle name="Millares 23 10" xfId="46237"/>
    <cellStyle name="Millares 23 2" xfId="29601"/>
    <cellStyle name="Millares 23 2 2" xfId="29602"/>
    <cellStyle name="Millares 23 2 2 2" xfId="29603"/>
    <cellStyle name="Millares 23 2 2 2 2" xfId="29604"/>
    <cellStyle name="Millares 23 2 2 2 2 2" xfId="46241"/>
    <cellStyle name="Millares 23 2 2 2 3" xfId="46240"/>
    <cellStyle name="Millares 23 2 2 3" xfId="29605"/>
    <cellStyle name="Millares 23 2 2 3 2" xfId="29606"/>
    <cellStyle name="Millares 23 2 2 3 2 2" xfId="46243"/>
    <cellStyle name="Millares 23 2 2 3 3" xfId="46242"/>
    <cellStyle name="Millares 23 2 2 4" xfId="29607"/>
    <cellStyle name="Millares 23 2 2 4 2" xfId="46244"/>
    <cellStyle name="Millares 23 2 2 5" xfId="46239"/>
    <cellStyle name="Millares 23 2 3" xfId="29608"/>
    <cellStyle name="Millares 23 2 3 2" xfId="46245"/>
    <cellStyle name="Millares 23 2 4" xfId="29609"/>
    <cellStyle name="Millares 23 2 4 2" xfId="29610"/>
    <cellStyle name="Millares 23 2 4 2 2" xfId="46247"/>
    <cellStyle name="Millares 23 2 4 3" xfId="46246"/>
    <cellStyle name="Millares 23 2 5" xfId="29611"/>
    <cellStyle name="Millares 23 2 5 2" xfId="46248"/>
    <cellStyle name="Millares 23 2 6" xfId="46238"/>
    <cellStyle name="Millares 23 3" xfId="29612"/>
    <cellStyle name="Millares 23 3 2" xfId="29613"/>
    <cellStyle name="Millares 23 3 2 2" xfId="29614"/>
    <cellStyle name="Millares 23 3 2 2 2" xfId="46251"/>
    <cellStyle name="Millares 23 3 2 3" xfId="46250"/>
    <cellStyle name="Millares 23 3 3" xfId="46249"/>
    <cellStyle name="Millares 23 4" xfId="29615"/>
    <cellStyle name="Millares 23 4 2" xfId="29616"/>
    <cellStyle name="Millares 23 4 2 2" xfId="29617"/>
    <cellStyle name="Millares 23 4 2 2 2" xfId="46254"/>
    <cellStyle name="Millares 23 4 2 3" xfId="46253"/>
    <cellStyle name="Millares 23 4 3" xfId="29618"/>
    <cellStyle name="Millares 23 4 3 2" xfId="46255"/>
    <cellStyle name="Millares 23 4 4" xfId="46252"/>
    <cellStyle name="Millares 23 5" xfId="29619"/>
    <cellStyle name="Millares 23 5 2" xfId="46256"/>
    <cellStyle name="Millares 23 6" xfId="29620"/>
    <cellStyle name="Millares 23 6 2" xfId="29621"/>
    <cellStyle name="Millares 23 6 2 2" xfId="46258"/>
    <cellStyle name="Millares 23 6 3" xfId="46257"/>
    <cellStyle name="Millares 23 7" xfId="29622"/>
    <cellStyle name="Millares 23 7 2" xfId="46259"/>
    <cellStyle name="Millares 23 8" xfId="29623"/>
    <cellStyle name="Millares 23 9" xfId="29600"/>
    <cellStyle name="Millares 23_Plan by Lob" xfId="29624"/>
    <cellStyle name="Millares 24" xfId="19937"/>
    <cellStyle name="Millares 24 10" xfId="46260"/>
    <cellStyle name="Millares 24 2" xfId="29626"/>
    <cellStyle name="Millares 24 2 2" xfId="29627"/>
    <cellStyle name="Millares 24 2 2 2" xfId="29628"/>
    <cellStyle name="Millares 24 2 2 2 2" xfId="29629"/>
    <cellStyle name="Millares 24 2 2 2 2 2" xfId="46264"/>
    <cellStyle name="Millares 24 2 2 2 3" xfId="46263"/>
    <cellStyle name="Millares 24 2 2 3" xfId="29630"/>
    <cellStyle name="Millares 24 2 2 3 2" xfId="29631"/>
    <cellStyle name="Millares 24 2 2 3 2 2" xfId="46266"/>
    <cellStyle name="Millares 24 2 2 3 3" xfId="46265"/>
    <cellStyle name="Millares 24 2 2 4" xfId="29632"/>
    <cellStyle name="Millares 24 2 2 4 2" xfId="46267"/>
    <cellStyle name="Millares 24 2 2 5" xfId="46262"/>
    <cellStyle name="Millares 24 2 3" xfId="29633"/>
    <cellStyle name="Millares 24 2 3 2" xfId="46268"/>
    <cellStyle name="Millares 24 2 4" xfId="29634"/>
    <cellStyle name="Millares 24 2 4 2" xfId="29635"/>
    <cellStyle name="Millares 24 2 4 2 2" xfId="46270"/>
    <cellStyle name="Millares 24 2 4 3" xfId="46269"/>
    <cellStyle name="Millares 24 2 5" xfId="29636"/>
    <cellStyle name="Millares 24 2 5 2" xfId="46271"/>
    <cellStyle name="Millares 24 2 6" xfId="46261"/>
    <cellStyle name="Millares 24 3" xfId="29637"/>
    <cellStyle name="Millares 24 3 2" xfId="29638"/>
    <cellStyle name="Millares 24 3 2 2" xfId="29639"/>
    <cellStyle name="Millares 24 3 2 2 2" xfId="46274"/>
    <cellStyle name="Millares 24 3 2 3" xfId="46273"/>
    <cellStyle name="Millares 24 3 3" xfId="46272"/>
    <cellStyle name="Millares 24 4" xfId="29640"/>
    <cellStyle name="Millares 24 4 2" xfId="29641"/>
    <cellStyle name="Millares 24 4 2 2" xfId="29642"/>
    <cellStyle name="Millares 24 4 2 2 2" xfId="46277"/>
    <cellStyle name="Millares 24 4 2 3" xfId="46276"/>
    <cellStyle name="Millares 24 4 3" xfId="29643"/>
    <cellStyle name="Millares 24 4 3 2" xfId="46278"/>
    <cellStyle name="Millares 24 4 4" xfId="46275"/>
    <cellStyle name="Millares 24 5" xfId="29644"/>
    <cellStyle name="Millares 24 5 2" xfId="46279"/>
    <cellStyle name="Millares 24 6" xfId="29645"/>
    <cellStyle name="Millares 24 6 2" xfId="29646"/>
    <cellStyle name="Millares 24 6 2 2" xfId="46281"/>
    <cellStyle name="Millares 24 6 3" xfId="46280"/>
    <cellStyle name="Millares 24 7" xfId="29647"/>
    <cellStyle name="Millares 24 7 2" xfId="46282"/>
    <cellStyle name="Millares 24 8" xfId="29648"/>
    <cellStyle name="Millares 24 9" xfId="29625"/>
    <cellStyle name="Millares 24_Plan by Lob" xfId="29649"/>
    <cellStyle name="Millares 25" xfId="19938"/>
    <cellStyle name="Millares 25 2" xfId="29651"/>
    <cellStyle name="Millares 25 2 2" xfId="46284"/>
    <cellStyle name="Millares 25 3" xfId="29652"/>
    <cellStyle name="Millares 25 3 2" xfId="46285"/>
    <cellStyle name="Millares 25 4" xfId="29653"/>
    <cellStyle name="Millares 25 5" xfId="29650"/>
    <cellStyle name="Millares 25 6" xfId="46283"/>
    <cellStyle name="Millares 26" xfId="19939"/>
    <cellStyle name="Millares 26 2" xfId="29655"/>
    <cellStyle name="Millares 26 2 2" xfId="46287"/>
    <cellStyle name="Millares 26 3" xfId="29656"/>
    <cellStyle name="Millares 26 3 2" xfId="46288"/>
    <cellStyle name="Millares 26 4" xfId="29657"/>
    <cellStyle name="Millares 26 5" xfId="29654"/>
    <cellStyle name="Millares 26 6" xfId="46286"/>
    <cellStyle name="Millares 27" xfId="19940"/>
    <cellStyle name="Millares 27 2" xfId="29659"/>
    <cellStyle name="Millares 27 3" xfId="29658"/>
    <cellStyle name="Millares 27 4" xfId="46289"/>
    <cellStyle name="Millares 28" xfId="19941"/>
    <cellStyle name="Millares 28 2" xfId="29661"/>
    <cellStyle name="Millares 28 3" xfId="29660"/>
    <cellStyle name="Millares 28 4" xfId="46290"/>
    <cellStyle name="Millares 29" xfId="19942"/>
    <cellStyle name="Millares 29 2" xfId="29663"/>
    <cellStyle name="Millares 29 2 2" xfId="29664"/>
    <cellStyle name="Millares 29 2 2 2" xfId="29665"/>
    <cellStyle name="Millares 29 2 2 2 2" xfId="46294"/>
    <cellStyle name="Millares 29 2 2 3" xfId="46293"/>
    <cellStyle name="Millares 29 2 3" xfId="29666"/>
    <cellStyle name="Millares 29 2 3 2" xfId="46295"/>
    <cellStyle name="Millares 29 2 4" xfId="46292"/>
    <cellStyle name="Millares 29 3" xfId="29667"/>
    <cellStyle name="Millares 29 3 2" xfId="29668"/>
    <cellStyle name="Millares 29 3 2 2" xfId="29669"/>
    <cellStyle name="Millares 29 3 2 2 2" xfId="46298"/>
    <cellStyle name="Millares 29 3 2 3" xfId="46297"/>
    <cellStyle name="Millares 29 3 3" xfId="29670"/>
    <cellStyle name="Millares 29 3 3 2" xfId="46299"/>
    <cellStyle name="Millares 29 3 4" xfId="46296"/>
    <cellStyle name="Millares 29 4" xfId="29671"/>
    <cellStyle name="Millares 29 4 2" xfId="46300"/>
    <cellStyle name="Millares 29 5" xfId="29672"/>
    <cellStyle name="Millares 29 5 2" xfId="46301"/>
    <cellStyle name="Millares 29 6" xfId="29673"/>
    <cellStyle name="Millares 29 7" xfId="29662"/>
    <cellStyle name="Millares 29 8" xfId="46291"/>
    <cellStyle name="Millares 3" xfId="538"/>
    <cellStyle name="Millares 3 10" xfId="29675"/>
    <cellStyle name="Millares 3 10 2" xfId="29676"/>
    <cellStyle name="Millares 3 10 2 2" xfId="46304"/>
    <cellStyle name="Millares 3 10 3" xfId="29677"/>
    <cellStyle name="Millares 3 10 3 2" xfId="46305"/>
    <cellStyle name="Millares 3 10 4" xfId="29678"/>
    <cellStyle name="Millares 3 10 4 2" xfId="46306"/>
    <cellStyle name="Millares 3 10 5" xfId="46303"/>
    <cellStyle name="Millares 3 11" xfId="29679"/>
    <cellStyle name="Millares 3 11 2" xfId="29680"/>
    <cellStyle name="Millares 3 11 2 2" xfId="46308"/>
    <cellStyle name="Millares 3 11 3" xfId="29681"/>
    <cellStyle name="Millares 3 11 3 2" xfId="46309"/>
    <cellStyle name="Millares 3 11 4" xfId="29682"/>
    <cellStyle name="Millares 3 11 4 2" xfId="46310"/>
    <cellStyle name="Millares 3 11 5" xfId="46307"/>
    <cellStyle name="Millares 3 12" xfId="29683"/>
    <cellStyle name="Millares 3 12 2" xfId="29684"/>
    <cellStyle name="Millares 3 12 2 2" xfId="46312"/>
    <cellStyle name="Millares 3 12 3" xfId="29685"/>
    <cellStyle name="Millares 3 12 3 2" xfId="46313"/>
    <cellStyle name="Millares 3 12 4" xfId="29686"/>
    <cellStyle name="Millares 3 12 4 2" xfId="46314"/>
    <cellStyle name="Millares 3 12 5" xfId="46311"/>
    <cellStyle name="Millares 3 13" xfId="29687"/>
    <cellStyle name="Millares 3 13 2" xfId="29688"/>
    <cellStyle name="Millares 3 13 2 2" xfId="46316"/>
    <cellStyle name="Millares 3 13 3" xfId="46315"/>
    <cellStyle name="Millares 3 14" xfId="29689"/>
    <cellStyle name="Millares 3 14 2" xfId="46317"/>
    <cellStyle name="Millares 3 15" xfId="29690"/>
    <cellStyle name="Millares 3 15 2" xfId="29691"/>
    <cellStyle name="Millares 3 15 2 2" xfId="46319"/>
    <cellStyle name="Millares 3 15 3" xfId="46318"/>
    <cellStyle name="Millares 3 16" xfId="29692"/>
    <cellStyle name="Millares 3 16 2" xfId="46320"/>
    <cellStyle name="Millares 3 17" xfId="29693"/>
    <cellStyle name="Millares 3 17 2" xfId="29694"/>
    <cellStyle name="Millares 3 17 2 2" xfId="29695"/>
    <cellStyle name="Millares 3 17 2 2 2" xfId="46323"/>
    <cellStyle name="Millares 3 17 2 3" xfId="46322"/>
    <cellStyle name="Millares 3 17 3" xfId="29696"/>
    <cellStyle name="Millares 3 17 3 2" xfId="46324"/>
    <cellStyle name="Millares 3 17 4" xfId="46321"/>
    <cellStyle name="Millares 3 18" xfId="29697"/>
    <cellStyle name="Millares 3 18 2" xfId="29698"/>
    <cellStyle name="Millares 3 18 2 2" xfId="29699"/>
    <cellStyle name="Millares 3 18 2 2 2" xfId="46327"/>
    <cellStyle name="Millares 3 18 2 3" xfId="46326"/>
    <cellStyle name="Millares 3 18 3" xfId="29700"/>
    <cellStyle name="Millares 3 18 3 2" xfId="46328"/>
    <cellStyle name="Millares 3 18 4" xfId="46325"/>
    <cellStyle name="Millares 3 19" xfId="29701"/>
    <cellStyle name="Millares 3 19 2" xfId="29702"/>
    <cellStyle name="Millares 3 19 2 2" xfId="29703"/>
    <cellStyle name="Millares 3 19 2 2 2" xfId="46331"/>
    <cellStyle name="Millares 3 19 2 3" xfId="46330"/>
    <cellStyle name="Millares 3 19 3" xfId="29704"/>
    <cellStyle name="Millares 3 19 3 2" xfId="46332"/>
    <cellStyle name="Millares 3 19 4" xfId="46329"/>
    <cellStyle name="Millares 3 2" xfId="539"/>
    <cellStyle name="Millares 3 2 10" xfId="2736"/>
    <cellStyle name="Millares 3 2 10 2" xfId="5854"/>
    <cellStyle name="Millares 3 2 10 2 2" xfId="12057"/>
    <cellStyle name="Millares 3 2 10 2 3" xfId="18259"/>
    <cellStyle name="Millares 3 2 10 2 4" xfId="57085"/>
    <cellStyle name="Millares 3 2 10 3" xfId="8957"/>
    <cellStyle name="Millares 3 2 10 3 2" xfId="54194"/>
    <cellStyle name="Millares 3 2 10 4" xfId="15159"/>
    <cellStyle name="Millares 3 2 10 5" xfId="46333"/>
    <cellStyle name="Millares 3 2 11" xfId="3782"/>
    <cellStyle name="Millares 3 2 11 2" xfId="9986"/>
    <cellStyle name="Millares 3 2 11 3" xfId="16188"/>
    <cellStyle name="Millares 3 2 11 4" xfId="51929"/>
    <cellStyle name="Millares 3 2 12" xfId="6885"/>
    <cellStyle name="Millares 3 2 12 2" xfId="18868"/>
    <cellStyle name="Millares 3 2 13" xfId="13087"/>
    <cellStyle name="Millares 3 2 14" xfId="19943"/>
    <cellStyle name="Millares 3 2 2" xfId="540"/>
    <cellStyle name="Millares 3 2 2 10" xfId="3783"/>
    <cellStyle name="Millares 3 2 2 10 2" xfId="9987"/>
    <cellStyle name="Millares 3 2 2 10 3" xfId="16189"/>
    <cellStyle name="Millares 3 2 2 10 4" xfId="51945"/>
    <cellStyle name="Millares 3 2 2 11" xfId="6886"/>
    <cellStyle name="Millares 3 2 2 11 2" xfId="18896"/>
    <cellStyle name="Millares 3 2 2 12" xfId="13088"/>
    <cellStyle name="Millares 3 2 2 13" xfId="19944"/>
    <cellStyle name="Millares 3 2 2 2" xfId="541"/>
    <cellStyle name="Millares 3 2 2 2 10" xfId="29707"/>
    <cellStyle name="Millares 3 2 2 2 2" xfId="542"/>
    <cellStyle name="Millares 3 2 2 2 2 2" xfId="543"/>
    <cellStyle name="Millares 3 2 2 2 2 2 2" xfId="544"/>
    <cellStyle name="Millares 3 2 2 2 2 2 2 2" xfId="2227"/>
    <cellStyle name="Millares 3 2 2 2 2 2 2 2 2" xfId="5352"/>
    <cellStyle name="Millares 3 2 2 2 2 2 2 2 2 2" xfId="11555"/>
    <cellStyle name="Millares 3 2 2 2 2 2 2 2 2 3" xfId="17757"/>
    <cellStyle name="Millares 3 2 2 2 2 2 2 2 2 4" xfId="56591"/>
    <cellStyle name="Millares 3 2 2 2 2 2 2 2 3" xfId="8455"/>
    <cellStyle name="Millares 3 2 2 2 2 2 2 2 4" xfId="14657"/>
    <cellStyle name="Millares 3 2 2 2 2 2 2 2 5" xfId="53695"/>
    <cellStyle name="Millares 3 2 2 2 2 2 2 3" xfId="2741"/>
    <cellStyle name="Millares 3 2 2 2 2 2 2 3 2" xfId="5859"/>
    <cellStyle name="Millares 3 2 2 2 2 2 2 3 2 2" xfId="12062"/>
    <cellStyle name="Millares 3 2 2 2 2 2 2 3 2 3" xfId="18264"/>
    <cellStyle name="Millares 3 2 2 2 2 2 2 3 2 4" xfId="57090"/>
    <cellStyle name="Millares 3 2 2 2 2 2 2 3 3" xfId="8962"/>
    <cellStyle name="Millares 3 2 2 2 2 2 2 3 4" xfId="15164"/>
    <cellStyle name="Millares 3 2 2 2 2 2 2 3 5" xfId="54199"/>
    <cellStyle name="Millares 3 2 2 2 2 2 2 4" xfId="3787"/>
    <cellStyle name="Millares 3 2 2 2 2 2 2 4 2" xfId="9991"/>
    <cellStyle name="Millares 3 2 2 2 2 2 2 4 3" xfId="16193"/>
    <cellStyle name="Millares 3 2 2 2 2 2 2 4 4" xfId="55161"/>
    <cellStyle name="Millares 3 2 2 2 2 2 2 5" xfId="6890"/>
    <cellStyle name="Millares 3 2 2 2 2 2 2 5 2" xfId="19828"/>
    <cellStyle name="Millares 3 2 2 2 2 2 2 6" xfId="13092"/>
    <cellStyle name="Millares 3 2 2 2 2 2 2 7" xfId="52441"/>
    <cellStyle name="Millares 3 2 2 2 2 2 3" xfId="1703"/>
    <cellStyle name="Millares 3 2 2 2 2 2 3 2" xfId="4828"/>
    <cellStyle name="Millares 3 2 2 2 2 2 3 2 2" xfId="11031"/>
    <cellStyle name="Millares 3 2 2 2 2 2 3 2 3" xfId="17233"/>
    <cellStyle name="Millares 3 2 2 2 2 2 3 2 4" xfId="56100"/>
    <cellStyle name="Millares 3 2 2 2 2 2 3 3" xfId="7931"/>
    <cellStyle name="Millares 3 2 2 2 2 2 3 4" xfId="14133"/>
    <cellStyle name="Millares 3 2 2 2 2 2 3 5" xfId="53210"/>
    <cellStyle name="Millares 3 2 2 2 2 2 4" xfId="2740"/>
    <cellStyle name="Millares 3 2 2 2 2 2 4 2" xfId="5858"/>
    <cellStyle name="Millares 3 2 2 2 2 2 4 2 2" xfId="12061"/>
    <cellStyle name="Millares 3 2 2 2 2 2 4 2 3" xfId="18263"/>
    <cellStyle name="Millares 3 2 2 2 2 2 4 2 4" xfId="57089"/>
    <cellStyle name="Millares 3 2 2 2 2 2 4 3" xfId="8961"/>
    <cellStyle name="Millares 3 2 2 2 2 2 4 4" xfId="15163"/>
    <cellStyle name="Millares 3 2 2 2 2 2 4 5" xfId="54198"/>
    <cellStyle name="Millares 3 2 2 2 2 2 5" xfId="3786"/>
    <cellStyle name="Millares 3 2 2 2 2 2 5 2" xfId="9990"/>
    <cellStyle name="Millares 3 2 2 2 2 2 5 3" xfId="16192"/>
    <cellStyle name="Millares 3 2 2 2 2 2 5 4" xfId="55160"/>
    <cellStyle name="Millares 3 2 2 2 2 2 6" xfId="6889"/>
    <cellStyle name="Millares 3 2 2 2 2 2 6 2" xfId="19304"/>
    <cellStyle name="Millares 3 2 2 2 2 2 7" xfId="13091"/>
    <cellStyle name="Millares 3 2 2 2 2 2 8" xfId="52105"/>
    <cellStyle name="Millares 3 2 2 2 2 3" xfId="545"/>
    <cellStyle name="Millares 3 2 2 2 2 3 2" xfId="1982"/>
    <cellStyle name="Millares 3 2 2 2 2 3 2 2" xfId="5107"/>
    <cellStyle name="Millares 3 2 2 2 2 3 2 2 2" xfId="11310"/>
    <cellStyle name="Millares 3 2 2 2 2 3 2 2 3" xfId="17512"/>
    <cellStyle name="Millares 3 2 2 2 2 3 2 2 4" xfId="56364"/>
    <cellStyle name="Millares 3 2 2 2 2 3 2 3" xfId="8210"/>
    <cellStyle name="Millares 3 2 2 2 2 3 2 4" xfId="14412"/>
    <cellStyle name="Millares 3 2 2 2 2 3 2 5" xfId="53470"/>
    <cellStyle name="Millares 3 2 2 2 2 3 3" xfId="2742"/>
    <cellStyle name="Millares 3 2 2 2 2 3 3 2" xfId="5860"/>
    <cellStyle name="Millares 3 2 2 2 2 3 3 2 2" xfId="12063"/>
    <cellStyle name="Millares 3 2 2 2 2 3 3 2 3" xfId="18265"/>
    <cellStyle name="Millares 3 2 2 2 2 3 3 2 4" xfId="57091"/>
    <cellStyle name="Millares 3 2 2 2 2 3 3 3" xfId="8963"/>
    <cellStyle name="Millares 3 2 2 2 2 3 3 4" xfId="15165"/>
    <cellStyle name="Millares 3 2 2 2 2 3 3 5" xfId="54200"/>
    <cellStyle name="Millares 3 2 2 2 2 3 4" xfId="3788"/>
    <cellStyle name="Millares 3 2 2 2 2 3 4 2" xfId="9992"/>
    <cellStyle name="Millares 3 2 2 2 2 3 4 3" xfId="16194"/>
    <cellStyle name="Millares 3 2 2 2 2 3 4 4" xfId="55162"/>
    <cellStyle name="Millares 3 2 2 2 2 3 5" xfId="6891"/>
    <cellStyle name="Millares 3 2 2 2 2 3 5 2" xfId="19583"/>
    <cellStyle name="Millares 3 2 2 2 2 3 6" xfId="13093"/>
    <cellStyle name="Millares 3 2 2 2 2 3 7" xfId="52442"/>
    <cellStyle name="Millares 3 2 2 2 2 4" xfId="1458"/>
    <cellStyle name="Millares 3 2 2 2 2 4 2" xfId="4583"/>
    <cellStyle name="Millares 3 2 2 2 2 4 2 2" xfId="10786"/>
    <cellStyle name="Millares 3 2 2 2 2 4 2 3" xfId="16988"/>
    <cellStyle name="Millares 3 2 2 2 2 4 2 4" xfId="55868"/>
    <cellStyle name="Millares 3 2 2 2 2 4 3" xfId="7686"/>
    <cellStyle name="Millares 3 2 2 2 2 4 4" xfId="13888"/>
    <cellStyle name="Millares 3 2 2 2 2 4 5" xfId="52986"/>
    <cellStyle name="Millares 3 2 2 2 2 5" xfId="2739"/>
    <cellStyle name="Millares 3 2 2 2 2 5 2" xfId="5857"/>
    <cellStyle name="Millares 3 2 2 2 2 5 2 2" xfId="12060"/>
    <cellStyle name="Millares 3 2 2 2 2 5 2 3" xfId="18262"/>
    <cellStyle name="Millares 3 2 2 2 2 5 2 4" xfId="57088"/>
    <cellStyle name="Millares 3 2 2 2 2 5 3" xfId="8960"/>
    <cellStyle name="Millares 3 2 2 2 2 5 4" xfId="15162"/>
    <cellStyle name="Millares 3 2 2 2 2 5 5" xfId="54197"/>
    <cellStyle name="Millares 3 2 2 2 2 6" xfId="3785"/>
    <cellStyle name="Millares 3 2 2 2 2 6 2" xfId="9989"/>
    <cellStyle name="Millares 3 2 2 2 2 6 3" xfId="16191"/>
    <cellStyle name="Millares 3 2 2 2 2 6 4" xfId="55159"/>
    <cellStyle name="Millares 3 2 2 2 2 7" xfId="6888"/>
    <cellStyle name="Millares 3 2 2 2 2 7 2" xfId="19059"/>
    <cellStyle name="Millares 3 2 2 2 2 8" xfId="13090"/>
    <cellStyle name="Millares 3 2 2 2 2 9" xfId="46335"/>
    <cellStyle name="Millares 3 2 2 2 3" xfId="546"/>
    <cellStyle name="Millares 3 2 2 2 3 2" xfId="547"/>
    <cellStyle name="Millares 3 2 2 2 3 2 2" xfId="1913"/>
    <cellStyle name="Millares 3 2 2 2 3 2 2 2" xfId="5038"/>
    <cellStyle name="Millares 3 2 2 2 3 2 2 2 2" xfId="11241"/>
    <cellStyle name="Millares 3 2 2 2 3 2 2 2 3" xfId="17443"/>
    <cellStyle name="Millares 3 2 2 2 3 2 2 2 4" xfId="56299"/>
    <cellStyle name="Millares 3 2 2 2 3 2 2 3" xfId="8141"/>
    <cellStyle name="Millares 3 2 2 2 3 2 2 4" xfId="14343"/>
    <cellStyle name="Millares 3 2 2 2 3 2 2 5" xfId="53405"/>
    <cellStyle name="Millares 3 2 2 2 3 2 3" xfId="2744"/>
    <cellStyle name="Millares 3 2 2 2 3 2 3 2" xfId="5862"/>
    <cellStyle name="Millares 3 2 2 2 3 2 3 2 2" xfId="12065"/>
    <cellStyle name="Millares 3 2 2 2 3 2 3 2 3" xfId="18267"/>
    <cellStyle name="Millares 3 2 2 2 3 2 3 2 4" xfId="57093"/>
    <cellStyle name="Millares 3 2 2 2 3 2 3 3" xfId="8965"/>
    <cellStyle name="Millares 3 2 2 2 3 2 3 4" xfId="15167"/>
    <cellStyle name="Millares 3 2 2 2 3 2 3 5" xfId="54202"/>
    <cellStyle name="Millares 3 2 2 2 3 2 4" xfId="3790"/>
    <cellStyle name="Millares 3 2 2 2 3 2 4 2" xfId="9994"/>
    <cellStyle name="Millares 3 2 2 2 3 2 4 3" xfId="16196"/>
    <cellStyle name="Millares 3 2 2 2 3 2 4 4" xfId="55164"/>
    <cellStyle name="Millares 3 2 2 2 3 2 5" xfId="6893"/>
    <cellStyle name="Millares 3 2 2 2 3 2 5 2" xfId="19514"/>
    <cellStyle name="Millares 3 2 2 2 3 2 6" xfId="13095"/>
    <cellStyle name="Millares 3 2 2 2 3 2 7" xfId="52444"/>
    <cellStyle name="Millares 3 2 2 2 3 3" xfId="1389"/>
    <cellStyle name="Millares 3 2 2 2 3 3 2" xfId="4514"/>
    <cellStyle name="Millares 3 2 2 2 3 3 2 2" xfId="10717"/>
    <cellStyle name="Millares 3 2 2 2 3 3 2 3" xfId="16919"/>
    <cellStyle name="Millares 3 2 2 2 3 3 2 4" xfId="55803"/>
    <cellStyle name="Millares 3 2 2 2 3 3 3" xfId="7617"/>
    <cellStyle name="Millares 3 2 2 2 3 3 4" xfId="13819"/>
    <cellStyle name="Millares 3 2 2 2 3 3 5" xfId="52927"/>
    <cellStyle name="Millares 3 2 2 2 3 4" xfId="2743"/>
    <cellStyle name="Millares 3 2 2 2 3 4 2" xfId="5861"/>
    <cellStyle name="Millares 3 2 2 2 3 4 2 2" xfId="12064"/>
    <cellStyle name="Millares 3 2 2 2 3 4 2 3" xfId="18266"/>
    <cellStyle name="Millares 3 2 2 2 3 4 2 4" xfId="57092"/>
    <cellStyle name="Millares 3 2 2 2 3 4 3" xfId="8964"/>
    <cellStyle name="Millares 3 2 2 2 3 4 4" xfId="15166"/>
    <cellStyle name="Millares 3 2 2 2 3 4 5" xfId="54201"/>
    <cellStyle name="Millares 3 2 2 2 3 5" xfId="3789"/>
    <cellStyle name="Millares 3 2 2 2 3 5 2" xfId="9993"/>
    <cellStyle name="Millares 3 2 2 2 3 5 3" xfId="16195"/>
    <cellStyle name="Millares 3 2 2 2 3 5 4" xfId="55163"/>
    <cellStyle name="Millares 3 2 2 2 3 6" xfId="6892"/>
    <cellStyle name="Millares 3 2 2 2 3 6 2" xfId="18990"/>
    <cellStyle name="Millares 3 2 2 2 3 6 3" xfId="52443"/>
    <cellStyle name="Millares 3 2 2 2 3 7" xfId="13094"/>
    <cellStyle name="Millares 3 2 2 2 3 8" xfId="52043"/>
    <cellStyle name="Millares 3 2 2 2 4" xfId="548"/>
    <cellStyle name="Millares 3 2 2 2 4 2" xfId="1840"/>
    <cellStyle name="Millares 3 2 2 2 4 2 2" xfId="4965"/>
    <cellStyle name="Millares 3 2 2 2 4 2 2 2" xfId="11168"/>
    <cellStyle name="Millares 3 2 2 2 4 2 2 3" xfId="17370"/>
    <cellStyle name="Millares 3 2 2 2 4 2 2 4" xfId="56229"/>
    <cellStyle name="Millares 3 2 2 2 4 2 3" xfId="8068"/>
    <cellStyle name="Millares 3 2 2 2 4 2 4" xfId="14270"/>
    <cellStyle name="Millares 3 2 2 2 4 2 5" xfId="53335"/>
    <cellStyle name="Millares 3 2 2 2 4 3" xfId="2745"/>
    <cellStyle name="Millares 3 2 2 2 4 3 2" xfId="5863"/>
    <cellStyle name="Millares 3 2 2 2 4 3 2 2" xfId="12066"/>
    <cellStyle name="Millares 3 2 2 2 4 3 2 3" xfId="18268"/>
    <cellStyle name="Millares 3 2 2 2 4 3 2 4" xfId="57094"/>
    <cellStyle name="Millares 3 2 2 2 4 3 3" xfId="8966"/>
    <cellStyle name="Millares 3 2 2 2 4 3 4" xfId="15168"/>
    <cellStyle name="Millares 3 2 2 2 4 3 5" xfId="54203"/>
    <cellStyle name="Millares 3 2 2 2 4 4" xfId="3791"/>
    <cellStyle name="Millares 3 2 2 2 4 4 2" xfId="9995"/>
    <cellStyle name="Millares 3 2 2 2 4 4 3" xfId="16197"/>
    <cellStyle name="Millares 3 2 2 2 4 4 4" xfId="55165"/>
    <cellStyle name="Millares 3 2 2 2 4 5" xfId="6894"/>
    <cellStyle name="Millares 3 2 2 2 4 5 2" xfId="19441"/>
    <cellStyle name="Millares 3 2 2 2 4 6" xfId="13096"/>
    <cellStyle name="Millares 3 2 2 2 4 7" xfId="51974"/>
    <cellStyle name="Millares 3 2 2 2 5" xfId="1316"/>
    <cellStyle name="Millares 3 2 2 2 5 2" xfId="4441"/>
    <cellStyle name="Millares 3 2 2 2 5 2 2" xfId="10644"/>
    <cellStyle name="Millares 3 2 2 2 5 2 3" xfId="16846"/>
    <cellStyle name="Millares 3 2 2 2 5 2 4" xfId="55732"/>
    <cellStyle name="Millares 3 2 2 2 5 3" xfId="7544"/>
    <cellStyle name="Millares 3 2 2 2 5 4" xfId="13746"/>
    <cellStyle name="Millares 3 2 2 2 5 5" xfId="52861"/>
    <cellStyle name="Millares 3 2 2 2 6" xfId="2738"/>
    <cellStyle name="Millares 3 2 2 2 6 2" xfId="5856"/>
    <cellStyle name="Millares 3 2 2 2 6 2 2" xfId="12059"/>
    <cellStyle name="Millares 3 2 2 2 6 2 3" xfId="18261"/>
    <cellStyle name="Millares 3 2 2 2 6 2 4" xfId="57087"/>
    <cellStyle name="Millares 3 2 2 2 6 3" xfId="8959"/>
    <cellStyle name="Millares 3 2 2 2 6 4" xfId="15161"/>
    <cellStyle name="Millares 3 2 2 2 6 5" xfId="54196"/>
    <cellStyle name="Millares 3 2 2 2 7" xfId="3784"/>
    <cellStyle name="Millares 3 2 2 2 7 2" xfId="9988"/>
    <cellStyle name="Millares 3 2 2 2 7 3" xfId="16190"/>
    <cellStyle name="Millares 3 2 2 2 7 4" xfId="55158"/>
    <cellStyle name="Millares 3 2 2 2 8" xfId="6887"/>
    <cellStyle name="Millares 3 2 2 2 8 2" xfId="18917"/>
    <cellStyle name="Millares 3 2 2 2 9" xfId="13089"/>
    <cellStyle name="Millares 3 2 2 3" xfId="549"/>
    <cellStyle name="Millares 3 2 2 3 10" xfId="29708"/>
    <cellStyle name="Millares 3 2 2 3 2" xfId="550"/>
    <cellStyle name="Millares 3 2 2 3 2 2" xfId="551"/>
    <cellStyle name="Millares 3 2 2 3 2 2 2" xfId="552"/>
    <cellStyle name="Millares 3 2 2 3 2 2 2 2" xfId="2274"/>
    <cellStyle name="Millares 3 2 2 3 2 2 2 2 2" xfId="5399"/>
    <cellStyle name="Millares 3 2 2 3 2 2 2 2 2 2" xfId="11602"/>
    <cellStyle name="Millares 3 2 2 3 2 2 2 2 2 3" xfId="17804"/>
    <cellStyle name="Millares 3 2 2 3 2 2 2 2 2 4" xfId="56635"/>
    <cellStyle name="Millares 3 2 2 3 2 2 2 2 3" xfId="8502"/>
    <cellStyle name="Millares 3 2 2 3 2 2 2 2 4" xfId="14704"/>
    <cellStyle name="Millares 3 2 2 3 2 2 2 2 5" xfId="53739"/>
    <cellStyle name="Millares 3 2 2 3 2 2 2 3" xfId="2749"/>
    <cellStyle name="Millares 3 2 2 3 2 2 2 3 2" xfId="5867"/>
    <cellStyle name="Millares 3 2 2 3 2 2 2 3 2 2" xfId="12070"/>
    <cellStyle name="Millares 3 2 2 3 2 2 2 3 2 3" xfId="18272"/>
    <cellStyle name="Millares 3 2 2 3 2 2 2 3 2 4" xfId="57098"/>
    <cellStyle name="Millares 3 2 2 3 2 2 2 3 3" xfId="8970"/>
    <cellStyle name="Millares 3 2 2 3 2 2 2 3 4" xfId="15172"/>
    <cellStyle name="Millares 3 2 2 3 2 2 2 3 5" xfId="54207"/>
    <cellStyle name="Millares 3 2 2 3 2 2 2 4" xfId="3795"/>
    <cellStyle name="Millares 3 2 2 3 2 2 2 4 2" xfId="9999"/>
    <cellStyle name="Millares 3 2 2 3 2 2 2 4 3" xfId="16201"/>
    <cellStyle name="Millares 3 2 2 3 2 2 2 4 4" xfId="55169"/>
    <cellStyle name="Millares 3 2 2 3 2 2 2 5" xfId="6898"/>
    <cellStyle name="Millares 3 2 2 3 2 2 2 5 2" xfId="19875"/>
    <cellStyle name="Millares 3 2 2 3 2 2 2 6" xfId="13100"/>
    <cellStyle name="Millares 3 2 2 3 2 2 2 7" xfId="52445"/>
    <cellStyle name="Millares 3 2 2 3 2 2 3" xfId="1750"/>
    <cellStyle name="Millares 3 2 2 3 2 2 3 2" xfId="4875"/>
    <cellStyle name="Millares 3 2 2 3 2 2 3 2 2" xfId="11078"/>
    <cellStyle name="Millares 3 2 2 3 2 2 3 2 3" xfId="17280"/>
    <cellStyle name="Millares 3 2 2 3 2 2 3 2 4" xfId="56146"/>
    <cellStyle name="Millares 3 2 2 3 2 2 3 3" xfId="7978"/>
    <cellStyle name="Millares 3 2 2 3 2 2 3 4" xfId="14180"/>
    <cellStyle name="Millares 3 2 2 3 2 2 3 5" xfId="53254"/>
    <cellStyle name="Millares 3 2 2 3 2 2 4" xfId="2748"/>
    <cellStyle name="Millares 3 2 2 3 2 2 4 2" xfId="5866"/>
    <cellStyle name="Millares 3 2 2 3 2 2 4 2 2" xfId="12069"/>
    <cellStyle name="Millares 3 2 2 3 2 2 4 2 3" xfId="18271"/>
    <cellStyle name="Millares 3 2 2 3 2 2 4 2 4" xfId="57097"/>
    <cellStyle name="Millares 3 2 2 3 2 2 4 3" xfId="8969"/>
    <cellStyle name="Millares 3 2 2 3 2 2 4 4" xfId="15171"/>
    <cellStyle name="Millares 3 2 2 3 2 2 4 5" xfId="54206"/>
    <cellStyle name="Millares 3 2 2 3 2 2 5" xfId="3794"/>
    <cellStyle name="Millares 3 2 2 3 2 2 5 2" xfId="9998"/>
    <cellStyle name="Millares 3 2 2 3 2 2 5 3" xfId="16200"/>
    <cellStyle name="Millares 3 2 2 3 2 2 5 4" xfId="55168"/>
    <cellStyle name="Millares 3 2 2 3 2 2 6" xfId="6897"/>
    <cellStyle name="Millares 3 2 2 3 2 2 6 2" xfId="19351"/>
    <cellStyle name="Millares 3 2 2 3 2 2 7" xfId="13099"/>
    <cellStyle name="Millares 3 2 2 3 2 2 8" xfId="52147"/>
    <cellStyle name="Millares 3 2 2 3 2 3" xfId="553"/>
    <cellStyle name="Millares 3 2 2 3 2 3 2" xfId="2029"/>
    <cellStyle name="Millares 3 2 2 3 2 3 2 2" xfId="5154"/>
    <cellStyle name="Millares 3 2 2 3 2 3 2 2 2" xfId="11357"/>
    <cellStyle name="Millares 3 2 2 3 2 3 2 2 3" xfId="17559"/>
    <cellStyle name="Millares 3 2 2 3 2 3 2 2 4" xfId="56408"/>
    <cellStyle name="Millares 3 2 2 3 2 3 2 3" xfId="8257"/>
    <cellStyle name="Millares 3 2 2 3 2 3 2 4" xfId="14459"/>
    <cellStyle name="Millares 3 2 2 3 2 3 2 5" xfId="53513"/>
    <cellStyle name="Millares 3 2 2 3 2 3 3" xfId="2750"/>
    <cellStyle name="Millares 3 2 2 3 2 3 3 2" xfId="5868"/>
    <cellStyle name="Millares 3 2 2 3 2 3 3 2 2" xfId="12071"/>
    <cellStyle name="Millares 3 2 2 3 2 3 3 2 3" xfId="18273"/>
    <cellStyle name="Millares 3 2 2 3 2 3 3 2 4" xfId="57099"/>
    <cellStyle name="Millares 3 2 2 3 2 3 3 3" xfId="8971"/>
    <cellStyle name="Millares 3 2 2 3 2 3 3 4" xfId="15173"/>
    <cellStyle name="Millares 3 2 2 3 2 3 3 5" xfId="54208"/>
    <cellStyle name="Millares 3 2 2 3 2 3 4" xfId="3796"/>
    <cellStyle name="Millares 3 2 2 3 2 3 4 2" xfId="10000"/>
    <cellStyle name="Millares 3 2 2 3 2 3 4 3" xfId="16202"/>
    <cellStyle name="Millares 3 2 2 3 2 3 4 4" xfId="55170"/>
    <cellStyle name="Millares 3 2 2 3 2 3 5" xfId="6899"/>
    <cellStyle name="Millares 3 2 2 3 2 3 5 2" xfId="19630"/>
    <cellStyle name="Millares 3 2 2 3 2 3 6" xfId="13101"/>
    <cellStyle name="Millares 3 2 2 3 2 3 7" xfId="52446"/>
    <cellStyle name="Millares 3 2 2 3 2 4" xfId="1505"/>
    <cellStyle name="Millares 3 2 2 3 2 4 2" xfId="4630"/>
    <cellStyle name="Millares 3 2 2 3 2 4 2 2" xfId="10833"/>
    <cellStyle name="Millares 3 2 2 3 2 4 2 3" xfId="17035"/>
    <cellStyle name="Millares 3 2 2 3 2 4 2 4" xfId="55913"/>
    <cellStyle name="Millares 3 2 2 3 2 4 3" xfId="7733"/>
    <cellStyle name="Millares 3 2 2 3 2 4 4" xfId="13935"/>
    <cellStyle name="Millares 3 2 2 3 2 4 5" xfId="53029"/>
    <cellStyle name="Millares 3 2 2 3 2 5" xfId="2747"/>
    <cellStyle name="Millares 3 2 2 3 2 5 2" xfId="5865"/>
    <cellStyle name="Millares 3 2 2 3 2 5 2 2" xfId="12068"/>
    <cellStyle name="Millares 3 2 2 3 2 5 2 3" xfId="18270"/>
    <cellStyle name="Millares 3 2 2 3 2 5 2 4" xfId="57096"/>
    <cellStyle name="Millares 3 2 2 3 2 5 3" xfId="8968"/>
    <cellStyle name="Millares 3 2 2 3 2 5 4" xfId="15170"/>
    <cellStyle name="Millares 3 2 2 3 2 5 5" xfId="54205"/>
    <cellStyle name="Millares 3 2 2 3 2 6" xfId="3793"/>
    <cellStyle name="Millares 3 2 2 3 2 6 2" xfId="9997"/>
    <cellStyle name="Millares 3 2 2 3 2 6 3" xfId="16199"/>
    <cellStyle name="Millares 3 2 2 3 2 6 4" xfId="55167"/>
    <cellStyle name="Millares 3 2 2 3 2 7" xfId="6896"/>
    <cellStyle name="Millares 3 2 2 3 2 7 2" xfId="19106"/>
    <cellStyle name="Millares 3 2 2 3 2 8" xfId="13098"/>
    <cellStyle name="Millares 3 2 2 3 2 9" xfId="46336"/>
    <cellStyle name="Millares 3 2 2 3 3" xfId="554"/>
    <cellStyle name="Millares 3 2 2 3 3 2" xfId="555"/>
    <cellStyle name="Millares 3 2 2 3 3 2 2" xfId="2146"/>
    <cellStyle name="Millares 3 2 2 3 3 2 2 2" xfId="5271"/>
    <cellStyle name="Millares 3 2 2 3 3 2 2 2 2" xfId="11474"/>
    <cellStyle name="Millares 3 2 2 3 3 2 2 2 3" xfId="17676"/>
    <cellStyle name="Millares 3 2 2 3 3 2 2 2 4" xfId="56516"/>
    <cellStyle name="Millares 3 2 2 3 3 2 2 3" xfId="8374"/>
    <cellStyle name="Millares 3 2 2 3 3 2 2 4" xfId="14576"/>
    <cellStyle name="Millares 3 2 2 3 3 2 2 5" xfId="53620"/>
    <cellStyle name="Millares 3 2 2 3 3 2 3" xfId="2752"/>
    <cellStyle name="Millares 3 2 2 3 3 2 3 2" xfId="5870"/>
    <cellStyle name="Millares 3 2 2 3 3 2 3 2 2" xfId="12073"/>
    <cellStyle name="Millares 3 2 2 3 3 2 3 2 3" xfId="18275"/>
    <cellStyle name="Millares 3 2 2 3 3 2 3 2 4" xfId="57101"/>
    <cellStyle name="Millares 3 2 2 3 3 2 3 3" xfId="8973"/>
    <cellStyle name="Millares 3 2 2 3 3 2 3 4" xfId="15175"/>
    <cellStyle name="Millares 3 2 2 3 3 2 3 5" xfId="54210"/>
    <cellStyle name="Millares 3 2 2 3 3 2 4" xfId="3798"/>
    <cellStyle name="Millares 3 2 2 3 3 2 4 2" xfId="10002"/>
    <cellStyle name="Millares 3 2 2 3 3 2 4 3" xfId="16204"/>
    <cellStyle name="Millares 3 2 2 3 3 2 4 4" xfId="55172"/>
    <cellStyle name="Millares 3 2 2 3 3 2 5" xfId="6901"/>
    <cellStyle name="Millares 3 2 2 3 3 2 5 2" xfId="19747"/>
    <cellStyle name="Millares 3 2 2 3 3 2 6" xfId="13103"/>
    <cellStyle name="Millares 3 2 2 3 3 2 7" xfId="52447"/>
    <cellStyle name="Millares 3 2 2 3 3 3" xfId="1622"/>
    <cellStyle name="Millares 3 2 2 3 3 3 2" xfId="4747"/>
    <cellStyle name="Millares 3 2 2 3 3 3 2 2" xfId="10950"/>
    <cellStyle name="Millares 3 2 2 3 3 3 2 3" xfId="17152"/>
    <cellStyle name="Millares 3 2 2 3 3 3 2 4" xfId="56024"/>
    <cellStyle name="Millares 3 2 2 3 3 3 3" xfId="7850"/>
    <cellStyle name="Millares 3 2 2 3 3 3 4" xfId="14052"/>
    <cellStyle name="Millares 3 2 2 3 3 3 5" xfId="53135"/>
    <cellStyle name="Millares 3 2 2 3 3 4" xfId="2751"/>
    <cellStyle name="Millares 3 2 2 3 3 4 2" xfId="5869"/>
    <cellStyle name="Millares 3 2 2 3 3 4 2 2" xfId="12072"/>
    <cellStyle name="Millares 3 2 2 3 3 4 2 3" xfId="18274"/>
    <cellStyle name="Millares 3 2 2 3 3 4 2 4" xfId="57100"/>
    <cellStyle name="Millares 3 2 2 3 3 4 3" xfId="8972"/>
    <cellStyle name="Millares 3 2 2 3 3 4 4" xfId="15174"/>
    <cellStyle name="Millares 3 2 2 3 3 4 5" xfId="54209"/>
    <cellStyle name="Millares 3 2 2 3 3 5" xfId="3797"/>
    <cellStyle name="Millares 3 2 2 3 3 5 2" xfId="10001"/>
    <cellStyle name="Millares 3 2 2 3 3 5 3" xfId="16203"/>
    <cellStyle name="Millares 3 2 2 3 3 5 4" xfId="55171"/>
    <cellStyle name="Millares 3 2 2 3 3 6" xfId="6900"/>
    <cellStyle name="Millares 3 2 2 3 3 6 2" xfId="19223"/>
    <cellStyle name="Millares 3 2 2 3 3 7" xfId="13102"/>
    <cellStyle name="Millares 3 2 2 3 3 8" xfId="52015"/>
    <cellStyle name="Millares 3 2 2 3 4" xfId="556"/>
    <cellStyle name="Millares 3 2 2 3 4 2" xfId="1887"/>
    <cellStyle name="Millares 3 2 2 3 4 2 2" xfId="5012"/>
    <cellStyle name="Millares 3 2 2 3 4 2 2 2" xfId="11215"/>
    <cellStyle name="Millares 3 2 2 3 4 2 2 3" xfId="17417"/>
    <cellStyle name="Millares 3 2 2 3 4 2 2 4" xfId="56274"/>
    <cellStyle name="Millares 3 2 2 3 4 2 3" xfId="8115"/>
    <cellStyle name="Millares 3 2 2 3 4 2 4" xfId="14317"/>
    <cellStyle name="Millares 3 2 2 3 4 2 5" xfId="53380"/>
    <cellStyle name="Millares 3 2 2 3 4 3" xfId="2753"/>
    <cellStyle name="Millares 3 2 2 3 4 3 2" xfId="5871"/>
    <cellStyle name="Millares 3 2 2 3 4 3 2 2" xfId="12074"/>
    <cellStyle name="Millares 3 2 2 3 4 3 2 3" xfId="18276"/>
    <cellStyle name="Millares 3 2 2 3 4 3 2 4" xfId="57102"/>
    <cellStyle name="Millares 3 2 2 3 4 3 3" xfId="8974"/>
    <cellStyle name="Millares 3 2 2 3 4 3 4" xfId="15176"/>
    <cellStyle name="Millares 3 2 2 3 4 3 5" xfId="54211"/>
    <cellStyle name="Millares 3 2 2 3 4 4" xfId="3799"/>
    <cellStyle name="Millares 3 2 2 3 4 4 2" xfId="10003"/>
    <cellStyle name="Millares 3 2 2 3 4 4 3" xfId="16205"/>
    <cellStyle name="Millares 3 2 2 3 4 4 4" xfId="55173"/>
    <cellStyle name="Millares 3 2 2 3 4 5" xfId="6902"/>
    <cellStyle name="Millares 3 2 2 3 4 5 2" xfId="19488"/>
    <cellStyle name="Millares 3 2 2 3 4 6" xfId="13104"/>
    <cellStyle name="Millares 3 2 2 3 4 7" xfId="52448"/>
    <cellStyle name="Millares 3 2 2 3 5" xfId="1363"/>
    <cellStyle name="Millares 3 2 2 3 5 2" xfId="4488"/>
    <cellStyle name="Millares 3 2 2 3 5 2 2" xfId="10691"/>
    <cellStyle name="Millares 3 2 2 3 5 2 3" xfId="16893"/>
    <cellStyle name="Millares 3 2 2 3 5 2 4" xfId="55778"/>
    <cellStyle name="Millares 3 2 2 3 5 3" xfId="7591"/>
    <cellStyle name="Millares 3 2 2 3 5 4" xfId="13793"/>
    <cellStyle name="Millares 3 2 2 3 5 5" xfId="52903"/>
    <cellStyle name="Millares 3 2 2 3 6" xfId="2746"/>
    <cellStyle name="Millares 3 2 2 3 6 2" xfId="5864"/>
    <cellStyle name="Millares 3 2 2 3 6 2 2" xfId="12067"/>
    <cellStyle name="Millares 3 2 2 3 6 2 3" xfId="18269"/>
    <cellStyle name="Millares 3 2 2 3 6 2 4" xfId="57095"/>
    <cellStyle name="Millares 3 2 2 3 6 3" xfId="8967"/>
    <cellStyle name="Millares 3 2 2 3 6 4" xfId="15169"/>
    <cellStyle name="Millares 3 2 2 3 6 5" xfId="54204"/>
    <cellStyle name="Millares 3 2 2 3 7" xfId="3792"/>
    <cellStyle name="Millares 3 2 2 3 7 2" xfId="9996"/>
    <cellStyle name="Millares 3 2 2 3 7 3" xfId="16198"/>
    <cellStyle name="Millares 3 2 2 3 7 4" xfId="55166"/>
    <cellStyle name="Millares 3 2 2 3 8" xfId="6895"/>
    <cellStyle name="Millares 3 2 2 3 8 2" xfId="18964"/>
    <cellStyle name="Millares 3 2 2 3 9" xfId="13097"/>
    <cellStyle name="Millares 3 2 2 4" xfId="557"/>
    <cellStyle name="Millares 3 2 2 4 2" xfId="558"/>
    <cellStyle name="Millares 3 2 2 4 2 2" xfId="559"/>
    <cellStyle name="Millares 3 2 2 4 2 2 2" xfId="2289"/>
    <cellStyle name="Millares 3 2 2 4 2 2 2 2" xfId="5414"/>
    <cellStyle name="Millares 3 2 2 4 2 2 2 2 2" xfId="11617"/>
    <cellStyle name="Millares 3 2 2 4 2 2 2 2 3" xfId="17819"/>
    <cellStyle name="Millares 3 2 2 4 2 2 2 2 4" xfId="56648"/>
    <cellStyle name="Millares 3 2 2 4 2 2 2 3" xfId="8517"/>
    <cellStyle name="Millares 3 2 2 4 2 2 2 4" xfId="14719"/>
    <cellStyle name="Millares 3 2 2 4 2 2 2 5" xfId="53752"/>
    <cellStyle name="Millares 3 2 2 4 2 2 3" xfId="2756"/>
    <cellStyle name="Millares 3 2 2 4 2 2 3 2" xfId="5874"/>
    <cellStyle name="Millares 3 2 2 4 2 2 3 2 2" xfId="12077"/>
    <cellStyle name="Millares 3 2 2 4 2 2 3 2 3" xfId="18279"/>
    <cellStyle name="Millares 3 2 2 4 2 2 3 2 4" xfId="57105"/>
    <cellStyle name="Millares 3 2 2 4 2 2 3 3" xfId="8977"/>
    <cellStyle name="Millares 3 2 2 4 2 2 3 4" xfId="15179"/>
    <cellStyle name="Millares 3 2 2 4 2 2 3 5" xfId="54214"/>
    <cellStyle name="Millares 3 2 2 4 2 2 4" xfId="3802"/>
    <cellStyle name="Millares 3 2 2 4 2 2 4 2" xfId="10006"/>
    <cellStyle name="Millares 3 2 2 4 2 2 4 3" xfId="16208"/>
    <cellStyle name="Millares 3 2 2 4 2 2 4 4" xfId="55176"/>
    <cellStyle name="Millares 3 2 2 4 2 2 5" xfId="6905"/>
    <cellStyle name="Millares 3 2 2 4 2 2 5 2" xfId="19890"/>
    <cellStyle name="Millares 3 2 2 4 2 2 6" xfId="13107"/>
    <cellStyle name="Millares 3 2 2 4 2 2 7" xfId="52451"/>
    <cellStyle name="Millares 3 2 2 4 2 3" xfId="1765"/>
    <cellStyle name="Millares 3 2 2 4 2 3 2" xfId="4890"/>
    <cellStyle name="Millares 3 2 2 4 2 3 2 2" xfId="11093"/>
    <cellStyle name="Millares 3 2 2 4 2 3 2 3" xfId="17295"/>
    <cellStyle name="Millares 3 2 2 4 2 3 2 4" xfId="56160"/>
    <cellStyle name="Millares 3 2 2 4 2 3 3" xfId="7993"/>
    <cellStyle name="Millares 3 2 2 4 2 3 4" xfId="14195"/>
    <cellStyle name="Millares 3 2 2 4 2 3 5" xfId="53267"/>
    <cellStyle name="Millares 3 2 2 4 2 4" xfId="2755"/>
    <cellStyle name="Millares 3 2 2 4 2 4 2" xfId="5873"/>
    <cellStyle name="Millares 3 2 2 4 2 4 2 2" xfId="12076"/>
    <cellStyle name="Millares 3 2 2 4 2 4 2 3" xfId="18278"/>
    <cellStyle name="Millares 3 2 2 4 2 4 2 4" xfId="57104"/>
    <cellStyle name="Millares 3 2 2 4 2 4 3" xfId="8976"/>
    <cellStyle name="Millares 3 2 2 4 2 4 4" xfId="15178"/>
    <cellStyle name="Millares 3 2 2 4 2 4 5" xfId="54213"/>
    <cellStyle name="Millares 3 2 2 4 2 5" xfId="3801"/>
    <cellStyle name="Millares 3 2 2 4 2 5 2" xfId="10005"/>
    <cellStyle name="Millares 3 2 2 4 2 5 3" xfId="16207"/>
    <cellStyle name="Millares 3 2 2 4 2 5 4" xfId="55175"/>
    <cellStyle name="Millares 3 2 2 4 2 6" xfId="6904"/>
    <cellStyle name="Millares 3 2 2 4 2 6 2" xfId="19366"/>
    <cellStyle name="Millares 3 2 2 4 2 6 3" xfId="52450"/>
    <cellStyle name="Millares 3 2 2 4 2 7" xfId="13106"/>
    <cellStyle name="Millares 3 2 2 4 2 8" xfId="46337"/>
    <cellStyle name="Millares 3 2 2 4 3" xfId="560"/>
    <cellStyle name="Millares 3 2 2 4 3 2" xfId="1902"/>
    <cellStyle name="Millares 3 2 2 4 3 2 2" xfId="5027"/>
    <cellStyle name="Millares 3 2 2 4 3 2 2 2" xfId="11230"/>
    <cellStyle name="Millares 3 2 2 4 3 2 2 3" xfId="17432"/>
    <cellStyle name="Millares 3 2 2 4 3 2 2 4" xfId="56288"/>
    <cellStyle name="Millares 3 2 2 4 3 2 3" xfId="8130"/>
    <cellStyle name="Millares 3 2 2 4 3 2 4" xfId="14332"/>
    <cellStyle name="Millares 3 2 2 4 3 2 5" xfId="53394"/>
    <cellStyle name="Millares 3 2 2 4 3 3" xfId="2757"/>
    <cellStyle name="Millares 3 2 2 4 3 3 2" xfId="5875"/>
    <cellStyle name="Millares 3 2 2 4 3 3 2 2" xfId="12078"/>
    <cellStyle name="Millares 3 2 2 4 3 3 2 3" xfId="18280"/>
    <cellStyle name="Millares 3 2 2 4 3 3 2 4" xfId="57106"/>
    <cellStyle name="Millares 3 2 2 4 3 3 3" xfId="8978"/>
    <cellStyle name="Millares 3 2 2 4 3 3 4" xfId="15180"/>
    <cellStyle name="Millares 3 2 2 4 3 3 5" xfId="54215"/>
    <cellStyle name="Millares 3 2 2 4 3 4" xfId="3803"/>
    <cellStyle name="Millares 3 2 2 4 3 4 2" xfId="10007"/>
    <cellStyle name="Millares 3 2 2 4 3 4 3" xfId="16209"/>
    <cellStyle name="Millares 3 2 2 4 3 4 4" xfId="55177"/>
    <cellStyle name="Millares 3 2 2 4 3 5" xfId="6906"/>
    <cellStyle name="Millares 3 2 2 4 3 5 2" xfId="19503"/>
    <cellStyle name="Millares 3 2 2 4 3 5 3" xfId="52452"/>
    <cellStyle name="Millares 3 2 2 4 3 6" xfId="13108"/>
    <cellStyle name="Millares 3 2 2 4 3 7" xfId="52029"/>
    <cellStyle name="Millares 3 2 2 4 4" xfId="1378"/>
    <cellStyle name="Millares 3 2 2 4 4 2" xfId="4503"/>
    <cellStyle name="Millares 3 2 2 4 4 2 2" xfId="10706"/>
    <cellStyle name="Millares 3 2 2 4 4 2 3" xfId="16908"/>
    <cellStyle name="Millares 3 2 2 4 4 2 4" xfId="55792"/>
    <cellStyle name="Millares 3 2 2 4 4 3" xfId="7606"/>
    <cellStyle name="Millares 3 2 2 4 4 4" xfId="13808"/>
    <cellStyle name="Millares 3 2 2 4 4 5" xfId="52916"/>
    <cellStyle name="Millares 3 2 2 4 5" xfId="2754"/>
    <cellStyle name="Millares 3 2 2 4 5 2" xfId="5872"/>
    <cellStyle name="Millares 3 2 2 4 5 2 2" xfId="12075"/>
    <cellStyle name="Millares 3 2 2 4 5 2 3" xfId="18277"/>
    <cellStyle name="Millares 3 2 2 4 5 2 4" xfId="57103"/>
    <cellStyle name="Millares 3 2 2 4 5 3" xfId="8975"/>
    <cellStyle name="Millares 3 2 2 4 5 4" xfId="15177"/>
    <cellStyle name="Millares 3 2 2 4 5 5" xfId="54212"/>
    <cellStyle name="Millares 3 2 2 4 6" xfId="3800"/>
    <cellStyle name="Millares 3 2 2 4 6 2" xfId="10004"/>
    <cellStyle name="Millares 3 2 2 4 6 3" xfId="16206"/>
    <cellStyle name="Millares 3 2 2 4 6 4" xfId="55174"/>
    <cellStyle name="Millares 3 2 2 4 7" xfId="6903"/>
    <cellStyle name="Millares 3 2 2 4 7 2" xfId="18979"/>
    <cellStyle name="Millares 3 2 2 4 7 3" xfId="52449"/>
    <cellStyle name="Millares 3 2 2 4 8" xfId="13105"/>
    <cellStyle name="Millares 3 2 2 4 9" xfId="29709"/>
    <cellStyle name="Millares 3 2 2 5" xfId="561"/>
    <cellStyle name="Millares 3 2 2 5 2" xfId="562"/>
    <cellStyle name="Millares 3 2 2 5 2 2" xfId="563"/>
    <cellStyle name="Millares 3 2 2 5 2 2 2" xfId="2206"/>
    <cellStyle name="Millares 3 2 2 5 2 2 2 2" xfId="5331"/>
    <cellStyle name="Millares 3 2 2 5 2 2 2 2 2" xfId="11534"/>
    <cellStyle name="Millares 3 2 2 5 2 2 2 2 3" xfId="17736"/>
    <cellStyle name="Millares 3 2 2 5 2 2 2 2 4" xfId="56572"/>
    <cellStyle name="Millares 3 2 2 5 2 2 2 3" xfId="8434"/>
    <cellStyle name="Millares 3 2 2 5 2 2 2 4" xfId="14636"/>
    <cellStyle name="Millares 3 2 2 5 2 2 2 5" xfId="53676"/>
    <cellStyle name="Millares 3 2 2 5 2 2 3" xfId="2760"/>
    <cellStyle name="Millares 3 2 2 5 2 2 3 2" xfId="5878"/>
    <cellStyle name="Millares 3 2 2 5 2 2 3 2 2" xfId="12081"/>
    <cellStyle name="Millares 3 2 2 5 2 2 3 2 3" xfId="18283"/>
    <cellStyle name="Millares 3 2 2 5 2 2 3 2 4" xfId="57109"/>
    <cellStyle name="Millares 3 2 2 5 2 2 3 3" xfId="8981"/>
    <cellStyle name="Millares 3 2 2 5 2 2 3 4" xfId="15183"/>
    <cellStyle name="Millares 3 2 2 5 2 2 3 5" xfId="54218"/>
    <cellStyle name="Millares 3 2 2 5 2 2 4" xfId="3806"/>
    <cellStyle name="Millares 3 2 2 5 2 2 4 2" xfId="10010"/>
    <cellStyle name="Millares 3 2 2 5 2 2 4 3" xfId="16212"/>
    <cellStyle name="Millares 3 2 2 5 2 2 4 4" xfId="55180"/>
    <cellStyle name="Millares 3 2 2 5 2 2 5" xfId="6909"/>
    <cellStyle name="Millares 3 2 2 5 2 2 5 2" xfId="19807"/>
    <cellStyle name="Millares 3 2 2 5 2 2 6" xfId="13111"/>
    <cellStyle name="Millares 3 2 2 5 2 2 7" xfId="52454"/>
    <cellStyle name="Millares 3 2 2 5 2 3" xfId="1682"/>
    <cellStyle name="Millares 3 2 2 5 2 3 2" xfId="4807"/>
    <cellStyle name="Millares 3 2 2 5 2 3 2 2" xfId="11010"/>
    <cellStyle name="Millares 3 2 2 5 2 3 2 3" xfId="17212"/>
    <cellStyle name="Millares 3 2 2 5 2 3 2 4" xfId="56081"/>
    <cellStyle name="Millares 3 2 2 5 2 3 3" xfId="7910"/>
    <cellStyle name="Millares 3 2 2 5 2 3 4" xfId="14112"/>
    <cellStyle name="Millares 3 2 2 5 2 3 5" xfId="53191"/>
    <cellStyle name="Millares 3 2 2 5 2 4" xfId="2759"/>
    <cellStyle name="Millares 3 2 2 5 2 4 2" xfId="5877"/>
    <cellStyle name="Millares 3 2 2 5 2 4 2 2" xfId="12080"/>
    <cellStyle name="Millares 3 2 2 5 2 4 2 3" xfId="18282"/>
    <cellStyle name="Millares 3 2 2 5 2 4 2 4" xfId="57108"/>
    <cellStyle name="Millares 3 2 2 5 2 4 3" xfId="8980"/>
    <cellStyle name="Millares 3 2 2 5 2 4 4" xfId="15182"/>
    <cellStyle name="Millares 3 2 2 5 2 4 5" xfId="54217"/>
    <cellStyle name="Millares 3 2 2 5 2 5" xfId="3805"/>
    <cellStyle name="Millares 3 2 2 5 2 5 2" xfId="10009"/>
    <cellStyle name="Millares 3 2 2 5 2 5 3" xfId="16211"/>
    <cellStyle name="Millares 3 2 2 5 2 5 4" xfId="55179"/>
    <cellStyle name="Millares 3 2 2 5 2 6" xfId="6908"/>
    <cellStyle name="Millares 3 2 2 5 2 6 2" xfId="19283"/>
    <cellStyle name="Millares 3 2 2 5 2 6 3" xfId="52453"/>
    <cellStyle name="Millares 3 2 2 5 2 7" xfId="13110"/>
    <cellStyle name="Millares 3 2 2 5 2 8" xfId="46338"/>
    <cellStyle name="Millares 3 2 2 5 3" xfId="564"/>
    <cellStyle name="Millares 3 2 2 5 3 2" xfId="1961"/>
    <cellStyle name="Millares 3 2 2 5 3 2 2" xfId="5086"/>
    <cellStyle name="Millares 3 2 2 5 3 2 2 2" xfId="11289"/>
    <cellStyle name="Millares 3 2 2 5 3 2 2 3" xfId="17491"/>
    <cellStyle name="Millares 3 2 2 5 3 2 2 4" xfId="56345"/>
    <cellStyle name="Millares 3 2 2 5 3 2 3" xfId="8189"/>
    <cellStyle name="Millares 3 2 2 5 3 2 4" xfId="14391"/>
    <cellStyle name="Millares 3 2 2 5 3 2 5" xfId="53451"/>
    <cellStyle name="Millares 3 2 2 5 3 3" xfId="2761"/>
    <cellStyle name="Millares 3 2 2 5 3 3 2" xfId="5879"/>
    <cellStyle name="Millares 3 2 2 5 3 3 2 2" xfId="12082"/>
    <cellStyle name="Millares 3 2 2 5 3 3 2 3" xfId="18284"/>
    <cellStyle name="Millares 3 2 2 5 3 3 2 4" xfId="57110"/>
    <cellStyle name="Millares 3 2 2 5 3 3 3" xfId="8982"/>
    <cellStyle name="Millares 3 2 2 5 3 3 4" xfId="15184"/>
    <cellStyle name="Millares 3 2 2 5 3 3 5" xfId="54219"/>
    <cellStyle name="Millares 3 2 2 5 3 4" xfId="3807"/>
    <cellStyle name="Millares 3 2 2 5 3 4 2" xfId="10011"/>
    <cellStyle name="Millares 3 2 2 5 3 4 3" xfId="16213"/>
    <cellStyle name="Millares 3 2 2 5 3 4 4" xfId="55181"/>
    <cellStyle name="Millares 3 2 2 5 3 5" xfId="6910"/>
    <cellStyle name="Millares 3 2 2 5 3 5 2" xfId="19562"/>
    <cellStyle name="Millares 3 2 2 5 3 6" xfId="13112"/>
    <cellStyle name="Millares 3 2 2 5 3 7" xfId="52084"/>
    <cellStyle name="Millares 3 2 2 5 4" xfId="1437"/>
    <cellStyle name="Millares 3 2 2 5 4 2" xfId="4562"/>
    <cellStyle name="Millares 3 2 2 5 4 2 2" xfId="10765"/>
    <cellStyle name="Millares 3 2 2 5 4 2 3" xfId="16967"/>
    <cellStyle name="Millares 3 2 2 5 4 2 4" xfId="55849"/>
    <cellStyle name="Millares 3 2 2 5 4 3" xfId="7665"/>
    <cellStyle name="Millares 3 2 2 5 4 4" xfId="13867"/>
    <cellStyle name="Millares 3 2 2 5 4 5" xfId="52967"/>
    <cellStyle name="Millares 3 2 2 5 5" xfId="2758"/>
    <cellStyle name="Millares 3 2 2 5 5 2" xfId="5876"/>
    <cellStyle name="Millares 3 2 2 5 5 2 2" xfId="12079"/>
    <cellStyle name="Millares 3 2 2 5 5 2 3" xfId="18281"/>
    <cellStyle name="Millares 3 2 2 5 5 2 4" xfId="57107"/>
    <cellStyle name="Millares 3 2 2 5 5 3" xfId="8979"/>
    <cellStyle name="Millares 3 2 2 5 5 4" xfId="15181"/>
    <cellStyle name="Millares 3 2 2 5 5 5" xfId="54216"/>
    <cellStyle name="Millares 3 2 2 5 6" xfId="3804"/>
    <cellStyle name="Millares 3 2 2 5 6 2" xfId="10008"/>
    <cellStyle name="Millares 3 2 2 5 6 3" xfId="16210"/>
    <cellStyle name="Millares 3 2 2 5 6 4" xfId="55178"/>
    <cellStyle name="Millares 3 2 2 5 7" xfId="6907"/>
    <cellStyle name="Millares 3 2 2 5 7 2" xfId="19038"/>
    <cellStyle name="Millares 3 2 2 5 8" xfId="13109"/>
    <cellStyle name="Millares 3 2 2 5 9" xfId="29710"/>
    <cellStyle name="Millares 3 2 2 6" xfId="565"/>
    <cellStyle name="Millares 3 2 2 6 2" xfId="566"/>
    <cellStyle name="Millares 3 2 2 6 2 2" xfId="2090"/>
    <cellStyle name="Millares 3 2 2 6 2 2 2" xfId="5215"/>
    <cellStyle name="Millares 3 2 2 6 2 2 2 2" xfId="11418"/>
    <cellStyle name="Millares 3 2 2 6 2 2 2 3" xfId="17620"/>
    <cellStyle name="Millares 3 2 2 6 2 2 2 4" xfId="56464"/>
    <cellStyle name="Millares 3 2 2 6 2 2 3" xfId="8318"/>
    <cellStyle name="Millares 3 2 2 6 2 2 4" xfId="14520"/>
    <cellStyle name="Millares 3 2 2 6 2 2 5" xfId="53568"/>
    <cellStyle name="Millares 3 2 2 6 2 3" xfId="2763"/>
    <cellStyle name="Millares 3 2 2 6 2 3 2" xfId="5881"/>
    <cellStyle name="Millares 3 2 2 6 2 3 2 2" xfId="12084"/>
    <cellStyle name="Millares 3 2 2 6 2 3 2 3" xfId="18286"/>
    <cellStyle name="Millares 3 2 2 6 2 3 2 4" xfId="57112"/>
    <cellStyle name="Millares 3 2 2 6 2 3 3" xfId="8984"/>
    <cellStyle name="Millares 3 2 2 6 2 3 4" xfId="15186"/>
    <cellStyle name="Millares 3 2 2 6 2 3 5" xfId="54221"/>
    <cellStyle name="Millares 3 2 2 6 2 4" xfId="3809"/>
    <cellStyle name="Millares 3 2 2 6 2 4 2" xfId="10013"/>
    <cellStyle name="Millares 3 2 2 6 2 4 3" xfId="16215"/>
    <cellStyle name="Millares 3 2 2 6 2 4 4" xfId="55183"/>
    <cellStyle name="Millares 3 2 2 6 2 5" xfId="6912"/>
    <cellStyle name="Millares 3 2 2 6 2 5 2" xfId="19691"/>
    <cellStyle name="Millares 3 2 2 6 2 5 3" xfId="52456"/>
    <cellStyle name="Millares 3 2 2 6 2 6" xfId="13114"/>
    <cellStyle name="Millares 3 2 2 6 2 7" xfId="46339"/>
    <cellStyle name="Millares 3 2 2 6 3" xfId="1566"/>
    <cellStyle name="Millares 3 2 2 6 3 2" xfId="4691"/>
    <cellStyle name="Millares 3 2 2 6 3 2 2" xfId="10894"/>
    <cellStyle name="Millares 3 2 2 6 3 2 3" xfId="17096"/>
    <cellStyle name="Millares 3 2 2 6 3 2 4" xfId="55970"/>
    <cellStyle name="Millares 3 2 2 6 3 3" xfId="7794"/>
    <cellStyle name="Millares 3 2 2 6 3 4" xfId="13996"/>
    <cellStyle name="Millares 3 2 2 6 3 5" xfId="53083"/>
    <cellStyle name="Millares 3 2 2 6 4" xfId="2762"/>
    <cellStyle name="Millares 3 2 2 6 4 2" xfId="5880"/>
    <cellStyle name="Millares 3 2 2 6 4 2 2" xfId="12083"/>
    <cellStyle name="Millares 3 2 2 6 4 2 3" xfId="18285"/>
    <cellStyle name="Millares 3 2 2 6 4 2 4" xfId="57111"/>
    <cellStyle name="Millares 3 2 2 6 4 3" xfId="8983"/>
    <cellStyle name="Millares 3 2 2 6 4 4" xfId="15185"/>
    <cellStyle name="Millares 3 2 2 6 4 5" xfId="54220"/>
    <cellStyle name="Millares 3 2 2 6 5" xfId="3808"/>
    <cellStyle name="Millares 3 2 2 6 5 2" xfId="10012"/>
    <cellStyle name="Millares 3 2 2 6 5 3" xfId="16214"/>
    <cellStyle name="Millares 3 2 2 6 5 4" xfId="55182"/>
    <cellStyle name="Millares 3 2 2 6 6" xfId="6911"/>
    <cellStyle name="Millares 3 2 2 6 6 2" xfId="19167"/>
    <cellStyle name="Millares 3 2 2 6 6 3" xfId="52455"/>
    <cellStyle name="Millares 3 2 2 6 7" xfId="13113"/>
    <cellStyle name="Millares 3 2 2 6 8" xfId="29711"/>
    <cellStyle name="Millares 3 2 2 7" xfId="567"/>
    <cellStyle name="Millares 3 2 2 7 2" xfId="1820"/>
    <cellStyle name="Millares 3 2 2 7 2 2" xfId="4945"/>
    <cellStyle name="Millares 3 2 2 7 2 2 2" xfId="11148"/>
    <cellStyle name="Millares 3 2 2 7 2 2 3" xfId="17350"/>
    <cellStyle name="Millares 3 2 2 7 2 2 4" xfId="56210"/>
    <cellStyle name="Millares 3 2 2 7 2 3" xfId="8048"/>
    <cellStyle name="Millares 3 2 2 7 2 4" xfId="14250"/>
    <cellStyle name="Millares 3 2 2 7 2 5" xfId="53316"/>
    <cellStyle name="Millares 3 2 2 7 3" xfId="2764"/>
    <cellStyle name="Millares 3 2 2 7 3 2" xfId="5882"/>
    <cellStyle name="Millares 3 2 2 7 3 2 2" xfId="12085"/>
    <cellStyle name="Millares 3 2 2 7 3 2 3" xfId="18287"/>
    <cellStyle name="Millares 3 2 2 7 3 2 4" xfId="57113"/>
    <cellStyle name="Millares 3 2 2 7 3 3" xfId="8985"/>
    <cellStyle name="Millares 3 2 2 7 3 4" xfId="15187"/>
    <cellStyle name="Millares 3 2 2 7 3 5" xfId="54222"/>
    <cellStyle name="Millares 3 2 2 7 4" xfId="3810"/>
    <cellStyle name="Millares 3 2 2 7 4 2" xfId="10014"/>
    <cellStyle name="Millares 3 2 2 7 4 3" xfId="16216"/>
    <cellStyle name="Millares 3 2 2 7 4 4" xfId="55184"/>
    <cellStyle name="Millares 3 2 2 7 5" xfId="6913"/>
    <cellStyle name="Millares 3 2 2 7 5 2" xfId="19421"/>
    <cellStyle name="Millares 3 2 2 7 5 3" xfId="52457"/>
    <cellStyle name="Millares 3 2 2 7 6" xfId="13115"/>
    <cellStyle name="Millares 3 2 2 7 7" xfId="29712"/>
    <cellStyle name="Millares 3 2 2 8" xfId="1295"/>
    <cellStyle name="Millares 3 2 2 8 2" xfId="4420"/>
    <cellStyle name="Millares 3 2 2 8 2 2" xfId="10623"/>
    <cellStyle name="Millares 3 2 2 8 2 3" xfId="16825"/>
    <cellStyle name="Millares 3 2 2 8 2 4" xfId="55713"/>
    <cellStyle name="Millares 3 2 2 8 3" xfId="7523"/>
    <cellStyle name="Millares 3 2 2 8 3 2" xfId="52842"/>
    <cellStyle name="Millares 3 2 2 8 4" xfId="13725"/>
    <cellStyle name="Millares 3 2 2 8 5" xfId="29706"/>
    <cellStyle name="Millares 3 2 2 9" xfId="2737"/>
    <cellStyle name="Millares 3 2 2 9 2" xfId="5855"/>
    <cellStyle name="Millares 3 2 2 9 2 2" xfId="12058"/>
    <cellStyle name="Millares 3 2 2 9 2 3" xfId="18260"/>
    <cellStyle name="Millares 3 2 2 9 2 4" xfId="57086"/>
    <cellStyle name="Millares 3 2 2 9 3" xfId="8958"/>
    <cellStyle name="Millares 3 2 2 9 3 2" xfId="54195"/>
    <cellStyle name="Millares 3 2 2 9 4" xfId="15160"/>
    <cellStyle name="Millares 3 2 2 9 5" xfId="46334"/>
    <cellStyle name="Millares 3 2 3" xfId="568"/>
    <cellStyle name="Millares 3 2 3 10" xfId="19945"/>
    <cellStyle name="Millares 3 2 3 2" xfId="569"/>
    <cellStyle name="Millares 3 2 3 2 2" xfId="570"/>
    <cellStyle name="Millares 3 2 3 2 2 2" xfId="571"/>
    <cellStyle name="Millares 3 2 3 2 2 2 2" xfId="2223"/>
    <cellStyle name="Millares 3 2 3 2 2 2 2 2" xfId="5348"/>
    <cellStyle name="Millares 3 2 3 2 2 2 2 2 2" xfId="11551"/>
    <cellStyle name="Millares 3 2 3 2 2 2 2 2 3" xfId="17753"/>
    <cellStyle name="Millares 3 2 3 2 2 2 2 2 4" xfId="56587"/>
    <cellStyle name="Millares 3 2 3 2 2 2 2 3" xfId="8451"/>
    <cellStyle name="Millares 3 2 3 2 2 2 2 4" xfId="14653"/>
    <cellStyle name="Millares 3 2 3 2 2 2 2 5" xfId="53691"/>
    <cellStyle name="Millares 3 2 3 2 2 2 3" xfId="2768"/>
    <cellStyle name="Millares 3 2 3 2 2 2 3 2" xfId="5886"/>
    <cellStyle name="Millares 3 2 3 2 2 2 3 2 2" xfId="12089"/>
    <cellStyle name="Millares 3 2 3 2 2 2 3 2 3" xfId="18291"/>
    <cellStyle name="Millares 3 2 3 2 2 2 3 2 4" xfId="57117"/>
    <cellStyle name="Millares 3 2 3 2 2 2 3 3" xfId="8989"/>
    <cellStyle name="Millares 3 2 3 2 2 2 3 4" xfId="15191"/>
    <cellStyle name="Millares 3 2 3 2 2 2 3 5" xfId="54224"/>
    <cellStyle name="Millares 3 2 3 2 2 2 4" xfId="3814"/>
    <cellStyle name="Millares 3 2 3 2 2 2 4 2" xfId="10018"/>
    <cellStyle name="Millares 3 2 3 2 2 2 4 3" xfId="16220"/>
    <cellStyle name="Millares 3 2 3 2 2 2 4 4" xfId="55188"/>
    <cellStyle name="Millares 3 2 3 2 2 2 5" xfId="6917"/>
    <cellStyle name="Millares 3 2 3 2 2 2 5 2" xfId="19824"/>
    <cellStyle name="Millares 3 2 3 2 2 2 6" xfId="13119"/>
    <cellStyle name="Millares 3 2 3 2 2 2 7" xfId="52459"/>
    <cellStyle name="Millares 3 2 3 2 2 3" xfId="1699"/>
    <cellStyle name="Millares 3 2 3 2 2 3 2" xfId="4824"/>
    <cellStyle name="Millares 3 2 3 2 2 3 2 2" xfId="11027"/>
    <cellStyle name="Millares 3 2 3 2 2 3 2 3" xfId="17229"/>
    <cellStyle name="Millares 3 2 3 2 2 3 2 4" xfId="56096"/>
    <cellStyle name="Millares 3 2 3 2 2 3 3" xfId="7927"/>
    <cellStyle name="Millares 3 2 3 2 2 3 4" xfId="14129"/>
    <cellStyle name="Millares 3 2 3 2 2 3 5" xfId="53206"/>
    <cellStyle name="Millares 3 2 3 2 2 4" xfId="2767"/>
    <cellStyle name="Millares 3 2 3 2 2 4 2" xfId="5885"/>
    <cellStyle name="Millares 3 2 3 2 2 4 2 2" xfId="12088"/>
    <cellStyle name="Millares 3 2 3 2 2 4 2 3" xfId="18290"/>
    <cellStyle name="Millares 3 2 3 2 2 4 2 4" xfId="57116"/>
    <cellStyle name="Millares 3 2 3 2 2 4 3" xfId="8988"/>
    <cellStyle name="Millares 3 2 3 2 2 4 4" xfId="15190"/>
    <cellStyle name="Millares 3 2 3 2 2 4 5" xfId="54223"/>
    <cellStyle name="Millares 3 2 3 2 2 5" xfId="3813"/>
    <cellStyle name="Millares 3 2 3 2 2 5 2" xfId="10017"/>
    <cellStyle name="Millares 3 2 3 2 2 5 3" xfId="16219"/>
    <cellStyle name="Millares 3 2 3 2 2 5 4" xfId="55187"/>
    <cellStyle name="Millares 3 2 3 2 2 6" xfId="6916"/>
    <cellStyle name="Millares 3 2 3 2 2 6 2" xfId="19300"/>
    <cellStyle name="Millares 3 2 3 2 2 6 3" xfId="52458"/>
    <cellStyle name="Millares 3 2 3 2 2 7" xfId="13118"/>
    <cellStyle name="Millares 3 2 3 2 2 8" xfId="29715"/>
    <cellStyle name="Millares 3 2 3 2 3" xfId="572"/>
    <cellStyle name="Millares 3 2 3 2 3 2" xfId="1978"/>
    <cellStyle name="Millares 3 2 3 2 3 2 2" xfId="5103"/>
    <cellStyle name="Millares 3 2 3 2 3 2 2 2" xfId="11306"/>
    <cellStyle name="Millares 3 2 3 2 3 2 2 3" xfId="17508"/>
    <cellStyle name="Millares 3 2 3 2 3 2 2 4" xfId="56360"/>
    <cellStyle name="Millares 3 2 3 2 3 2 3" xfId="8206"/>
    <cellStyle name="Millares 3 2 3 2 3 2 4" xfId="14408"/>
    <cellStyle name="Millares 3 2 3 2 3 2 5" xfId="53466"/>
    <cellStyle name="Millares 3 2 3 2 3 3" xfId="2769"/>
    <cellStyle name="Millares 3 2 3 2 3 3 2" xfId="5887"/>
    <cellStyle name="Millares 3 2 3 2 3 3 2 2" xfId="12090"/>
    <cellStyle name="Millares 3 2 3 2 3 3 2 3" xfId="18292"/>
    <cellStyle name="Millares 3 2 3 2 3 3 2 4" xfId="57118"/>
    <cellStyle name="Millares 3 2 3 2 3 3 3" xfId="8990"/>
    <cellStyle name="Millares 3 2 3 2 3 3 4" xfId="15192"/>
    <cellStyle name="Millares 3 2 3 2 3 3 5" xfId="54225"/>
    <cellStyle name="Millares 3 2 3 2 3 4" xfId="3815"/>
    <cellStyle name="Millares 3 2 3 2 3 4 2" xfId="10019"/>
    <cellStyle name="Millares 3 2 3 2 3 4 3" xfId="16221"/>
    <cellStyle name="Millares 3 2 3 2 3 4 4" xfId="55189"/>
    <cellStyle name="Millares 3 2 3 2 3 5" xfId="6918"/>
    <cellStyle name="Millares 3 2 3 2 3 5 2" xfId="19579"/>
    <cellStyle name="Millares 3 2 3 2 3 5 3" xfId="52460"/>
    <cellStyle name="Millares 3 2 3 2 3 6" xfId="13120"/>
    <cellStyle name="Millares 3 2 3 2 3 7" xfId="29714"/>
    <cellStyle name="Millares 3 2 3 2 4" xfId="1454"/>
    <cellStyle name="Millares 3 2 3 2 4 2" xfId="4579"/>
    <cellStyle name="Millares 3 2 3 2 4 2 2" xfId="10782"/>
    <cellStyle name="Millares 3 2 3 2 4 2 3" xfId="16984"/>
    <cellStyle name="Millares 3 2 3 2 4 2 4" xfId="55864"/>
    <cellStyle name="Millares 3 2 3 2 4 3" xfId="7682"/>
    <cellStyle name="Millares 3 2 3 2 4 3 2" xfId="52982"/>
    <cellStyle name="Millares 3 2 3 2 4 4" xfId="13884"/>
    <cellStyle name="Millares 3 2 3 2 4 5" xfId="46341"/>
    <cellStyle name="Millares 3 2 3 2 5" xfId="2766"/>
    <cellStyle name="Millares 3 2 3 2 5 2" xfId="5884"/>
    <cellStyle name="Millares 3 2 3 2 5 2 2" xfId="12087"/>
    <cellStyle name="Millares 3 2 3 2 5 2 3" xfId="18289"/>
    <cellStyle name="Millares 3 2 3 2 5 2 4" xfId="57115"/>
    <cellStyle name="Millares 3 2 3 2 5 3" xfId="8987"/>
    <cellStyle name="Millares 3 2 3 2 5 4" xfId="15189"/>
    <cellStyle name="Millares 3 2 3 2 5 5" xfId="52101"/>
    <cellStyle name="Millares 3 2 3 2 6" xfId="3812"/>
    <cellStyle name="Millares 3 2 3 2 6 2" xfId="10016"/>
    <cellStyle name="Millares 3 2 3 2 6 3" xfId="16218"/>
    <cellStyle name="Millares 3 2 3 2 6 4" xfId="55186"/>
    <cellStyle name="Millares 3 2 3 2 7" xfId="6915"/>
    <cellStyle name="Millares 3 2 3 2 7 2" xfId="19055"/>
    <cellStyle name="Millares 3 2 3 2 8" xfId="13117"/>
    <cellStyle name="Millares 3 2 3 2 9" xfId="19993"/>
    <cellStyle name="Millares 3 2 3 3" xfId="573"/>
    <cellStyle name="Millares 3 2 3 3 2" xfId="574"/>
    <cellStyle name="Millares 3 2 3 3 2 2" xfId="1909"/>
    <cellStyle name="Millares 3 2 3 3 2 2 2" xfId="5034"/>
    <cellStyle name="Millares 3 2 3 3 2 2 2 2" xfId="11237"/>
    <cellStyle name="Millares 3 2 3 3 2 2 2 3" xfId="17439"/>
    <cellStyle name="Millares 3 2 3 3 2 2 2 4" xfId="56295"/>
    <cellStyle name="Millares 3 2 3 3 2 2 3" xfId="8137"/>
    <cellStyle name="Millares 3 2 3 3 2 2 4" xfId="14339"/>
    <cellStyle name="Millares 3 2 3 3 2 2 5" xfId="53401"/>
    <cellStyle name="Millares 3 2 3 3 2 3" xfId="2771"/>
    <cellStyle name="Millares 3 2 3 3 2 3 2" xfId="5889"/>
    <cellStyle name="Millares 3 2 3 3 2 3 2 2" xfId="12092"/>
    <cellStyle name="Millares 3 2 3 3 2 3 2 3" xfId="18294"/>
    <cellStyle name="Millares 3 2 3 3 2 3 2 4" xfId="57120"/>
    <cellStyle name="Millares 3 2 3 3 2 3 3" xfId="8992"/>
    <cellStyle name="Millares 3 2 3 3 2 3 4" xfId="15194"/>
    <cellStyle name="Millares 3 2 3 3 2 3 5" xfId="54227"/>
    <cellStyle name="Millares 3 2 3 3 2 4" xfId="3817"/>
    <cellStyle name="Millares 3 2 3 3 2 4 2" xfId="10021"/>
    <cellStyle name="Millares 3 2 3 3 2 4 3" xfId="16223"/>
    <cellStyle name="Millares 3 2 3 3 2 4 4" xfId="55191"/>
    <cellStyle name="Millares 3 2 3 3 2 5" xfId="6920"/>
    <cellStyle name="Millares 3 2 3 3 2 5 2" xfId="19510"/>
    <cellStyle name="Millares 3 2 3 3 2 5 3" xfId="52462"/>
    <cellStyle name="Millares 3 2 3 3 2 6" xfId="13122"/>
    <cellStyle name="Millares 3 2 3 3 2 7" xfId="52039"/>
    <cellStyle name="Millares 3 2 3 3 3" xfId="1385"/>
    <cellStyle name="Millares 3 2 3 3 3 2" xfId="4510"/>
    <cellStyle name="Millares 3 2 3 3 3 2 2" xfId="10713"/>
    <cellStyle name="Millares 3 2 3 3 3 2 3" xfId="16915"/>
    <cellStyle name="Millares 3 2 3 3 3 2 4" xfId="55799"/>
    <cellStyle name="Millares 3 2 3 3 3 3" xfId="7613"/>
    <cellStyle name="Millares 3 2 3 3 3 4" xfId="13815"/>
    <cellStyle name="Millares 3 2 3 3 3 5" xfId="52923"/>
    <cellStyle name="Millares 3 2 3 3 4" xfId="2770"/>
    <cellStyle name="Millares 3 2 3 3 4 2" xfId="5888"/>
    <cellStyle name="Millares 3 2 3 3 4 2 2" xfId="12091"/>
    <cellStyle name="Millares 3 2 3 3 4 2 3" xfId="18293"/>
    <cellStyle name="Millares 3 2 3 3 4 2 4" xfId="57119"/>
    <cellStyle name="Millares 3 2 3 3 4 3" xfId="8991"/>
    <cellStyle name="Millares 3 2 3 3 4 4" xfId="15193"/>
    <cellStyle name="Millares 3 2 3 3 4 5" xfId="54226"/>
    <cellStyle name="Millares 3 2 3 3 5" xfId="3816"/>
    <cellStyle name="Millares 3 2 3 3 5 2" xfId="10020"/>
    <cellStyle name="Millares 3 2 3 3 5 3" xfId="16222"/>
    <cellStyle name="Millares 3 2 3 3 5 4" xfId="55190"/>
    <cellStyle name="Millares 3 2 3 3 6" xfId="6919"/>
    <cellStyle name="Millares 3 2 3 3 6 2" xfId="18986"/>
    <cellStyle name="Millares 3 2 3 3 6 3" xfId="52461"/>
    <cellStyle name="Millares 3 2 3 3 7" xfId="13121"/>
    <cellStyle name="Millares 3 2 3 3 8" xfId="29716"/>
    <cellStyle name="Millares 3 2 3 4" xfId="575"/>
    <cellStyle name="Millares 3 2 3 4 2" xfId="1836"/>
    <cellStyle name="Millares 3 2 3 4 2 2" xfId="4961"/>
    <cellStyle name="Millares 3 2 3 4 2 2 2" xfId="11164"/>
    <cellStyle name="Millares 3 2 3 4 2 2 3" xfId="17366"/>
    <cellStyle name="Millares 3 2 3 4 2 2 4" xfId="56225"/>
    <cellStyle name="Millares 3 2 3 4 2 3" xfId="8064"/>
    <cellStyle name="Millares 3 2 3 4 2 4" xfId="14266"/>
    <cellStyle name="Millares 3 2 3 4 2 5" xfId="53331"/>
    <cellStyle name="Millares 3 2 3 4 3" xfId="2772"/>
    <cellStyle name="Millares 3 2 3 4 3 2" xfId="5890"/>
    <cellStyle name="Millares 3 2 3 4 3 2 2" xfId="12093"/>
    <cellStyle name="Millares 3 2 3 4 3 2 3" xfId="18295"/>
    <cellStyle name="Millares 3 2 3 4 3 2 4" xfId="57121"/>
    <cellStyle name="Millares 3 2 3 4 3 3" xfId="8993"/>
    <cellStyle name="Millares 3 2 3 4 3 4" xfId="15195"/>
    <cellStyle name="Millares 3 2 3 4 3 5" xfId="54228"/>
    <cellStyle name="Millares 3 2 3 4 4" xfId="3818"/>
    <cellStyle name="Millares 3 2 3 4 4 2" xfId="10022"/>
    <cellStyle name="Millares 3 2 3 4 4 3" xfId="16224"/>
    <cellStyle name="Millares 3 2 3 4 4 4" xfId="55192"/>
    <cellStyle name="Millares 3 2 3 4 5" xfId="6921"/>
    <cellStyle name="Millares 3 2 3 4 5 2" xfId="19437"/>
    <cellStyle name="Millares 3 2 3 4 5 3" xfId="52463"/>
    <cellStyle name="Millares 3 2 3 4 6" xfId="13123"/>
    <cellStyle name="Millares 3 2 3 4 7" xfId="29713"/>
    <cellStyle name="Millares 3 2 3 5" xfId="1312"/>
    <cellStyle name="Millares 3 2 3 5 2" xfId="4437"/>
    <cellStyle name="Millares 3 2 3 5 2 2" xfId="10640"/>
    <cellStyle name="Millares 3 2 3 5 2 3" xfId="16842"/>
    <cellStyle name="Millares 3 2 3 5 2 4" xfId="55728"/>
    <cellStyle name="Millares 3 2 3 5 3" xfId="7540"/>
    <cellStyle name="Millares 3 2 3 5 3 2" xfId="52857"/>
    <cellStyle name="Millares 3 2 3 5 4" xfId="13742"/>
    <cellStyle name="Millares 3 2 3 5 5" xfId="46340"/>
    <cellStyle name="Millares 3 2 3 6" xfId="2765"/>
    <cellStyle name="Millares 3 2 3 6 2" xfId="5883"/>
    <cellStyle name="Millares 3 2 3 6 2 2" xfId="12086"/>
    <cellStyle name="Millares 3 2 3 6 2 3" xfId="18288"/>
    <cellStyle name="Millares 3 2 3 6 2 4" xfId="57114"/>
    <cellStyle name="Millares 3 2 3 6 3" xfId="8986"/>
    <cellStyle name="Millares 3 2 3 6 4" xfId="15188"/>
    <cellStyle name="Millares 3 2 3 6 5" xfId="51971"/>
    <cellStyle name="Millares 3 2 3 7" xfId="3811"/>
    <cellStyle name="Millares 3 2 3 7 2" xfId="10015"/>
    <cellStyle name="Millares 3 2 3 7 3" xfId="16217"/>
    <cellStyle name="Millares 3 2 3 7 4" xfId="55185"/>
    <cellStyle name="Millares 3 2 3 8" xfId="6914"/>
    <cellStyle name="Millares 3 2 3 8 2" xfId="18913"/>
    <cellStyle name="Millares 3 2 3 9" xfId="13116"/>
    <cellStyle name="Millares 3 2 4" xfId="576"/>
    <cellStyle name="Millares 3 2 4 10" xfId="20004"/>
    <cellStyle name="Millares 3 2 4 2" xfId="577"/>
    <cellStyle name="Millares 3 2 4 2 2" xfId="578"/>
    <cellStyle name="Millares 3 2 4 2 2 2" xfId="579"/>
    <cellStyle name="Millares 3 2 4 2 2 2 2" xfId="2246"/>
    <cellStyle name="Millares 3 2 4 2 2 2 2 2" xfId="5371"/>
    <cellStyle name="Millares 3 2 4 2 2 2 2 2 2" xfId="11574"/>
    <cellStyle name="Millares 3 2 4 2 2 2 2 2 3" xfId="17776"/>
    <cellStyle name="Millares 3 2 4 2 2 2 2 2 4" xfId="56610"/>
    <cellStyle name="Millares 3 2 4 2 2 2 2 3" xfId="8474"/>
    <cellStyle name="Millares 3 2 4 2 2 2 2 4" xfId="14676"/>
    <cellStyle name="Millares 3 2 4 2 2 2 2 5" xfId="53714"/>
    <cellStyle name="Millares 3 2 4 2 2 2 3" xfId="2776"/>
    <cellStyle name="Millares 3 2 4 2 2 2 3 2" xfId="5894"/>
    <cellStyle name="Millares 3 2 4 2 2 2 3 2 2" xfId="12097"/>
    <cellStyle name="Millares 3 2 4 2 2 2 3 2 3" xfId="18299"/>
    <cellStyle name="Millares 3 2 4 2 2 2 3 2 4" xfId="57125"/>
    <cellStyle name="Millares 3 2 4 2 2 2 3 3" xfId="8997"/>
    <cellStyle name="Millares 3 2 4 2 2 2 3 4" xfId="15199"/>
    <cellStyle name="Millares 3 2 4 2 2 2 3 5" xfId="54232"/>
    <cellStyle name="Millares 3 2 4 2 2 2 4" xfId="3822"/>
    <cellStyle name="Millares 3 2 4 2 2 2 4 2" xfId="10026"/>
    <cellStyle name="Millares 3 2 4 2 2 2 4 3" xfId="16228"/>
    <cellStyle name="Millares 3 2 4 2 2 2 4 4" xfId="55196"/>
    <cellStyle name="Millares 3 2 4 2 2 2 5" xfId="6925"/>
    <cellStyle name="Millares 3 2 4 2 2 2 5 2" xfId="19847"/>
    <cellStyle name="Millares 3 2 4 2 2 2 6" xfId="13127"/>
    <cellStyle name="Millares 3 2 4 2 2 2 7" xfId="52464"/>
    <cellStyle name="Millares 3 2 4 2 2 3" xfId="1722"/>
    <cellStyle name="Millares 3 2 4 2 2 3 2" xfId="4847"/>
    <cellStyle name="Millares 3 2 4 2 2 3 2 2" xfId="11050"/>
    <cellStyle name="Millares 3 2 4 2 2 3 2 3" xfId="17252"/>
    <cellStyle name="Millares 3 2 4 2 2 3 2 4" xfId="56119"/>
    <cellStyle name="Millares 3 2 4 2 2 3 3" xfId="7950"/>
    <cellStyle name="Millares 3 2 4 2 2 3 4" xfId="14152"/>
    <cellStyle name="Millares 3 2 4 2 2 3 5" xfId="53229"/>
    <cellStyle name="Millares 3 2 4 2 2 4" xfId="2775"/>
    <cellStyle name="Millares 3 2 4 2 2 4 2" xfId="5893"/>
    <cellStyle name="Millares 3 2 4 2 2 4 2 2" xfId="12096"/>
    <cellStyle name="Millares 3 2 4 2 2 4 2 3" xfId="18298"/>
    <cellStyle name="Millares 3 2 4 2 2 4 2 4" xfId="57124"/>
    <cellStyle name="Millares 3 2 4 2 2 4 3" xfId="8996"/>
    <cellStyle name="Millares 3 2 4 2 2 4 4" xfId="15198"/>
    <cellStyle name="Millares 3 2 4 2 2 4 5" xfId="54231"/>
    <cellStyle name="Millares 3 2 4 2 2 5" xfId="3821"/>
    <cellStyle name="Millares 3 2 4 2 2 5 2" xfId="10025"/>
    <cellStyle name="Millares 3 2 4 2 2 5 3" xfId="16227"/>
    <cellStyle name="Millares 3 2 4 2 2 5 4" xfId="55195"/>
    <cellStyle name="Millares 3 2 4 2 2 6" xfId="6924"/>
    <cellStyle name="Millares 3 2 4 2 2 6 2" xfId="19323"/>
    <cellStyle name="Millares 3 2 4 2 2 7" xfId="13126"/>
    <cellStyle name="Millares 3 2 4 2 2 8" xfId="52122"/>
    <cellStyle name="Millares 3 2 4 2 3" xfId="580"/>
    <cellStyle name="Millares 3 2 4 2 3 2" xfId="2001"/>
    <cellStyle name="Millares 3 2 4 2 3 2 2" xfId="5126"/>
    <cellStyle name="Millares 3 2 4 2 3 2 2 2" xfId="11329"/>
    <cellStyle name="Millares 3 2 4 2 3 2 2 3" xfId="17531"/>
    <cellStyle name="Millares 3 2 4 2 3 2 2 4" xfId="56383"/>
    <cellStyle name="Millares 3 2 4 2 3 2 3" xfId="8229"/>
    <cellStyle name="Millares 3 2 4 2 3 2 4" xfId="14431"/>
    <cellStyle name="Millares 3 2 4 2 3 2 5" xfId="53488"/>
    <cellStyle name="Millares 3 2 4 2 3 3" xfId="2777"/>
    <cellStyle name="Millares 3 2 4 2 3 3 2" xfId="5895"/>
    <cellStyle name="Millares 3 2 4 2 3 3 2 2" xfId="12098"/>
    <cellStyle name="Millares 3 2 4 2 3 3 2 3" xfId="18300"/>
    <cellStyle name="Millares 3 2 4 2 3 3 2 4" xfId="57126"/>
    <cellStyle name="Millares 3 2 4 2 3 3 3" xfId="8998"/>
    <cellStyle name="Millares 3 2 4 2 3 3 4" xfId="15200"/>
    <cellStyle name="Millares 3 2 4 2 3 3 5" xfId="54233"/>
    <cellStyle name="Millares 3 2 4 2 3 4" xfId="3823"/>
    <cellStyle name="Millares 3 2 4 2 3 4 2" xfId="10027"/>
    <cellStyle name="Millares 3 2 4 2 3 4 3" xfId="16229"/>
    <cellStyle name="Millares 3 2 4 2 3 4 4" xfId="55197"/>
    <cellStyle name="Millares 3 2 4 2 3 5" xfId="6926"/>
    <cellStyle name="Millares 3 2 4 2 3 5 2" xfId="19602"/>
    <cellStyle name="Millares 3 2 4 2 3 6" xfId="13128"/>
    <cellStyle name="Millares 3 2 4 2 3 7" xfId="52465"/>
    <cellStyle name="Millares 3 2 4 2 4" xfId="1477"/>
    <cellStyle name="Millares 3 2 4 2 4 2" xfId="4602"/>
    <cellStyle name="Millares 3 2 4 2 4 2 2" xfId="10805"/>
    <cellStyle name="Millares 3 2 4 2 4 2 3" xfId="17007"/>
    <cellStyle name="Millares 3 2 4 2 4 2 4" xfId="55887"/>
    <cellStyle name="Millares 3 2 4 2 4 3" xfId="7705"/>
    <cellStyle name="Millares 3 2 4 2 4 4" xfId="13907"/>
    <cellStyle name="Millares 3 2 4 2 4 5" xfId="53004"/>
    <cellStyle name="Millares 3 2 4 2 5" xfId="2774"/>
    <cellStyle name="Millares 3 2 4 2 5 2" xfId="5892"/>
    <cellStyle name="Millares 3 2 4 2 5 2 2" xfId="12095"/>
    <cellStyle name="Millares 3 2 4 2 5 2 3" xfId="18297"/>
    <cellStyle name="Millares 3 2 4 2 5 2 4" xfId="57123"/>
    <cellStyle name="Millares 3 2 4 2 5 3" xfId="8995"/>
    <cellStyle name="Millares 3 2 4 2 5 4" xfId="15197"/>
    <cellStyle name="Millares 3 2 4 2 5 5" xfId="54230"/>
    <cellStyle name="Millares 3 2 4 2 6" xfId="3820"/>
    <cellStyle name="Millares 3 2 4 2 6 2" xfId="10024"/>
    <cellStyle name="Millares 3 2 4 2 6 3" xfId="16226"/>
    <cellStyle name="Millares 3 2 4 2 6 4" xfId="55194"/>
    <cellStyle name="Millares 3 2 4 2 7" xfId="6923"/>
    <cellStyle name="Millares 3 2 4 2 7 2" xfId="19078"/>
    <cellStyle name="Millares 3 2 4 2 8" xfId="13125"/>
    <cellStyle name="Millares 3 2 4 2 9" xfId="29717"/>
    <cellStyle name="Millares 3 2 4 3" xfId="581"/>
    <cellStyle name="Millares 3 2 4 3 2" xfId="582"/>
    <cellStyle name="Millares 3 2 4 3 2 2" xfId="2118"/>
    <cellStyle name="Millares 3 2 4 3 2 2 2" xfId="5243"/>
    <cellStyle name="Millares 3 2 4 3 2 2 2 2" xfId="11446"/>
    <cellStyle name="Millares 3 2 4 3 2 2 2 3" xfId="17648"/>
    <cellStyle name="Millares 3 2 4 3 2 2 2 4" xfId="56491"/>
    <cellStyle name="Millares 3 2 4 3 2 2 3" xfId="8346"/>
    <cellStyle name="Millares 3 2 4 3 2 2 4" xfId="14548"/>
    <cellStyle name="Millares 3 2 4 3 2 2 5" xfId="53595"/>
    <cellStyle name="Millares 3 2 4 3 2 3" xfId="2779"/>
    <cellStyle name="Millares 3 2 4 3 2 3 2" xfId="5897"/>
    <cellStyle name="Millares 3 2 4 3 2 3 2 2" xfId="12100"/>
    <cellStyle name="Millares 3 2 4 3 2 3 2 3" xfId="18302"/>
    <cellStyle name="Millares 3 2 4 3 2 3 2 4" xfId="57128"/>
    <cellStyle name="Millares 3 2 4 3 2 3 3" xfId="9000"/>
    <cellStyle name="Millares 3 2 4 3 2 3 4" xfId="15202"/>
    <cellStyle name="Millares 3 2 4 3 2 3 5" xfId="54235"/>
    <cellStyle name="Millares 3 2 4 3 2 4" xfId="3825"/>
    <cellStyle name="Millares 3 2 4 3 2 4 2" xfId="10029"/>
    <cellStyle name="Millares 3 2 4 3 2 4 3" xfId="16231"/>
    <cellStyle name="Millares 3 2 4 3 2 4 4" xfId="55199"/>
    <cellStyle name="Millares 3 2 4 3 2 5" xfId="6928"/>
    <cellStyle name="Millares 3 2 4 3 2 5 2" xfId="19719"/>
    <cellStyle name="Millares 3 2 4 3 2 6" xfId="13130"/>
    <cellStyle name="Millares 3 2 4 3 2 7" xfId="52467"/>
    <cellStyle name="Millares 3 2 4 3 3" xfId="1594"/>
    <cellStyle name="Millares 3 2 4 3 3 2" xfId="4719"/>
    <cellStyle name="Millares 3 2 4 3 3 2 2" xfId="10922"/>
    <cellStyle name="Millares 3 2 4 3 3 2 3" xfId="17124"/>
    <cellStyle name="Millares 3 2 4 3 3 2 4" xfId="55997"/>
    <cellStyle name="Millares 3 2 4 3 3 3" xfId="7822"/>
    <cellStyle name="Millares 3 2 4 3 3 4" xfId="14024"/>
    <cellStyle name="Millares 3 2 4 3 3 5" xfId="53110"/>
    <cellStyle name="Millares 3 2 4 3 4" xfId="2778"/>
    <cellStyle name="Millares 3 2 4 3 4 2" xfId="5896"/>
    <cellStyle name="Millares 3 2 4 3 4 2 2" xfId="12099"/>
    <cellStyle name="Millares 3 2 4 3 4 2 3" xfId="18301"/>
    <cellStyle name="Millares 3 2 4 3 4 2 4" xfId="57127"/>
    <cellStyle name="Millares 3 2 4 3 4 3" xfId="8999"/>
    <cellStyle name="Millares 3 2 4 3 4 4" xfId="15201"/>
    <cellStyle name="Millares 3 2 4 3 4 5" xfId="54234"/>
    <cellStyle name="Millares 3 2 4 3 5" xfId="3824"/>
    <cellStyle name="Millares 3 2 4 3 5 2" xfId="10028"/>
    <cellStyle name="Millares 3 2 4 3 5 3" xfId="16230"/>
    <cellStyle name="Millares 3 2 4 3 5 4" xfId="55198"/>
    <cellStyle name="Millares 3 2 4 3 6" xfId="6927"/>
    <cellStyle name="Millares 3 2 4 3 6 2" xfId="19195"/>
    <cellStyle name="Millares 3 2 4 3 6 3" xfId="52466"/>
    <cellStyle name="Millares 3 2 4 3 7" xfId="13129"/>
    <cellStyle name="Millares 3 2 4 3 8" xfId="46342"/>
    <cellStyle name="Millares 3 2 4 4" xfId="583"/>
    <cellStyle name="Millares 3 2 4 4 2" xfId="1859"/>
    <cellStyle name="Millares 3 2 4 4 2 2" xfId="4984"/>
    <cellStyle name="Millares 3 2 4 4 2 2 2" xfId="11187"/>
    <cellStyle name="Millares 3 2 4 4 2 2 3" xfId="17389"/>
    <cellStyle name="Millares 3 2 4 4 2 2 4" xfId="56248"/>
    <cellStyle name="Millares 3 2 4 4 2 3" xfId="8087"/>
    <cellStyle name="Millares 3 2 4 4 2 4" xfId="14289"/>
    <cellStyle name="Millares 3 2 4 4 2 5" xfId="53354"/>
    <cellStyle name="Millares 3 2 4 4 3" xfId="2780"/>
    <cellStyle name="Millares 3 2 4 4 3 2" xfId="5898"/>
    <cellStyle name="Millares 3 2 4 4 3 2 2" xfId="12101"/>
    <cellStyle name="Millares 3 2 4 4 3 2 3" xfId="18303"/>
    <cellStyle name="Millares 3 2 4 4 3 2 4" xfId="57129"/>
    <cellStyle name="Millares 3 2 4 4 3 3" xfId="9001"/>
    <cellStyle name="Millares 3 2 4 4 3 4" xfId="15203"/>
    <cellStyle name="Millares 3 2 4 4 3 5" xfId="54236"/>
    <cellStyle name="Millares 3 2 4 4 4" xfId="3826"/>
    <cellStyle name="Millares 3 2 4 4 4 2" xfId="10030"/>
    <cellStyle name="Millares 3 2 4 4 4 3" xfId="16232"/>
    <cellStyle name="Millares 3 2 4 4 4 4" xfId="55200"/>
    <cellStyle name="Millares 3 2 4 4 5" xfId="6929"/>
    <cellStyle name="Millares 3 2 4 4 5 2" xfId="19460"/>
    <cellStyle name="Millares 3 2 4 4 6" xfId="13131"/>
    <cellStyle name="Millares 3 2 4 4 7" xfId="51994"/>
    <cellStyle name="Millares 3 2 4 5" xfId="1335"/>
    <cellStyle name="Millares 3 2 4 5 2" xfId="4460"/>
    <cellStyle name="Millares 3 2 4 5 2 2" xfId="10663"/>
    <cellStyle name="Millares 3 2 4 5 2 3" xfId="16865"/>
    <cellStyle name="Millares 3 2 4 5 2 4" xfId="55751"/>
    <cellStyle name="Millares 3 2 4 5 3" xfId="7563"/>
    <cellStyle name="Millares 3 2 4 5 4" xfId="13765"/>
    <cellStyle name="Millares 3 2 4 5 5" xfId="52879"/>
    <cellStyle name="Millares 3 2 4 6" xfId="2773"/>
    <cellStyle name="Millares 3 2 4 6 2" xfId="5891"/>
    <cellStyle name="Millares 3 2 4 6 2 2" xfId="12094"/>
    <cellStyle name="Millares 3 2 4 6 2 3" xfId="18296"/>
    <cellStyle name="Millares 3 2 4 6 2 4" xfId="57122"/>
    <cellStyle name="Millares 3 2 4 6 3" xfId="8994"/>
    <cellStyle name="Millares 3 2 4 6 4" xfId="15196"/>
    <cellStyle name="Millares 3 2 4 6 5" xfId="54229"/>
    <cellStyle name="Millares 3 2 4 7" xfId="3819"/>
    <cellStyle name="Millares 3 2 4 7 2" xfId="10023"/>
    <cellStyle name="Millares 3 2 4 7 3" xfId="16225"/>
    <cellStyle name="Millares 3 2 4 7 4" xfId="55193"/>
    <cellStyle name="Millares 3 2 4 8" xfId="6922"/>
    <cellStyle name="Millares 3 2 4 8 2" xfId="18936"/>
    <cellStyle name="Millares 3 2 4 9" xfId="13124"/>
    <cellStyle name="Millares 3 2 5" xfId="584"/>
    <cellStyle name="Millares 3 2 5 2" xfId="585"/>
    <cellStyle name="Millares 3 2 5 2 2" xfId="586"/>
    <cellStyle name="Millares 3 2 5 2 2 2" xfId="2288"/>
    <cellStyle name="Millares 3 2 5 2 2 2 2" xfId="5413"/>
    <cellStyle name="Millares 3 2 5 2 2 2 2 2" xfId="11616"/>
    <cellStyle name="Millares 3 2 5 2 2 2 2 3" xfId="17818"/>
    <cellStyle name="Millares 3 2 5 2 2 2 2 4" xfId="56647"/>
    <cellStyle name="Millares 3 2 5 2 2 2 3" xfId="8516"/>
    <cellStyle name="Millares 3 2 5 2 2 2 4" xfId="14718"/>
    <cellStyle name="Millares 3 2 5 2 2 2 5" xfId="53751"/>
    <cellStyle name="Millares 3 2 5 2 2 3" xfId="2783"/>
    <cellStyle name="Millares 3 2 5 2 2 3 2" xfId="5901"/>
    <cellStyle name="Millares 3 2 5 2 2 3 2 2" xfId="12104"/>
    <cellStyle name="Millares 3 2 5 2 2 3 2 3" xfId="18306"/>
    <cellStyle name="Millares 3 2 5 2 2 3 2 4" xfId="57132"/>
    <cellStyle name="Millares 3 2 5 2 2 3 3" xfId="9004"/>
    <cellStyle name="Millares 3 2 5 2 2 3 4" xfId="15206"/>
    <cellStyle name="Millares 3 2 5 2 2 3 5" xfId="54239"/>
    <cellStyle name="Millares 3 2 5 2 2 4" xfId="3829"/>
    <cellStyle name="Millares 3 2 5 2 2 4 2" xfId="10033"/>
    <cellStyle name="Millares 3 2 5 2 2 4 3" xfId="16235"/>
    <cellStyle name="Millares 3 2 5 2 2 4 4" xfId="55203"/>
    <cellStyle name="Millares 3 2 5 2 2 5" xfId="6932"/>
    <cellStyle name="Millares 3 2 5 2 2 5 2" xfId="19889"/>
    <cellStyle name="Millares 3 2 5 2 2 6" xfId="13134"/>
    <cellStyle name="Millares 3 2 5 2 2 7" xfId="52470"/>
    <cellStyle name="Millares 3 2 5 2 3" xfId="1764"/>
    <cellStyle name="Millares 3 2 5 2 3 2" xfId="4889"/>
    <cellStyle name="Millares 3 2 5 2 3 2 2" xfId="11092"/>
    <cellStyle name="Millares 3 2 5 2 3 2 3" xfId="17294"/>
    <cellStyle name="Millares 3 2 5 2 3 2 4" xfId="56159"/>
    <cellStyle name="Millares 3 2 5 2 3 3" xfId="7992"/>
    <cellStyle name="Millares 3 2 5 2 3 4" xfId="14194"/>
    <cellStyle name="Millares 3 2 5 2 3 5" xfId="53266"/>
    <cellStyle name="Millares 3 2 5 2 4" xfId="2782"/>
    <cellStyle name="Millares 3 2 5 2 4 2" xfId="5900"/>
    <cellStyle name="Millares 3 2 5 2 4 2 2" xfId="12103"/>
    <cellStyle name="Millares 3 2 5 2 4 2 3" xfId="18305"/>
    <cellStyle name="Millares 3 2 5 2 4 2 4" xfId="57131"/>
    <cellStyle name="Millares 3 2 5 2 4 3" xfId="9003"/>
    <cellStyle name="Millares 3 2 5 2 4 4" xfId="15205"/>
    <cellStyle name="Millares 3 2 5 2 4 5" xfId="54238"/>
    <cellStyle name="Millares 3 2 5 2 5" xfId="3828"/>
    <cellStyle name="Millares 3 2 5 2 5 2" xfId="10032"/>
    <cellStyle name="Millares 3 2 5 2 5 3" xfId="16234"/>
    <cellStyle name="Millares 3 2 5 2 5 4" xfId="55202"/>
    <cellStyle name="Millares 3 2 5 2 6" xfId="6931"/>
    <cellStyle name="Millares 3 2 5 2 6 2" xfId="19365"/>
    <cellStyle name="Millares 3 2 5 2 6 3" xfId="52469"/>
    <cellStyle name="Millares 3 2 5 2 7" xfId="13133"/>
    <cellStyle name="Millares 3 2 5 2 8" xfId="46343"/>
    <cellStyle name="Millares 3 2 5 3" xfId="587"/>
    <cellStyle name="Millares 3 2 5 3 2" xfId="1901"/>
    <cellStyle name="Millares 3 2 5 3 2 2" xfId="5026"/>
    <cellStyle name="Millares 3 2 5 3 2 2 2" xfId="11229"/>
    <cellStyle name="Millares 3 2 5 3 2 2 3" xfId="17431"/>
    <cellStyle name="Millares 3 2 5 3 2 2 4" xfId="56287"/>
    <cellStyle name="Millares 3 2 5 3 2 3" xfId="8129"/>
    <cellStyle name="Millares 3 2 5 3 2 4" xfId="14331"/>
    <cellStyle name="Millares 3 2 5 3 2 5" xfId="53393"/>
    <cellStyle name="Millares 3 2 5 3 3" xfId="2784"/>
    <cellStyle name="Millares 3 2 5 3 3 2" xfId="5902"/>
    <cellStyle name="Millares 3 2 5 3 3 2 2" xfId="12105"/>
    <cellStyle name="Millares 3 2 5 3 3 2 3" xfId="18307"/>
    <cellStyle name="Millares 3 2 5 3 3 2 4" xfId="57133"/>
    <cellStyle name="Millares 3 2 5 3 3 3" xfId="9005"/>
    <cellStyle name="Millares 3 2 5 3 3 4" xfId="15207"/>
    <cellStyle name="Millares 3 2 5 3 3 5" xfId="54240"/>
    <cellStyle name="Millares 3 2 5 3 4" xfId="3830"/>
    <cellStyle name="Millares 3 2 5 3 4 2" xfId="10034"/>
    <cellStyle name="Millares 3 2 5 3 4 3" xfId="16236"/>
    <cellStyle name="Millares 3 2 5 3 4 4" xfId="55204"/>
    <cellStyle name="Millares 3 2 5 3 5" xfId="6933"/>
    <cellStyle name="Millares 3 2 5 3 5 2" xfId="19502"/>
    <cellStyle name="Millares 3 2 5 3 5 3" xfId="52471"/>
    <cellStyle name="Millares 3 2 5 3 6" xfId="13135"/>
    <cellStyle name="Millares 3 2 5 3 7" xfId="52028"/>
    <cellStyle name="Millares 3 2 5 4" xfId="1377"/>
    <cellStyle name="Millares 3 2 5 4 2" xfId="4502"/>
    <cellStyle name="Millares 3 2 5 4 2 2" xfId="10705"/>
    <cellStyle name="Millares 3 2 5 4 2 3" xfId="16907"/>
    <cellStyle name="Millares 3 2 5 4 2 4" xfId="55791"/>
    <cellStyle name="Millares 3 2 5 4 3" xfId="7605"/>
    <cellStyle name="Millares 3 2 5 4 4" xfId="13807"/>
    <cellStyle name="Millares 3 2 5 4 5" xfId="52915"/>
    <cellStyle name="Millares 3 2 5 5" xfId="2781"/>
    <cellStyle name="Millares 3 2 5 5 2" xfId="5899"/>
    <cellStyle name="Millares 3 2 5 5 2 2" xfId="12102"/>
    <cellStyle name="Millares 3 2 5 5 2 3" xfId="18304"/>
    <cellStyle name="Millares 3 2 5 5 2 4" xfId="57130"/>
    <cellStyle name="Millares 3 2 5 5 3" xfId="9002"/>
    <cellStyle name="Millares 3 2 5 5 4" xfId="15204"/>
    <cellStyle name="Millares 3 2 5 5 5" xfId="54237"/>
    <cellStyle name="Millares 3 2 5 6" xfId="3827"/>
    <cellStyle name="Millares 3 2 5 6 2" xfId="10031"/>
    <cellStyle name="Millares 3 2 5 6 3" xfId="16233"/>
    <cellStyle name="Millares 3 2 5 6 4" xfId="55201"/>
    <cellStyle name="Millares 3 2 5 7" xfId="6930"/>
    <cellStyle name="Millares 3 2 5 7 2" xfId="18978"/>
    <cellStyle name="Millares 3 2 5 7 3" xfId="52468"/>
    <cellStyle name="Millares 3 2 5 8" xfId="13132"/>
    <cellStyle name="Millares 3 2 5 9" xfId="29718"/>
    <cellStyle name="Millares 3 2 6" xfId="588"/>
    <cellStyle name="Millares 3 2 6 2" xfId="589"/>
    <cellStyle name="Millares 3 2 6 2 2" xfId="590"/>
    <cellStyle name="Millares 3 2 6 2 2 2" xfId="2183"/>
    <cellStyle name="Millares 3 2 6 2 2 2 2" xfId="5308"/>
    <cellStyle name="Millares 3 2 6 2 2 2 2 2" xfId="11511"/>
    <cellStyle name="Millares 3 2 6 2 2 2 2 3" xfId="17713"/>
    <cellStyle name="Millares 3 2 6 2 2 2 2 4" xfId="56550"/>
    <cellStyle name="Millares 3 2 6 2 2 2 3" xfId="8411"/>
    <cellStyle name="Millares 3 2 6 2 2 2 4" xfId="14613"/>
    <cellStyle name="Millares 3 2 6 2 2 2 5" xfId="53654"/>
    <cellStyle name="Millares 3 2 6 2 2 3" xfId="2787"/>
    <cellStyle name="Millares 3 2 6 2 2 3 2" xfId="5905"/>
    <cellStyle name="Millares 3 2 6 2 2 3 2 2" xfId="12108"/>
    <cellStyle name="Millares 3 2 6 2 2 3 2 3" xfId="18310"/>
    <cellStyle name="Millares 3 2 6 2 2 3 2 4" xfId="57136"/>
    <cellStyle name="Millares 3 2 6 2 2 3 3" xfId="9008"/>
    <cellStyle name="Millares 3 2 6 2 2 3 4" xfId="15210"/>
    <cellStyle name="Millares 3 2 6 2 2 3 5" xfId="54243"/>
    <cellStyle name="Millares 3 2 6 2 2 4" xfId="3833"/>
    <cellStyle name="Millares 3 2 6 2 2 4 2" xfId="10037"/>
    <cellStyle name="Millares 3 2 6 2 2 4 3" xfId="16239"/>
    <cellStyle name="Millares 3 2 6 2 2 4 4" xfId="55207"/>
    <cellStyle name="Millares 3 2 6 2 2 5" xfId="6936"/>
    <cellStyle name="Millares 3 2 6 2 2 5 2" xfId="19784"/>
    <cellStyle name="Millares 3 2 6 2 2 6" xfId="13138"/>
    <cellStyle name="Millares 3 2 6 2 2 7" xfId="52473"/>
    <cellStyle name="Millares 3 2 6 2 3" xfId="1659"/>
    <cellStyle name="Millares 3 2 6 2 3 2" xfId="4784"/>
    <cellStyle name="Millares 3 2 6 2 3 2 2" xfId="10987"/>
    <cellStyle name="Millares 3 2 6 2 3 2 3" xfId="17189"/>
    <cellStyle name="Millares 3 2 6 2 3 2 4" xfId="56059"/>
    <cellStyle name="Millares 3 2 6 2 3 3" xfId="7887"/>
    <cellStyle name="Millares 3 2 6 2 3 4" xfId="14089"/>
    <cellStyle name="Millares 3 2 6 2 3 5" xfId="53169"/>
    <cellStyle name="Millares 3 2 6 2 4" xfId="2786"/>
    <cellStyle name="Millares 3 2 6 2 4 2" xfId="5904"/>
    <cellStyle name="Millares 3 2 6 2 4 2 2" xfId="12107"/>
    <cellStyle name="Millares 3 2 6 2 4 2 3" xfId="18309"/>
    <cellStyle name="Millares 3 2 6 2 4 2 4" xfId="57135"/>
    <cellStyle name="Millares 3 2 6 2 4 3" xfId="9007"/>
    <cellStyle name="Millares 3 2 6 2 4 4" xfId="15209"/>
    <cellStyle name="Millares 3 2 6 2 4 5" xfId="54242"/>
    <cellStyle name="Millares 3 2 6 2 5" xfId="3832"/>
    <cellStyle name="Millares 3 2 6 2 5 2" xfId="10036"/>
    <cellStyle name="Millares 3 2 6 2 5 3" xfId="16238"/>
    <cellStyle name="Millares 3 2 6 2 5 4" xfId="55206"/>
    <cellStyle name="Millares 3 2 6 2 6" xfId="6935"/>
    <cellStyle name="Millares 3 2 6 2 6 2" xfId="19260"/>
    <cellStyle name="Millares 3 2 6 2 6 3" xfId="52472"/>
    <cellStyle name="Millares 3 2 6 2 7" xfId="13137"/>
    <cellStyle name="Millares 3 2 6 2 8" xfId="46344"/>
    <cellStyle name="Millares 3 2 6 3" xfId="591"/>
    <cellStyle name="Millares 3 2 6 3 2" xfId="1938"/>
    <cellStyle name="Millares 3 2 6 3 2 2" xfId="5063"/>
    <cellStyle name="Millares 3 2 6 3 2 2 2" xfId="11266"/>
    <cellStyle name="Millares 3 2 6 3 2 2 3" xfId="17468"/>
    <cellStyle name="Millares 3 2 6 3 2 2 4" xfId="56323"/>
    <cellStyle name="Millares 3 2 6 3 2 3" xfId="8166"/>
    <cellStyle name="Millares 3 2 6 3 2 4" xfId="14368"/>
    <cellStyle name="Millares 3 2 6 3 2 5" xfId="53429"/>
    <cellStyle name="Millares 3 2 6 3 3" xfId="2788"/>
    <cellStyle name="Millares 3 2 6 3 3 2" xfId="5906"/>
    <cellStyle name="Millares 3 2 6 3 3 2 2" xfId="12109"/>
    <cellStyle name="Millares 3 2 6 3 3 2 3" xfId="18311"/>
    <cellStyle name="Millares 3 2 6 3 3 2 4" xfId="57137"/>
    <cellStyle name="Millares 3 2 6 3 3 3" xfId="9009"/>
    <cellStyle name="Millares 3 2 6 3 3 4" xfId="15211"/>
    <cellStyle name="Millares 3 2 6 3 3 5" xfId="54244"/>
    <cellStyle name="Millares 3 2 6 3 4" xfId="3834"/>
    <cellStyle name="Millares 3 2 6 3 4 2" xfId="10038"/>
    <cellStyle name="Millares 3 2 6 3 4 3" xfId="16240"/>
    <cellStyle name="Millares 3 2 6 3 4 4" xfId="55208"/>
    <cellStyle name="Millares 3 2 6 3 5" xfId="6937"/>
    <cellStyle name="Millares 3 2 6 3 5 2" xfId="19539"/>
    <cellStyle name="Millares 3 2 6 3 6" xfId="13139"/>
    <cellStyle name="Millares 3 2 6 3 7" xfId="52066"/>
    <cellStyle name="Millares 3 2 6 4" xfId="1414"/>
    <cellStyle name="Millares 3 2 6 4 2" xfId="4539"/>
    <cellStyle name="Millares 3 2 6 4 2 2" xfId="10742"/>
    <cellStyle name="Millares 3 2 6 4 2 3" xfId="16944"/>
    <cellStyle name="Millares 3 2 6 4 2 4" xfId="55827"/>
    <cellStyle name="Millares 3 2 6 4 3" xfId="7642"/>
    <cellStyle name="Millares 3 2 6 4 4" xfId="13844"/>
    <cellStyle name="Millares 3 2 6 4 5" xfId="52945"/>
    <cellStyle name="Millares 3 2 6 5" xfId="2785"/>
    <cellStyle name="Millares 3 2 6 5 2" xfId="5903"/>
    <cellStyle name="Millares 3 2 6 5 2 2" xfId="12106"/>
    <cellStyle name="Millares 3 2 6 5 2 3" xfId="18308"/>
    <cellStyle name="Millares 3 2 6 5 2 4" xfId="57134"/>
    <cellStyle name="Millares 3 2 6 5 3" xfId="9006"/>
    <cellStyle name="Millares 3 2 6 5 4" xfId="15208"/>
    <cellStyle name="Millares 3 2 6 5 5" xfId="54241"/>
    <cellStyle name="Millares 3 2 6 6" xfId="3831"/>
    <cellStyle name="Millares 3 2 6 6 2" xfId="10035"/>
    <cellStyle name="Millares 3 2 6 6 3" xfId="16237"/>
    <cellStyle name="Millares 3 2 6 6 4" xfId="55205"/>
    <cellStyle name="Millares 3 2 6 7" xfId="6934"/>
    <cellStyle name="Millares 3 2 6 7 2" xfId="19015"/>
    <cellStyle name="Millares 3 2 6 8" xfId="13136"/>
    <cellStyle name="Millares 3 2 6 9" xfId="29719"/>
    <cellStyle name="Millares 3 2 7" xfId="592"/>
    <cellStyle name="Millares 3 2 7 2" xfId="593"/>
    <cellStyle name="Millares 3 2 7 2 2" xfId="2079"/>
    <cellStyle name="Millares 3 2 7 2 2 2" xfId="5204"/>
    <cellStyle name="Millares 3 2 7 2 2 2 2" xfId="11407"/>
    <cellStyle name="Millares 3 2 7 2 2 2 3" xfId="17609"/>
    <cellStyle name="Millares 3 2 7 2 2 2 4" xfId="56454"/>
    <cellStyle name="Millares 3 2 7 2 2 3" xfId="8307"/>
    <cellStyle name="Millares 3 2 7 2 2 4" xfId="14509"/>
    <cellStyle name="Millares 3 2 7 2 2 5" xfId="53558"/>
    <cellStyle name="Millares 3 2 7 2 3" xfId="2790"/>
    <cellStyle name="Millares 3 2 7 2 3 2" xfId="5908"/>
    <cellStyle name="Millares 3 2 7 2 3 2 2" xfId="12111"/>
    <cellStyle name="Millares 3 2 7 2 3 2 3" xfId="18313"/>
    <cellStyle name="Millares 3 2 7 2 3 2 4" xfId="57139"/>
    <cellStyle name="Millares 3 2 7 2 3 3" xfId="9011"/>
    <cellStyle name="Millares 3 2 7 2 3 4" xfId="15213"/>
    <cellStyle name="Millares 3 2 7 2 3 5" xfId="54246"/>
    <cellStyle name="Millares 3 2 7 2 4" xfId="3836"/>
    <cellStyle name="Millares 3 2 7 2 4 2" xfId="10040"/>
    <cellStyle name="Millares 3 2 7 2 4 3" xfId="16242"/>
    <cellStyle name="Millares 3 2 7 2 4 4" xfId="55210"/>
    <cellStyle name="Millares 3 2 7 2 5" xfId="6939"/>
    <cellStyle name="Millares 3 2 7 2 5 2" xfId="19680"/>
    <cellStyle name="Millares 3 2 7 2 6" xfId="13141"/>
    <cellStyle name="Millares 3 2 7 2 7" xfId="52475"/>
    <cellStyle name="Millares 3 2 7 3" xfId="1555"/>
    <cellStyle name="Millares 3 2 7 3 2" xfId="4680"/>
    <cellStyle name="Millares 3 2 7 3 2 2" xfId="10883"/>
    <cellStyle name="Millares 3 2 7 3 2 3" xfId="17085"/>
    <cellStyle name="Millares 3 2 7 3 2 4" xfId="55959"/>
    <cellStyle name="Millares 3 2 7 3 3" xfId="7783"/>
    <cellStyle name="Millares 3 2 7 3 4" xfId="13985"/>
    <cellStyle name="Millares 3 2 7 3 5" xfId="53073"/>
    <cellStyle name="Millares 3 2 7 4" xfId="2789"/>
    <cellStyle name="Millares 3 2 7 4 2" xfId="5907"/>
    <cellStyle name="Millares 3 2 7 4 2 2" xfId="12110"/>
    <cellStyle name="Millares 3 2 7 4 2 3" xfId="18312"/>
    <cellStyle name="Millares 3 2 7 4 2 4" xfId="57138"/>
    <cellStyle name="Millares 3 2 7 4 3" xfId="9010"/>
    <cellStyle name="Millares 3 2 7 4 4" xfId="15212"/>
    <cellStyle name="Millares 3 2 7 4 5" xfId="54245"/>
    <cellStyle name="Millares 3 2 7 5" xfId="3835"/>
    <cellStyle name="Millares 3 2 7 5 2" xfId="10039"/>
    <cellStyle name="Millares 3 2 7 5 3" xfId="16241"/>
    <cellStyle name="Millares 3 2 7 5 4" xfId="55209"/>
    <cellStyle name="Millares 3 2 7 6" xfId="6938"/>
    <cellStyle name="Millares 3 2 7 6 2" xfId="19156"/>
    <cellStyle name="Millares 3 2 7 6 3" xfId="52474"/>
    <cellStyle name="Millares 3 2 7 7" xfId="13140"/>
    <cellStyle name="Millares 3 2 7 8" xfId="29720"/>
    <cellStyle name="Millares 3 2 8" xfId="594"/>
    <cellStyle name="Millares 3 2 8 2" xfId="1809"/>
    <cellStyle name="Millares 3 2 8 2 2" xfId="4934"/>
    <cellStyle name="Millares 3 2 8 2 2 2" xfId="11137"/>
    <cellStyle name="Millares 3 2 8 2 2 3" xfId="17339"/>
    <cellStyle name="Millares 3 2 8 2 2 4" xfId="56201"/>
    <cellStyle name="Millares 3 2 8 2 3" xfId="8037"/>
    <cellStyle name="Millares 3 2 8 2 4" xfId="14239"/>
    <cellStyle name="Millares 3 2 8 2 5" xfId="53307"/>
    <cellStyle name="Millares 3 2 8 3" xfId="2791"/>
    <cellStyle name="Millares 3 2 8 3 2" xfId="5909"/>
    <cellStyle name="Millares 3 2 8 3 2 2" xfId="12112"/>
    <cellStyle name="Millares 3 2 8 3 2 3" xfId="18314"/>
    <cellStyle name="Millares 3 2 8 3 2 4" xfId="57140"/>
    <cellStyle name="Millares 3 2 8 3 3" xfId="9012"/>
    <cellStyle name="Millares 3 2 8 3 4" xfId="15214"/>
    <cellStyle name="Millares 3 2 8 3 5" xfId="54247"/>
    <cellStyle name="Millares 3 2 8 4" xfId="3837"/>
    <cellStyle name="Millares 3 2 8 4 2" xfId="10041"/>
    <cellStyle name="Millares 3 2 8 4 3" xfId="16243"/>
    <cellStyle name="Millares 3 2 8 4 4" xfId="55211"/>
    <cellStyle name="Millares 3 2 8 5" xfId="6940"/>
    <cellStyle name="Millares 3 2 8 5 2" xfId="19410"/>
    <cellStyle name="Millares 3 2 8 5 3" xfId="52476"/>
    <cellStyle name="Millares 3 2 8 6" xfId="13142"/>
    <cellStyle name="Millares 3 2 8 7" xfId="29721"/>
    <cellStyle name="Millares 3 2 9" xfId="1267"/>
    <cellStyle name="Millares 3 2 9 2" xfId="4392"/>
    <cellStyle name="Millares 3 2 9 2 2" xfId="10595"/>
    <cellStyle name="Millares 3 2 9 2 3" xfId="16797"/>
    <cellStyle name="Millares 3 2 9 2 4" xfId="55688"/>
    <cellStyle name="Millares 3 2 9 3" xfId="7495"/>
    <cellStyle name="Millares 3 2 9 3 2" xfId="52819"/>
    <cellStyle name="Millares 3 2 9 4" xfId="13697"/>
    <cellStyle name="Millares 3 2 9 5" xfId="29705"/>
    <cellStyle name="Millares 3 2_2012" xfId="29722"/>
    <cellStyle name="Millares 3 20" xfId="29723"/>
    <cellStyle name="Millares 3 20 2" xfId="46345"/>
    <cellStyle name="Millares 3 21" xfId="29724"/>
    <cellStyle name="Millares 3 21 2" xfId="29725"/>
    <cellStyle name="Millares 3 21 2 2" xfId="46347"/>
    <cellStyle name="Millares 3 21 3" xfId="46346"/>
    <cellStyle name="Millares 3 22" xfId="29726"/>
    <cellStyle name="Millares 3 22 2" xfId="29727"/>
    <cellStyle name="Millares 3 22 2 2" xfId="46349"/>
    <cellStyle name="Millares 3 22 3" xfId="46348"/>
    <cellStyle name="Millares 3 23" xfId="29728"/>
    <cellStyle name="Millares 3 23 2" xfId="46350"/>
    <cellStyle name="Millares 3 24" xfId="29729"/>
    <cellStyle name="Millares 3 24 2" xfId="46351"/>
    <cellStyle name="Millares 3 25" xfId="29730"/>
    <cellStyle name="Millares 3 26" xfId="29731"/>
    <cellStyle name="Millares 3 27" xfId="29674"/>
    <cellStyle name="Millares 3 28" xfId="46302"/>
    <cellStyle name="Millares 3 29" xfId="40982"/>
    <cellStyle name="Millares 3 3" xfId="595"/>
    <cellStyle name="Millares 3 3 10" xfId="6941"/>
    <cellStyle name="Millares 3 3 10 2" xfId="18869"/>
    <cellStyle name="Millares 3 3 10 3" xfId="29732"/>
    <cellStyle name="Millares 3 3 11" xfId="13143"/>
    <cellStyle name="Millares 3 3 11 2" xfId="46352"/>
    <cellStyle name="Millares 3 3 12" xfId="19946"/>
    <cellStyle name="Millares 3 3 2" xfId="596"/>
    <cellStyle name="Millares 3 3 2 10" xfId="13144"/>
    <cellStyle name="Millares 3 3 2 11" xfId="20006"/>
    <cellStyle name="Millares 3 3 2 2" xfId="597"/>
    <cellStyle name="Millares 3 3 2 2 10" xfId="29733"/>
    <cellStyle name="Millares 3 3 2 2 2" xfId="598"/>
    <cellStyle name="Millares 3 3 2 2 2 2" xfId="599"/>
    <cellStyle name="Millares 3 3 2 2 2 2 2" xfId="600"/>
    <cellStyle name="Millares 3 3 2 2 2 2 2 2" xfId="2275"/>
    <cellStyle name="Millares 3 3 2 2 2 2 2 2 2" xfId="5400"/>
    <cellStyle name="Millares 3 3 2 2 2 2 2 2 2 2" xfId="11603"/>
    <cellStyle name="Millares 3 3 2 2 2 2 2 2 2 3" xfId="17805"/>
    <cellStyle name="Millares 3 3 2 2 2 2 2 2 2 4" xfId="56636"/>
    <cellStyle name="Millares 3 3 2 2 2 2 2 2 3" xfId="8503"/>
    <cellStyle name="Millares 3 3 2 2 2 2 2 2 4" xfId="14705"/>
    <cellStyle name="Millares 3 3 2 2 2 2 2 2 5" xfId="53740"/>
    <cellStyle name="Millares 3 3 2 2 2 2 2 3" xfId="2797"/>
    <cellStyle name="Millares 3 3 2 2 2 2 2 3 2" xfId="5915"/>
    <cellStyle name="Millares 3 3 2 2 2 2 2 3 2 2" xfId="12118"/>
    <cellStyle name="Millares 3 3 2 2 2 2 2 3 2 3" xfId="18320"/>
    <cellStyle name="Millares 3 3 2 2 2 2 2 3 2 4" xfId="57146"/>
    <cellStyle name="Millares 3 3 2 2 2 2 2 3 3" xfId="9018"/>
    <cellStyle name="Millares 3 3 2 2 2 2 2 3 4" xfId="15220"/>
    <cellStyle name="Millares 3 3 2 2 2 2 2 3 5" xfId="54253"/>
    <cellStyle name="Millares 3 3 2 2 2 2 2 4" xfId="3843"/>
    <cellStyle name="Millares 3 3 2 2 2 2 2 4 2" xfId="10047"/>
    <cellStyle name="Millares 3 3 2 2 2 2 2 4 3" xfId="16249"/>
    <cellStyle name="Millares 3 3 2 2 2 2 2 4 4" xfId="55217"/>
    <cellStyle name="Millares 3 3 2 2 2 2 2 5" xfId="6946"/>
    <cellStyle name="Millares 3 3 2 2 2 2 2 5 2" xfId="19876"/>
    <cellStyle name="Millares 3 3 2 2 2 2 2 6" xfId="13148"/>
    <cellStyle name="Millares 3 3 2 2 2 2 2 7" xfId="52478"/>
    <cellStyle name="Millares 3 3 2 2 2 2 3" xfId="1751"/>
    <cellStyle name="Millares 3 3 2 2 2 2 3 2" xfId="4876"/>
    <cellStyle name="Millares 3 3 2 2 2 2 3 2 2" xfId="11079"/>
    <cellStyle name="Millares 3 3 2 2 2 2 3 2 3" xfId="17281"/>
    <cellStyle name="Millares 3 3 2 2 2 2 3 2 4" xfId="56147"/>
    <cellStyle name="Millares 3 3 2 2 2 2 3 3" xfId="7979"/>
    <cellStyle name="Millares 3 3 2 2 2 2 3 4" xfId="14181"/>
    <cellStyle name="Millares 3 3 2 2 2 2 3 5" xfId="53255"/>
    <cellStyle name="Millares 3 3 2 2 2 2 4" xfId="2796"/>
    <cellStyle name="Millares 3 3 2 2 2 2 4 2" xfId="5914"/>
    <cellStyle name="Millares 3 3 2 2 2 2 4 2 2" xfId="12117"/>
    <cellStyle name="Millares 3 3 2 2 2 2 4 2 3" xfId="18319"/>
    <cellStyle name="Millares 3 3 2 2 2 2 4 2 4" xfId="57145"/>
    <cellStyle name="Millares 3 3 2 2 2 2 4 3" xfId="9017"/>
    <cellStyle name="Millares 3 3 2 2 2 2 4 4" xfId="15219"/>
    <cellStyle name="Millares 3 3 2 2 2 2 4 5" xfId="54252"/>
    <cellStyle name="Millares 3 3 2 2 2 2 5" xfId="3842"/>
    <cellStyle name="Millares 3 3 2 2 2 2 5 2" xfId="10046"/>
    <cellStyle name="Millares 3 3 2 2 2 2 5 3" xfId="16248"/>
    <cellStyle name="Millares 3 3 2 2 2 2 5 4" xfId="55216"/>
    <cellStyle name="Millares 3 3 2 2 2 2 6" xfId="6945"/>
    <cellStyle name="Millares 3 3 2 2 2 2 6 2" xfId="19352"/>
    <cellStyle name="Millares 3 3 2 2 2 2 7" xfId="13147"/>
    <cellStyle name="Millares 3 3 2 2 2 2 8" xfId="52477"/>
    <cellStyle name="Millares 3 3 2 2 2 3" xfId="601"/>
    <cellStyle name="Millares 3 3 2 2 2 3 2" xfId="2030"/>
    <cellStyle name="Millares 3 3 2 2 2 3 2 2" xfId="5155"/>
    <cellStyle name="Millares 3 3 2 2 2 3 2 2 2" xfId="11358"/>
    <cellStyle name="Millares 3 3 2 2 2 3 2 2 3" xfId="17560"/>
    <cellStyle name="Millares 3 3 2 2 2 3 2 2 4" xfId="56409"/>
    <cellStyle name="Millares 3 3 2 2 2 3 2 3" xfId="8258"/>
    <cellStyle name="Millares 3 3 2 2 2 3 2 4" xfId="14460"/>
    <cellStyle name="Millares 3 3 2 2 2 3 2 5" xfId="53514"/>
    <cellStyle name="Millares 3 3 2 2 2 3 3" xfId="2798"/>
    <cellStyle name="Millares 3 3 2 2 2 3 3 2" xfId="5916"/>
    <cellStyle name="Millares 3 3 2 2 2 3 3 2 2" xfId="12119"/>
    <cellStyle name="Millares 3 3 2 2 2 3 3 2 3" xfId="18321"/>
    <cellStyle name="Millares 3 3 2 2 2 3 3 2 4" xfId="57147"/>
    <cellStyle name="Millares 3 3 2 2 2 3 3 3" xfId="9019"/>
    <cellStyle name="Millares 3 3 2 2 2 3 3 4" xfId="15221"/>
    <cellStyle name="Millares 3 3 2 2 2 3 3 5" xfId="54254"/>
    <cellStyle name="Millares 3 3 2 2 2 3 4" xfId="3844"/>
    <cellStyle name="Millares 3 3 2 2 2 3 4 2" xfId="10048"/>
    <cellStyle name="Millares 3 3 2 2 2 3 4 3" xfId="16250"/>
    <cellStyle name="Millares 3 3 2 2 2 3 4 4" xfId="55218"/>
    <cellStyle name="Millares 3 3 2 2 2 3 5" xfId="6947"/>
    <cellStyle name="Millares 3 3 2 2 2 3 5 2" xfId="19631"/>
    <cellStyle name="Millares 3 3 2 2 2 3 6" xfId="13149"/>
    <cellStyle name="Millares 3 3 2 2 2 3 7" xfId="52479"/>
    <cellStyle name="Millares 3 3 2 2 2 4" xfId="1506"/>
    <cellStyle name="Millares 3 3 2 2 2 4 2" xfId="4631"/>
    <cellStyle name="Millares 3 3 2 2 2 4 2 2" xfId="10834"/>
    <cellStyle name="Millares 3 3 2 2 2 4 2 3" xfId="17036"/>
    <cellStyle name="Millares 3 3 2 2 2 4 2 4" xfId="55914"/>
    <cellStyle name="Millares 3 3 2 2 2 4 3" xfId="7734"/>
    <cellStyle name="Millares 3 3 2 2 2 4 4" xfId="13936"/>
    <cellStyle name="Millares 3 3 2 2 2 4 5" xfId="53030"/>
    <cellStyle name="Millares 3 3 2 2 2 5" xfId="2795"/>
    <cellStyle name="Millares 3 3 2 2 2 5 2" xfId="5913"/>
    <cellStyle name="Millares 3 3 2 2 2 5 2 2" xfId="12116"/>
    <cellStyle name="Millares 3 3 2 2 2 5 2 3" xfId="18318"/>
    <cellStyle name="Millares 3 3 2 2 2 5 2 4" xfId="57144"/>
    <cellStyle name="Millares 3 3 2 2 2 5 3" xfId="9016"/>
    <cellStyle name="Millares 3 3 2 2 2 5 4" xfId="15218"/>
    <cellStyle name="Millares 3 3 2 2 2 5 5" xfId="54251"/>
    <cellStyle name="Millares 3 3 2 2 2 6" xfId="3841"/>
    <cellStyle name="Millares 3 3 2 2 2 6 2" xfId="10045"/>
    <cellStyle name="Millares 3 3 2 2 2 6 3" xfId="16247"/>
    <cellStyle name="Millares 3 3 2 2 2 6 4" xfId="55215"/>
    <cellStyle name="Millares 3 3 2 2 2 7" xfId="6944"/>
    <cellStyle name="Millares 3 3 2 2 2 7 2" xfId="19107"/>
    <cellStyle name="Millares 3 3 2 2 2 8" xfId="13146"/>
    <cellStyle name="Millares 3 3 2 2 2 9" xfId="52148"/>
    <cellStyle name="Millares 3 3 2 2 3" xfId="602"/>
    <cellStyle name="Millares 3 3 2 2 3 2" xfId="603"/>
    <cellStyle name="Millares 3 3 2 2 3 2 2" xfId="2147"/>
    <cellStyle name="Millares 3 3 2 2 3 2 2 2" xfId="5272"/>
    <cellStyle name="Millares 3 3 2 2 3 2 2 2 2" xfId="11475"/>
    <cellStyle name="Millares 3 3 2 2 3 2 2 2 3" xfId="17677"/>
    <cellStyle name="Millares 3 3 2 2 3 2 2 2 4" xfId="56517"/>
    <cellStyle name="Millares 3 3 2 2 3 2 2 3" xfId="8375"/>
    <cellStyle name="Millares 3 3 2 2 3 2 2 4" xfId="14577"/>
    <cellStyle name="Millares 3 3 2 2 3 2 2 5" xfId="53621"/>
    <cellStyle name="Millares 3 3 2 2 3 2 3" xfId="2800"/>
    <cellStyle name="Millares 3 3 2 2 3 2 3 2" xfId="5918"/>
    <cellStyle name="Millares 3 3 2 2 3 2 3 2 2" xfId="12121"/>
    <cellStyle name="Millares 3 3 2 2 3 2 3 2 3" xfId="18323"/>
    <cellStyle name="Millares 3 3 2 2 3 2 3 2 4" xfId="57149"/>
    <cellStyle name="Millares 3 3 2 2 3 2 3 3" xfId="9021"/>
    <cellStyle name="Millares 3 3 2 2 3 2 3 4" xfId="15223"/>
    <cellStyle name="Millares 3 3 2 2 3 2 3 5" xfId="54256"/>
    <cellStyle name="Millares 3 3 2 2 3 2 4" xfId="3846"/>
    <cellStyle name="Millares 3 3 2 2 3 2 4 2" xfId="10050"/>
    <cellStyle name="Millares 3 3 2 2 3 2 4 3" xfId="16252"/>
    <cellStyle name="Millares 3 3 2 2 3 2 4 4" xfId="55220"/>
    <cellStyle name="Millares 3 3 2 2 3 2 5" xfId="6949"/>
    <cellStyle name="Millares 3 3 2 2 3 2 5 2" xfId="19748"/>
    <cellStyle name="Millares 3 3 2 2 3 2 6" xfId="13151"/>
    <cellStyle name="Millares 3 3 2 2 3 2 7" xfId="52480"/>
    <cellStyle name="Millares 3 3 2 2 3 3" xfId="1623"/>
    <cellStyle name="Millares 3 3 2 2 3 3 2" xfId="4748"/>
    <cellStyle name="Millares 3 3 2 2 3 3 2 2" xfId="10951"/>
    <cellStyle name="Millares 3 3 2 2 3 3 2 3" xfId="17153"/>
    <cellStyle name="Millares 3 3 2 2 3 3 2 4" xfId="56025"/>
    <cellStyle name="Millares 3 3 2 2 3 3 3" xfId="7851"/>
    <cellStyle name="Millares 3 3 2 2 3 3 4" xfId="14053"/>
    <cellStyle name="Millares 3 3 2 2 3 3 5" xfId="53136"/>
    <cellStyle name="Millares 3 3 2 2 3 4" xfId="2799"/>
    <cellStyle name="Millares 3 3 2 2 3 4 2" xfId="5917"/>
    <cellStyle name="Millares 3 3 2 2 3 4 2 2" xfId="12120"/>
    <cellStyle name="Millares 3 3 2 2 3 4 2 3" xfId="18322"/>
    <cellStyle name="Millares 3 3 2 2 3 4 2 4" xfId="57148"/>
    <cellStyle name="Millares 3 3 2 2 3 4 3" xfId="9020"/>
    <cellStyle name="Millares 3 3 2 2 3 4 4" xfId="15222"/>
    <cellStyle name="Millares 3 3 2 2 3 4 5" xfId="54255"/>
    <cellStyle name="Millares 3 3 2 2 3 5" xfId="3845"/>
    <cellStyle name="Millares 3 3 2 2 3 5 2" xfId="10049"/>
    <cellStyle name="Millares 3 3 2 2 3 5 3" xfId="16251"/>
    <cellStyle name="Millares 3 3 2 2 3 5 4" xfId="55219"/>
    <cellStyle name="Millares 3 3 2 2 3 6" xfId="6948"/>
    <cellStyle name="Millares 3 3 2 2 3 6 2" xfId="19224"/>
    <cellStyle name="Millares 3 3 2 2 3 7" xfId="13150"/>
    <cellStyle name="Millares 3 3 2 2 3 8" xfId="52016"/>
    <cellStyle name="Millares 3 3 2 2 4" xfId="604"/>
    <cellStyle name="Millares 3 3 2 2 4 2" xfId="1888"/>
    <cellStyle name="Millares 3 3 2 2 4 2 2" xfId="5013"/>
    <cellStyle name="Millares 3 3 2 2 4 2 2 2" xfId="11216"/>
    <cellStyle name="Millares 3 3 2 2 4 2 2 3" xfId="17418"/>
    <cellStyle name="Millares 3 3 2 2 4 2 2 4" xfId="56275"/>
    <cellStyle name="Millares 3 3 2 2 4 2 3" xfId="8116"/>
    <cellStyle name="Millares 3 3 2 2 4 2 4" xfId="14318"/>
    <cellStyle name="Millares 3 3 2 2 4 2 5" xfId="53381"/>
    <cellStyle name="Millares 3 3 2 2 4 3" xfId="2801"/>
    <cellStyle name="Millares 3 3 2 2 4 3 2" xfId="5919"/>
    <cellStyle name="Millares 3 3 2 2 4 3 2 2" xfId="12122"/>
    <cellStyle name="Millares 3 3 2 2 4 3 2 3" xfId="18324"/>
    <cellStyle name="Millares 3 3 2 2 4 3 2 4" xfId="57150"/>
    <cellStyle name="Millares 3 3 2 2 4 3 3" xfId="9022"/>
    <cellStyle name="Millares 3 3 2 2 4 3 4" xfId="15224"/>
    <cellStyle name="Millares 3 3 2 2 4 3 5" xfId="54257"/>
    <cellStyle name="Millares 3 3 2 2 4 4" xfId="3847"/>
    <cellStyle name="Millares 3 3 2 2 4 4 2" xfId="10051"/>
    <cellStyle name="Millares 3 3 2 2 4 4 3" xfId="16253"/>
    <cellStyle name="Millares 3 3 2 2 4 4 4" xfId="55221"/>
    <cellStyle name="Millares 3 3 2 2 4 5" xfId="6950"/>
    <cellStyle name="Millares 3 3 2 2 4 5 2" xfId="19489"/>
    <cellStyle name="Millares 3 3 2 2 4 6" xfId="13152"/>
    <cellStyle name="Millares 3 3 2 2 4 7" xfId="52481"/>
    <cellStyle name="Millares 3 3 2 2 5" xfId="1364"/>
    <cellStyle name="Millares 3 3 2 2 5 2" xfId="4489"/>
    <cellStyle name="Millares 3 3 2 2 5 2 2" xfId="10692"/>
    <cellStyle name="Millares 3 3 2 2 5 2 3" xfId="16894"/>
    <cellStyle name="Millares 3 3 2 2 5 2 4" xfId="55779"/>
    <cellStyle name="Millares 3 3 2 2 5 3" xfId="7592"/>
    <cellStyle name="Millares 3 3 2 2 5 4" xfId="13794"/>
    <cellStyle name="Millares 3 3 2 2 5 5" xfId="52904"/>
    <cellStyle name="Millares 3 3 2 2 6" xfId="2794"/>
    <cellStyle name="Millares 3 3 2 2 6 2" xfId="5912"/>
    <cellStyle name="Millares 3 3 2 2 6 2 2" xfId="12115"/>
    <cellStyle name="Millares 3 3 2 2 6 2 3" xfId="18317"/>
    <cellStyle name="Millares 3 3 2 2 6 2 4" xfId="57143"/>
    <cellStyle name="Millares 3 3 2 2 6 3" xfId="9015"/>
    <cellStyle name="Millares 3 3 2 2 6 4" xfId="15217"/>
    <cellStyle name="Millares 3 3 2 2 6 5" xfId="54250"/>
    <cellStyle name="Millares 3 3 2 2 7" xfId="3840"/>
    <cellStyle name="Millares 3 3 2 2 7 2" xfId="10044"/>
    <cellStyle name="Millares 3 3 2 2 7 3" xfId="16246"/>
    <cellStyle name="Millares 3 3 2 2 7 4" xfId="55214"/>
    <cellStyle name="Millares 3 3 2 2 8" xfId="6943"/>
    <cellStyle name="Millares 3 3 2 2 8 2" xfId="18965"/>
    <cellStyle name="Millares 3 3 2 2 9" xfId="13145"/>
    <cellStyle name="Millares 3 3 2 3" xfId="605"/>
    <cellStyle name="Millares 3 3 2 3 2" xfId="606"/>
    <cellStyle name="Millares 3 3 2 3 2 2" xfId="607"/>
    <cellStyle name="Millares 3 3 2 3 2 2 2" xfId="2207"/>
    <cellStyle name="Millares 3 3 2 3 2 2 2 2" xfId="5332"/>
    <cellStyle name="Millares 3 3 2 3 2 2 2 2 2" xfId="11535"/>
    <cellStyle name="Millares 3 3 2 3 2 2 2 2 3" xfId="17737"/>
    <cellStyle name="Millares 3 3 2 3 2 2 2 2 4" xfId="56573"/>
    <cellStyle name="Millares 3 3 2 3 2 2 2 3" xfId="8435"/>
    <cellStyle name="Millares 3 3 2 3 2 2 2 4" xfId="14637"/>
    <cellStyle name="Millares 3 3 2 3 2 2 2 5" xfId="53677"/>
    <cellStyle name="Millares 3 3 2 3 2 2 3" xfId="2804"/>
    <cellStyle name="Millares 3 3 2 3 2 2 3 2" xfId="5922"/>
    <cellStyle name="Millares 3 3 2 3 2 2 3 2 2" xfId="12125"/>
    <cellStyle name="Millares 3 3 2 3 2 2 3 2 3" xfId="18327"/>
    <cellStyle name="Millares 3 3 2 3 2 2 3 2 4" xfId="57153"/>
    <cellStyle name="Millares 3 3 2 3 2 2 3 3" xfId="9025"/>
    <cellStyle name="Millares 3 3 2 3 2 2 3 4" xfId="15227"/>
    <cellStyle name="Millares 3 3 2 3 2 2 3 5" xfId="54260"/>
    <cellStyle name="Millares 3 3 2 3 2 2 4" xfId="3850"/>
    <cellStyle name="Millares 3 3 2 3 2 2 4 2" xfId="10054"/>
    <cellStyle name="Millares 3 3 2 3 2 2 4 3" xfId="16256"/>
    <cellStyle name="Millares 3 3 2 3 2 2 4 4" xfId="55224"/>
    <cellStyle name="Millares 3 3 2 3 2 2 5" xfId="6953"/>
    <cellStyle name="Millares 3 3 2 3 2 2 5 2" xfId="19808"/>
    <cellStyle name="Millares 3 3 2 3 2 2 6" xfId="13155"/>
    <cellStyle name="Millares 3 3 2 3 2 2 7" xfId="52482"/>
    <cellStyle name="Millares 3 3 2 3 2 3" xfId="1683"/>
    <cellStyle name="Millares 3 3 2 3 2 3 2" xfId="4808"/>
    <cellStyle name="Millares 3 3 2 3 2 3 2 2" xfId="11011"/>
    <cellStyle name="Millares 3 3 2 3 2 3 2 3" xfId="17213"/>
    <cellStyle name="Millares 3 3 2 3 2 3 2 4" xfId="56082"/>
    <cellStyle name="Millares 3 3 2 3 2 3 3" xfId="7911"/>
    <cellStyle name="Millares 3 3 2 3 2 3 4" xfId="14113"/>
    <cellStyle name="Millares 3 3 2 3 2 3 5" xfId="53192"/>
    <cellStyle name="Millares 3 3 2 3 2 4" xfId="2803"/>
    <cellStyle name="Millares 3 3 2 3 2 4 2" xfId="5921"/>
    <cellStyle name="Millares 3 3 2 3 2 4 2 2" xfId="12124"/>
    <cellStyle name="Millares 3 3 2 3 2 4 2 3" xfId="18326"/>
    <cellStyle name="Millares 3 3 2 3 2 4 2 4" xfId="57152"/>
    <cellStyle name="Millares 3 3 2 3 2 4 3" xfId="9024"/>
    <cellStyle name="Millares 3 3 2 3 2 4 4" xfId="15226"/>
    <cellStyle name="Millares 3 3 2 3 2 4 5" xfId="54259"/>
    <cellStyle name="Millares 3 3 2 3 2 5" xfId="3849"/>
    <cellStyle name="Millares 3 3 2 3 2 5 2" xfId="10053"/>
    <cellStyle name="Millares 3 3 2 3 2 5 3" xfId="16255"/>
    <cellStyle name="Millares 3 3 2 3 2 5 4" xfId="55223"/>
    <cellStyle name="Millares 3 3 2 3 2 6" xfId="6952"/>
    <cellStyle name="Millares 3 3 2 3 2 6 2" xfId="19284"/>
    <cellStyle name="Millares 3 3 2 3 2 7" xfId="13154"/>
    <cellStyle name="Millares 3 3 2 3 2 8" xfId="52085"/>
    <cellStyle name="Millares 3 3 2 3 3" xfId="608"/>
    <cellStyle name="Millares 3 3 2 3 3 2" xfId="1962"/>
    <cellStyle name="Millares 3 3 2 3 3 2 2" xfId="5087"/>
    <cellStyle name="Millares 3 3 2 3 3 2 2 2" xfId="11290"/>
    <cellStyle name="Millares 3 3 2 3 3 2 2 3" xfId="17492"/>
    <cellStyle name="Millares 3 3 2 3 3 2 2 4" xfId="56346"/>
    <cellStyle name="Millares 3 3 2 3 3 2 3" xfId="8190"/>
    <cellStyle name="Millares 3 3 2 3 3 2 4" xfId="14392"/>
    <cellStyle name="Millares 3 3 2 3 3 2 5" xfId="53452"/>
    <cellStyle name="Millares 3 3 2 3 3 3" xfId="2805"/>
    <cellStyle name="Millares 3 3 2 3 3 3 2" xfId="5923"/>
    <cellStyle name="Millares 3 3 2 3 3 3 2 2" xfId="12126"/>
    <cellStyle name="Millares 3 3 2 3 3 3 2 3" xfId="18328"/>
    <cellStyle name="Millares 3 3 2 3 3 3 2 4" xfId="57154"/>
    <cellStyle name="Millares 3 3 2 3 3 3 3" xfId="9026"/>
    <cellStyle name="Millares 3 3 2 3 3 3 4" xfId="15228"/>
    <cellStyle name="Millares 3 3 2 3 3 3 5" xfId="54261"/>
    <cellStyle name="Millares 3 3 2 3 3 4" xfId="3851"/>
    <cellStyle name="Millares 3 3 2 3 3 4 2" xfId="10055"/>
    <cellStyle name="Millares 3 3 2 3 3 4 3" xfId="16257"/>
    <cellStyle name="Millares 3 3 2 3 3 4 4" xfId="55225"/>
    <cellStyle name="Millares 3 3 2 3 3 5" xfId="6954"/>
    <cellStyle name="Millares 3 3 2 3 3 5 2" xfId="19563"/>
    <cellStyle name="Millares 3 3 2 3 3 6" xfId="13156"/>
    <cellStyle name="Millares 3 3 2 3 3 7" xfId="52483"/>
    <cellStyle name="Millares 3 3 2 3 4" xfId="1438"/>
    <cellStyle name="Millares 3 3 2 3 4 2" xfId="4563"/>
    <cellStyle name="Millares 3 3 2 3 4 2 2" xfId="10766"/>
    <cellStyle name="Millares 3 3 2 3 4 2 3" xfId="16968"/>
    <cellStyle name="Millares 3 3 2 3 4 2 4" xfId="55850"/>
    <cellStyle name="Millares 3 3 2 3 4 3" xfId="7666"/>
    <cellStyle name="Millares 3 3 2 3 4 4" xfId="13868"/>
    <cellStyle name="Millares 3 3 2 3 4 5" xfId="52968"/>
    <cellStyle name="Millares 3 3 2 3 5" xfId="2802"/>
    <cellStyle name="Millares 3 3 2 3 5 2" xfId="5920"/>
    <cellStyle name="Millares 3 3 2 3 5 2 2" xfId="12123"/>
    <cellStyle name="Millares 3 3 2 3 5 2 3" xfId="18325"/>
    <cellStyle name="Millares 3 3 2 3 5 2 4" xfId="57151"/>
    <cellStyle name="Millares 3 3 2 3 5 3" xfId="9023"/>
    <cellStyle name="Millares 3 3 2 3 5 4" xfId="15225"/>
    <cellStyle name="Millares 3 3 2 3 5 5" xfId="54258"/>
    <cellStyle name="Millares 3 3 2 3 6" xfId="3848"/>
    <cellStyle name="Millares 3 3 2 3 6 2" xfId="10052"/>
    <cellStyle name="Millares 3 3 2 3 6 3" xfId="16254"/>
    <cellStyle name="Millares 3 3 2 3 6 4" xfId="55222"/>
    <cellStyle name="Millares 3 3 2 3 7" xfId="6951"/>
    <cellStyle name="Millares 3 3 2 3 7 2" xfId="19039"/>
    <cellStyle name="Millares 3 3 2 3 8" xfId="13153"/>
    <cellStyle name="Millares 3 3 2 3 9" xfId="46353"/>
    <cellStyle name="Millares 3 3 2 4" xfId="609"/>
    <cellStyle name="Millares 3 3 2 4 2" xfId="610"/>
    <cellStyle name="Millares 3 3 2 4 2 2" xfId="2091"/>
    <cellStyle name="Millares 3 3 2 4 2 2 2" xfId="5216"/>
    <cellStyle name="Millares 3 3 2 4 2 2 2 2" xfId="11419"/>
    <cellStyle name="Millares 3 3 2 4 2 2 2 3" xfId="17621"/>
    <cellStyle name="Millares 3 3 2 4 2 2 2 4" xfId="56465"/>
    <cellStyle name="Millares 3 3 2 4 2 2 3" xfId="8319"/>
    <cellStyle name="Millares 3 3 2 4 2 2 4" xfId="14521"/>
    <cellStyle name="Millares 3 3 2 4 2 2 5" xfId="53569"/>
    <cellStyle name="Millares 3 3 2 4 2 3" xfId="2807"/>
    <cellStyle name="Millares 3 3 2 4 2 3 2" xfId="5925"/>
    <cellStyle name="Millares 3 3 2 4 2 3 2 2" xfId="12128"/>
    <cellStyle name="Millares 3 3 2 4 2 3 2 3" xfId="18330"/>
    <cellStyle name="Millares 3 3 2 4 2 3 2 4" xfId="57156"/>
    <cellStyle name="Millares 3 3 2 4 2 3 3" xfId="9028"/>
    <cellStyle name="Millares 3 3 2 4 2 3 4" xfId="15230"/>
    <cellStyle name="Millares 3 3 2 4 2 3 5" xfId="54263"/>
    <cellStyle name="Millares 3 3 2 4 2 4" xfId="3853"/>
    <cellStyle name="Millares 3 3 2 4 2 4 2" xfId="10057"/>
    <cellStyle name="Millares 3 3 2 4 2 4 3" xfId="16259"/>
    <cellStyle name="Millares 3 3 2 4 2 4 4" xfId="55227"/>
    <cellStyle name="Millares 3 3 2 4 2 5" xfId="6956"/>
    <cellStyle name="Millares 3 3 2 4 2 5 2" xfId="19692"/>
    <cellStyle name="Millares 3 3 2 4 2 6" xfId="13158"/>
    <cellStyle name="Millares 3 3 2 4 2 7" xfId="52485"/>
    <cellStyle name="Millares 3 3 2 4 3" xfId="1567"/>
    <cellStyle name="Millares 3 3 2 4 3 2" xfId="4692"/>
    <cellStyle name="Millares 3 3 2 4 3 2 2" xfId="10895"/>
    <cellStyle name="Millares 3 3 2 4 3 2 3" xfId="17097"/>
    <cellStyle name="Millares 3 3 2 4 3 2 4" xfId="55971"/>
    <cellStyle name="Millares 3 3 2 4 3 3" xfId="7795"/>
    <cellStyle name="Millares 3 3 2 4 3 4" xfId="13997"/>
    <cellStyle name="Millares 3 3 2 4 3 5" xfId="53084"/>
    <cellStyle name="Millares 3 3 2 4 4" xfId="2806"/>
    <cellStyle name="Millares 3 3 2 4 4 2" xfId="5924"/>
    <cellStyle name="Millares 3 3 2 4 4 2 2" xfId="12127"/>
    <cellStyle name="Millares 3 3 2 4 4 2 3" xfId="18329"/>
    <cellStyle name="Millares 3 3 2 4 4 2 4" xfId="57155"/>
    <cellStyle name="Millares 3 3 2 4 4 3" xfId="9027"/>
    <cellStyle name="Millares 3 3 2 4 4 4" xfId="15229"/>
    <cellStyle name="Millares 3 3 2 4 4 5" xfId="54262"/>
    <cellStyle name="Millares 3 3 2 4 5" xfId="3852"/>
    <cellStyle name="Millares 3 3 2 4 5 2" xfId="10056"/>
    <cellStyle name="Millares 3 3 2 4 5 3" xfId="16258"/>
    <cellStyle name="Millares 3 3 2 4 5 4" xfId="55226"/>
    <cellStyle name="Millares 3 3 2 4 6" xfId="6955"/>
    <cellStyle name="Millares 3 3 2 4 6 2" xfId="19168"/>
    <cellStyle name="Millares 3 3 2 4 7" xfId="13157"/>
    <cellStyle name="Millares 3 3 2 4 8" xfId="52484"/>
    <cellStyle name="Millares 3 3 2 5" xfId="611"/>
    <cellStyle name="Millares 3 3 2 5 2" xfId="1821"/>
    <cellStyle name="Millares 3 3 2 5 2 2" xfId="4946"/>
    <cellStyle name="Millares 3 3 2 5 2 2 2" xfId="11149"/>
    <cellStyle name="Millares 3 3 2 5 2 2 3" xfId="17351"/>
    <cellStyle name="Millares 3 3 2 5 2 2 4" xfId="56211"/>
    <cellStyle name="Millares 3 3 2 5 2 3" xfId="8049"/>
    <cellStyle name="Millares 3 3 2 5 2 4" xfId="14251"/>
    <cellStyle name="Millares 3 3 2 5 2 5" xfId="53317"/>
    <cellStyle name="Millares 3 3 2 5 3" xfId="2808"/>
    <cellStyle name="Millares 3 3 2 5 3 2" xfId="5926"/>
    <cellStyle name="Millares 3 3 2 5 3 2 2" xfId="12129"/>
    <cellStyle name="Millares 3 3 2 5 3 2 3" xfId="18331"/>
    <cellStyle name="Millares 3 3 2 5 3 2 4" xfId="57157"/>
    <cellStyle name="Millares 3 3 2 5 3 3" xfId="9029"/>
    <cellStyle name="Millares 3 3 2 5 3 4" xfId="15231"/>
    <cellStyle name="Millares 3 3 2 5 3 5" xfId="54264"/>
    <cellStyle name="Millares 3 3 2 5 4" xfId="3854"/>
    <cellStyle name="Millares 3 3 2 5 4 2" xfId="10058"/>
    <cellStyle name="Millares 3 3 2 5 4 3" xfId="16260"/>
    <cellStyle name="Millares 3 3 2 5 4 4" xfId="55228"/>
    <cellStyle name="Millares 3 3 2 5 5" xfId="6957"/>
    <cellStyle name="Millares 3 3 2 5 5 2" xfId="19422"/>
    <cellStyle name="Millares 3 3 2 5 6" xfId="13159"/>
    <cellStyle name="Millares 3 3 2 5 7" xfId="52486"/>
    <cellStyle name="Millares 3 3 2 6" xfId="1296"/>
    <cellStyle name="Millares 3 3 2 6 2" xfId="4421"/>
    <cellStyle name="Millares 3 3 2 6 2 2" xfId="10624"/>
    <cellStyle name="Millares 3 3 2 6 2 3" xfId="16826"/>
    <cellStyle name="Millares 3 3 2 6 2 4" xfId="55714"/>
    <cellStyle name="Millares 3 3 2 6 3" xfId="7524"/>
    <cellStyle name="Millares 3 3 2 6 4" xfId="13726"/>
    <cellStyle name="Millares 3 3 2 6 5" xfId="52843"/>
    <cellStyle name="Millares 3 3 2 7" xfId="2793"/>
    <cellStyle name="Millares 3 3 2 7 2" xfId="5911"/>
    <cellStyle name="Millares 3 3 2 7 2 2" xfId="12114"/>
    <cellStyle name="Millares 3 3 2 7 2 3" xfId="18316"/>
    <cellStyle name="Millares 3 3 2 7 2 4" xfId="57142"/>
    <cellStyle name="Millares 3 3 2 7 3" xfId="9014"/>
    <cellStyle name="Millares 3 3 2 7 4" xfId="15216"/>
    <cellStyle name="Millares 3 3 2 7 5" xfId="54249"/>
    <cellStyle name="Millares 3 3 2 8" xfId="3839"/>
    <cellStyle name="Millares 3 3 2 8 2" xfId="10043"/>
    <cellStyle name="Millares 3 3 2 8 3" xfId="16245"/>
    <cellStyle name="Millares 3 3 2 8 4" xfId="55213"/>
    <cellStyle name="Millares 3 3 2 9" xfId="6942"/>
    <cellStyle name="Millares 3 3 2 9 2" xfId="18897"/>
    <cellStyle name="Millares 3 3 3" xfId="612"/>
    <cellStyle name="Millares 3 3 3 10" xfId="29734"/>
    <cellStyle name="Millares 3 3 3 2" xfId="613"/>
    <cellStyle name="Millares 3 3 3 2 2" xfId="614"/>
    <cellStyle name="Millares 3 3 3 2 2 2" xfId="615"/>
    <cellStyle name="Millares 3 3 3 2 2 2 2" xfId="2247"/>
    <cellStyle name="Millares 3 3 3 2 2 2 2 2" xfId="5372"/>
    <cellStyle name="Millares 3 3 3 2 2 2 2 2 2" xfId="11575"/>
    <cellStyle name="Millares 3 3 3 2 2 2 2 2 3" xfId="17777"/>
    <cellStyle name="Millares 3 3 3 2 2 2 2 2 4" xfId="56611"/>
    <cellStyle name="Millares 3 3 3 2 2 2 2 3" xfId="8475"/>
    <cellStyle name="Millares 3 3 3 2 2 2 2 4" xfId="14677"/>
    <cellStyle name="Millares 3 3 3 2 2 2 2 5" xfId="53715"/>
    <cellStyle name="Millares 3 3 3 2 2 2 3" xfId="2812"/>
    <cellStyle name="Millares 3 3 3 2 2 2 3 2" xfId="5930"/>
    <cellStyle name="Millares 3 3 3 2 2 2 3 2 2" xfId="12133"/>
    <cellStyle name="Millares 3 3 3 2 2 2 3 2 3" xfId="18335"/>
    <cellStyle name="Millares 3 3 3 2 2 2 3 2 4" xfId="57161"/>
    <cellStyle name="Millares 3 3 3 2 2 2 3 3" xfId="9033"/>
    <cellStyle name="Millares 3 3 3 2 2 2 3 4" xfId="15235"/>
    <cellStyle name="Millares 3 3 3 2 2 2 3 5" xfId="54268"/>
    <cellStyle name="Millares 3 3 3 2 2 2 4" xfId="3858"/>
    <cellStyle name="Millares 3 3 3 2 2 2 4 2" xfId="10062"/>
    <cellStyle name="Millares 3 3 3 2 2 2 4 3" xfId="16264"/>
    <cellStyle name="Millares 3 3 3 2 2 2 4 4" xfId="55232"/>
    <cellStyle name="Millares 3 3 3 2 2 2 5" xfId="6961"/>
    <cellStyle name="Millares 3 3 3 2 2 2 5 2" xfId="19848"/>
    <cellStyle name="Millares 3 3 3 2 2 2 6" xfId="13163"/>
    <cellStyle name="Millares 3 3 3 2 2 2 7" xfId="52487"/>
    <cellStyle name="Millares 3 3 3 2 2 3" xfId="1723"/>
    <cellStyle name="Millares 3 3 3 2 2 3 2" xfId="4848"/>
    <cellStyle name="Millares 3 3 3 2 2 3 2 2" xfId="11051"/>
    <cellStyle name="Millares 3 3 3 2 2 3 2 3" xfId="17253"/>
    <cellStyle name="Millares 3 3 3 2 2 3 2 4" xfId="56120"/>
    <cellStyle name="Millares 3 3 3 2 2 3 3" xfId="7951"/>
    <cellStyle name="Millares 3 3 3 2 2 3 4" xfId="14153"/>
    <cellStyle name="Millares 3 3 3 2 2 3 5" xfId="53230"/>
    <cellStyle name="Millares 3 3 3 2 2 4" xfId="2811"/>
    <cellStyle name="Millares 3 3 3 2 2 4 2" xfId="5929"/>
    <cellStyle name="Millares 3 3 3 2 2 4 2 2" xfId="12132"/>
    <cellStyle name="Millares 3 3 3 2 2 4 2 3" xfId="18334"/>
    <cellStyle name="Millares 3 3 3 2 2 4 2 4" xfId="57160"/>
    <cellStyle name="Millares 3 3 3 2 2 4 3" xfId="9032"/>
    <cellStyle name="Millares 3 3 3 2 2 4 4" xfId="15234"/>
    <cellStyle name="Millares 3 3 3 2 2 4 5" xfId="54267"/>
    <cellStyle name="Millares 3 3 3 2 2 5" xfId="3857"/>
    <cellStyle name="Millares 3 3 3 2 2 5 2" xfId="10061"/>
    <cellStyle name="Millares 3 3 3 2 2 5 3" xfId="16263"/>
    <cellStyle name="Millares 3 3 3 2 2 5 4" xfId="55231"/>
    <cellStyle name="Millares 3 3 3 2 2 6" xfId="6960"/>
    <cellStyle name="Millares 3 3 3 2 2 6 2" xfId="19324"/>
    <cellStyle name="Millares 3 3 3 2 2 7" xfId="13162"/>
    <cellStyle name="Millares 3 3 3 2 2 8" xfId="52123"/>
    <cellStyle name="Millares 3 3 3 2 3" xfId="616"/>
    <cellStyle name="Millares 3 3 3 2 3 2" xfId="2002"/>
    <cellStyle name="Millares 3 3 3 2 3 2 2" xfId="5127"/>
    <cellStyle name="Millares 3 3 3 2 3 2 2 2" xfId="11330"/>
    <cellStyle name="Millares 3 3 3 2 3 2 2 3" xfId="17532"/>
    <cellStyle name="Millares 3 3 3 2 3 2 2 4" xfId="56384"/>
    <cellStyle name="Millares 3 3 3 2 3 2 3" xfId="8230"/>
    <cellStyle name="Millares 3 3 3 2 3 2 4" xfId="14432"/>
    <cellStyle name="Millares 3 3 3 2 3 2 5" xfId="53489"/>
    <cellStyle name="Millares 3 3 3 2 3 3" xfId="2813"/>
    <cellStyle name="Millares 3 3 3 2 3 3 2" xfId="5931"/>
    <cellStyle name="Millares 3 3 3 2 3 3 2 2" xfId="12134"/>
    <cellStyle name="Millares 3 3 3 2 3 3 2 3" xfId="18336"/>
    <cellStyle name="Millares 3 3 3 2 3 3 2 4" xfId="57162"/>
    <cellStyle name="Millares 3 3 3 2 3 3 3" xfId="9034"/>
    <cellStyle name="Millares 3 3 3 2 3 3 4" xfId="15236"/>
    <cellStyle name="Millares 3 3 3 2 3 3 5" xfId="54269"/>
    <cellStyle name="Millares 3 3 3 2 3 4" xfId="3859"/>
    <cellStyle name="Millares 3 3 3 2 3 4 2" xfId="10063"/>
    <cellStyle name="Millares 3 3 3 2 3 4 3" xfId="16265"/>
    <cellStyle name="Millares 3 3 3 2 3 4 4" xfId="55233"/>
    <cellStyle name="Millares 3 3 3 2 3 5" xfId="6962"/>
    <cellStyle name="Millares 3 3 3 2 3 5 2" xfId="19603"/>
    <cellStyle name="Millares 3 3 3 2 3 6" xfId="13164"/>
    <cellStyle name="Millares 3 3 3 2 3 7" xfId="52488"/>
    <cellStyle name="Millares 3 3 3 2 4" xfId="1478"/>
    <cellStyle name="Millares 3 3 3 2 4 2" xfId="4603"/>
    <cellStyle name="Millares 3 3 3 2 4 2 2" xfId="10806"/>
    <cellStyle name="Millares 3 3 3 2 4 2 3" xfId="17008"/>
    <cellStyle name="Millares 3 3 3 2 4 2 4" xfId="55888"/>
    <cellStyle name="Millares 3 3 3 2 4 3" xfId="7706"/>
    <cellStyle name="Millares 3 3 3 2 4 4" xfId="13908"/>
    <cellStyle name="Millares 3 3 3 2 4 5" xfId="53005"/>
    <cellStyle name="Millares 3 3 3 2 5" xfId="2810"/>
    <cellStyle name="Millares 3 3 3 2 5 2" xfId="5928"/>
    <cellStyle name="Millares 3 3 3 2 5 2 2" xfId="12131"/>
    <cellStyle name="Millares 3 3 3 2 5 2 3" xfId="18333"/>
    <cellStyle name="Millares 3 3 3 2 5 2 4" xfId="57159"/>
    <cellStyle name="Millares 3 3 3 2 5 3" xfId="9031"/>
    <cellStyle name="Millares 3 3 3 2 5 4" xfId="15233"/>
    <cellStyle name="Millares 3 3 3 2 5 5" xfId="54266"/>
    <cellStyle name="Millares 3 3 3 2 6" xfId="3856"/>
    <cellStyle name="Millares 3 3 3 2 6 2" xfId="10060"/>
    <cellStyle name="Millares 3 3 3 2 6 3" xfId="16262"/>
    <cellStyle name="Millares 3 3 3 2 6 4" xfId="55230"/>
    <cellStyle name="Millares 3 3 3 2 7" xfId="6959"/>
    <cellStyle name="Millares 3 3 3 2 7 2" xfId="19079"/>
    <cellStyle name="Millares 3 3 3 2 8" xfId="13161"/>
    <cellStyle name="Millares 3 3 3 2 9" xfId="46354"/>
    <cellStyle name="Millares 3 3 3 3" xfId="617"/>
    <cellStyle name="Millares 3 3 3 3 2" xfId="618"/>
    <cellStyle name="Millares 3 3 3 3 2 2" xfId="2119"/>
    <cellStyle name="Millares 3 3 3 3 2 2 2" xfId="5244"/>
    <cellStyle name="Millares 3 3 3 3 2 2 2 2" xfId="11447"/>
    <cellStyle name="Millares 3 3 3 3 2 2 2 3" xfId="17649"/>
    <cellStyle name="Millares 3 3 3 3 2 2 2 4" xfId="56492"/>
    <cellStyle name="Millares 3 3 3 3 2 2 3" xfId="8347"/>
    <cellStyle name="Millares 3 3 3 3 2 2 4" xfId="14549"/>
    <cellStyle name="Millares 3 3 3 3 2 2 5" xfId="53596"/>
    <cellStyle name="Millares 3 3 3 3 2 3" xfId="2815"/>
    <cellStyle name="Millares 3 3 3 3 2 3 2" xfId="5933"/>
    <cellStyle name="Millares 3 3 3 3 2 3 2 2" xfId="12136"/>
    <cellStyle name="Millares 3 3 3 3 2 3 2 3" xfId="18338"/>
    <cellStyle name="Millares 3 3 3 3 2 3 2 4" xfId="57164"/>
    <cellStyle name="Millares 3 3 3 3 2 3 3" xfId="9036"/>
    <cellStyle name="Millares 3 3 3 3 2 3 4" xfId="15238"/>
    <cellStyle name="Millares 3 3 3 3 2 3 5" xfId="54271"/>
    <cellStyle name="Millares 3 3 3 3 2 4" xfId="3861"/>
    <cellStyle name="Millares 3 3 3 3 2 4 2" xfId="10065"/>
    <cellStyle name="Millares 3 3 3 3 2 4 3" xfId="16267"/>
    <cellStyle name="Millares 3 3 3 3 2 4 4" xfId="55235"/>
    <cellStyle name="Millares 3 3 3 3 2 5" xfId="6964"/>
    <cellStyle name="Millares 3 3 3 3 2 5 2" xfId="19720"/>
    <cellStyle name="Millares 3 3 3 3 2 6" xfId="13166"/>
    <cellStyle name="Millares 3 3 3 3 2 7" xfId="52489"/>
    <cellStyle name="Millares 3 3 3 3 3" xfId="1595"/>
    <cellStyle name="Millares 3 3 3 3 3 2" xfId="4720"/>
    <cellStyle name="Millares 3 3 3 3 3 2 2" xfId="10923"/>
    <cellStyle name="Millares 3 3 3 3 3 2 3" xfId="17125"/>
    <cellStyle name="Millares 3 3 3 3 3 2 4" xfId="55998"/>
    <cellStyle name="Millares 3 3 3 3 3 3" xfId="7823"/>
    <cellStyle name="Millares 3 3 3 3 3 4" xfId="14025"/>
    <cellStyle name="Millares 3 3 3 3 3 5" xfId="53111"/>
    <cellStyle name="Millares 3 3 3 3 4" xfId="2814"/>
    <cellStyle name="Millares 3 3 3 3 4 2" xfId="5932"/>
    <cellStyle name="Millares 3 3 3 3 4 2 2" xfId="12135"/>
    <cellStyle name="Millares 3 3 3 3 4 2 3" xfId="18337"/>
    <cellStyle name="Millares 3 3 3 3 4 2 4" xfId="57163"/>
    <cellStyle name="Millares 3 3 3 3 4 3" xfId="9035"/>
    <cellStyle name="Millares 3 3 3 3 4 4" xfId="15237"/>
    <cellStyle name="Millares 3 3 3 3 4 5" xfId="54270"/>
    <cellStyle name="Millares 3 3 3 3 5" xfId="3860"/>
    <cellStyle name="Millares 3 3 3 3 5 2" xfId="10064"/>
    <cellStyle name="Millares 3 3 3 3 5 3" xfId="16266"/>
    <cellStyle name="Millares 3 3 3 3 5 4" xfId="55234"/>
    <cellStyle name="Millares 3 3 3 3 6" xfId="6963"/>
    <cellStyle name="Millares 3 3 3 3 6 2" xfId="19196"/>
    <cellStyle name="Millares 3 3 3 3 7" xfId="13165"/>
    <cellStyle name="Millares 3 3 3 3 8" xfId="51995"/>
    <cellStyle name="Millares 3 3 3 4" xfId="619"/>
    <cellStyle name="Millares 3 3 3 4 2" xfId="1860"/>
    <cellStyle name="Millares 3 3 3 4 2 2" xfId="4985"/>
    <cellStyle name="Millares 3 3 3 4 2 2 2" xfId="11188"/>
    <cellStyle name="Millares 3 3 3 4 2 2 3" xfId="17390"/>
    <cellStyle name="Millares 3 3 3 4 2 2 4" xfId="56249"/>
    <cellStyle name="Millares 3 3 3 4 2 3" xfId="8088"/>
    <cellStyle name="Millares 3 3 3 4 2 4" xfId="14290"/>
    <cellStyle name="Millares 3 3 3 4 2 5" xfId="53355"/>
    <cellStyle name="Millares 3 3 3 4 3" xfId="2816"/>
    <cellStyle name="Millares 3 3 3 4 3 2" xfId="5934"/>
    <cellStyle name="Millares 3 3 3 4 3 2 2" xfId="12137"/>
    <cellStyle name="Millares 3 3 3 4 3 2 3" xfId="18339"/>
    <cellStyle name="Millares 3 3 3 4 3 2 4" xfId="57165"/>
    <cellStyle name="Millares 3 3 3 4 3 3" xfId="9037"/>
    <cellStyle name="Millares 3 3 3 4 3 4" xfId="15239"/>
    <cellStyle name="Millares 3 3 3 4 3 5" xfId="54272"/>
    <cellStyle name="Millares 3 3 3 4 4" xfId="3862"/>
    <cellStyle name="Millares 3 3 3 4 4 2" xfId="10066"/>
    <cellStyle name="Millares 3 3 3 4 4 3" xfId="16268"/>
    <cellStyle name="Millares 3 3 3 4 4 4" xfId="55236"/>
    <cellStyle name="Millares 3 3 3 4 5" xfId="6965"/>
    <cellStyle name="Millares 3 3 3 4 5 2" xfId="19461"/>
    <cellStyle name="Millares 3 3 3 4 6" xfId="13167"/>
    <cellStyle name="Millares 3 3 3 4 7" xfId="52490"/>
    <cellStyle name="Millares 3 3 3 5" xfId="1336"/>
    <cellStyle name="Millares 3 3 3 5 2" xfId="4461"/>
    <cellStyle name="Millares 3 3 3 5 2 2" xfId="10664"/>
    <cellStyle name="Millares 3 3 3 5 2 3" xfId="16866"/>
    <cellStyle name="Millares 3 3 3 5 2 4" xfId="55752"/>
    <cellStyle name="Millares 3 3 3 5 3" xfId="7564"/>
    <cellStyle name="Millares 3 3 3 5 4" xfId="13766"/>
    <cellStyle name="Millares 3 3 3 5 5" xfId="52880"/>
    <cellStyle name="Millares 3 3 3 6" xfId="2809"/>
    <cellStyle name="Millares 3 3 3 6 2" xfId="5927"/>
    <cellStyle name="Millares 3 3 3 6 2 2" xfId="12130"/>
    <cellStyle name="Millares 3 3 3 6 2 3" xfId="18332"/>
    <cellStyle name="Millares 3 3 3 6 2 4" xfId="57158"/>
    <cellStyle name="Millares 3 3 3 6 3" xfId="9030"/>
    <cellStyle name="Millares 3 3 3 6 4" xfId="15232"/>
    <cellStyle name="Millares 3 3 3 6 5" xfId="54265"/>
    <cellStyle name="Millares 3 3 3 7" xfId="3855"/>
    <cellStyle name="Millares 3 3 3 7 2" xfId="10059"/>
    <cellStyle name="Millares 3 3 3 7 3" xfId="16261"/>
    <cellStyle name="Millares 3 3 3 7 4" xfId="55229"/>
    <cellStyle name="Millares 3 3 3 8" xfId="6958"/>
    <cellStyle name="Millares 3 3 3 8 2" xfId="18937"/>
    <cellStyle name="Millares 3 3 3 9" xfId="13160"/>
    <cellStyle name="Millares 3 3 4" xfId="620"/>
    <cellStyle name="Millares 3 3 4 2" xfId="621"/>
    <cellStyle name="Millares 3 3 4 2 2" xfId="622"/>
    <cellStyle name="Millares 3 3 4 2 2 2" xfId="2184"/>
    <cellStyle name="Millares 3 3 4 2 2 2 2" xfId="5309"/>
    <cellStyle name="Millares 3 3 4 2 2 2 2 2" xfId="11512"/>
    <cellStyle name="Millares 3 3 4 2 2 2 2 3" xfId="17714"/>
    <cellStyle name="Millares 3 3 4 2 2 2 2 4" xfId="56551"/>
    <cellStyle name="Millares 3 3 4 2 2 2 3" xfId="8412"/>
    <cellStyle name="Millares 3 3 4 2 2 2 4" xfId="14614"/>
    <cellStyle name="Millares 3 3 4 2 2 2 5" xfId="53655"/>
    <cellStyle name="Millares 3 3 4 2 2 3" xfId="2819"/>
    <cellStyle name="Millares 3 3 4 2 2 3 2" xfId="5937"/>
    <cellStyle name="Millares 3 3 4 2 2 3 2 2" xfId="12140"/>
    <cellStyle name="Millares 3 3 4 2 2 3 2 3" xfId="18342"/>
    <cellStyle name="Millares 3 3 4 2 2 3 2 4" xfId="57168"/>
    <cellStyle name="Millares 3 3 4 2 2 3 3" xfId="9040"/>
    <cellStyle name="Millares 3 3 4 2 2 3 4" xfId="15242"/>
    <cellStyle name="Millares 3 3 4 2 2 3 5" xfId="54275"/>
    <cellStyle name="Millares 3 3 4 2 2 4" xfId="3865"/>
    <cellStyle name="Millares 3 3 4 2 2 4 2" xfId="10069"/>
    <cellStyle name="Millares 3 3 4 2 2 4 3" xfId="16271"/>
    <cellStyle name="Millares 3 3 4 2 2 4 4" xfId="55239"/>
    <cellStyle name="Millares 3 3 4 2 2 5" xfId="6968"/>
    <cellStyle name="Millares 3 3 4 2 2 5 2" xfId="19785"/>
    <cellStyle name="Millares 3 3 4 2 2 6" xfId="13170"/>
    <cellStyle name="Millares 3 3 4 2 2 7" xfId="52492"/>
    <cellStyle name="Millares 3 3 4 2 3" xfId="1660"/>
    <cellStyle name="Millares 3 3 4 2 3 2" xfId="4785"/>
    <cellStyle name="Millares 3 3 4 2 3 2 2" xfId="10988"/>
    <cellStyle name="Millares 3 3 4 2 3 2 3" xfId="17190"/>
    <cellStyle name="Millares 3 3 4 2 3 2 4" xfId="56060"/>
    <cellStyle name="Millares 3 3 4 2 3 3" xfId="7888"/>
    <cellStyle name="Millares 3 3 4 2 3 4" xfId="14090"/>
    <cellStyle name="Millares 3 3 4 2 3 5" xfId="53170"/>
    <cellStyle name="Millares 3 3 4 2 4" xfId="2818"/>
    <cellStyle name="Millares 3 3 4 2 4 2" xfId="5936"/>
    <cellStyle name="Millares 3 3 4 2 4 2 2" xfId="12139"/>
    <cellStyle name="Millares 3 3 4 2 4 2 3" xfId="18341"/>
    <cellStyle name="Millares 3 3 4 2 4 2 4" xfId="57167"/>
    <cellStyle name="Millares 3 3 4 2 4 3" xfId="9039"/>
    <cellStyle name="Millares 3 3 4 2 4 4" xfId="15241"/>
    <cellStyle name="Millares 3 3 4 2 4 5" xfId="54274"/>
    <cellStyle name="Millares 3 3 4 2 5" xfId="3864"/>
    <cellStyle name="Millares 3 3 4 2 5 2" xfId="10068"/>
    <cellStyle name="Millares 3 3 4 2 5 3" xfId="16270"/>
    <cellStyle name="Millares 3 3 4 2 5 4" xfId="55238"/>
    <cellStyle name="Millares 3 3 4 2 6" xfId="6967"/>
    <cellStyle name="Millares 3 3 4 2 6 2" xfId="19261"/>
    <cellStyle name="Millares 3 3 4 2 6 3" xfId="52491"/>
    <cellStyle name="Millares 3 3 4 2 7" xfId="13169"/>
    <cellStyle name="Millares 3 3 4 2 8" xfId="46355"/>
    <cellStyle name="Millares 3 3 4 3" xfId="623"/>
    <cellStyle name="Millares 3 3 4 3 2" xfId="1939"/>
    <cellStyle name="Millares 3 3 4 3 2 2" xfId="5064"/>
    <cellStyle name="Millares 3 3 4 3 2 2 2" xfId="11267"/>
    <cellStyle name="Millares 3 3 4 3 2 2 3" xfId="17469"/>
    <cellStyle name="Millares 3 3 4 3 2 2 4" xfId="56324"/>
    <cellStyle name="Millares 3 3 4 3 2 3" xfId="8167"/>
    <cellStyle name="Millares 3 3 4 3 2 4" xfId="14369"/>
    <cellStyle name="Millares 3 3 4 3 2 5" xfId="53430"/>
    <cellStyle name="Millares 3 3 4 3 3" xfId="2820"/>
    <cellStyle name="Millares 3 3 4 3 3 2" xfId="5938"/>
    <cellStyle name="Millares 3 3 4 3 3 2 2" xfId="12141"/>
    <cellStyle name="Millares 3 3 4 3 3 2 3" xfId="18343"/>
    <cellStyle name="Millares 3 3 4 3 3 2 4" xfId="57169"/>
    <cellStyle name="Millares 3 3 4 3 3 3" xfId="9041"/>
    <cellStyle name="Millares 3 3 4 3 3 4" xfId="15243"/>
    <cellStyle name="Millares 3 3 4 3 3 5" xfId="54276"/>
    <cellStyle name="Millares 3 3 4 3 4" xfId="3866"/>
    <cellStyle name="Millares 3 3 4 3 4 2" xfId="10070"/>
    <cellStyle name="Millares 3 3 4 3 4 3" xfId="16272"/>
    <cellStyle name="Millares 3 3 4 3 4 4" xfId="55240"/>
    <cellStyle name="Millares 3 3 4 3 5" xfId="6969"/>
    <cellStyle name="Millares 3 3 4 3 5 2" xfId="19540"/>
    <cellStyle name="Millares 3 3 4 3 6" xfId="13171"/>
    <cellStyle name="Millares 3 3 4 3 7" xfId="52067"/>
    <cellStyle name="Millares 3 3 4 4" xfId="1415"/>
    <cellStyle name="Millares 3 3 4 4 2" xfId="4540"/>
    <cellStyle name="Millares 3 3 4 4 2 2" xfId="10743"/>
    <cellStyle name="Millares 3 3 4 4 2 3" xfId="16945"/>
    <cellStyle name="Millares 3 3 4 4 2 4" xfId="55828"/>
    <cellStyle name="Millares 3 3 4 4 3" xfId="7643"/>
    <cellStyle name="Millares 3 3 4 4 4" xfId="13845"/>
    <cellStyle name="Millares 3 3 4 4 5" xfId="52946"/>
    <cellStyle name="Millares 3 3 4 5" xfId="2817"/>
    <cellStyle name="Millares 3 3 4 5 2" xfId="5935"/>
    <cellStyle name="Millares 3 3 4 5 2 2" xfId="12138"/>
    <cellStyle name="Millares 3 3 4 5 2 3" xfId="18340"/>
    <cellStyle name="Millares 3 3 4 5 2 4" xfId="57166"/>
    <cellStyle name="Millares 3 3 4 5 3" xfId="9038"/>
    <cellStyle name="Millares 3 3 4 5 4" xfId="15240"/>
    <cellStyle name="Millares 3 3 4 5 5" xfId="54273"/>
    <cellStyle name="Millares 3 3 4 6" xfId="3863"/>
    <cellStyle name="Millares 3 3 4 6 2" xfId="10067"/>
    <cellStyle name="Millares 3 3 4 6 3" xfId="16269"/>
    <cellStyle name="Millares 3 3 4 6 4" xfId="55237"/>
    <cellStyle name="Millares 3 3 4 7" xfId="6966"/>
    <cellStyle name="Millares 3 3 4 7 2" xfId="19016"/>
    <cellStyle name="Millares 3 3 4 8" xfId="13168"/>
    <cellStyle name="Millares 3 3 4 9" xfId="29735"/>
    <cellStyle name="Millares 3 3 5" xfId="624"/>
    <cellStyle name="Millares 3 3 5 2" xfId="625"/>
    <cellStyle name="Millares 3 3 5 2 2" xfId="2080"/>
    <cellStyle name="Millares 3 3 5 2 2 2" xfId="5205"/>
    <cellStyle name="Millares 3 3 5 2 2 2 2" xfId="11408"/>
    <cellStyle name="Millares 3 3 5 2 2 2 3" xfId="17610"/>
    <cellStyle name="Millares 3 3 5 2 2 2 4" xfId="56455"/>
    <cellStyle name="Millares 3 3 5 2 2 3" xfId="8308"/>
    <cellStyle name="Millares 3 3 5 2 2 4" xfId="14510"/>
    <cellStyle name="Millares 3 3 5 2 2 5" xfId="53559"/>
    <cellStyle name="Millares 3 3 5 2 3" xfId="2822"/>
    <cellStyle name="Millares 3 3 5 2 3 2" xfId="5940"/>
    <cellStyle name="Millares 3 3 5 2 3 2 2" xfId="12143"/>
    <cellStyle name="Millares 3 3 5 2 3 2 3" xfId="18345"/>
    <cellStyle name="Millares 3 3 5 2 3 2 4" xfId="57171"/>
    <cellStyle name="Millares 3 3 5 2 3 3" xfId="9043"/>
    <cellStyle name="Millares 3 3 5 2 3 4" xfId="15245"/>
    <cellStyle name="Millares 3 3 5 2 3 5" xfId="54278"/>
    <cellStyle name="Millares 3 3 5 2 4" xfId="3868"/>
    <cellStyle name="Millares 3 3 5 2 4 2" xfId="10072"/>
    <cellStyle name="Millares 3 3 5 2 4 3" xfId="16274"/>
    <cellStyle name="Millares 3 3 5 2 4 4" xfId="55242"/>
    <cellStyle name="Millares 3 3 5 2 5" xfId="6971"/>
    <cellStyle name="Millares 3 3 5 2 5 2" xfId="19681"/>
    <cellStyle name="Millares 3 3 5 2 5 3" xfId="52494"/>
    <cellStyle name="Millares 3 3 5 2 6" xfId="13173"/>
    <cellStyle name="Millares 3 3 5 2 7" xfId="46356"/>
    <cellStyle name="Millares 3 3 5 3" xfId="1556"/>
    <cellStyle name="Millares 3 3 5 3 2" xfId="4681"/>
    <cellStyle name="Millares 3 3 5 3 2 2" xfId="10884"/>
    <cellStyle name="Millares 3 3 5 3 2 3" xfId="17086"/>
    <cellStyle name="Millares 3 3 5 3 2 4" xfId="55960"/>
    <cellStyle name="Millares 3 3 5 3 3" xfId="7784"/>
    <cellStyle name="Millares 3 3 5 3 4" xfId="13986"/>
    <cellStyle name="Millares 3 3 5 3 5" xfId="53074"/>
    <cellStyle name="Millares 3 3 5 4" xfId="2821"/>
    <cellStyle name="Millares 3 3 5 4 2" xfId="5939"/>
    <cellStyle name="Millares 3 3 5 4 2 2" xfId="12142"/>
    <cellStyle name="Millares 3 3 5 4 2 3" xfId="18344"/>
    <cellStyle name="Millares 3 3 5 4 2 4" xfId="57170"/>
    <cellStyle name="Millares 3 3 5 4 3" xfId="9042"/>
    <cellStyle name="Millares 3 3 5 4 4" xfId="15244"/>
    <cellStyle name="Millares 3 3 5 4 5" xfId="54277"/>
    <cellStyle name="Millares 3 3 5 5" xfId="3867"/>
    <cellStyle name="Millares 3 3 5 5 2" xfId="10071"/>
    <cellStyle name="Millares 3 3 5 5 3" xfId="16273"/>
    <cellStyle name="Millares 3 3 5 5 4" xfId="55241"/>
    <cellStyle name="Millares 3 3 5 6" xfId="6970"/>
    <cellStyle name="Millares 3 3 5 6 2" xfId="19157"/>
    <cellStyle name="Millares 3 3 5 6 3" xfId="52493"/>
    <cellStyle name="Millares 3 3 5 7" xfId="13172"/>
    <cellStyle name="Millares 3 3 5 8" xfId="29736"/>
    <cellStyle name="Millares 3 3 6" xfId="626"/>
    <cellStyle name="Millares 3 3 6 2" xfId="1810"/>
    <cellStyle name="Millares 3 3 6 2 2" xfId="4935"/>
    <cellStyle name="Millares 3 3 6 2 2 2" xfId="11138"/>
    <cellStyle name="Millares 3 3 6 2 2 3" xfId="17340"/>
    <cellStyle name="Millares 3 3 6 2 2 4" xfId="56202"/>
    <cellStyle name="Millares 3 3 6 2 3" xfId="8038"/>
    <cellStyle name="Millares 3 3 6 2 3 2" xfId="53308"/>
    <cellStyle name="Millares 3 3 6 2 4" xfId="14240"/>
    <cellStyle name="Millares 3 3 6 2 5" xfId="46357"/>
    <cellStyle name="Millares 3 3 6 3" xfId="2823"/>
    <cellStyle name="Millares 3 3 6 3 2" xfId="5941"/>
    <cellStyle name="Millares 3 3 6 3 2 2" xfId="12144"/>
    <cellStyle name="Millares 3 3 6 3 2 3" xfId="18346"/>
    <cellStyle name="Millares 3 3 6 3 2 4" xfId="57172"/>
    <cellStyle name="Millares 3 3 6 3 3" xfId="9044"/>
    <cellStyle name="Millares 3 3 6 3 4" xfId="15246"/>
    <cellStyle name="Millares 3 3 6 3 5" xfId="54279"/>
    <cellStyle name="Millares 3 3 6 4" xfId="3869"/>
    <cellStyle name="Millares 3 3 6 4 2" xfId="10073"/>
    <cellStyle name="Millares 3 3 6 4 3" xfId="16275"/>
    <cellStyle name="Millares 3 3 6 4 4" xfId="55243"/>
    <cellStyle name="Millares 3 3 6 5" xfId="6972"/>
    <cellStyle name="Millares 3 3 6 5 2" xfId="19411"/>
    <cellStyle name="Millares 3 3 6 5 3" xfId="52495"/>
    <cellStyle name="Millares 3 3 6 6" xfId="13174"/>
    <cellStyle name="Millares 3 3 6 7" xfId="29737"/>
    <cellStyle name="Millares 3 3 7" xfId="1268"/>
    <cellStyle name="Millares 3 3 7 2" xfId="4393"/>
    <cellStyle name="Millares 3 3 7 2 2" xfId="10596"/>
    <cellStyle name="Millares 3 3 7 2 2 2" xfId="55689"/>
    <cellStyle name="Millares 3 3 7 2 3" xfId="16798"/>
    <cellStyle name="Millares 3 3 7 2 4" xfId="46358"/>
    <cellStyle name="Millares 3 3 7 3" xfId="7496"/>
    <cellStyle name="Millares 3 3 7 3 2" xfId="52820"/>
    <cellStyle name="Millares 3 3 7 4" xfId="13698"/>
    <cellStyle name="Millares 3 3 7 5" xfId="29738"/>
    <cellStyle name="Millares 3 3 8" xfId="2792"/>
    <cellStyle name="Millares 3 3 8 2" xfId="5910"/>
    <cellStyle name="Millares 3 3 8 2 2" xfId="12113"/>
    <cellStyle name="Millares 3 3 8 2 3" xfId="18315"/>
    <cellStyle name="Millares 3 3 8 2 4" xfId="57141"/>
    <cellStyle name="Millares 3 3 8 3" xfId="9013"/>
    <cellStyle name="Millares 3 3 8 3 2" xfId="54248"/>
    <cellStyle name="Millares 3 3 8 4" xfId="15215"/>
    <cellStyle name="Millares 3 3 8 5" xfId="29739"/>
    <cellStyle name="Millares 3 3 9" xfId="3838"/>
    <cellStyle name="Millares 3 3 9 2" xfId="10042"/>
    <cellStyle name="Millares 3 3 9 2 2" xfId="55212"/>
    <cellStyle name="Millares 3 3 9 3" xfId="16244"/>
    <cellStyle name="Millares 3 3 9 4" xfId="29740"/>
    <cellStyle name="Millares 3 30" xfId="51789"/>
    <cellStyle name="Millares 3 31" xfId="40983"/>
    <cellStyle name="Millares 3 32" xfId="51790"/>
    <cellStyle name="Millares 3 33" xfId="51928"/>
    <cellStyle name="Millares 3 34" xfId="52440"/>
    <cellStyle name="Millares 3 35" xfId="57642"/>
    <cellStyle name="Millares 3 36" xfId="57662"/>
    <cellStyle name="Millares 3 37" xfId="57681"/>
    <cellStyle name="Millares 3 38" xfId="57698"/>
    <cellStyle name="Millares 3 4" xfId="627"/>
    <cellStyle name="Millares 3 4 10" xfId="29741"/>
    <cellStyle name="Millares 3 4 2" xfId="628"/>
    <cellStyle name="Millares 3 4 2 2" xfId="46360"/>
    <cellStyle name="Millares 3 4 2 3" xfId="52100"/>
    <cellStyle name="Millares 3 4 2 4" xfId="29742"/>
    <cellStyle name="Millares 3 4 3" xfId="629"/>
    <cellStyle name="Millares 3 4 3 2" xfId="2824"/>
    <cellStyle name="Millares 3 4 3 2 2" xfId="54280"/>
    <cellStyle name="Millares 3 4 3 2 3" xfId="46361"/>
    <cellStyle name="Millares 3 4 3 3" xfId="52038"/>
    <cellStyle name="Millares 3 4 3 4" xfId="52496"/>
    <cellStyle name="Millares 3 4 3 5" xfId="29743"/>
    <cellStyle name="Millares 3 4 4" xfId="29744"/>
    <cellStyle name="Millares 3 4 4 2" xfId="46362"/>
    <cellStyle name="Millares 3 4 5" xfId="29745"/>
    <cellStyle name="Millares 3 4 5 2" xfId="46363"/>
    <cellStyle name="Millares 3 4 6" xfId="29746"/>
    <cellStyle name="Millares 3 4 6 2" xfId="46364"/>
    <cellStyle name="Millares 3 4 7" xfId="29747"/>
    <cellStyle name="Millares 3 4 7 2" xfId="46365"/>
    <cellStyle name="Millares 3 4 8" xfId="46359"/>
    <cellStyle name="Millares 3 4 9" xfId="51970"/>
    <cellStyle name="Millares 3 5" xfId="630"/>
    <cellStyle name="Millares 3 5 2" xfId="29749"/>
    <cellStyle name="Millares 3 5 2 2" xfId="46367"/>
    <cellStyle name="Millares 3 5 3" xfId="29750"/>
    <cellStyle name="Millares 3 5 3 2" xfId="46368"/>
    <cellStyle name="Millares 3 5 4" xfId="29751"/>
    <cellStyle name="Millares 3 5 4 2" xfId="46369"/>
    <cellStyle name="Millares 3 5 5" xfId="29752"/>
    <cellStyle name="Millares 3 5 5 2" xfId="46370"/>
    <cellStyle name="Millares 3 5 6" xfId="46366"/>
    <cellStyle name="Millares 3 5 7" xfId="51993"/>
    <cellStyle name="Millares 3 5 8" xfId="29748"/>
    <cellStyle name="Millares 3 6" xfId="631"/>
    <cellStyle name="Millares 3 6 10" xfId="52497"/>
    <cellStyle name="Millares 3 6 11" xfId="29753"/>
    <cellStyle name="Millares 3 6 2" xfId="632"/>
    <cellStyle name="Millares 3 6 2 2" xfId="2826"/>
    <cellStyle name="Millares 3 6 2 2 2" xfId="54282"/>
    <cellStyle name="Millares 3 6 2 2 3" xfId="46372"/>
    <cellStyle name="Millares 3 6 2 3" xfId="52158"/>
    <cellStyle name="Millares 3 6 2 4" xfId="52498"/>
    <cellStyle name="Millares 3 6 2 5" xfId="29754"/>
    <cellStyle name="Millares 3 6 3" xfId="633"/>
    <cellStyle name="Millares 3 6 3 2" xfId="634"/>
    <cellStyle name="Millares 3 6 3 2 2" xfId="1933"/>
    <cellStyle name="Millares 3 6 3 2 2 2" xfId="5058"/>
    <cellStyle name="Millares 3 6 3 2 2 2 2" xfId="11261"/>
    <cellStyle name="Millares 3 6 3 2 2 2 3" xfId="17463"/>
    <cellStyle name="Millares 3 6 3 2 2 2 4" xfId="56318"/>
    <cellStyle name="Millares 3 6 3 2 2 3" xfId="8161"/>
    <cellStyle name="Millares 3 6 3 2 2 4" xfId="14363"/>
    <cellStyle name="Millares 3 6 3 2 2 5" xfId="53424"/>
    <cellStyle name="Millares 3 6 3 2 3" xfId="2828"/>
    <cellStyle name="Millares 3 6 3 2 3 2" xfId="5943"/>
    <cellStyle name="Millares 3 6 3 2 3 2 2" xfId="12146"/>
    <cellStyle name="Millares 3 6 3 2 3 2 3" xfId="18348"/>
    <cellStyle name="Millares 3 6 3 2 3 2 4" xfId="57174"/>
    <cellStyle name="Millares 3 6 3 2 3 3" xfId="9046"/>
    <cellStyle name="Millares 3 6 3 2 3 4" xfId="15248"/>
    <cellStyle name="Millares 3 6 3 2 3 5" xfId="54284"/>
    <cellStyle name="Millares 3 6 3 2 4" xfId="3871"/>
    <cellStyle name="Millares 3 6 3 2 4 2" xfId="10075"/>
    <cellStyle name="Millares 3 6 3 2 4 3" xfId="16277"/>
    <cellStyle name="Millares 3 6 3 2 4 4" xfId="55245"/>
    <cellStyle name="Millares 3 6 3 2 5" xfId="6974"/>
    <cellStyle name="Millares 3 6 3 2 5 2" xfId="19534"/>
    <cellStyle name="Millares 3 6 3 2 5 3" xfId="52500"/>
    <cellStyle name="Millares 3 6 3 2 6" xfId="13176"/>
    <cellStyle name="Millares 3 6 3 2 7" xfId="46373"/>
    <cellStyle name="Millares 3 6 3 3" xfId="1409"/>
    <cellStyle name="Millares 3 6 3 3 2" xfId="4534"/>
    <cellStyle name="Millares 3 6 3 3 2 2" xfId="10737"/>
    <cellStyle name="Millares 3 6 3 3 2 3" xfId="16939"/>
    <cellStyle name="Millares 3 6 3 3 2 4" xfId="55822"/>
    <cellStyle name="Millares 3 6 3 3 3" xfId="7637"/>
    <cellStyle name="Millares 3 6 3 3 3 2" xfId="52940"/>
    <cellStyle name="Millares 3 6 3 3 4" xfId="13839"/>
    <cellStyle name="Millares 3 6 3 3 5" xfId="52061"/>
    <cellStyle name="Millares 3 6 3 4" xfId="2827"/>
    <cellStyle name="Millares 3 6 3 4 2" xfId="5942"/>
    <cellStyle name="Millares 3 6 3 4 2 2" xfId="12145"/>
    <cellStyle name="Millares 3 6 3 4 2 3" xfId="18347"/>
    <cellStyle name="Millares 3 6 3 4 2 4" xfId="57173"/>
    <cellStyle name="Millares 3 6 3 4 3" xfId="9045"/>
    <cellStyle name="Millares 3 6 3 4 4" xfId="15247"/>
    <cellStyle name="Millares 3 6 3 4 5" xfId="54283"/>
    <cellStyle name="Millares 3 6 3 5" xfId="3870"/>
    <cellStyle name="Millares 3 6 3 5 2" xfId="10074"/>
    <cellStyle name="Millares 3 6 3 5 3" xfId="16276"/>
    <cellStyle name="Millares 3 6 3 5 4" xfId="55244"/>
    <cellStyle name="Millares 3 6 3 6" xfId="6973"/>
    <cellStyle name="Millares 3 6 3 6 2" xfId="19010"/>
    <cellStyle name="Millares 3 6 3 6 3" xfId="52499"/>
    <cellStyle name="Millares 3 6 3 7" xfId="13175"/>
    <cellStyle name="Millares 3 6 3 8" xfId="29755"/>
    <cellStyle name="Millares 3 6 4" xfId="2825"/>
    <cellStyle name="Millares 3 6 4 2" xfId="46374"/>
    <cellStyle name="Millares 3 6 4 3" xfId="54281"/>
    <cellStyle name="Millares 3 6 4 4" xfId="29756"/>
    <cellStyle name="Millares 3 6 5" xfId="29757"/>
    <cellStyle name="Millares 3 6 5 2" xfId="29758"/>
    <cellStyle name="Millares 3 6 5 2 2" xfId="29759"/>
    <cellStyle name="Millares 3 6 5 2 2 2" xfId="46377"/>
    <cellStyle name="Millares 3 6 5 2 3" xfId="46376"/>
    <cellStyle name="Millares 3 6 5 3" xfId="29760"/>
    <cellStyle name="Millares 3 6 5 3 2" xfId="46378"/>
    <cellStyle name="Millares 3 6 5 4" xfId="46375"/>
    <cellStyle name="Millares 3 6 6" xfId="29761"/>
    <cellStyle name="Millares 3 6 6 2" xfId="29762"/>
    <cellStyle name="Millares 3 6 6 2 2" xfId="29763"/>
    <cellStyle name="Millares 3 6 6 2 2 2" xfId="46381"/>
    <cellStyle name="Millares 3 6 6 2 3" xfId="46380"/>
    <cellStyle name="Millares 3 6 6 3" xfId="29764"/>
    <cellStyle name="Millares 3 6 6 3 2" xfId="46382"/>
    <cellStyle name="Millares 3 6 6 4" xfId="46379"/>
    <cellStyle name="Millares 3 6 7" xfId="29765"/>
    <cellStyle name="Millares 3 6 7 2" xfId="29766"/>
    <cellStyle name="Millares 3 6 7 2 2" xfId="29767"/>
    <cellStyle name="Millares 3 6 7 2 2 2" xfId="46385"/>
    <cellStyle name="Millares 3 6 7 2 3" xfId="46384"/>
    <cellStyle name="Millares 3 6 7 3" xfId="29768"/>
    <cellStyle name="Millares 3 6 7 3 2" xfId="46386"/>
    <cellStyle name="Millares 3 6 7 4" xfId="46383"/>
    <cellStyle name="Millares 3 6 8" xfId="46371"/>
    <cellStyle name="Millares 3 6 9" xfId="52027"/>
    <cellStyle name="Millares 3 7" xfId="635"/>
    <cellStyle name="Millares 3 7 2" xfId="636"/>
    <cellStyle name="Millares 3 7 2 2" xfId="2069"/>
    <cellStyle name="Millares 3 7 2 2 2" xfId="5194"/>
    <cellStyle name="Millares 3 7 2 2 2 2" xfId="11397"/>
    <cellStyle name="Millares 3 7 2 2 2 3" xfId="17599"/>
    <cellStyle name="Millares 3 7 2 2 2 4" xfId="56446"/>
    <cellStyle name="Millares 3 7 2 2 3" xfId="8297"/>
    <cellStyle name="Millares 3 7 2 2 3 2" xfId="53550"/>
    <cellStyle name="Millares 3 7 2 2 4" xfId="14499"/>
    <cellStyle name="Millares 3 7 2 2 5" xfId="46388"/>
    <cellStyle name="Millares 3 7 2 3" xfId="2830"/>
    <cellStyle name="Millares 3 7 2 3 2" xfId="5945"/>
    <cellStyle name="Millares 3 7 2 3 2 2" xfId="12148"/>
    <cellStyle name="Millares 3 7 2 3 2 3" xfId="18350"/>
    <cellStyle name="Millares 3 7 2 3 2 4" xfId="57176"/>
    <cellStyle name="Millares 3 7 2 3 3" xfId="9048"/>
    <cellStyle name="Millares 3 7 2 3 4" xfId="15250"/>
    <cellStyle name="Millares 3 7 2 3 5" xfId="54286"/>
    <cellStyle name="Millares 3 7 2 4" xfId="3873"/>
    <cellStyle name="Millares 3 7 2 4 2" xfId="10077"/>
    <cellStyle name="Millares 3 7 2 4 3" xfId="16279"/>
    <cellStyle name="Millares 3 7 2 4 4" xfId="55247"/>
    <cellStyle name="Millares 3 7 2 5" xfId="6976"/>
    <cellStyle name="Millares 3 7 2 5 2" xfId="19670"/>
    <cellStyle name="Millares 3 7 2 5 3" xfId="52502"/>
    <cellStyle name="Millares 3 7 2 6" xfId="13178"/>
    <cellStyle name="Millares 3 7 2 7" xfId="29770"/>
    <cellStyle name="Millares 3 7 3" xfId="1545"/>
    <cellStyle name="Millares 3 7 3 2" xfId="4670"/>
    <cellStyle name="Millares 3 7 3 2 2" xfId="10873"/>
    <cellStyle name="Millares 3 7 3 2 2 2" xfId="55951"/>
    <cellStyle name="Millares 3 7 3 2 3" xfId="17075"/>
    <cellStyle name="Millares 3 7 3 2 4" xfId="46389"/>
    <cellStyle name="Millares 3 7 3 3" xfId="7773"/>
    <cellStyle name="Millares 3 7 3 3 2" xfId="53066"/>
    <cellStyle name="Millares 3 7 3 4" xfId="13975"/>
    <cellStyle name="Millares 3 7 3 5" xfId="29771"/>
    <cellStyle name="Millares 3 7 4" xfId="2829"/>
    <cellStyle name="Millares 3 7 4 2" xfId="5944"/>
    <cellStyle name="Millares 3 7 4 2 2" xfId="12147"/>
    <cellStyle name="Millares 3 7 4 2 2 2" xfId="57175"/>
    <cellStyle name="Millares 3 7 4 2 3" xfId="18349"/>
    <cellStyle name="Millares 3 7 4 2 4" xfId="46390"/>
    <cellStyle name="Millares 3 7 4 3" xfId="9047"/>
    <cellStyle name="Millares 3 7 4 3 2" xfId="54285"/>
    <cellStyle name="Millares 3 7 4 4" xfId="15249"/>
    <cellStyle name="Millares 3 7 4 5" xfId="29772"/>
    <cellStyle name="Millares 3 7 5" xfId="3872"/>
    <cellStyle name="Millares 3 7 5 2" xfId="10076"/>
    <cellStyle name="Millares 3 7 5 2 2" xfId="55246"/>
    <cellStyle name="Millares 3 7 5 3" xfId="16278"/>
    <cellStyle name="Millares 3 7 5 4" xfId="46387"/>
    <cellStyle name="Millares 3 7 6" xfId="6975"/>
    <cellStyle name="Millares 3 7 6 2" xfId="19146"/>
    <cellStyle name="Millares 3 7 6 3" xfId="52501"/>
    <cellStyle name="Millares 3 7 7" xfId="13177"/>
    <cellStyle name="Millares 3 7 8" xfId="29769"/>
    <cellStyle name="Millares 3 8" xfId="637"/>
    <cellStyle name="Millares 3 8 2" xfId="2831"/>
    <cellStyle name="Millares 3 8 2 2" xfId="46392"/>
    <cellStyle name="Millares 3 8 2 3" xfId="54287"/>
    <cellStyle name="Millares 3 8 2 4" xfId="29774"/>
    <cellStyle name="Millares 3 8 3" xfId="29775"/>
    <cellStyle name="Millares 3 8 3 2" xfId="46393"/>
    <cellStyle name="Millares 3 8 4" xfId="29776"/>
    <cellStyle name="Millares 3 8 4 2" xfId="46394"/>
    <cellStyle name="Millares 3 8 5" xfId="46391"/>
    <cellStyle name="Millares 3 8 6" xfId="52503"/>
    <cellStyle name="Millares 3 8 7" xfId="29773"/>
    <cellStyle name="Millares 3 9" xfId="638"/>
    <cellStyle name="Millares 3 9 2" xfId="639"/>
    <cellStyle name="Millares 3 9 2 2" xfId="46396"/>
    <cellStyle name="Millares 3 9 2 3" xfId="52505"/>
    <cellStyle name="Millares 3 9 2 4" xfId="29778"/>
    <cellStyle name="Millares 3 9 3" xfId="1798"/>
    <cellStyle name="Millares 3 9 3 2" xfId="4923"/>
    <cellStyle name="Millares 3 9 3 2 2" xfId="11126"/>
    <cellStyle name="Millares 3 9 3 2 2 2" xfId="56192"/>
    <cellStyle name="Millares 3 9 3 2 3" xfId="17328"/>
    <cellStyle name="Millares 3 9 3 2 4" xfId="46397"/>
    <cellStyle name="Millares 3 9 3 3" xfId="8026"/>
    <cellStyle name="Millares 3 9 3 3 2" xfId="53299"/>
    <cellStyle name="Millares 3 9 3 4" xfId="14228"/>
    <cellStyle name="Millares 3 9 3 5" xfId="29779"/>
    <cellStyle name="Millares 3 9 4" xfId="2832"/>
    <cellStyle name="Millares 3 9 4 2" xfId="5946"/>
    <cellStyle name="Millares 3 9 4 2 2" xfId="12149"/>
    <cellStyle name="Millares 3 9 4 2 2 2" xfId="57177"/>
    <cellStyle name="Millares 3 9 4 2 3" xfId="18351"/>
    <cellStyle name="Millares 3 9 4 2 4" xfId="46398"/>
    <cellStyle name="Millares 3 9 4 3" xfId="9049"/>
    <cellStyle name="Millares 3 9 4 3 2" xfId="54288"/>
    <cellStyle name="Millares 3 9 4 4" xfId="15251"/>
    <cellStyle name="Millares 3 9 4 5" xfId="29780"/>
    <cellStyle name="Millares 3 9 5" xfId="3874"/>
    <cellStyle name="Millares 3 9 5 2" xfId="10078"/>
    <cellStyle name="Millares 3 9 5 2 2" xfId="55248"/>
    <cellStyle name="Millares 3 9 5 3" xfId="16280"/>
    <cellStyle name="Millares 3 9 5 4" xfId="46395"/>
    <cellStyle name="Millares 3 9 6" xfId="6977"/>
    <cellStyle name="Millares 3 9 6 2" xfId="19399"/>
    <cellStyle name="Millares 3 9 6 3" xfId="52504"/>
    <cellStyle name="Millares 3 9 7" xfId="13179"/>
    <cellStyle name="Millares 3 9 8" xfId="29777"/>
    <cellStyle name="Millares 3_FYFC" xfId="29781"/>
    <cellStyle name="Millares 30" xfId="19947"/>
    <cellStyle name="Millares 30 2" xfId="29783"/>
    <cellStyle name="Millares 30 2 2" xfId="29784"/>
    <cellStyle name="Millares 30 2 2 2" xfId="29785"/>
    <cellStyle name="Millares 30 2 2 2 2" xfId="46402"/>
    <cellStyle name="Millares 30 2 2 3" xfId="46401"/>
    <cellStyle name="Millares 30 2 3" xfId="29786"/>
    <cellStyle name="Millares 30 2 3 2" xfId="46403"/>
    <cellStyle name="Millares 30 2 4" xfId="46400"/>
    <cellStyle name="Millares 30 3" xfId="29787"/>
    <cellStyle name="Millares 30 3 2" xfId="29788"/>
    <cellStyle name="Millares 30 3 2 2" xfId="29789"/>
    <cellStyle name="Millares 30 3 2 2 2" xfId="46406"/>
    <cellStyle name="Millares 30 3 2 3" xfId="46405"/>
    <cellStyle name="Millares 30 3 3" xfId="29790"/>
    <cellStyle name="Millares 30 3 3 2" xfId="46407"/>
    <cellStyle name="Millares 30 3 4" xfId="46404"/>
    <cellStyle name="Millares 30 4" xfId="29791"/>
    <cellStyle name="Millares 30 4 2" xfId="46408"/>
    <cellStyle name="Millares 30 5" xfId="29792"/>
    <cellStyle name="Millares 30 5 2" xfId="46409"/>
    <cellStyle name="Millares 30 6" xfId="29793"/>
    <cellStyle name="Millares 30 7" xfId="29782"/>
    <cellStyle name="Millares 30 8" xfId="46399"/>
    <cellStyle name="Millares 31" xfId="19948"/>
    <cellStyle name="Millares 31 2" xfId="29795"/>
    <cellStyle name="Millares 31 3" xfId="29794"/>
    <cellStyle name="Millares 31 4" xfId="46410"/>
    <cellStyle name="Millares 32" xfId="19949"/>
    <cellStyle name="Millares 32 2" xfId="19994"/>
    <cellStyle name="Millares 32 2 2" xfId="29798"/>
    <cellStyle name="Millares 32 2 2 2" xfId="29799"/>
    <cellStyle name="Millares 32 2 2 2 2" xfId="46414"/>
    <cellStyle name="Millares 32 2 2 3" xfId="46413"/>
    <cellStyle name="Millares 32 2 3" xfId="29800"/>
    <cellStyle name="Millares 32 2 3 2" xfId="46415"/>
    <cellStyle name="Millares 32 2 4" xfId="29801"/>
    <cellStyle name="Millares 32 2 5" xfId="29797"/>
    <cellStyle name="Millares 32 2 6" xfId="46412"/>
    <cellStyle name="Millares 32 3" xfId="29802"/>
    <cellStyle name="Millares 32 3 2" xfId="29803"/>
    <cellStyle name="Millares 32 3 2 2" xfId="29804"/>
    <cellStyle name="Millares 32 3 2 2 2" xfId="46418"/>
    <cellStyle name="Millares 32 3 2 3" xfId="46417"/>
    <cellStyle name="Millares 32 3 3" xfId="29805"/>
    <cellStyle name="Millares 32 3 3 2" xfId="46419"/>
    <cellStyle name="Millares 32 3 4" xfId="46416"/>
    <cellStyle name="Millares 32 4" xfId="29806"/>
    <cellStyle name="Millares 32 4 2" xfId="46420"/>
    <cellStyle name="Millares 32 5" xfId="29807"/>
    <cellStyle name="Millares 32 5 2" xfId="46421"/>
    <cellStyle name="Millares 32 6" xfId="29808"/>
    <cellStyle name="Millares 32 7" xfId="29796"/>
    <cellStyle name="Millares 32 8" xfId="46411"/>
    <cellStyle name="Millares 33" xfId="19950"/>
    <cellStyle name="Millares 33 2" xfId="19995"/>
    <cellStyle name="Millares 33 2 2" xfId="29810"/>
    <cellStyle name="Millares 33 3" xfId="29811"/>
    <cellStyle name="Millares 33 4" xfId="29809"/>
    <cellStyle name="Millares 33 5" xfId="46422"/>
    <cellStyle name="Millares 34" xfId="19985"/>
    <cellStyle name="Millares 34 2" xfId="29813"/>
    <cellStyle name="Millares 34 2 2" xfId="29814"/>
    <cellStyle name="Millares 34 2 2 2" xfId="29815"/>
    <cellStyle name="Millares 34 2 2 2 2" xfId="46426"/>
    <cellStyle name="Millares 34 2 2 3" xfId="46425"/>
    <cellStyle name="Millares 34 2 3" xfId="29816"/>
    <cellStyle name="Millares 34 2 3 2" xfId="46427"/>
    <cellStyle name="Millares 34 2 4" xfId="46424"/>
    <cellStyle name="Millares 34 3" xfId="29817"/>
    <cellStyle name="Millares 34 3 2" xfId="29818"/>
    <cellStyle name="Millares 34 3 2 2" xfId="29819"/>
    <cellStyle name="Millares 34 3 2 2 2" xfId="46430"/>
    <cellStyle name="Millares 34 3 2 3" xfId="46429"/>
    <cellStyle name="Millares 34 3 3" xfId="29820"/>
    <cellStyle name="Millares 34 3 3 2" xfId="46431"/>
    <cellStyle name="Millares 34 3 4" xfId="46428"/>
    <cellStyle name="Millares 34 4" xfId="29821"/>
    <cellStyle name="Millares 34 4 2" xfId="46432"/>
    <cellStyle name="Millares 34 5" xfId="29822"/>
    <cellStyle name="Millares 34 5 2" xfId="46433"/>
    <cellStyle name="Millares 34 6" xfId="29823"/>
    <cellStyle name="Millares 34 7" xfId="29812"/>
    <cellStyle name="Millares 34 8" xfId="46423"/>
    <cellStyle name="Millares 35" xfId="20010"/>
    <cellStyle name="Millares 35 2" xfId="29825"/>
    <cellStyle name="Millares 35 3" xfId="29824"/>
    <cellStyle name="Millares 35 4" xfId="46434"/>
    <cellStyle name="Millares 36" xfId="29826"/>
    <cellStyle name="Millares 36 2" xfId="46435"/>
    <cellStyle name="Millares 37" xfId="29827"/>
    <cellStyle name="Millares 37 2" xfId="46436"/>
    <cellStyle name="Millares 38" xfId="640"/>
    <cellStyle name="Millares 38 10" xfId="2833"/>
    <cellStyle name="Millares 38 10 2" xfId="5947"/>
    <cellStyle name="Millares 38 10 2 2" xfId="12150"/>
    <cellStyle name="Millares 38 10 2 3" xfId="18352"/>
    <cellStyle name="Millares 38 10 2 4" xfId="57178"/>
    <cellStyle name="Millares 38 10 3" xfId="9050"/>
    <cellStyle name="Millares 38 10 4" xfId="15252"/>
    <cellStyle name="Millares 38 10 5" xfId="54289"/>
    <cellStyle name="Millares 38 11" xfId="3875"/>
    <cellStyle name="Millares 38 11 2" xfId="10079"/>
    <cellStyle name="Millares 38 11 3" xfId="16281"/>
    <cellStyle name="Millares 38 11 4" xfId="55249"/>
    <cellStyle name="Millares 38 12" xfId="6978"/>
    <cellStyle name="Millares 38 12 2" xfId="18870"/>
    <cellStyle name="Millares 38 13" xfId="13180"/>
    <cellStyle name="Millares 38 14" xfId="19951"/>
    <cellStyle name="Millares 38 2" xfId="641"/>
    <cellStyle name="Millares 38 2 10" xfId="3876"/>
    <cellStyle name="Millares 38 2 10 2" xfId="10080"/>
    <cellStyle name="Millares 38 2 10 3" xfId="16282"/>
    <cellStyle name="Millares 38 2 10 4" xfId="55250"/>
    <cellStyle name="Millares 38 2 11" xfId="6979"/>
    <cellStyle name="Millares 38 2 11 2" xfId="18898"/>
    <cellStyle name="Millares 38 2 12" xfId="13181"/>
    <cellStyle name="Millares 38 2 13" xfId="19996"/>
    <cellStyle name="Millares 38 2 2" xfId="642"/>
    <cellStyle name="Millares 38 2 2 10" xfId="29829"/>
    <cellStyle name="Millares 38 2 2 2" xfId="643"/>
    <cellStyle name="Millares 38 2 2 2 2" xfId="644"/>
    <cellStyle name="Millares 38 2 2 2 2 2" xfId="645"/>
    <cellStyle name="Millares 38 2 2 2 2 2 2" xfId="2228"/>
    <cellStyle name="Millares 38 2 2 2 2 2 2 2" xfId="5353"/>
    <cellStyle name="Millares 38 2 2 2 2 2 2 2 2" xfId="11556"/>
    <cellStyle name="Millares 38 2 2 2 2 2 2 2 3" xfId="17758"/>
    <cellStyle name="Millares 38 2 2 2 2 2 2 2 4" xfId="56592"/>
    <cellStyle name="Millares 38 2 2 2 2 2 2 3" xfId="8456"/>
    <cellStyle name="Millares 38 2 2 2 2 2 2 4" xfId="14658"/>
    <cellStyle name="Millares 38 2 2 2 2 2 2 5" xfId="53696"/>
    <cellStyle name="Millares 38 2 2 2 2 2 3" xfId="2838"/>
    <cellStyle name="Millares 38 2 2 2 2 2 3 2" xfId="5952"/>
    <cellStyle name="Millares 38 2 2 2 2 2 3 2 2" xfId="12155"/>
    <cellStyle name="Millares 38 2 2 2 2 2 3 2 3" xfId="18357"/>
    <cellStyle name="Millares 38 2 2 2 2 2 3 2 4" xfId="57183"/>
    <cellStyle name="Millares 38 2 2 2 2 2 3 3" xfId="9055"/>
    <cellStyle name="Millares 38 2 2 2 2 2 3 4" xfId="15257"/>
    <cellStyle name="Millares 38 2 2 2 2 2 3 5" xfId="54294"/>
    <cellStyle name="Millares 38 2 2 2 2 2 4" xfId="3880"/>
    <cellStyle name="Millares 38 2 2 2 2 2 4 2" xfId="10084"/>
    <cellStyle name="Millares 38 2 2 2 2 2 4 3" xfId="16286"/>
    <cellStyle name="Millares 38 2 2 2 2 2 4 4" xfId="55254"/>
    <cellStyle name="Millares 38 2 2 2 2 2 5" xfId="6983"/>
    <cellStyle name="Millares 38 2 2 2 2 2 5 2" xfId="19829"/>
    <cellStyle name="Millares 38 2 2 2 2 2 6" xfId="13185"/>
    <cellStyle name="Millares 38 2 2 2 2 2 7" xfId="52507"/>
    <cellStyle name="Millares 38 2 2 2 2 3" xfId="1704"/>
    <cellStyle name="Millares 38 2 2 2 2 3 2" xfId="4829"/>
    <cellStyle name="Millares 38 2 2 2 2 3 2 2" xfId="11032"/>
    <cellStyle name="Millares 38 2 2 2 2 3 2 3" xfId="17234"/>
    <cellStyle name="Millares 38 2 2 2 2 3 2 4" xfId="56101"/>
    <cellStyle name="Millares 38 2 2 2 2 3 3" xfId="7932"/>
    <cellStyle name="Millares 38 2 2 2 2 3 4" xfId="14134"/>
    <cellStyle name="Millares 38 2 2 2 2 3 5" xfId="53211"/>
    <cellStyle name="Millares 38 2 2 2 2 4" xfId="2837"/>
    <cellStyle name="Millares 38 2 2 2 2 4 2" xfId="5951"/>
    <cellStyle name="Millares 38 2 2 2 2 4 2 2" xfId="12154"/>
    <cellStyle name="Millares 38 2 2 2 2 4 2 3" xfId="18356"/>
    <cellStyle name="Millares 38 2 2 2 2 4 2 4" xfId="57182"/>
    <cellStyle name="Millares 38 2 2 2 2 4 3" xfId="9054"/>
    <cellStyle name="Millares 38 2 2 2 2 4 4" xfId="15256"/>
    <cellStyle name="Millares 38 2 2 2 2 4 5" xfId="54293"/>
    <cellStyle name="Millares 38 2 2 2 2 5" xfId="3879"/>
    <cellStyle name="Millares 38 2 2 2 2 5 2" xfId="10083"/>
    <cellStyle name="Millares 38 2 2 2 2 5 3" xfId="16285"/>
    <cellStyle name="Millares 38 2 2 2 2 5 4" xfId="55253"/>
    <cellStyle name="Millares 38 2 2 2 2 6" xfId="6982"/>
    <cellStyle name="Millares 38 2 2 2 2 6 2" xfId="19305"/>
    <cellStyle name="Millares 38 2 2 2 2 7" xfId="13184"/>
    <cellStyle name="Millares 38 2 2 2 2 8" xfId="52506"/>
    <cellStyle name="Millares 38 2 2 2 3" xfId="646"/>
    <cellStyle name="Millares 38 2 2 2 3 2" xfId="1983"/>
    <cellStyle name="Millares 38 2 2 2 3 2 2" xfId="5108"/>
    <cellStyle name="Millares 38 2 2 2 3 2 2 2" xfId="11311"/>
    <cellStyle name="Millares 38 2 2 2 3 2 2 3" xfId="17513"/>
    <cellStyle name="Millares 38 2 2 2 3 2 2 4" xfId="56365"/>
    <cellStyle name="Millares 38 2 2 2 3 2 3" xfId="8211"/>
    <cellStyle name="Millares 38 2 2 2 3 2 4" xfId="14413"/>
    <cellStyle name="Millares 38 2 2 2 3 2 5" xfId="53471"/>
    <cellStyle name="Millares 38 2 2 2 3 3" xfId="2839"/>
    <cellStyle name="Millares 38 2 2 2 3 3 2" xfId="5953"/>
    <cellStyle name="Millares 38 2 2 2 3 3 2 2" xfId="12156"/>
    <cellStyle name="Millares 38 2 2 2 3 3 2 3" xfId="18358"/>
    <cellStyle name="Millares 38 2 2 2 3 3 2 4" xfId="57184"/>
    <cellStyle name="Millares 38 2 2 2 3 3 3" xfId="9056"/>
    <cellStyle name="Millares 38 2 2 2 3 3 4" xfId="15258"/>
    <cellStyle name="Millares 38 2 2 2 3 3 5" xfId="54295"/>
    <cellStyle name="Millares 38 2 2 2 3 4" xfId="3881"/>
    <cellStyle name="Millares 38 2 2 2 3 4 2" xfId="10085"/>
    <cellStyle name="Millares 38 2 2 2 3 4 3" xfId="16287"/>
    <cellStyle name="Millares 38 2 2 2 3 4 4" xfId="55255"/>
    <cellStyle name="Millares 38 2 2 2 3 5" xfId="6984"/>
    <cellStyle name="Millares 38 2 2 2 3 5 2" xfId="19584"/>
    <cellStyle name="Millares 38 2 2 2 3 6" xfId="13186"/>
    <cellStyle name="Millares 38 2 2 2 3 7" xfId="52508"/>
    <cellStyle name="Millares 38 2 2 2 4" xfId="1459"/>
    <cellStyle name="Millares 38 2 2 2 4 2" xfId="4584"/>
    <cellStyle name="Millares 38 2 2 2 4 2 2" xfId="10787"/>
    <cellStyle name="Millares 38 2 2 2 4 2 3" xfId="16989"/>
    <cellStyle name="Millares 38 2 2 2 4 2 4" xfId="55869"/>
    <cellStyle name="Millares 38 2 2 2 4 3" xfId="7687"/>
    <cellStyle name="Millares 38 2 2 2 4 4" xfId="13889"/>
    <cellStyle name="Millares 38 2 2 2 4 5" xfId="52987"/>
    <cellStyle name="Millares 38 2 2 2 5" xfId="2836"/>
    <cellStyle name="Millares 38 2 2 2 5 2" xfId="5950"/>
    <cellStyle name="Millares 38 2 2 2 5 2 2" xfId="12153"/>
    <cellStyle name="Millares 38 2 2 2 5 2 3" xfId="18355"/>
    <cellStyle name="Millares 38 2 2 2 5 2 4" xfId="57181"/>
    <cellStyle name="Millares 38 2 2 2 5 3" xfId="9053"/>
    <cellStyle name="Millares 38 2 2 2 5 4" xfId="15255"/>
    <cellStyle name="Millares 38 2 2 2 5 5" xfId="54292"/>
    <cellStyle name="Millares 38 2 2 2 6" xfId="3878"/>
    <cellStyle name="Millares 38 2 2 2 6 2" xfId="10082"/>
    <cellStyle name="Millares 38 2 2 2 6 3" xfId="16284"/>
    <cellStyle name="Millares 38 2 2 2 6 4" xfId="55252"/>
    <cellStyle name="Millares 38 2 2 2 7" xfId="6981"/>
    <cellStyle name="Millares 38 2 2 2 7 2" xfId="19060"/>
    <cellStyle name="Millares 38 2 2 2 8" xfId="13183"/>
    <cellStyle name="Millares 38 2 2 2 9" xfId="52106"/>
    <cellStyle name="Millares 38 2 2 3" xfId="647"/>
    <cellStyle name="Millares 38 2 2 3 2" xfId="648"/>
    <cellStyle name="Millares 38 2 2 3 2 2" xfId="1914"/>
    <cellStyle name="Millares 38 2 2 3 2 2 2" xfId="5039"/>
    <cellStyle name="Millares 38 2 2 3 2 2 2 2" xfId="11242"/>
    <cellStyle name="Millares 38 2 2 3 2 2 2 3" xfId="17444"/>
    <cellStyle name="Millares 38 2 2 3 2 2 2 4" xfId="56300"/>
    <cellStyle name="Millares 38 2 2 3 2 2 3" xfId="8142"/>
    <cellStyle name="Millares 38 2 2 3 2 2 4" xfId="14344"/>
    <cellStyle name="Millares 38 2 2 3 2 2 5" xfId="53406"/>
    <cellStyle name="Millares 38 2 2 3 2 3" xfId="2841"/>
    <cellStyle name="Millares 38 2 2 3 2 3 2" xfId="5955"/>
    <cellStyle name="Millares 38 2 2 3 2 3 2 2" xfId="12158"/>
    <cellStyle name="Millares 38 2 2 3 2 3 2 3" xfId="18360"/>
    <cellStyle name="Millares 38 2 2 3 2 3 2 4" xfId="57186"/>
    <cellStyle name="Millares 38 2 2 3 2 3 3" xfId="9058"/>
    <cellStyle name="Millares 38 2 2 3 2 3 4" xfId="15260"/>
    <cellStyle name="Millares 38 2 2 3 2 3 5" xfId="54297"/>
    <cellStyle name="Millares 38 2 2 3 2 4" xfId="3883"/>
    <cellStyle name="Millares 38 2 2 3 2 4 2" xfId="10087"/>
    <cellStyle name="Millares 38 2 2 3 2 4 3" xfId="16289"/>
    <cellStyle name="Millares 38 2 2 3 2 4 4" xfId="55257"/>
    <cellStyle name="Millares 38 2 2 3 2 5" xfId="6986"/>
    <cellStyle name="Millares 38 2 2 3 2 5 2" xfId="19515"/>
    <cellStyle name="Millares 38 2 2 3 2 6" xfId="13188"/>
    <cellStyle name="Millares 38 2 2 3 2 7" xfId="52510"/>
    <cellStyle name="Millares 38 2 2 3 3" xfId="1390"/>
    <cellStyle name="Millares 38 2 2 3 3 2" xfId="4515"/>
    <cellStyle name="Millares 38 2 2 3 3 2 2" xfId="10718"/>
    <cellStyle name="Millares 38 2 2 3 3 2 3" xfId="16920"/>
    <cellStyle name="Millares 38 2 2 3 3 2 4" xfId="55804"/>
    <cellStyle name="Millares 38 2 2 3 3 3" xfId="7618"/>
    <cellStyle name="Millares 38 2 2 3 3 4" xfId="13820"/>
    <cellStyle name="Millares 38 2 2 3 3 5" xfId="52928"/>
    <cellStyle name="Millares 38 2 2 3 4" xfId="2840"/>
    <cellStyle name="Millares 38 2 2 3 4 2" xfId="5954"/>
    <cellStyle name="Millares 38 2 2 3 4 2 2" xfId="12157"/>
    <cellStyle name="Millares 38 2 2 3 4 2 3" xfId="18359"/>
    <cellStyle name="Millares 38 2 2 3 4 2 4" xfId="57185"/>
    <cellStyle name="Millares 38 2 2 3 4 3" xfId="9057"/>
    <cellStyle name="Millares 38 2 2 3 4 4" xfId="15259"/>
    <cellStyle name="Millares 38 2 2 3 4 5" xfId="54296"/>
    <cellStyle name="Millares 38 2 2 3 5" xfId="3882"/>
    <cellStyle name="Millares 38 2 2 3 5 2" xfId="10086"/>
    <cellStyle name="Millares 38 2 2 3 5 3" xfId="16288"/>
    <cellStyle name="Millares 38 2 2 3 5 4" xfId="55256"/>
    <cellStyle name="Millares 38 2 2 3 6" xfId="6985"/>
    <cellStyle name="Millares 38 2 2 3 6 2" xfId="18991"/>
    <cellStyle name="Millares 38 2 2 3 6 3" xfId="52509"/>
    <cellStyle name="Millares 38 2 2 3 7" xfId="13187"/>
    <cellStyle name="Millares 38 2 2 3 8" xfId="52044"/>
    <cellStyle name="Millares 38 2 2 4" xfId="649"/>
    <cellStyle name="Millares 38 2 2 4 2" xfId="1841"/>
    <cellStyle name="Millares 38 2 2 4 2 2" xfId="4966"/>
    <cellStyle name="Millares 38 2 2 4 2 2 2" xfId="11169"/>
    <cellStyle name="Millares 38 2 2 4 2 2 3" xfId="17371"/>
    <cellStyle name="Millares 38 2 2 4 2 2 4" xfId="56230"/>
    <cellStyle name="Millares 38 2 2 4 2 3" xfId="8069"/>
    <cellStyle name="Millares 38 2 2 4 2 4" xfId="14271"/>
    <cellStyle name="Millares 38 2 2 4 2 5" xfId="53336"/>
    <cellStyle name="Millares 38 2 2 4 3" xfId="2842"/>
    <cellStyle name="Millares 38 2 2 4 3 2" xfId="5956"/>
    <cellStyle name="Millares 38 2 2 4 3 2 2" xfId="12159"/>
    <cellStyle name="Millares 38 2 2 4 3 2 3" xfId="18361"/>
    <cellStyle name="Millares 38 2 2 4 3 2 4" xfId="57187"/>
    <cellStyle name="Millares 38 2 2 4 3 3" xfId="9059"/>
    <cellStyle name="Millares 38 2 2 4 3 4" xfId="15261"/>
    <cellStyle name="Millares 38 2 2 4 3 5" xfId="54298"/>
    <cellStyle name="Millares 38 2 2 4 4" xfId="3884"/>
    <cellStyle name="Millares 38 2 2 4 4 2" xfId="10088"/>
    <cellStyle name="Millares 38 2 2 4 4 3" xfId="16290"/>
    <cellStyle name="Millares 38 2 2 4 4 4" xfId="55258"/>
    <cellStyle name="Millares 38 2 2 4 5" xfId="6987"/>
    <cellStyle name="Millares 38 2 2 4 5 2" xfId="19442"/>
    <cellStyle name="Millares 38 2 2 4 6" xfId="13189"/>
    <cellStyle name="Millares 38 2 2 4 7" xfId="51975"/>
    <cellStyle name="Millares 38 2 2 5" xfId="1317"/>
    <cellStyle name="Millares 38 2 2 5 2" xfId="4442"/>
    <cellStyle name="Millares 38 2 2 5 2 2" xfId="10645"/>
    <cellStyle name="Millares 38 2 2 5 2 3" xfId="16847"/>
    <cellStyle name="Millares 38 2 2 5 2 4" xfId="55733"/>
    <cellStyle name="Millares 38 2 2 5 3" xfId="7545"/>
    <cellStyle name="Millares 38 2 2 5 4" xfId="13747"/>
    <cellStyle name="Millares 38 2 2 5 5" xfId="52862"/>
    <cellStyle name="Millares 38 2 2 6" xfId="2835"/>
    <cellStyle name="Millares 38 2 2 6 2" xfId="5949"/>
    <cellStyle name="Millares 38 2 2 6 2 2" xfId="12152"/>
    <cellStyle name="Millares 38 2 2 6 2 3" xfId="18354"/>
    <cellStyle name="Millares 38 2 2 6 2 4" xfId="57180"/>
    <cellStyle name="Millares 38 2 2 6 3" xfId="9052"/>
    <cellStyle name="Millares 38 2 2 6 4" xfId="15254"/>
    <cellStyle name="Millares 38 2 2 6 5" xfId="54291"/>
    <cellStyle name="Millares 38 2 2 7" xfId="3877"/>
    <cellStyle name="Millares 38 2 2 7 2" xfId="10081"/>
    <cellStyle name="Millares 38 2 2 7 3" xfId="16283"/>
    <cellStyle name="Millares 38 2 2 7 4" xfId="55251"/>
    <cellStyle name="Millares 38 2 2 8" xfId="6980"/>
    <cellStyle name="Millares 38 2 2 8 2" xfId="18918"/>
    <cellStyle name="Millares 38 2 2 9" xfId="13182"/>
    <cellStyle name="Millares 38 2 3" xfId="650"/>
    <cellStyle name="Millares 38 2 3 10" xfId="52017"/>
    <cellStyle name="Millares 38 2 3 2" xfId="651"/>
    <cellStyle name="Millares 38 2 3 2 2" xfId="652"/>
    <cellStyle name="Millares 38 2 3 2 2 2" xfId="653"/>
    <cellStyle name="Millares 38 2 3 2 2 2 2" xfId="2276"/>
    <cellStyle name="Millares 38 2 3 2 2 2 2 2" xfId="5401"/>
    <cellStyle name="Millares 38 2 3 2 2 2 2 2 2" xfId="11604"/>
    <cellStyle name="Millares 38 2 3 2 2 2 2 2 3" xfId="17806"/>
    <cellStyle name="Millares 38 2 3 2 2 2 2 2 4" xfId="56637"/>
    <cellStyle name="Millares 38 2 3 2 2 2 2 3" xfId="8504"/>
    <cellStyle name="Millares 38 2 3 2 2 2 2 4" xfId="14706"/>
    <cellStyle name="Millares 38 2 3 2 2 2 2 5" xfId="53741"/>
    <cellStyle name="Millares 38 2 3 2 2 2 3" xfId="2846"/>
    <cellStyle name="Millares 38 2 3 2 2 2 3 2" xfId="5960"/>
    <cellStyle name="Millares 38 2 3 2 2 2 3 2 2" xfId="12163"/>
    <cellStyle name="Millares 38 2 3 2 2 2 3 2 3" xfId="18365"/>
    <cellStyle name="Millares 38 2 3 2 2 2 3 2 4" xfId="57191"/>
    <cellStyle name="Millares 38 2 3 2 2 2 3 3" xfId="9063"/>
    <cellStyle name="Millares 38 2 3 2 2 2 3 4" xfId="15265"/>
    <cellStyle name="Millares 38 2 3 2 2 2 3 5" xfId="54302"/>
    <cellStyle name="Millares 38 2 3 2 2 2 4" xfId="3888"/>
    <cellStyle name="Millares 38 2 3 2 2 2 4 2" xfId="10092"/>
    <cellStyle name="Millares 38 2 3 2 2 2 4 3" xfId="16294"/>
    <cellStyle name="Millares 38 2 3 2 2 2 4 4" xfId="55262"/>
    <cellStyle name="Millares 38 2 3 2 2 2 5" xfId="6991"/>
    <cellStyle name="Millares 38 2 3 2 2 2 5 2" xfId="19877"/>
    <cellStyle name="Millares 38 2 3 2 2 2 6" xfId="13193"/>
    <cellStyle name="Millares 38 2 3 2 2 2 7" xfId="52512"/>
    <cellStyle name="Millares 38 2 3 2 2 3" xfId="1752"/>
    <cellStyle name="Millares 38 2 3 2 2 3 2" xfId="4877"/>
    <cellStyle name="Millares 38 2 3 2 2 3 2 2" xfId="11080"/>
    <cellStyle name="Millares 38 2 3 2 2 3 2 3" xfId="17282"/>
    <cellStyle name="Millares 38 2 3 2 2 3 2 4" xfId="56148"/>
    <cellStyle name="Millares 38 2 3 2 2 3 3" xfId="7980"/>
    <cellStyle name="Millares 38 2 3 2 2 3 4" xfId="14182"/>
    <cellStyle name="Millares 38 2 3 2 2 3 5" xfId="53256"/>
    <cellStyle name="Millares 38 2 3 2 2 4" xfId="2845"/>
    <cellStyle name="Millares 38 2 3 2 2 4 2" xfId="5959"/>
    <cellStyle name="Millares 38 2 3 2 2 4 2 2" xfId="12162"/>
    <cellStyle name="Millares 38 2 3 2 2 4 2 3" xfId="18364"/>
    <cellStyle name="Millares 38 2 3 2 2 4 2 4" xfId="57190"/>
    <cellStyle name="Millares 38 2 3 2 2 4 3" xfId="9062"/>
    <cellStyle name="Millares 38 2 3 2 2 4 4" xfId="15264"/>
    <cellStyle name="Millares 38 2 3 2 2 4 5" xfId="54301"/>
    <cellStyle name="Millares 38 2 3 2 2 5" xfId="3887"/>
    <cellStyle name="Millares 38 2 3 2 2 5 2" xfId="10091"/>
    <cellStyle name="Millares 38 2 3 2 2 5 3" xfId="16293"/>
    <cellStyle name="Millares 38 2 3 2 2 5 4" xfId="55261"/>
    <cellStyle name="Millares 38 2 3 2 2 6" xfId="6990"/>
    <cellStyle name="Millares 38 2 3 2 2 6 2" xfId="19353"/>
    <cellStyle name="Millares 38 2 3 2 2 7" xfId="13192"/>
    <cellStyle name="Millares 38 2 3 2 2 8" xfId="52511"/>
    <cellStyle name="Millares 38 2 3 2 3" xfId="654"/>
    <cellStyle name="Millares 38 2 3 2 3 2" xfId="2031"/>
    <cellStyle name="Millares 38 2 3 2 3 2 2" xfId="5156"/>
    <cellStyle name="Millares 38 2 3 2 3 2 2 2" xfId="11359"/>
    <cellStyle name="Millares 38 2 3 2 3 2 2 3" xfId="17561"/>
    <cellStyle name="Millares 38 2 3 2 3 2 2 4" xfId="56410"/>
    <cellStyle name="Millares 38 2 3 2 3 2 3" xfId="8259"/>
    <cellStyle name="Millares 38 2 3 2 3 2 4" xfId="14461"/>
    <cellStyle name="Millares 38 2 3 2 3 2 5" xfId="53515"/>
    <cellStyle name="Millares 38 2 3 2 3 3" xfId="2847"/>
    <cellStyle name="Millares 38 2 3 2 3 3 2" xfId="5961"/>
    <cellStyle name="Millares 38 2 3 2 3 3 2 2" xfId="12164"/>
    <cellStyle name="Millares 38 2 3 2 3 3 2 3" xfId="18366"/>
    <cellStyle name="Millares 38 2 3 2 3 3 2 4" xfId="57192"/>
    <cellStyle name="Millares 38 2 3 2 3 3 3" xfId="9064"/>
    <cellStyle name="Millares 38 2 3 2 3 3 4" xfId="15266"/>
    <cellStyle name="Millares 38 2 3 2 3 3 5" xfId="54303"/>
    <cellStyle name="Millares 38 2 3 2 3 4" xfId="3889"/>
    <cellStyle name="Millares 38 2 3 2 3 4 2" xfId="10093"/>
    <cellStyle name="Millares 38 2 3 2 3 4 3" xfId="16295"/>
    <cellStyle name="Millares 38 2 3 2 3 4 4" xfId="55263"/>
    <cellStyle name="Millares 38 2 3 2 3 5" xfId="6992"/>
    <cellStyle name="Millares 38 2 3 2 3 5 2" xfId="19632"/>
    <cellStyle name="Millares 38 2 3 2 3 6" xfId="13194"/>
    <cellStyle name="Millares 38 2 3 2 3 7" xfId="52513"/>
    <cellStyle name="Millares 38 2 3 2 4" xfId="1507"/>
    <cellStyle name="Millares 38 2 3 2 4 2" xfId="4632"/>
    <cellStyle name="Millares 38 2 3 2 4 2 2" xfId="10835"/>
    <cellStyle name="Millares 38 2 3 2 4 2 3" xfId="17037"/>
    <cellStyle name="Millares 38 2 3 2 4 2 4" xfId="55915"/>
    <cellStyle name="Millares 38 2 3 2 4 3" xfId="7735"/>
    <cellStyle name="Millares 38 2 3 2 4 4" xfId="13937"/>
    <cellStyle name="Millares 38 2 3 2 4 5" xfId="53031"/>
    <cellStyle name="Millares 38 2 3 2 5" xfId="2844"/>
    <cellStyle name="Millares 38 2 3 2 5 2" xfId="5958"/>
    <cellStyle name="Millares 38 2 3 2 5 2 2" xfId="12161"/>
    <cellStyle name="Millares 38 2 3 2 5 2 3" xfId="18363"/>
    <cellStyle name="Millares 38 2 3 2 5 2 4" xfId="57189"/>
    <cellStyle name="Millares 38 2 3 2 5 3" xfId="9061"/>
    <cellStyle name="Millares 38 2 3 2 5 4" xfId="15263"/>
    <cellStyle name="Millares 38 2 3 2 5 5" xfId="54300"/>
    <cellStyle name="Millares 38 2 3 2 6" xfId="3886"/>
    <cellStyle name="Millares 38 2 3 2 6 2" xfId="10090"/>
    <cellStyle name="Millares 38 2 3 2 6 3" xfId="16292"/>
    <cellStyle name="Millares 38 2 3 2 6 4" xfId="55260"/>
    <cellStyle name="Millares 38 2 3 2 7" xfId="6989"/>
    <cellStyle name="Millares 38 2 3 2 7 2" xfId="19108"/>
    <cellStyle name="Millares 38 2 3 2 8" xfId="13191"/>
    <cellStyle name="Millares 38 2 3 2 9" xfId="52149"/>
    <cellStyle name="Millares 38 2 3 3" xfId="655"/>
    <cellStyle name="Millares 38 2 3 3 2" xfId="656"/>
    <cellStyle name="Millares 38 2 3 3 2 2" xfId="2148"/>
    <cellStyle name="Millares 38 2 3 3 2 2 2" xfId="5273"/>
    <cellStyle name="Millares 38 2 3 3 2 2 2 2" xfId="11476"/>
    <cellStyle name="Millares 38 2 3 3 2 2 2 3" xfId="17678"/>
    <cellStyle name="Millares 38 2 3 3 2 2 2 4" xfId="56518"/>
    <cellStyle name="Millares 38 2 3 3 2 2 3" xfId="8376"/>
    <cellStyle name="Millares 38 2 3 3 2 2 4" xfId="14578"/>
    <cellStyle name="Millares 38 2 3 3 2 2 5" xfId="53622"/>
    <cellStyle name="Millares 38 2 3 3 2 3" xfId="2849"/>
    <cellStyle name="Millares 38 2 3 3 2 3 2" xfId="5963"/>
    <cellStyle name="Millares 38 2 3 3 2 3 2 2" xfId="12166"/>
    <cellStyle name="Millares 38 2 3 3 2 3 2 3" xfId="18368"/>
    <cellStyle name="Millares 38 2 3 3 2 3 2 4" xfId="57194"/>
    <cellStyle name="Millares 38 2 3 3 2 3 3" xfId="9066"/>
    <cellStyle name="Millares 38 2 3 3 2 3 4" xfId="15268"/>
    <cellStyle name="Millares 38 2 3 3 2 3 5" xfId="54305"/>
    <cellStyle name="Millares 38 2 3 3 2 4" xfId="3891"/>
    <cellStyle name="Millares 38 2 3 3 2 4 2" xfId="10095"/>
    <cellStyle name="Millares 38 2 3 3 2 4 3" xfId="16297"/>
    <cellStyle name="Millares 38 2 3 3 2 4 4" xfId="55265"/>
    <cellStyle name="Millares 38 2 3 3 2 5" xfId="6994"/>
    <cellStyle name="Millares 38 2 3 3 2 5 2" xfId="19749"/>
    <cellStyle name="Millares 38 2 3 3 2 6" xfId="13196"/>
    <cellStyle name="Millares 38 2 3 3 2 7" xfId="52515"/>
    <cellStyle name="Millares 38 2 3 3 3" xfId="1624"/>
    <cellStyle name="Millares 38 2 3 3 3 2" xfId="4749"/>
    <cellStyle name="Millares 38 2 3 3 3 2 2" xfId="10952"/>
    <cellStyle name="Millares 38 2 3 3 3 2 3" xfId="17154"/>
    <cellStyle name="Millares 38 2 3 3 3 2 4" xfId="56026"/>
    <cellStyle name="Millares 38 2 3 3 3 3" xfId="7852"/>
    <cellStyle name="Millares 38 2 3 3 3 4" xfId="14054"/>
    <cellStyle name="Millares 38 2 3 3 3 5" xfId="53137"/>
    <cellStyle name="Millares 38 2 3 3 4" xfId="2848"/>
    <cellStyle name="Millares 38 2 3 3 4 2" xfId="5962"/>
    <cellStyle name="Millares 38 2 3 3 4 2 2" xfId="12165"/>
    <cellStyle name="Millares 38 2 3 3 4 2 3" xfId="18367"/>
    <cellStyle name="Millares 38 2 3 3 4 2 4" xfId="57193"/>
    <cellStyle name="Millares 38 2 3 3 4 3" xfId="9065"/>
    <cellStyle name="Millares 38 2 3 3 4 4" xfId="15267"/>
    <cellStyle name="Millares 38 2 3 3 4 5" xfId="54304"/>
    <cellStyle name="Millares 38 2 3 3 5" xfId="3890"/>
    <cellStyle name="Millares 38 2 3 3 5 2" xfId="10094"/>
    <cellStyle name="Millares 38 2 3 3 5 3" xfId="16296"/>
    <cellStyle name="Millares 38 2 3 3 5 4" xfId="55264"/>
    <cellStyle name="Millares 38 2 3 3 6" xfId="6993"/>
    <cellStyle name="Millares 38 2 3 3 6 2" xfId="19225"/>
    <cellStyle name="Millares 38 2 3 3 7" xfId="13195"/>
    <cellStyle name="Millares 38 2 3 3 8" xfId="52514"/>
    <cellStyle name="Millares 38 2 3 4" xfId="657"/>
    <cellStyle name="Millares 38 2 3 4 2" xfId="1889"/>
    <cellStyle name="Millares 38 2 3 4 2 2" xfId="5014"/>
    <cellStyle name="Millares 38 2 3 4 2 2 2" xfId="11217"/>
    <cellStyle name="Millares 38 2 3 4 2 2 3" xfId="17419"/>
    <cellStyle name="Millares 38 2 3 4 2 2 4" xfId="56276"/>
    <cellStyle name="Millares 38 2 3 4 2 3" xfId="8117"/>
    <cellStyle name="Millares 38 2 3 4 2 4" xfId="14319"/>
    <cellStyle name="Millares 38 2 3 4 2 5" xfId="53382"/>
    <cellStyle name="Millares 38 2 3 4 3" xfId="2850"/>
    <cellStyle name="Millares 38 2 3 4 3 2" xfId="5964"/>
    <cellStyle name="Millares 38 2 3 4 3 2 2" xfId="12167"/>
    <cellStyle name="Millares 38 2 3 4 3 2 3" xfId="18369"/>
    <cellStyle name="Millares 38 2 3 4 3 2 4" xfId="57195"/>
    <cellStyle name="Millares 38 2 3 4 3 3" xfId="9067"/>
    <cellStyle name="Millares 38 2 3 4 3 4" xfId="15269"/>
    <cellStyle name="Millares 38 2 3 4 3 5" xfId="54306"/>
    <cellStyle name="Millares 38 2 3 4 4" xfId="3892"/>
    <cellStyle name="Millares 38 2 3 4 4 2" xfId="10096"/>
    <cellStyle name="Millares 38 2 3 4 4 3" xfId="16298"/>
    <cellStyle name="Millares 38 2 3 4 4 4" xfId="55266"/>
    <cellStyle name="Millares 38 2 3 4 5" xfId="6995"/>
    <cellStyle name="Millares 38 2 3 4 5 2" xfId="19490"/>
    <cellStyle name="Millares 38 2 3 4 6" xfId="13197"/>
    <cellStyle name="Millares 38 2 3 4 7" xfId="52516"/>
    <cellStyle name="Millares 38 2 3 5" xfId="1365"/>
    <cellStyle name="Millares 38 2 3 5 2" xfId="4490"/>
    <cellStyle name="Millares 38 2 3 5 2 2" xfId="10693"/>
    <cellStyle name="Millares 38 2 3 5 2 3" xfId="16895"/>
    <cellStyle name="Millares 38 2 3 5 2 4" xfId="55780"/>
    <cellStyle name="Millares 38 2 3 5 3" xfId="7593"/>
    <cellStyle name="Millares 38 2 3 5 4" xfId="13795"/>
    <cellStyle name="Millares 38 2 3 5 5" xfId="52905"/>
    <cellStyle name="Millares 38 2 3 6" xfId="2843"/>
    <cellStyle name="Millares 38 2 3 6 2" xfId="5957"/>
    <cellStyle name="Millares 38 2 3 6 2 2" xfId="12160"/>
    <cellStyle name="Millares 38 2 3 6 2 3" xfId="18362"/>
    <cellStyle name="Millares 38 2 3 6 2 4" xfId="57188"/>
    <cellStyle name="Millares 38 2 3 6 3" xfId="9060"/>
    <cellStyle name="Millares 38 2 3 6 4" xfId="15262"/>
    <cellStyle name="Millares 38 2 3 6 5" xfId="54299"/>
    <cellStyle name="Millares 38 2 3 7" xfId="3885"/>
    <cellStyle name="Millares 38 2 3 7 2" xfId="10089"/>
    <cellStyle name="Millares 38 2 3 7 3" xfId="16291"/>
    <cellStyle name="Millares 38 2 3 7 4" xfId="55259"/>
    <cellStyle name="Millares 38 2 3 8" xfId="6988"/>
    <cellStyle name="Millares 38 2 3 8 2" xfId="18966"/>
    <cellStyle name="Millares 38 2 3 9" xfId="13190"/>
    <cellStyle name="Millares 38 2 4" xfId="658"/>
    <cellStyle name="Millares 38 2 4 2" xfId="659"/>
    <cellStyle name="Millares 38 2 4 2 2" xfId="660"/>
    <cellStyle name="Millares 38 2 4 2 2 2" xfId="2291"/>
    <cellStyle name="Millares 38 2 4 2 2 2 2" xfId="5416"/>
    <cellStyle name="Millares 38 2 4 2 2 2 2 2" xfId="11619"/>
    <cellStyle name="Millares 38 2 4 2 2 2 2 3" xfId="17821"/>
    <cellStyle name="Millares 38 2 4 2 2 2 2 4" xfId="56650"/>
    <cellStyle name="Millares 38 2 4 2 2 2 3" xfId="8519"/>
    <cellStyle name="Millares 38 2 4 2 2 2 4" xfId="14721"/>
    <cellStyle name="Millares 38 2 4 2 2 2 5" xfId="53754"/>
    <cellStyle name="Millares 38 2 4 2 2 3" xfId="2853"/>
    <cellStyle name="Millares 38 2 4 2 2 3 2" xfId="5967"/>
    <cellStyle name="Millares 38 2 4 2 2 3 2 2" xfId="12170"/>
    <cellStyle name="Millares 38 2 4 2 2 3 2 3" xfId="18372"/>
    <cellStyle name="Millares 38 2 4 2 2 3 2 4" xfId="57198"/>
    <cellStyle name="Millares 38 2 4 2 2 3 3" xfId="9070"/>
    <cellStyle name="Millares 38 2 4 2 2 3 4" xfId="15272"/>
    <cellStyle name="Millares 38 2 4 2 2 3 5" xfId="54309"/>
    <cellStyle name="Millares 38 2 4 2 2 4" xfId="3895"/>
    <cellStyle name="Millares 38 2 4 2 2 4 2" xfId="10099"/>
    <cellStyle name="Millares 38 2 4 2 2 4 3" xfId="16301"/>
    <cellStyle name="Millares 38 2 4 2 2 4 4" xfId="55269"/>
    <cellStyle name="Millares 38 2 4 2 2 5" xfId="6998"/>
    <cellStyle name="Millares 38 2 4 2 2 5 2" xfId="19892"/>
    <cellStyle name="Millares 38 2 4 2 2 6" xfId="13200"/>
    <cellStyle name="Millares 38 2 4 2 2 7" xfId="52519"/>
    <cellStyle name="Millares 38 2 4 2 3" xfId="1767"/>
    <cellStyle name="Millares 38 2 4 2 3 2" xfId="4892"/>
    <cellStyle name="Millares 38 2 4 2 3 2 2" xfId="11095"/>
    <cellStyle name="Millares 38 2 4 2 3 2 3" xfId="17297"/>
    <cellStyle name="Millares 38 2 4 2 3 2 4" xfId="56162"/>
    <cellStyle name="Millares 38 2 4 2 3 3" xfId="7995"/>
    <cellStyle name="Millares 38 2 4 2 3 4" xfId="14197"/>
    <cellStyle name="Millares 38 2 4 2 3 5" xfId="53269"/>
    <cellStyle name="Millares 38 2 4 2 4" xfId="2852"/>
    <cellStyle name="Millares 38 2 4 2 4 2" xfId="5966"/>
    <cellStyle name="Millares 38 2 4 2 4 2 2" xfId="12169"/>
    <cellStyle name="Millares 38 2 4 2 4 2 3" xfId="18371"/>
    <cellStyle name="Millares 38 2 4 2 4 2 4" xfId="57197"/>
    <cellStyle name="Millares 38 2 4 2 4 3" xfId="9069"/>
    <cellStyle name="Millares 38 2 4 2 4 4" xfId="15271"/>
    <cellStyle name="Millares 38 2 4 2 4 5" xfId="54308"/>
    <cellStyle name="Millares 38 2 4 2 5" xfId="3894"/>
    <cellStyle name="Millares 38 2 4 2 5 2" xfId="10098"/>
    <cellStyle name="Millares 38 2 4 2 5 3" xfId="16300"/>
    <cellStyle name="Millares 38 2 4 2 5 4" xfId="55268"/>
    <cellStyle name="Millares 38 2 4 2 6" xfId="6997"/>
    <cellStyle name="Millares 38 2 4 2 6 2" xfId="19368"/>
    <cellStyle name="Millares 38 2 4 2 7" xfId="13199"/>
    <cellStyle name="Millares 38 2 4 2 8" xfId="52518"/>
    <cellStyle name="Millares 38 2 4 3" xfId="661"/>
    <cellStyle name="Millares 38 2 4 3 2" xfId="1904"/>
    <cellStyle name="Millares 38 2 4 3 2 2" xfId="5029"/>
    <cellStyle name="Millares 38 2 4 3 2 2 2" xfId="11232"/>
    <cellStyle name="Millares 38 2 4 3 2 2 3" xfId="17434"/>
    <cellStyle name="Millares 38 2 4 3 2 2 4" xfId="56290"/>
    <cellStyle name="Millares 38 2 4 3 2 3" xfId="8132"/>
    <cellStyle name="Millares 38 2 4 3 2 4" xfId="14334"/>
    <cellStyle name="Millares 38 2 4 3 2 5" xfId="53396"/>
    <cellStyle name="Millares 38 2 4 3 3" xfId="2854"/>
    <cellStyle name="Millares 38 2 4 3 3 2" xfId="5968"/>
    <cellStyle name="Millares 38 2 4 3 3 2 2" xfId="12171"/>
    <cellStyle name="Millares 38 2 4 3 3 2 3" xfId="18373"/>
    <cellStyle name="Millares 38 2 4 3 3 2 4" xfId="57199"/>
    <cellStyle name="Millares 38 2 4 3 3 3" xfId="9071"/>
    <cellStyle name="Millares 38 2 4 3 3 4" xfId="15273"/>
    <cellStyle name="Millares 38 2 4 3 3 5" xfId="54310"/>
    <cellStyle name="Millares 38 2 4 3 4" xfId="3896"/>
    <cellStyle name="Millares 38 2 4 3 4 2" xfId="10100"/>
    <cellStyle name="Millares 38 2 4 3 4 3" xfId="16302"/>
    <cellStyle name="Millares 38 2 4 3 4 4" xfId="55270"/>
    <cellStyle name="Millares 38 2 4 3 5" xfId="6999"/>
    <cellStyle name="Millares 38 2 4 3 5 2" xfId="19505"/>
    <cellStyle name="Millares 38 2 4 3 6" xfId="13201"/>
    <cellStyle name="Millares 38 2 4 3 7" xfId="52520"/>
    <cellStyle name="Millares 38 2 4 4" xfId="1380"/>
    <cellStyle name="Millares 38 2 4 4 2" xfId="4505"/>
    <cellStyle name="Millares 38 2 4 4 2 2" xfId="10708"/>
    <cellStyle name="Millares 38 2 4 4 2 3" xfId="16910"/>
    <cellStyle name="Millares 38 2 4 4 2 4" xfId="55794"/>
    <cellStyle name="Millares 38 2 4 4 3" xfId="7608"/>
    <cellStyle name="Millares 38 2 4 4 4" xfId="13810"/>
    <cellStyle name="Millares 38 2 4 4 5" xfId="52918"/>
    <cellStyle name="Millares 38 2 4 5" xfId="2851"/>
    <cellStyle name="Millares 38 2 4 5 2" xfId="5965"/>
    <cellStyle name="Millares 38 2 4 5 2 2" xfId="12168"/>
    <cellStyle name="Millares 38 2 4 5 2 3" xfId="18370"/>
    <cellStyle name="Millares 38 2 4 5 2 4" xfId="57196"/>
    <cellStyle name="Millares 38 2 4 5 3" xfId="9068"/>
    <cellStyle name="Millares 38 2 4 5 4" xfId="15270"/>
    <cellStyle name="Millares 38 2 4 5 5" xfId="54307"/>
    <cellStyle name="Millares 38 2 4 6" xfId="3893"/>
    <cellStyle name="Millares 38 2 4 6 2" xfId="10097"/>
    <cellStyle name="Millares 38 2 4 6 3" xfId="16299"/>
    <cellStyle name="Millares 38 2 4 6 4" xfId="55267"/>
    <cellStyle name="Millares 38 2 4 7" xfId="6996"/>
    <cellStyle name="Millares 38 2 4 7 2" xfId="18981"/>
    <cellStyle name="Millares 38 2 4 7 3" xfId="52517"/>
    <cellStyle name="Millares 38 2 4 8" xfId="13198"/>
    <cellStyle name="Millares 38 2 4 9" xfId="52031"/>
    <cellStyle name="Millares 38 2 5" xfId="662"/>
    <cellStyle name="Millares 38 2 5 2" xfId="663"/>
    <cellStyle name="Millares 38 2 5 2 2" xfId="664"/>
    <cellStyle name="Millares 38 2 5 2 2 2" xfId="2208"/>
    <cellStyle name="Millares 38 2 5 2 2 2 2" xfId="5333"/>
    <cellStyle name="Millares 38 2 5 2 2 2 2 2" xfId="11536"/>
    <cellStyle name="Millares 38 2 5 2 2 2 2 3" xfId="17738"/>
    <cellStyle name="Millares 38 2 5 2 2 2 2 4" xfId="56574"/>
    <cellStyle name="Millares 38 2 5 2 2 2 3" xfId="8436"/>
    <cellStyle name="Millares 38 2 5 2 2 2 4" xfId="14638"/>
    <cellStyle name="Millares 38 2 5 2 2 2 5" xfId="53678"/>
    <cellStyle name="Millares 38 2 5 2 2 3" xfId="2857"/>
    <cellStyle name="Millares 38 2 5 2 2 3 2" xfId="5971"/>
    <cellStyle name="Millares 38 2 5 2 2 3 2 2" xfId="12174"/>
    <cellStyle name="Millares 38 2 5 2 2 3 2 3" xfId="18376"/>
    <cellStyle name="Millares 38 2 5 2 2 3 2 4" xfId="57202"/>
    <cellStyle name="Millares 38 2 5 2 2 3 3" xfId="9074"/>
    <cellStyle name="Millares 38 2 5 2 2 3 4" xfId="15276"/>
    <cellStyle name="Millares 38 2 5 2 2 3 5" xfId="54313"/>
    <cellStyle name="Millares 38 2 5 2 2 4" xfId="3899"/>
    <cellStyle name="Millares 38 2 5 2 2 4 2" xfId="10103"/>
    <cellStyle name="Millares 38 2 5 2 2 4 3" xfId="16305"/>
    <cellStyle name="Millares 38 2 5 2 2 4 4" xfId="55273"/>
    <cellStyle name="Millares 38 2 5 2 2 5" xfId="7002"/>
    <cellStyle name="Millares 38 2 5 2 2 5 2" xfId="19809"/>
    <cellStyle name="Millares 38 2 5 2 2 6" xfId="13204"/>
    <cellStyle name="Millares 38 2 5 2 2 7" xfId="52522"/>
    <cellStyle name="Millares 38 2 5 2 3" xfId="1684"/>
    <cellStyle name="Millares 38 2 5 2 3 2" xfId="4809"/>
    <cellStyle name="Millares 38 2 5 2 3 2 2" xfId="11012"/>
    <cellStyle name="Millares 38 2 5 2 3 2 3" xfId="17214"/>
    <cellStyle name="Millares 38 2 5 2 3 2 4" xfId="56083"/>
    <cellStyle name="Millares 38 2 5 2 3 3" xfId="7912"/>
    <cellStyle name="Millares 38 2 5 2 3 4" xfId="14114"/>
    <cellStyle name="Millares 38 2 5 2 3 5" xfId="53193"/>
    <cellStyle name="Millares 38 2 5 2 4" xfId="2856"/>
    <cellStyle name="Millares 38 2 5 2 4 2" xfId="5970"/>
    <cellStyle name="Millares 38 2 5 2 4 2 2" xfId="12173"/>
    <cellStyle name="Millares 38 2 5 2 4 2 3" xfId="18375"/>
    <cellStyle name="Millares 38 2 5 2 4 2 4" xfId="57201"/>
    <cellStyle name="Millares 38 2 5 2 4 3" xfId="9073"/>
    <cellStyle name="Millares 38 2 5 2 4 4" xfId="15275"/>
    <cellStyle name="Millares 38 2 5 2 4 5" xfId="54312"/>
    <cellStyle name="Millares 38 2 5 2 5" xfId="3898"/>
    <cellStyle name="Millares 38 2 5 2 5 2" xfId="10102"/>
    <cellStyle name="Millares 38 2 5 2 5 3" xfId="16304"/>
    <cellStyle name="Millares 38 2 5 2 5 4" xfId="55272"/>
    <cellStyle name="Millares 38 2 5 2 6" xfId="7001"/>
    <cellStyle name="Millares 38 2 5 2 6 2" xfId="19285"/>
    <cellStyle name="Millares 38 2 5 2 7" xfId="13203"/>
    <cellStyle name="Millares 38 2 5 2 8" xfId="52521"/>
    <cellStyle name="Millares 38 2 5 3" xfId="665"/>
    <cellStyle name="Millares 38 2 5 3 2" xfId="1963"/>
    <cellStyle name="Millares 38 2 5 3 2 2" xfId="5088"/>
    <cellStyle name="Millares 38 2 5 3 2 2 2" xfId="11291"/>
    <cellStyle name="Millares 38 2 5 3 2 2 3" xfId="17493"/>
    <cellStyle name="Millares 38 2 5 3 2 2 4" xfId="56347"/>
    <cellStyle name="Millares 38 2 5 3 2 3" xfId="8191"/>
    <cellStyle name="Millares 38 2 5 3 2 4" xfId="14393"/>
    <cellStyle name="Millares 38 2 5 3 2 5" xfId="53453"/>
    <cellStyle name="Millares 38 2 5 3 3" xfId="2858"/>
    <cellStyle name="Millares 38 2 5 3 3 2" xfId="5972"/>
    <cellStyle name="Millares 38 2 5 3 3 2 2" xfId="12175"/>
    <cellStyle name="Millares 38 2 5 3 3 2 3" xfId="18377"/>
    <cellStyle name="Millares 38 2 5 3 3 2 4" xfId="57203"/>
    <cellStyle name="Millares 38 2 5 3 3 3" xfId="9075"/>
    <cellStyle name="Millares 38 2 5 3 3 4" xfId="15277"/>
    <cellStyle name="Millares 38 2 5 3 3 5" xfId="54314"/>
    <cellStyle name="Millares 38 2 5 3 4" xfId="3900"/>
    <cellStyle name="Millares 38 2 5 3 4 2" xfId="10104"/>
    <cellStyle name="Millares 38 2 5 3 4 3" xfId="16306"/>
    <cellStyle name="Millares 38 2 5 3 4 4" xfId="55274"/>
    <cellStyle name="Millares 38 2 5 3 5" xfId="7003"/>
    <cellStyle name="Millares 38 2 5 3 5 2" xfId="19564"/>
    <cellStyle name="Millares 38 2 5 3 6" xfId="13205"/>
    <cellStyle name="Millares 38 2 5 3 7" xfId="52523"/>
    <cellStyle name="Millares 38 2 5 4" xfId="1439"/>
    <cellStyle name="Millares 38 2 5 4 2" xfId="4564"/>
    <cellStyle name="Millares 38 2 5 4 2 2" xfId="10767"/>
    <cellStyle name="Millares 38 2 5 4 2 3" xfId="16969"/>
    <cellStyle name="Millares 38 2 5 4 2 4" xfId="55851"/>
    <cellStyle name="Millares 38 2 5 4 3" xfId="7667"/>
    <cellStyle name="Millares 38 2 5 4 4" xfId="13869"/>
    <cellStyle name="Millares 38 2 5 4 5" xfId="52969"/>
    <cellStyle name="Millares 38 2 5 5" xfId="2855"/>
    <cellStyle name="Millares 38 2 5 5 2" xfId="5969"/>
    <cellStyle name="Millares 38 2 5 5 2 2" xfId="12172"/>
    <cellStyle name="Millares 38 2 5 5 2 3" xfId="18374"/>
    <cellStyle name="Millares 38 2 5 5 2 4" xfId="57200"/>
    <cellStyle name="Millares 38 2 5 5 3" xfId="9072"/>
    <cellStyle name="Millares 38 2 5 5 4" xfId="15274"/>
    <cellStyle name="Millares 38 2 5 5 5" xfId="54311"/>
    <cellStyle name="Millares 38 2 5 6" xfId="3897"/>
    <cellStyle name="Millares 38 2 5 6 2" xfId="10101"/>
    <cellStyle name="Millares 38 2 5 6 3" xfId="16303"/>
    <cellStyle name="Millares 38 2 5 6 4" xfId="55271"/>
    <cellStyle name="Millares 38 2 5 7" xfId="7000"/>
    <cellStyle name="Millares 38 2 5 7 2" xfId="19040"/>
    <cellStyle name="Millares 38 2 5 8" xfId="13202"/>
    <cellStyle name="Millares 38 2 5 9" xfId="52086"/>
    <cellStyle name="Millares 38 2 6" xfId="666"/>
    <cellStyle name="Millares 38 2 6 2" xfId="667"/>
    <cellStyle name="Millares 38 2 6 2 2" xfId="2092"/>
    <cellStyle name="Millares 38 2 6 2 2 2" xfId="5217"/>
    <cellStyle name="Millares 38 2 6 2 2 2 2" xfId="11420"/>
    <cellStyle name="Millares 38 2 6 2 2 2 3" xfId="17622"/>
    <cellStyle name="Millares 38 2 6 2 2 2 4" xfId="56466"/>
    <cellStyle name="Millares 38 2 6 2 2 3" xfId="8320"/>
    <cellStyle name="Millares 38 2 6 2 2 4" xfId="14522"/>
    <cellStyle name="Millares 38 2 6 2 2 5" xfId="53570"/>
    <cellStyle name="Millares 38 2 6 2 3" xfId="2860"/>
    <cellStyle name="Millares 38 2 6 2 3 2" xfId="5974"/>
    <cellStyle name="Millares 38 2 6 2 3 2 2" xfId="12177"/>
    <cellStyle name="Millares 38 2 6 2 3 2 3" xfId="18379"/>
    <cellStyle name="Millares 38 2 6 2 3 2 4" xfId="57205"/>
    <cellStyle name="Millares 38 2 6 2 3 3" xfId="9077"/>
    <cellStyle name="Millares 38 2 6 2 3 4" xfId="15279"/>
    <cellStyle name="Millares 38 2 6 2 3 5" xfId="54316"/>
    <cellStyle name="Millares 38 2 6 2 4" xfId="3902"/>
    <cellStyle name="Millares 38 2 6 2 4 2" xfId="10106"/>
    <cellStyle name="Millares 38 2 6 2 4 3" xfId="16308"/>
    <cellStyle name="Millares 38 2 6 2 4 4" xfId="55276"/>
    <cellStyle name="Millares 38 2 6 2 5" xfId="7005"/>
    <cellStyle name="Millares 38 2 6 2 5 2" xfId="19693"/>
    <cellStyle name="Millares 38 2 6 2 6" xfId="13207"/>
    <cellStyle name="Millares 38 2 6 2 7" xfId="52524"/>
    <cellStyle name="Millares 38 2 6 3" xfId="1568"/>
    <cellStyle name="Millares 38 2 6 3 2" xfId="4693"/>
    <cellStyle name="Millares 38 2 6 3 2 2" xfId="10896"/>
    <cellStyle name="Millares 38 2 6 3 2 3" xfId="17098"/>
    <cellStyle name="Millares 38 2 6 3 2 4" xfId="55972"/>
    <cellStyle name="Millares 38 2 6 3 3" xfId="7796"/>
    <cellStyle name="Millares 38 2 6 3 4" xfId="13998"/>
    <cellStyle name="Millares 38 2 6 3 5" xfId="53085"/>
    <cellStyle name="Millares 38 2 6 4" xfId="2859"/>
    <cellStyle name="Millares 38 2 6 4 2" xfId="5973"/>
    <cellStyle name="Millares 38 2 6 4 2 2" xfId="12176"/>
    <cellStyle name="Millares 38 2 6 4 2 3" xfId="18378"/>
    <cellStyle name="Millares 38 2 6 4 2 4" xfId="57204"/>
    <cellStyle name="Millares 38 2 6 4 3" xfId="9076"/>
    <cellStyle name="Millares 38 2 6 4 4" xfId="15278"/>
    <cellStyle name="Millares 38 2 6 4 5" xfId="54315"/>
    <cellStyle name="Millares 38 2 6 5" xfId="3901"/>
    <cellStyle name="Millares 38 2 6 5 2" xfId="10105"/>
    <cellStyle name="Millares 38 2 6 5 3" xfId="16307"/>
    <cellStyle name="Millares 38 2 6 5 4" xfId="55275"/>
    <cellStyle name="Millares 38 2 6 6" xfId="7004"/>
    <cellStyle name="Millares 38 2 6 6 2" xfId="19169"/>
    <cellStyle name="Millares 38 2 6 7" xfId="13206"/>
    <cellStyle name="Millares 38 2 6 8" xfId="51946"/>
    <cellStyle name="Millares 38 2 7" xfId="668"/>
    <cellStyle name="Millares 38 2 7 2" xfId="1822"/>
    <cellStyle name="Millares 38 2 7 2 2" xfId="4947"/>
    <cellStyle name="Millares 38 2 7 2 2 2" xfId="11150"/>
    <cellStyle name="Millares 38 2 7 2 2 3" xfId="17352"/>
    <cellStyle name="Millares 38 2 7 2 2 4" xfId="56212"/>
    <cellStyle name="Millares 38 2 7 2 3" xfId="8050"/>
    <cellStyle name="Millares 38 2 7 2 4" xfId="14252"/>
    <cellStyle name="Millares 38 2 7 2 5" xfId="53318"/>
    <cellStyle name="Millares 38 2 7 3" xfId="2861"/>
    <cellStyle name="Millares 38 2 7 3 2" xfId="5975"/>
    <cellStyle name="Millares 38 2 7 3 2 2" xfId="12178"/>
    <cellStyle name="Millares 38 2 7 3 2 3" xfId="18380"/>
    <cellStyle name="Millares 38 2 7 3 2 4" xfId="57206"/>
    <cellStyle name="Millares 38 2 7 3 3" xfId="9078"/>
    <cellStyle name="Millares 38 2 7 3 4" xfId="15280"/>
    <cellStyle name="Millares 38 2 7 3 5" xfId="54317"/>
    <cellStyle name="Millares 38 2 7 4" xfId="3903"/>
    <cellStyle name="Millares 38 2 7 4 2" xfId="10107"/>
    <cellStyle name="Millares 38 2 7 4 3" xfId="16309"/>
    <cellStyle name="Millares 38 2 7 4 4" xfId="55277"/>
    <cellStyle name="Millares 38 2 7 5" xfId="7006"/>
    <cellStyle name="Millares 38 2 7 5 2" xfId="19423"/>
    <cellStyle name="Millares 38 2 7 6" xfId="13208"/>
    <cellStyle name="Millares 38 2 7 7" xfId="52525"/>
    <cellStyle name="Millares 38 2 8" xfId="1297"/>
    <cellStyle name="Millares 38 2 8 2" xfId="4422"/>
    <cellStyle name="Millares 38 2 8 2 2" xfId="10625"/>
    <cellStyle name="Millares 38 2 8 2 3" xfId="16827"/>
    <cellStyle name="Millares 38 2 8 2 4" xfId="55715"/>
    <cellStyle name="Millares 38 2 8 3" xfId="7525"/>
    <cellStyle name="Millares 38 2 8 4" xfId="13727"/>
    <cellStyle name="Millares 38 2 8 5" xfId="52844"/>
    <cellStyle name="Millares 38 2 9" xfId="2834"/>
    <cellStyle name="Millares 38 2 9 2" xfId="5948"/>
    <cellStyle name="Millares 38 2 9 2 2" xfId="12151"/>
    <cellStyle name="Millares 38 2 9 2 3" xfId="18353"/>
    <cellStyle name="Millares 38 2 9 2 4" xfId="57179"/>
    <cellStyle name="Millares 38 2 9 3" xfId="9051"/>
    <cellStyle name="Millares 38 2 9 4" xfId="15253"/>
    <cellStyle name="Millares 38 2 9 5" xfId="54290"/>
    <cellStyle name="Millares 38 3" xfId="669"/>
    <cellStyle name="Millares 38 3 10" xfId="20009"/>
    <cellStyle name="Millares 38 3 2" xfId="670"/>
    <cellStyle name="Millares 38 3 2 2" xfId="671"/>
    <cellStyle name="Millares 38 3 2 2 2" xfId="672"/>
    <cellStyle name="Millares 38 3 2 2 2 2" xfId="2224"/>
    <cellStyle name="Millares 38 3 2 2 2 2 2" xfId="5349"/>
    <cellStyle name="Millares 38 3 2 2 2 2 2 2" xfId="11552"/>
    <cellStyle name="Millares 38 3 2 2 2 2 2 3" xfId="17754"/>
    <cellStyle name="Millares 38 3 2 2 2 2 2 4" xfId="56588"/>
    <cellStyle name="Millares 38 3 2 2 2 2 3" xfId="8452"/>
    <cellStyle name="Millares 38 3 2 2 2 2 4" xfId="14654"/>
    <cellStyle name="Millares 38 3 2 2 2 2 5" xfId="53692"/>
    <cellStyle name="Millares 38 3 2 2 2 3" xfId="2865"/>
    <cellStyle name="Millares 38 3 2 2 2 3 2" xfId="5979"/>
    <cellStyle name="Millares 38 3 2 2 2 3 2 2" xfId="12182"/>
    <cellStyle name="Millares 38 3 2 2 2 3 2 3" xfId="18384"/>
    <cellStyle name="Millares 38 3 2 2 2 3 2 4" xfId="57210"/>
    <cellStyle name="Millares 38 3 2 2 2 3 3" xfId="9082"/>
    <cellStyle name="Millares 38 3 2 2 2 3 4" xfId="15284"/>
    <cellStyle name="Millares 38 3 2 2 2 3 5" xfId="54321"/>
    <cellStyle name="Millares 38 3 2 2 2 4" xfId="3907"/>
    <cellStyle name="Millares 38 3 2 2 2 4 2" xfId="10111"/>
    <cellStyle name="Millares 38 3 2 2 2 4 3" xfId="16313"/>
    <cellStyle name="Millares 38 3 2 2 2 4 4" xfId="55281"/>
    <cellStyle name="Millares 38 3 2 2 2 5" xfId="7010"/>
    <cellStyle name="Millares 38 3 2 2 2 5 2" xfId="19825"/>
    <cellStyle name="Millares 38 3 2 2 2 6" xfId="13212"/>
    <cellStyle name="Millares 38 3 2 2 2 7" xfId="52526"/>
    <cellStyle name="Millares 38 3 2 2 3" xfId="1700"/>
    <cellStyle name="Millares 38 3 2 2 3 2" xfId="4825"/>
    <cellStyle name="Millares 38 3 2 2 3 2 2" xfId="11028"/>
    <cellStyle name="Millares 38 3 2 2 3 2 3" xfId="17230"/>
    <cellStyle name="Millares 38 3 2 2 3 2 4" xfId="56097"/>
    <cellStyle name="Millares 38 3 2 2 3 3" xfId="7928"/>
    <cellStyle name="Millares 38 3 2 2 3 4" xfId="14130"/>
    <cellStyle name="Millares 38 3 2 2 3 5" xfId="53207"/>
    <cellStyle name="Millares 38 3 2 2 4" xfId="2864"/>
    <cellStyle name="Millares 38 3 2 2 4 2" xfId="5978"/>
    <cellStyle name="Millares 38 3 2 2 4 2 2" xfId="12181"/>
    <cellStyle name="Millares 38 3 2 2 4 2 3" xfId="18383"/>
    <cellStyle name="Millares 38 3 2 2 4 2 4" xfId="57209"/>
    <cellStyle name="Millares 38 3 2 2 4 3" xfId="9081"/>
    <cellStyle name="Millares 38 3 2 2 4 4" xfId="15283"/>
    <cellStyle name="Millares 38 3 2 2 4 5" xfId="54320"/>
    <cellStyle name="Millares 38 3 2 2 5" xfId="3906"/>
    <cellStyle name="Millares 38 3 2 2 5 2" xfId="10110"/>
    <cellStyle name="Millares 38 3 2 2 5 3" xfId="16312"/>
    <cellStyle name="Millares 38 3 2 2 5 4" xfId="55280"/>
    <cellStyle name="Millares 38 3 2 2 6" xfId="7009"/>
    <cellStyle name="Millares 38 3 2 2 6 2" xfId="19301"/>
    <cellStyle name="Millares 38 3 2 2 7" xfId="13211"/>
    <cellStyle name="Millares 38 3 2 2 8" xfId="52102"/>
    <cellStyle name="Millares 38 3 2 3" xfId="673"/>
    <cellStyle name="Millares 38 3 2 3 2" xfId="1979"/>
    <cellStyle name="Millares 38 3 2 3 2 2" xfId="5104"/>
    <cellStyle name="Millares 38 3 2 3 2 2 2" xfId="11307"/>
    <cellStyle name="Millares 38 3 2 3 2 2 3" xfId="17509"/>
    <cellStyle name="Millares 38 3 2 3 2 2 4" xfId="56361"/>
    <cellStyle name="Millares 38 3 2 3 2 3" xfId="8207"/>
    <cellStyle name="Millares 38 3 2 3 2 4" xfId="14409"/>
    <cellStyle name="Millares 38 3 2 3 2 5" xfId="53467"/>
    <cellStyle name="Millares 38 3 2 3 3" xfId="2866"/>
    <cellStyle name="Millares 38 3 2 3 3 2" xfId="5980"/>
    <cellStyle name="Millares 38 3 2 3 3 2 2" xfId="12183"/>
    <cellStyle name="Millares 38 3 2 3 3 2 3" xfId="18385"/>
    <cellStyle name="Millares 38 3 2 3 3 2 4" xfId="57211"/>
    <cellStyle name="Millares 38 3 2 3 3 3" xfId="9083"/>
    <cellStyle name="Millares 38 3 2 3 3 4" xfId="15285"/>
    <cellStyle name="Millares 38 3 2 3 3 5" xfId="54322"/>
    <cellStyle name="Millares 38 3 2 3 4" xfId="3908"/>
    <cellStyle name="Millares 38 3 2 3 4 2" xfId="10112"/>
    <cellStyle name="Millares 38 3 2 3 4 3" xfId="16314"/>
    <cellStyle name="Millares 38 3 2 3 4 4" xfId="55282"/>
    <cellStyle name="Millares 38 3 2 3 5" xfId="7011"/>
    <cellStyle name="Millares 38 3 2 3 5 2" xfId="19580"/>
    <cellStyle name="Millares 38 3 2 3 6" xfId="13213"/>
    <cellStyle name="Millares 38 3 2 3 7" xfId="52527"/>
    <cellStyle name="Millares 38 3 2 4" xfId="1455"/>
    <cellStyle name="Millares 38 3 2 4 2" xfId="4580"/>
    <cellStyle name="Millares 38 3 2 4 2 2" xfId="10783"/>
    <cellStyle name="Millares 38 3 2 4 2 3" xfId="16985"/>
    <cellStyle name="Millares 38 3 2 4 2 4" xfId="55865"/>
    <cellStyle name="Millares 38 3 2 4 3" xfId="7683"/>
    <cellStyle name="Millares 38 3 2 4 4" xfId="13885"/>
    <cellStyle name="Millares 38 3 2 4 5" xfId="52983"/>
    <cellStyle name="Millares 38 3 2 5" xfId="2863"/>
    <cellStyle name="Millares 38 3 2 5 2" xfId="5977"/>
    <cellStyle name="Millares 38 3 2 5 2 2" xfId="12180"/>
    <cellStyle name="Millares 38 3 2 5 2 3" xfId="18382"/>
    <cellStyle name="Millares 38 3 2 5 2 4" xfId="57208"/>
    <cellStyle name="Millares 38 3 2 5 3" xfId="9080"/>
    <cellStyle name="Millares 38 3 2 5 4" xfId="15282"/>
    <cellStyle name="Millares 38 3 2 5 5" xfId="54319"/>
    <cellStyle name="Millares 38 3 2 6" xfId="3905"/>
    <cellStyle name="Millares 38 3 2 6 2" xfId="10109"/>
    <cellStyle name="Millares 38 3 2 6 3" xfId="16311"/>
    <cellStyle name="Millares 38 3 2 6 4" xfId="55279"/>
    <cellStyle name="Millares 38 3 2 7" xfId="7008"/>
    <cellStyle name="Millares 38 3 2 7 2" xfId="19056"/>
    <cellStyle name="Millares 38 3 2 8" xfId="13210"/>
    <cellStyle name="Millares 38 3 2 9" xfId="29830"/>
    <cellStyle name="Millares 38 3 3" xfId="674"/>
    <cellStyle name="Millares 38 3 3 2" xfId="675"/>
    <cellStyle name="Millares 38 3 3 2 2" xfId="1910"/>
    <cellStyle name="Millares 38 3 3 2 2 2" xfId="5035"/>
    <cellStyle name="Millares 38 3 3 2 2 2 2" xfId="11238"/>
    <cellStyle name="Millares 38 3 3 2 2 2 3" xfId="17440"/>
    <cellStyle name="Millares 38 3 3 2 2 2 4" xfId="56296"/>
    <cellStyle name="Millares 38 3 3 2 2 3" xfId="8138"/>
    <cellStyle name="Millares 38 3 3 2 2 4" xfId="14340"/>
    <cellStyle name="Millares 38 3 3 2 2 5" xfId="53402"/>
    <cellStyle name="Millares 38 3 3 2 3" xfId="2868"/>
    <cellStyle name="Millares 38 3 3 2 3 2" xfId="5982"/>
    <cellStyle name="Millares 38 3 3 2 3 2 2" xfId="12185"/>
    <cellStyle name="Millares 38 3 3 2 3 2 3" xfId="18387"/>
    <cellStyle name="Millares 38 3 3 2 3 2 4" xfId="57213"/>
    <cellStyle name="Millares 38 3 3 2 3 3" xfId="9085"/>
    <cellStyle name="Millares 38 3 3 2 3 4" xfId="15287"/>
    <cellStyle name="Millares 38 3 3 2 3 5" xfId="54324"/>
    <cellStyle name="Millares 38 3 3 2 4" xfId="3910"/>
    <cellStyle name="Millares 38 3 3 2 4 2" xfId="10114"/>
    <cellStyle name="Millares 38 3 3 2 4 3" xfId="16316"/>
    <cellStyle name="Millares 38 3 3 2 4 4" xfId="55284"/>
    <cellStyle name="Millares 38 3 3 2 5" xfId="7013"/>
    <cellStyle name="Millares 38 3 3 2 5 2" xfId="19511"/>
    <cellStyle name="Millares 38 3 3 2 6" xfId="13215"/>
    <cellStyle name="Millares 38 3 3 2 7" xfId="52529"/>
    <cellStyle name="Millares 38 3 3 3" xfId="1386"/>
    <cellStyle name="Millares 38 3 3 3 2" xfId="4511"/>
    <cellStyle name="Millares 38 3 3 3 2 2" xfId="10714"/>
    <cellStyle name="Millares 38 3 3 3 2 3" xfId="16916"/>
    <cellStyle name="Millares 38 3 3 3 2 4" xfId="55800"/>
    <cellStyle name="Millares 38 3 3 3 3" xfId="7614"/>
    <cellStyle name="Millares 38 3 3 3 4" xfId="13816"/>
    <cellStyle name="Millares 38 3 3 3 5" xfId="52924"/>
    <cellStyle name="Millares 38 3 3 4" xfId="2867"/>
    <cellStyle name="Millares 38 3 3 4 2" xfId="5981"/>
    <cellStyle name="Millares 38 3 3 4 2 2" xfId="12184"/>
    <cellStyle name="Millares 38 3 3 4 2 3" xfId="18386"/>
    <cellStyle name="Millares 38 3 3 4 2 4" xfId="57212"/>
    <cellStyle name="Millares 38 3 3 4 3" xfId="9084"/>
    <cellStyle name="Millares 38 3 3 4 4" xfId="15286"/>
    <cellStyle name="Millares 38 3 3 4 5" xfId="54323"/>
    <cellStyle name="Millares 38 3 3 5" xfId="3909"/>
    <cellStyle name="Millares 38 3 3 5 2" xfId="10113"/>
    <cellStyle name="Millares 38 3 3 5 3" xfId="16315"/>
    <cellStyle name="Millares 38 3 3 5 4" xfId="55283"/>
    <cellStyle name="Millares 38 3 3 6" xfId="7012"/>
    <cellStyle name="Millares 38 3 3 6 2" xfId="18987"/>
    <cellStyle name="Millares 38 3 3 6 3" xfId="52528"/>
    <cellStyle name="Millares 38 3 3 7" xfId="13214"/>
    <cellStyle name="Millares 38 3 3 8" xfId="52040"/>
    <cellStyle name="Millares 38 3 4" xfId="676"/>
    <cellStyle name="Millares 38 3 4 2" xfId="1837"/>
    <cellStyle name="Millares 38 3 4 2 2" xfId="4962"/>
    <cellStyle name="Millares 38 3 4 2 2 2" xfId="11165"/>
    <cellStyle name="Millares 38 3 4 2 2 3" xfId="17367"/>
    <cellStyle name="Millares 38 3 4 2 2 4" xfId="56226"/>
    <cellStyle name="Millares 38 3 4 2 3" xfId="8065"/>
    <cellStyle name="Millares 38 3 4 2 4" xfId="14267"/>
    <cellStyle name="Millares 38 3 4 2 5" xfId="53332"/>
    <cellStyle name="Millares 38 3 4 3" xfId="2869"/>
    <cellStyle name="Millares 38 3 4 3 2" xfId="5983"/>
    <cellStyle name="Millares 38 3 4 3 2 2" xfId="12186"/>
    <cellStyle name="Millares 38 3 4 3 2 3" xfId="18388"/>
    <cellStyle name="Millares 38 3 4 3 2 4" xfId="57214"/>
    <cellStyle name="Millares 38 3 4 3 3" xfId="9086"/>
    <cellStyle name="Millares 38 3 4 3 4" xfId="15288"/>
    <cellStyle name="Millares 38 3 4 3 5" xfId="54325"/>
    <cellStyle name="Millares 38 3 4 4" xfId="3911"/>
    <cellStyle name="Millares 38 3 4 4 2" xfId="10115"/>
    <cellStyle name="Millares 38 3 4 4 3" xfId="16317"/>
    <cellStyle name="Millares 38 3 4 4 4" xfId="55285"/>
    <cellStyle name="Millares 38 3 4 5" xfId="7014"/>
    <cellStyle name="Millares 38 3 4 5 2" xfId="19438"/>
    <cellStyle name="Millares 38 3 4 6" xfId="13216"/>
    <cellStyle name="Millares 38 3 4 7" xfId="51972"/>
    <cellStyle name="Millares 38 3 5" xfId="1313"/>
    <cellStyle name="Millares 38 3 5 2" xfId="4438"/>
    <cellStyle name="Millares 38 3 5 2 2" xfId="10641"/>
    <cellStyle name="Millares 38 3 5 2 3" xfId="16843"/>
    <cellStyle name="Millares 38 3 5 2 4" xfId="55729"/>
    <cellStyle name="Millares 38 3 5 3" xfId="7541"/>
    <cellStyle name="Millares 38 3 5 4" xfId="13743"/>
    <cellStyle name="Millares 38 3 5 5" xfId="52858"/>
    <cellStyle name="Millares 38 3 6" xfId="2862"/>
    <cellStyle name="Millares 38 3 6 2" xfId="5976"/>
    <cellStyle name="Millares 38 3 6 2 2" xfId="12179"/>
    <cellStyle name="Millares 38 3 6 2 3" xfId="18381"/>
    <cellStyle name="Millares 38 3 6 2 4" xfId="57207"/>
    <cellStyle name="Millares 38 3 6 3" xfId="9079"/>
    <cellStyle name="Millares 38 3 6 4" xfId="15281"/>
    <cellStyle name="Millares 38 3 6 5" xfId="54318"/>
    <cellStyle name="Millares 38 3 7" xfId="3904"/>
    <cellStyle name="Millares 38 3 7 2" xfId="10108"/>
    <cellStyle name="Millares 38 3 7 3" xfId="16310"/>
    <cellStyle name="Millares 38 3 7 4" xfId="55278"/>
    <cellStyle name="Millares 38 3 8" xfId="7007"/>
    <cellStyle name="Millares 38 3 8 2" xfId="18914"/>
    <cellStyle name="Millares 38 3 9" xfId="13209"/>
    <cellStyle name="Millares 38 4" xfId="677"/>
    <cellStyle name="Millares 38 4 10" xfId="29828"/>
    <cellStyle name="Millares 38 4 2" xfId="678"/>
    <cellStyle name="Millares 38 4 2 2" xfId="679"/>
    <cellStyle name="Millares 38 4 2 2 2" xfId="680"/>
    <cellStyle name="Millares 38 4 2 2 2 2" xfId="2248"/>
    <cellStyle name="Millares 38 4 2 2 2 2 2" xfId="5373"/>
    <cellStyle name="Millares 38 4 2 2 2 2 2 2" xfId="11576"/>
    <cellStyle name="Millares 38 4 2 2 2 2 2 3" xfId="17778"/>
    <cellStyle name="Millares 38 4 2 2 2 2 2 4" xfId="56612"/>
    <cellStyle name="Millares 38 4 2 2 2 2 3" xfId="8476"/>
    <cellStyle name="Millares 38 4 2 2 2 2 4" xfId="14678"/>
    <cellStyle name="Millares 38 4 2 2 2 2 5" xfId="53716"/>
    <cellStyle name="Millares 38 4 2 2 2 3" xfId="2873"/>
    <cellStyle name="Millares 38 4 2 2 2 3 2" xfId="5987"/>
    <cellStyle name="Millares 38 4 2 2 2 3 2 2" xfId="12190"/>
    <cellStyle name="Millares 38 4 2 2 2 3 2 3" xfId="18392"/>
    <cellStyle name="Millares 38 4 2 2 2 3 2 4" xfId="57218"/>
    <cellStyle name="Millares 38 4 2 2 2 3 3" xfId="9090"/>
    <cellStyle name="Millares 38 4 2 2 2 3 4" xfId="15292"/>
    <cellStyle name="Millares 38 4 2 2 2 3 5" xfId="54329"/>
    <cellStyle name="Millares 38 4 2 2 2 4" xfId="3915"/>
    <cellStyle name="Millares 38 4 2 2 2 4 2" xfId="10119"/>
    <cellStyle name="Millares 38 4 2 2 2 4 3" xfId="16321"/>
    <cellStyle name="Millares 38 4 2 2 2 4 4" xfId="55289"/>
    <cellStyle name="Millares 38 4 2 2 2 5" xfId="7018"/>
    <cellStyle name="Millares 38 4 2 2 2 5 2" xfId="19849"/>
    <cellStyle name="Millares 38 4 2 2 2 6" xfId="13220"/>
    <cellStyle name="Millares 38 4 2 2 2 7" xfId="52531"/>
    <cellStyle name="Millares 38 4 2 2 3" xfId="1724"/>
    <cellStyle name="Millares 38 4 2 2 3 2" xfId="4849"/>
    <cellStyle name="Millares 38 4 2 2 3 2 2" xfId="11052"/>
    <cellStyle name="Millares 38 4 2 2 3 2 3" xfId="17254"/>
    <cellStyle name="Millares 38 4 2 2 3 2 4" xfId="56121"/>
    <cellStyle name="Millares 38 4 2 2 3 3" xfId="7952"/>
    <cellStyle name="Millares 38 4 2 2 3 4" xfId="14154"/>
    <cellStyle name="Millares 38 4 2 2 3 5" xfId="53231"/>
    <cellStyle name="Millares 38 4 2 2 4" xfId="2872"/>
    <cellStyle name="Millares 38 4 2 2 4 2" xfId="5986"/>
    <cellStyle name="Millares 38 4 2 2 4 2 2" xfId="12189"/>
    <cellStyle name="Millares 38 4 2 2 4 2 3" xfId="18391"/>
    <cellStyle name="Millares 38 4 2 2 4 2 4" xfId="57217"/>
    <cellStyle name="Millares 38 4 2 2 4 3" xfId="9089"/>
    <cellStyle name="Millares 38 4 2 2 4 4" xfId="15291"/>
    <cellStyle name="Millares 38 4 2 2 4 5" xfId="54328"/>
    <cellStyle name="Millares 38 4 2 2 5" xfId="3914"/>
    <cellStyle name="Millares 38 4 2 2 5 2" xfId="10118"/>
    <cellStyle name="Millares 38 4 2 2 5 3" xfId="16320"/>
    <cellStyle name="Millares 38 4 2 2 5 4" xfId="55288"/>
    <cellStyle name="Millares 38 4 2 2 6" xfId="7017"/>
    <cellStyle name="Millares 38 4 2 2 6 2" xfId="19325"/>
    <cellStyle name="Millares 38 4 2 2 7" xfId="13219"/>
    <cellStyle name="Millares 38 4 2 2 8" xfId="52530"/>
    <cellStyle name="Millares 38 4 2 3" xfId="681"/>
    <cellStyle name="Millares 38 4 2 3 2" xfId="2003"/>
    <cellStyle name="Millares 38 4 2 3 2 2" xfId="5128"/>
    <cellStyle name="Millares 38 4 2 3 2 2 2" xfId="11331"/>
    <cellStyle name="Millares 38 4 2 3 2 2 3" xfId="17533"/>
    <cellStyle name="Millares 38 4 2 3 2 2 4" xfId="56385"/>
    <cellStyle name="Millares 38 4 2 3 2 3" xfId="8231"/>
    <cellStyle name="Millares 38 4 2 3 2 4" xfId="14433"/>
    <cellStyle name="Millares 38 4 2 3 2 5" xfId="53490"/>
    <cellStyle name="Millares 38 4 2 3 3" xfId="2874"/>
    <cellStyle name="Millares 38 4 2 3 3 2" xfId="5988"/>
    <cellStyle name="Millares 38 4 2 3 3 2 2" xfId="12191"/>
    <cellStyle name="Millares 38 4 2 3 3 2 3" xfId="18393"/>
    <cellStyle name="Millares 38 4 2 3 3 2 4" xfId="57219"/>
    <cellStyle name="Millares 38 4 2 3 3 3" xfId="9091"/>
    <cellStyle name="Millares 38 4 2 3 3 4" xfId="15293"/>
    <cellStyle name="Millares 38 4 2 3 3 5" xfId="54330"/>
    <cellStyle name="Millares 38 4 2 3 4" xfId="3916"/>
    <cellStyle name="Millares 38 4 2 3 4 2" xfId="10120"/>
    <cellStyle name="Millares 38 4 2 3 4 3" xfId="16322"/>
    <cellStyle name="Millares 38 4 2 3 4 4" xfId="55290"/>
    <cellStyle name="Millares 38 4 2 3 5" xfId="7019"/>
    <cellStyle name="Millares 38 4 2 3 5 2" xfId="19604"/>
    <cellStyle name="Millares 38 4 2 3 6" xfId="13221"/>
    <cellStyle name="Millares 38 4 2 3 7" xfId="52532"/>
    <cellStyle name="Millares 38 4 2 4" xfId="1479"/>
    <cellStyle name="Millares 38 4 2 4 2" xfId="4604"/>
    <cellStyle name="Millares 38 4 2 4 2 2" xfId="10807"/>
    <cellStyle name="Millares 38 4 2 4 2 3" xfId="17009"/>
    <cellStyle name="Millares 38 4 2 4 2 4" xfId="55889"/>
    <cellStyle name="Millares 38 4 2 4 3" xfId="7707"/>
    <cellStyle name="Millares 38 4 2 4 4" xfId="13909"/>
    <cellStyle name="Millares 38 4 2 4 5" xfId="53006"/>
    <cellStyle name="Millares 38 4 2 5" xfId="2871"/>
    <cellStyle name="Millares 38 4 2 5 2" xfId="5985"/>
    <cellStyle name="Millares 38 4 2 5 2 2" xfId="12188"/>
    <cellStyle name="Millares 38 4 2 5 2 3" xfId="18390"/>
    <cellStyle name="Millares 38 4 2 5 2 4" xfId="57216"/>
    <cellStyle name="Millares 38 4 2 5 3" xfId="9088"/>
    <cellStyle name="Millares 38 4 2 5 4" xfId="15290"/>
    <cellStyle name="Millares 38 4 2 5 5" xfId="54327"/>
    <cellStyle name="Millares 38 4 2 6" xfId="3913"/>
    <cellStyle name="Millares 38 4 2 6 2" xfId="10117"/>
    <cellStyle name="Millares 38 4 2 6 3" xfId="16319"/>
    <cellStyle name="Millares 38 4 2 6 4" xfId="55287"/>
    <cellStyle name="Millares 38 4 2 7" xfId="7016"/>
    <cellStyle name="Millares 38 4 2 7 2" xfId="19080"/>
    <cellStyle name="Millares 38 4 2 8" xfId="13218"/>
    <cellStyle name="Millares 38 4 2 9" xfId="52124"/>
    <cellStyle name="Millares 38 4 3" xfId="682"/>
    <cellStyle name="Millares 38 4 3 2" xfId="683"/>
    <cellStyle name="Millares 38 4 3 2 2" xfId="2120"/>
    <cellStyle name="Millares 38 4 3 2 2 2" xfId="5245"/>
    <cellStyle name="Millares 38 4 3 2 2 2 2" xfId="11448"/>
    <cellStyle name="Millares 38 4 3 2 2 2 3" xfId="17650"/>
    <cellStyle name="Millares 38 4 3 2 2 2 4" xfId="56493"/>
    <cellStyle name="Millares 38 4 3 2 2 3" xfId="8348"/>
    <cellStyle name="Millares 38 4 3 2 2 4" xfId="14550"/>
    <cellStyle name="Millares 38 4 3 2 2 5" xfId="53597"/>
    <cellStyle name="Millares 38 4 3 2 3" xfId="2876"/>
    <cellStyle name="Millares 38 4 3 2 3 2" xfId="5990"/>
    <cellStyle name="Millares 38 4 3 2 3 2 2" xfId="12193"/>
    <cellStyle name="Millares 38 4 3 2 3 2 3" xfId="18395"/>
    <cellStyle name="Millares 38 4 3 2 3 2 4" xfId="57221"/>
    <cellStyle name="Millares 38 4 3 2 3 3" xfId="9093"/>
    <cellStyle name="Millares 38 4 3 2 3 4" xfId="15295"/>
    <cellStyle name="Millares 38 4 3 2 3 5" xfId="54332"/>
    <cellStyle name="Millares 38 4 3 2 4" xfId="3918"/>
    <cellStyle name="Millares 38 4 3 2 4 2" xfId="10122"/>
    <cellStyle name="Millares 38 4 3 2 4 3" xfId="16324"/>
    <cellStyle name="Millares 38 4 3 2 4 4" xfId="55292"/>
    <cellStyle name="Millares 38 4 3 2 5" xfId="7021"/>
    <cellStyle name="Millares 38 4 3 2 5 2" xfId="19721"/>
    <cellStyle name="Millares 38 4 3 2 6" xfId="13223"/>
    <cellStyle name="Millares 38 4 3 2 7" xfId="52533"/>
    <cellStyle name="Millares 38 4 3 3" xfId="1596"/>
    <cellStyle name="Millares 38 4 3 3 2" xfId="4721"/>
    <cellStyle name="Millares 38 4 3 3 2 2" xfId="10924"/>
    <cellStyle name="Millares 38 4 3 3 2 3" xfId="17126"/>
    <cellStyle name="Millares 38 4 3 3 2 4" xfId="55999"/>
    <cellStyle name="Millares 38 4 3 3 3" xfId="7824"/>
    <cellStyle name="Millares 38 4 3 3 4" xfId="14026"/>
    <cellStyle name="Millares 38 4 3 3 5" xfId="53112"/>
    <cellStyle name="Millares 38 4 3 4" xfId="2875"/>
    <cellStyle name="Millares 38 4 3 4 2" xfId="5989"/>
    <cellStyle name="Millares 38 4 3 4 2 2" xfId="12192"/>
    <cellStyle name="Millares 38 4 3 4 2 3" xfId="18394"/>
    <cellStyle name="Millares 38 4 3 4 2 4" xfId="57220"/>
    <cellStyle name="Millares 38 4 3 4 3" xfId="9092"/>
    <cellStyle name="Millares 38 4 3 4 4" xfId="15294"/>
    <cellStyle name="Millares 38 4 3 4 5" xfId="54331"/>
    <cellStyle name="Millares 38 4 3 5" xfId="3917"/>
    <cellStyle name="Millares 38 4 3 5 2" xfId="10121"/>
    <cellStyle name="Millares 38 4 3 5 3" xfId="16323"/>
    <cellStyle name="Millares 38 4 3 5 4" xfId="55291"/>
    <cellStyle name="Millares 38 4 3 6" xfId="7020"/>
    <cellStyle name="Millares 38 4 3 6 2" xfId="19197"/>
    <cellStyle name="Millares 38 4 3 7" xfId="13222"/>
    <cellStyle name="Millares 38 4 3 8" xfId="51996"/>
    <cellStyle name="Millares 38 4 4" xfId="684"/>
    <cellStyle name="Millares 38 4 4 2" xfId="1861"/>
    <cellStyle name="Millares 38 4 4 2 2" xfId="4986"/>
    <cellStyle name="Millares 38 4 4 2 2 2" xfId="11189"/>
    <cellStyle name="Millares 38 4 4 2 2 3" xfId="17391"/>
    <cellStyle name="Millares 38 4 4 2 2 4" xfId="56250"/>
    <cellStyle name="Millares 38 4 4 2 3" xfId="8089"/>
    <cellStyle name="Millares 38 4 4 2 4" xfId="14291"/>
    <cellStyle name="Millares 38 4 4 2 5" xfId="53356"/>
    <cellStyle name="Millares 38 4 4 3" xfId="2877"/>
    <cellStyle name="Millares 38 4 4 3 2" xfId="5991"/>
    <cellStyle name="Millares 38 4 4 3 2 2" xfId="12194"/>
    <cellStyle name="Millares 38 4 4 3 2 3" xfId="18396"/>
    <cellStyle name="Millares 38 4 4 3 2 4" xfId="57222"/>
    <cellStyle name="Millares 38 4 4 3 3" xfId="9094"/>
    <cellStyle name="Millares 38 4 4 3 4" xfId="15296"/>
    <cellStyle name="Millares 38 4 4 3 5" xfId="54333"/>
    <cellStyle name="Millares 38 4 4 4" xfId="3919"/>
    <cellStyle name="Millares 38 4 4 4 2" xfId="10123"/>
    <cellStyle name="Millares 38 4 4 4 3" xfId="16325"/>
    <cellStyle name="Millares 38 4 4 4 4" xfId="55293"/>
    <cellStyle name="Millares 38 4 4 5" xfId="7022"/>
    <cellStyle name="Millares 38 4 4 5 2" xfId="19462"/>
    <cellStyle name="Millares 38 4 4 6" xfId="13224"/>
    <cellStyle name="Millares 38 4 4 7" xfId="52534"/>
    <cellStyle name="Millares 38 4 5" xfId="1337"/>
    <cellStyle name="Millares 38 4 5 2" xfId="4462"/>
    <cellStyle name="Millares 38 4 5 2 2" xfId="10665"/>
    <cellStyle name="Millares 38 4 5 2 3" xfId="16867"/>
    <cellStyle name="Millares 38 4 5 2 4" xfId="55753"/>
    <cellStyle name="Millares 38 4 5 3" xfId="7565"/>
    <cellStyle name="Millares 38 4 5 4" xfId="13767"/>
    <cellStyle name="Millares 38 4 5 5" xfId="52881"/>
    <cellStyle name="Millares 38 4 6" xfId="2870"/>
    <cellStyle name="Millares 38 4 6 2" xfId="5984"/>
    <cellStyle name="Millares 38 4 6 2 2" xfId="12187"/>
    <cellStyle name="Millares 38 4 6 2 3" xfId="18389"/>
    <cellStyle name="Millares 38 4 6 2 4" xfId="57215"/>
    <cellStyle name="Millares 38 4 6 3" xfId="9087"/>
    <cellStyle name="Millares 38 4 6 4" xfId="15289"/>
    <cellStyle name="Millares 38 4 6 5" xfId="54326"/>
    <cellStyle name="Millares 38 4 7" xfId="3912"/>
    <cellStyle name="Millares 38 4 7 2" xfId="10116"/>
    <cellStyle name="Millares 38 4 7 3" xfId="16318"/>
    <cellStyle name="Millares 38 4 7 4" xfId="55286"/>
    <cellStyle name="Millares 38 4 8" xfId="7015"/>
    <cellStyle name="Millares 38 4 8 2" xfId="18938"/>
    <cellStyle name="Millares 38 4 9" xfId="13217"/>
    <cellStyle name="Millares 38 5" xfId="685"/>
    <cellStyle name="Millares 38 5 2" xfId="686"/>
    <cellStyle name="Millares 38 5 2 2" xfId="687"/>
    <cellStyle name="Millares 38 5 2 2 2" xfId="2290"/>
    <cellStyle name="Millares 38 5 2 2 2 2" xfId="5415"/>
    <cellStyle name="Millares 38 5 2 2 2 2 2" xfId="11618"/>
    <cellStyle name="Millares 38 5 2 2 2 2 3" xfId="17820"/>
    <cellStyle name="Millares 38 5 2 2 2 2 4" xfId="56649"/>
    <cellStyle name="Millares 38 5 2 2 2 3" xfId="8518"/>
    <cellStyle name="Millares 38 5 2 2 2 4" xfId="14720"/>
    <cellStyle name="Millares 38 5 2 2 2 5" xfId="53753"/>
    <cellStyle name="Millares 38 5 2 2 3" xfId="2880"/>
    <cellStyle name="Millares 38 5 2 2 3 2" xfId="5994"/>
    <cellStyle name="Millares 38 5 2 2 3 2 2" xfId="12197"/>
    <cellStyle name="Millares 38 5 2 2 3 2 3" xfId="18399"/>
    <cellStyle name="Millares 38 5 2 2 3 2 4" xfId="57225"/>
    <cellStyle name="Millares 38 5 2 2 3 3" xfId="9097"/>
    <cellStyle name="Millares 38 5 2 2 3 4" xfId="15299"/>
    <cellStyle name="Millares 38 5 2 2 3 5" xfId="54336"/>
    <cellStyle name="Millares 38 5 2 2 4" xfId="3922"/>
    <cellStyle name="Millares 38 5 2 2 4 2" xfId="10126"/>
    <cellStyle name="Millares 38 5 2 2 4 3" xfId="16328"/>
    <cellStyle name="Millares 38 5 2 2 4 4" xfId="55296"/>
    <cellStyle name="Millares 38 5 2 2 5" xfId="7025"/>
    <cellStyle name="Millares 38 5 2 2 5 2" xfId="19891"/>
    <cellStyle name="Millares 38 5 2 2 6" xfId="13227"/>
    <cellStyle name="Millares 38 5 2 2 7" xfId="52537"/>
    <cellStyle name="Millares 38 5 2 3" xfId="1766"/>
    <cellStyle name="Millares 38 5 2 3 2" xfId="4891"/>
    <cellStyle name="Millares 38 5 2 3 2 2" xfId="11094"/>
    <cellStyle name="Millares 38 5 2 3 2 3" xfId="17296"/>
    <cellStyle name="Millares 38 5 2 3 2 4" xfId="56161"/>
    <cellStyle name="Millares 38 5 2 3 3" xfId="7994"/>
    <cellStyle name="Millares 38 5 2 3 4" xfId="14196"/>
    <cellStyle name="Millares 38 5 2 3 5" xfId="53268"/>
    <cellStyle name="Millares 38 5 2 4" xfId="2879"/>
    <cellStyle name="Millares 38 5 2 4 2" xfId="5993"/>
    <cellStyle name="Millares 38 5 2 4 2 2" xfId="12196"/>
    <cellStyle name="Millares 38 5 2 4 2 3" xfId="18398"/>
    <cellStyle name="Millares 38 5 2 4 2 4" xfId="57224"/>
    <cellStyle name="Millares 38 5 2 4 3" xfId="9096"/>
    <cellStyle name="Millares 38 5 2 4 4" xfId="15298"/>
    <cellStyle name="Millares 38 5 2 4 5" xfId="54335"/>
    <cellStyle name="Millares 38 5 2 5" xfId="3921"/>
    <cellStyle name="Millares 38 5 2 5 2" xfId="10125"/>
    <cellStyle name="Millares 38 5 2 5 3" xfId="16327"/>
    <cellStyle name="Millares 38 5 2 5 4" xfId="55295"/>
    <cellStyle name="Millares 38 5 2 6" xfId="7024"/>
    <cellStyle name="Millares 38 5 2 6 2" xfId="19367"/>
    <cellStyle name="Millares 38 5 2 6 3" xfId="52536"/>
    <cellStyle name="Millares 38 5 2 7" xfId="13226"/>
    <cellStyle name="Millares 38 5 2 8" xfId="52030"/>
    <cellStyle name="Millares 38 5 3" xfId="688"/>
    <cellStyle name="Millares 38 5 3 2" xfId="1903"/>
    <cellStyle name="Millares 38 5 3 2 2" xfId="5028"/>
    <cellStyle name="Millares 38 5 3 2 2 2" xfId="11231"/>
    <cellStyle name="Millares 38 5 3 2 2 3" xfId="17433"/>
    <cellStyle name="Millares 38 5 3 2 2 4" xfId="56289"/>
    <cellStyle name="Millares 38 5 3 2 3" xfId="8131"/>
    <cellStyle name="Millares 38 5 3 2 4" xfId="14333"/>
    <cellStyle name="Millares 38 5 3 2 5" xfId="53395"/>
    <cellStyle name="Millares 38 5 3 3" xfId="2881"/>
    <cellStyle name="Millares 38 5 3 3 2" xfId="5995"/>
    <cellStyle name="Millares 38 5 3 3 2 2" xfId="12198"/>
    <cellStyle name="Millares 38 5 3 3 2 3" xfId="18400"/>
    <cellStyle name="Millares 38 5 3 3 2 4" xfId="57226"/>
    <cellStyle name="Millares 38 5 3 3 3" xfId="9098"/>
    <cellStyle name="Millares 38 5 3 3 4" xfId="15300"/>
    <cellStyle name="Millares 38 5 3 3 5" xfId="54337"/>
    <cellStyle name="Millares 38 5 3 4" xfId="3923"/>
    <cellStyle name="Millares 38 5 3 4 2" xfId="10127"/>
    <cellStyle name="Millares 38 5 3 4 3" xfId="16329"/>
    <cellStyle name="Millares 38 5 3 4 4" xfId="55297"/>
    <cellStyle name="Millares 38 5 3 5" xfId="7026"/>
    <cellStyle name="Millares 38 5 3 5 2" xfId="19504"/>
    <cellStyle name="Millares 38 5 3 6" xfId="13228"/>
    <cellStyle name="Millares 38 5 3 7" xfId="52538"/>
    <cellStyle name="Millares 38 5 4" xfId="1379"/>
    <cellStyle name="Millares 38 5 4 2" xfId="4504"/>
    <cellStyle name="Millares 38 5 4 2 2" xfId="10707"/>
    <cellStyle name="Millares 38 5 4 2 3" xfId="16909"/>
    <cellStyle name="Millares 38 5 4 2 4" xfId="55793"/>
    <cellStyle name="Millares 38 5 4 3" xfId="7607"/>
    <cellStyle name="Millares 38 5 4 4" xfId="13809"/>
    <cellStyle name="Millares 38 5 4 5" xfId="52917"/>
    <cellStyle name="Millares 38 5 5" xfId="2878"/>
    <cellStyle name="Millares 38 5 5 2" xfId="5992"/>
    <cellStyle name="Millares 38 5 5 2 2" xfId="12195"/>
    <cellStyle name="Millares 38 5 5 2 3" xfId="18397"/>
    <cellStyle name="Millares 38 5 5 2 4" xfId="57223"/>
    <cellStyle name="Millares 38 5 5 3" xfId="9095"/>
    <cellStyle name="Millares 38 5 5 4" xfId="15297"/>
    <cellStyle name="Millares 38 5 5 5" xfId="54334"/>
    <cellStyle name="Millares 38 5 6" xfId="3920"/>
    <cellStyle name="Millares 38 5 6 2" xfId="10124"/>
    <cellStyle name="Millares 38 5 6 3" xfId="16326"/>
    <cellStyle name="Millares 38 5 6 4" xfId="55294"/>
    <cellStyle name="Millares 38 5 7" xfId="7023"/>
    <cellStyle name="Millares 38 5 7 2" xfId="18980"/>
    <cellStyle name="Millares 38 5 7 3" xfId="52535"/>
    <cellStyle name="Millares 38 5 8" xfId="13225"/>
    <cellStyle name="Millares 38 5 9" xfId="46437"/>
    <cellStyle name="Millares 38 6" xfId="689"/>
    <cellStyle name="Millares 38 6 2" xfId="690"/>
    <cellStyle name="Millares 38 6 2 2" xfId="691"/>
    <cellStyle name="Millares 38 6 2 2 2" xfId="2185"/>
    <cellStyle name="Millares 38 6 2 2 2 2" xfId="5310"/>
    <cellStyle name="Millares 38 6 2 2 2 2 2" xfId="11513"/>
    <cellStyle name="Millares 38 6 2 2 2 2 3" xfId="17715"/>
    <cellStyle name="Millares 38 6 2 2 2 2 4" xfId="56552"/>
    <cellStyle name="Millares 38 6 2 2 2 3" xfId="8413"/>
    <cellStyle name="Millares 38 6 2 2 2 4" xfId="14615"/>
    <cellStyle name="Millares 38 6 2 2 2 5" xfId="53656"/>
    <cellStyle name="Millares 38 6 2 2 3" xfId="2884"/>
    <cellStyle name="Millares 38 6 2 2 3 2" xfId="5998"/>
    <cellStyle name="Millares 38 6 2 2 3 2 2" xfId="12201"/>
    <cellStyle name="Millares 38 6 2 2 3 2 3" xfId="18403"/>
    <cellStyle name="Millares 38 6 2 2 3 2 4" xfId="57229"/>
    <cellStyle name="Millares 38 6 2 2 3 3" xfId="9101"/>
    <cellStyle name="Millares 38 6 2 2 3 4" xfId="15303"/>
    <cellStyle name="Millares 38 6 2 2 3 5" xfId="54340"/>
    <cellStyle name="Millares 38 6 2 2 4" xfId="3926"/>
    <cellStyle name="Millares 38 6 2 2 4 2" xfId="10130"/>
    <cellStyle name="Millares 38 6 2 2 4 3" xfId="16332"/>
    <cellStyle name="Millares 38 6 2 2 4 4" xfId="55300"/>
    <cellStyle name="Millares 38 6 2 2 5" xfId="7029"/>
    <cellStyle name="Millares 38 6 2 2 5 2" xfId="19786"/>
    <cellStyle name="Millares 38 6 2 2 6" xfId="13231"/>
    <cellStyle name="Millares 38 6 2 2 7" xfId="52540"/>
    <cellStyle name="Millares 38 6 2 3" xfId="1661"/>
    <cellStyle name="Millares 38 6 2 3 2" xfId="4786"/>
    <cellStyle name="Millares 38 6 2 3 2 2" xfId="10989"/>
    <cellStyle name="Millares 38 6 2 3 2 3" xfId="17191"/>
    <cellStyle name="Millares 38 6 2 3 2 4" xfId="56061"/>
    <cellStyle name="Millares 38 6 2 3 3" xfId="7889"/>
    <cellStyle name="Millares 38 6 2 3 4" xfId="14091"/>
    <cellStyle name="Millares 38 6 2 3 5" xfId="53171"/>
    <cellStyle name="Millares 38 6 2 4" xfId="2883"/>
    <cellStyle name="Millares 38 6 2 4 2" xfId="5997"/>
    <cellStyle name="Millares 38 6 2 4 2 2" xfId="12200"/>
    <cellStyle name="Millares 38 6 2 4 2 3" xfId="18402"/>
    <cellStyle name="Millares 38 6 2 4 2 4" xfId="57228"/>
    <cellStyle name="Millares 38 6 2 4 3" xfId="9100"/>
    <cellStyle name="Millares 38 6 2 4 4" xfId="15302"/>
    <cellStyle name="Millares 38 6 2 4 5" xfId="54339"/>
    <cellStyle name="Millares 38 6 2 5" xfId="3925"/>
    <cellStyle name="Millares 38 6 2 5 2" xfId="10129"/>
    <cellStyle name="Millares 38 6 2 5 3" xfId="16331"/>
    <cellStyle name="Millares 38 6 2 5 4" xfId="55299"/>
    <cellStyle name="Millares 38 6 2 6" xfId="7028"/>
    <cellStyle name="Millares 38 6 2 6 2" xfId="19262"/>
    <cellStyle name="Millares 38 6 2 7" xfId="13230"/>
    <cellStyle name="Millares 38 6 2 8" xfId="52539"/>
    <cellStyle name="Millares 38 6 3" xfId="692"/>
    <cellStyle name="Millares 38 6 3 2" xfId="1940"/>
    <cellStyle name="Millares 38 6 3 2 2" xfId="5065"/>
    <cellStyle name="Millares 38 6 3 2 2 2" xfId="11268"/>
    <cellStyle name="Millares 38 6 3 2 2 3" xfId="17470"/>
    <cellStyle name="Millares 38 6 3 2 2 4" xfId="56325"/>
    <cellStyle name="Millares 38 6 3 2 3" xfId="8168"/>
    <cellStyle name="Millares 38 6 3 2 4" xfId="14370"/>
    <cellStyle name="Millares 38 6 3 2 5" xfId="53431"/>
    <cellStyle name="Millares 38 6 3 3" xfId="2885"/>
    <cellStyle name="Millares 38 6 3 3 2" xfId="5999"/>
    <cellStyle name="Millares 38 6 3 3 2 2" xfId="12202"/>
    <cellStyle name="Millares 38 6 3 3 2 3" xfId="18404"/>
    <cellStyle name="Millares 38 6 3 3 2 4" xfId="57230"/>
    <cellStyle name="Millares 38 6 3 3 3" xfId="9102"/>
    <cellStyle name="Millares 38 6 3 3 4" xfId="15304"/>
    <cellStyle name="Millares 38 6 3 3 5" xfId="54341"/>
    <cellStyle name="Millares 38 6 3 4" xfId="3927"/>
    <cellStyle name="Millares 38 6 3 4 2" xfId="10131"/>
    <cellStyle name="Millares 38 6 3 4 3" xfId="16333"/>
    <cellStyle name="Millares 38 6 3 4 4" xfId="55301"/>
    <cellStyle name="Millares 38 6 3 5" xfId="7030"/>
    <cellStyle name="Millares 38 6 3 5 2" xfId="19541"/>
    <cellStyle name="Millares 38 6 3 6" xfId="13232"/>
    <cellStyle name="Millares 38 6 3 7" xfId="52541"/>
    <cellStyle name="Millares 38 6 4" xfId="1416"/>
    <cellStyle name="Millares 38 6 4 2" xfId="4541"/>
    <cellStyle name="Millares 38 6 4 2 2" xfId="10744"/>
    <cellStyle name="Millares 38 6 4 2 3" xfId="16946"/>
    <cellStyle name="Millares 38 6 4 2 4" xfId="55829"/>
    <cellStyle name="Millares 38 6 4 3" xfId="7644"/>
    <cellStyle name="Millares 38 6 4 4" xfId="13846"/>
    <cellStyle name="Millares 38 6 4 5" xfId="52947"/>
    <cellStyle name="Millares 38 6 5" xfId="2882"/>
    <cellStyle name="Millares 38 6 5 2" xfId="5996"/>
    <cellStyle name="Millares 38 6 5 2 2" xfId="12199"/>
    <cellStyle name="Millares 38 6 5 2 3" xfId="18401"/>
    <cellStyle name="Millares 38 6 5 2 4" xfId="57227"/>
    <cellStyle name="Millares 38 6 5 3" xfId="9099"/>
    <cellStyle name="Millares 38 6 5 4" xfId="15301"/>
    <cellStyle name="Millares 38 6 5 5" xfId="54338"/>
    <cellStyle name="Millares 38 6 6" xfId="3924"/>
    <cellStyle name="Millares 38 6 6 2" xfId="10128"/>
    <cellStyle name="Millares 38 6 6 3" xfId="16330"/>
    <cellStyle name="Millares 38 6 6 4" xfId="55298"/>
    <cellStyle name="Millares 38 6 7" xfId="7027"/>
    <cellStyle name="Millares 38 6 7 2" xfId="19017"/>
    <cellStyle name="Millares 38 6 8" xfId="13229"/>
    <cellStyle name="Millares 38 6 9" xfId="52068"/>
    <cellStyle name="Millares 38 7" xfId="693"/>
    <cellStyle name="Millares 38 7 2" xfId="694"/>
    <cellStyle name="Millares 38 7 2 2" xfId="2081"/>
    <cellStyle name="Millares 38 7 2 2 2" xfId="5206"/>
    <cellStyle name="Millares 38 7 2 2 2 2" xfId="11409"/>
    <cellStyle name="Millares 38 7 2 2 2 3" xfId="17611"/>
    <cellStyle name="Millares 38 7 2 2 2 4" xfId="56456"/>
    <cellStyle name="Millares 38 7 2 2 3" xfId="8309"/>
    <cellStyle name="Millares 38 7 2 2 4" xfId="14511"/>
    <cellStyle name="Millares 38 7 2 2 5" xfId="53560"/>
    <cellStyle name="Millares 38 7 2 3" xfId="2887"/>
    <cellStyle name="Millares 38 7 2 3 2" xfId="6001"/>
    <cellStyle name="Millares 38 7 2 3 2 2" xfId="12204"/>
    <cellStyle name="Millares 38 7 2 3 2 3" xfId="18406"/>
    <cellStyle name="Millares 38 7 2 3 2 4" xfId="57232"/>
    <cellStyle name="Millares 38 7 2 3 3" xfId="9104"/>
    <cellStyle name="Millares 38 7 2 3 4" xfId="15306"/>
    <cellStyle name="Millares 38 7 2 3 5" xfId="54343"/>
    <cellStyle name="Millares 38 7 2 4" xfId="3929"/>
    <cellStyle name="Millares 38 7 2 4 2" xfId="10133"/>
    <cellStyle name="Millares 38 7 2 4 3" xfId="16335"/>
    <cellStyle name="Millares 38 7 2 4 4" xfId="55303"/>
    <cellStyle name="Millares 38 7 2 5" xfId="7032"/>
    <cellStyle name="Millares 38 7 2 5 2" xfId="19682"/>
    <cellStyle name="Millares 38 7 2 6" xfId="13234"/>
    <cellStyle name="Millares 38 7 2 7" xfId="52542"/>
    <cellStyle name="Millares 38 7 3" xfId="1557"/>
    <cellStyle name="Millares 38 7 3 2" xfId="4682"/>
    <cellStyle name="Millares 38 7 3 2 2" xfId="10885"/>
    <cellStyle name="Millares 38 7 3 2 3" xfId="17087"/>
    <cellStyle name="Millares 38 7 3 2 4" xfId="55961"/>
    <cellStyle name="Millares 38 7 3 3" xfId="7785"/>
    <cellStyle name="Millares 38 7 3 4" xfId="13987"/>
    <cellStyle name="Millares 38 7 3 5" xfId="53075"/>
    <cellStyle name="Millares 38 7 4" xfId="2886"/>
    <cellStyle name="Millares 38 7 4 2" xfId="6000"/>
    <cellStyle name="Millares 38 7 4 2 2" xfId="12203"/>
    <cellStyle name="Millares 38 7 4 2 3" xfId="18405"/>
    <cellStyle name="Millares 38 7 4 2 4" xfId="57231"/>
    <cellStyle name="Millares 38 7 4 3" xfId="9103"/>
    <cellStyle name="Millares 38 7 4 4" xfId="15305"/>
    <cellStyle name="Millares 38 7 4 5" xfId="54342"/>
    <cellStyle name="Millares 38 7 5" xfId="3928"/>
    <cellStyle name="Millares 38 7 5 2" xfId="10132"/>
    <cellStyle name="Millares 38 7 5 3" xfId="16334"/>
    <cellStyle name="Millares 38 7 5 4" xfId="55302"/>
    <cellStyle name="Millares 38 7 6" xfId="7031"/>
    <cellStyle name="Millares 38 7 6 2" xfId="19158"/>
    <cellStyle name="Millares 38 7 7" xfId="13233"/>
    <cellStyle name="Millares 38 7 8" xfId="51930"/>
    <cellStyle name="Millares 38 8" xfId="695"/>
    <cellStyle name="Millares 38 8 2" xfId="1811"/>
    <cellStyle name="Millares 38 8 2 2" xfId="4936"/>
    <cellStyle name="Millares 38 8 2 2 2" xfId="11139"/>
    <cellStyle name="Millares 38 8 2 2 3" xfId="17341"/>
    <cellStyle name="Millares 38 8 2 2 4" xfId="56203"/>
    <cellStyle name="Millares 38 8 2 3" xfId="8039"/>
    <cellStyle name="Millares 38 8 2 4" xfId="14241"/>
    <cellStyle name="Millares 38 8 2 5" xfId="53309"/>
    <cellStyle name="Millares 38 8 3" xfId="2888"/>
    <cellStyle name="Millares 38 8 3 2" xfId="6002"/>
    <cellStyle name="Millares 38 8 3 2 2" xfId="12205"/>
    <cellStyle name="Millares 38 8 3 2 3" xfId="18407"/>
    <cellStyle name="Millares 38 8 3 2 4" xfId="57233"/>
    <cellStyle name="Millares 38 8 3 3" xfId="9105"/>
    <cellStyle name="Millares 38 8 3 4" xfId="15307"/>
    <cellStyle name="Millares 38 8 3 5" xfId="54344"/>
    <cellStyle name="Millares 38 8 4" xfId="3930"/>
    <cellStyle name="Millares 38 8 4 2" xfId="10134"/>
    <cellStyle name="Millares 38 8 4 3" xfId="16336"/>
    <cellStyle name="Millares 38 8 4 4" xfId="55304"/>
    <cellStyle name="Millares 38 8 5" xfId="7033"/>
    <cellStyle name="Millares 38 8 5 2" xfId="19412"/>
    <cellStyle name="Millares 38 8 6" xfId="13235"/>
    <cellStyle name="Millares 38 8 7" xfId="52543"/>
    <cellStyle name="Millares 38 9" xfId="1269"/>
    <cellStyle name="Millares 38 9 2" xfId="4394"/>
    <cellStyle name="Millares 38 9 2 2" xfId="10597"/>
    <cellStyle name="Millares 38 9 2 3" xfId="16799"/>
    <cellStyle name="Millares 38 9 2 4" xfId="55690"/>
    <cellStyle name="Millares 38 9 3" xfId="7497"/>
    <cellStyle name="Millares 38 9 4" xfId="13699"/>
    <cellStyle name="Millares 38 9 5" xfId="52821"/>
    <cellStyle name="Millares 39" xfId="29831"/>
    <cellStyle name="Millares 39 2" xfId="46438"/>
    <cellStyle name="Millares 4" xfId="696"/>
    <cellStyle name="Millares 4 10" xfId="1270"/>
    <cellStyle name="Millares 4 10 2" xfId="4395"/>
    <cellStyle name="Millares 4 10 2 2" xfId="10598"/>
    <cellStyle name="Millares 4 10 2 2 2" xfId="46441"/>
    <cellStyle name="Millares 4 10 2 3" xfId="16800"/>
    <cellStyle name="Millares 4 10 2 3 2" xfId="55691"/>
    <cellStyle name="Millares 4 10 2 4" xfId="29834"/>
    <cellStyle name="Millares 4 10 3" xfId="7498"/>
    <cellStyle name="Millares 4 10 3 2" xfId="46442"/>
    <cellStyle name="Millares 4 10 3 3" xfId="29835"/>
    <cellStyle name="Millares 4 10 4" xfId="13700"/>
    <cellStyle name="Millares 4 10 4 2" xfId="46443"/>
    <cellStyle name="Millares 4 10 4 3" xfId="29836"/>
    <cellStyle name="Millares 4 10 5" xfId="46440"/>
    <cellStyle name="Millares 4 10 6" xfId="52822"/>
    <cellStyle name="Millares 4 10 7" xfId="29833"/>
    <cellStyle name="Millares 4 11" xfId="2889"/>
    <cellStyle name="Millares 4 11 2" xfId="6003"/>
    <cellStyle name="Millares 4 11 2 2" xfId="12206"/>
    <cellStyle name="Millares 4 11 2 2 2" xfId="46445"/>
    <cellStyle name="Millares 4 11 2 3" xfId="18408"/>
    <cellStyle name="Millares 4 11 2 3 2" xfId="57234"/>
    <cellStyle name="Millares 4 11 2 4" xfId="29838"/>
    <cellStyle name="Millares 4 11 3" xfId="9106"/>
    <cellStyle name="Millares 4 11 3 2" xfId="46446"/>
    <cellStyle name="Millares 4 11 3 3" xfId="29839"/>
    <cellStyle name="Millares 4 11 4" xfId="15308"/>
    <cellStyle name="Millares 4 11 4 2" xfId="46447"/>
    <cellStyle name="Millares 4 11 4 3" xfId="29840"/>
    <cellStyle name="Millares 4 11 5" xfId="46444"/>
    <cellStyle name="Millares 4 11 6" xfId="54345"/>
    <cellStyle name="Millares 4 11 7" xfId="29837"/>
    <cellStyle name="Millares 4 12" xfId="3931"/>
    <cellStyle name="Millares 4 12 2" xfId="10135"/>
    <cellStyle name="Millares 4 12 2 2" xfId="46449"/>
    <cellStyle name="Millares 4 12 2 3" xfId="29842"/>
    <cellStyle name="Millares 4 12 3" xfId="16337"/>
    <cellStyle name="Millares 4 12 3 2" xfId="46450"/>
    <cellStyle name="Millares 4 12 3 3" xfId="29843"/>
    <cellStyle name="Millares 4 12 4" xfId="29844"/>
    <cellStyle name="Millares 4 12 4 2" xfId="46451"/>
    <cellStyle name="Millares 4 12 5" xfId="46448"/>
    <cellStyle name="Millares 4 12 6" xfId="55305"/>
    <cellStyle name="Millares 4 12 7" xfId="29841"/>
    <cellStyle name="Millares 4 13" xfId="7034"/>
    <cellStyle name="Millares 4 13 2" xfId="18871"/>
    <cellStyle name="Millares 4 13 2 2" xfId="46453"/>
    <cellStyle name="Millares 4 13 2 3" xfId="29846"/>
    <cellStyle name="Millares 4 13 3" xfId="46452"/>
    <cellStyle name="Millares 4 13 4" xfId="29845"/>
    <cellStyle name="Millares 4 14" xfId="13236"/>
    <cellStyle name="Millares 4 14 2" xfId="46454"/>
    <cellStyle name="Millares 4 14 3" xfId="29847"/>
    <cellStyle name="Millares 4 15" xfId="29848"/>
    <cellStyle name="Millares 4 15 2" xfId="29849"/>
    <cellStyle name="Millares 4 15 2 2" xfId="46456"/>
    <cellStyle name="Millares 4 15 3" xfId="46455"/>
    <cellStyle name="Millares 4 16" xfId="29850"/>
    <cellStyle name="Millares 4 16 2" xfId="29851"/>
    <cellStyle name="Millares 4 16 2 2" xfId="29852"/>
    <cellStyle name="Millares 4 16 2 2 2" xfId="46459"/>
    <cellStyle name="Millares 4 16 2 3" xfId="46458"/>
    <cellStyle name="Millares 4 16 3" xfId="29853"/>
    <cellStyle name="Millares 4 16 3 2" xfId="46460"/>
    <cellStyle name="Millares 4 16 4" xfId="46457"/>
    <cellStyle name="Millares 4 17" xfId="29854"/>
    <cellStyle name="Millares 4 17 2" xfId="46461"/>
    <cellStyle name="Millares 4 18" xfId="29855"/>
    <cellStyle name="Millares 4 18 2" xfId="29856"/>
    <cellStyle name="Millares 4 18 2 2" xfId="46463"/>
    <cellStyle name="Millares 4 18 3" xfId="46462"/>
    <cellStyle name="Millares 4 19" xfId="29857"/>
    <cellStyle name="Millares 4 19 2" xfId="46464"/>
    <cellStyle name="Millares 4 2" xfId="697"/>
    <cellStyle name="Millares 4 2 10" xfId="3932"/>
    <cellStyle name="Millares 4 2 10 2" xfId="10136"/>
    <cellStyle name="Millares 4 2 10 3" xfId="16338"/>
    <cellStyle name="Millares 4 2 10 4" xfId="51947"/>
    <cellStyle name="Millares 4 2 11" xfId="7035"/>
    <cellStyle name="Millares 4 2 11 2" xfId="18899"/>
    <cellStyle name="Millares 4 2 12" xfId="13237"/>
    <cellStyle name="Millares 4 2 13" xfId="19983"/>
    <cellStyle name="Millares 4 2 2" xfId="698"/>
    <cellStyle name="Millares 4 2 2 10" xfId="29859"/>
    <cellStyle name="Millares 4 2 2 2" xfId="699"/>
    <cellStyle name="Millares 4 2 2 2 2" xfId="700"/>
    <cellStyle name="Millares 4 2 2 2 2 2" xfId="701"/>
    <cellStyle name="Millares 4 2 2 2 2 2 2" xfId="2229"/>
    <cellStyle name="Millares 4 2 2 2 2 2 2 2" xfId="5354"/>
    <cellStyle name="Millares 4 2 2 2 2 2 2 2 2" xfId="11557"/>
    <cellStyle name="Millares 4 2 2 2 2 2 2 2 3" xfId="17759"/>
    <cellStyle name="Millares 4 2 2 2 2 2 2 2 4" xfId="56593"/>
    <cellStyle name="Millares 4 2 2 2 2 2 2 3" xfId="8457"/>
    <cellStyle name="Millares 4 2 2 2 2 2 2 3 2" xfId="53697"/>
    <cellStyle name="Millares 4 2 2 2 2 2 2 4" xfId="14659"/>
    <cellStyle name="Millares 4 2 2 2 2 2 2 5" xfId="46469"/>
    <cellStyle name="Millares 4 2 2 2 2 2 3" xfId="2894"/>
    <cellStyle name="Millares 4 2 2 2 2 2 3 2" xfId="6008"/>
    <cellStyle name="Millares 4 2 2 2 2 2 3 2 2" xfId="12211"/>
    <cellStyle name="Millares 4 2 2 2 2 2 3 2 3" xfId="18413"/>
    <cellStyle name="Millares 4 2 2 2 2 2 3 2 4" xfId="57239"/>
    <cellStyle name="Millares 4 2 2 2 2 2 3 3" xfId="9111"/>
    <cellStyle name="Millares 4 2 2 2 2 2 3 4" xfId="15313"/>
    <cellStyle name="Millares 4 2 2 2 2 2 3 5" xfId="54349"/>
    <cellStyle name="Millares 4 2 2 2 2 2 4" xfId="3936"/>
    <cellStyle name="Millares 4 2 2 2 2 2 4 2" xfId="10140"/>
    <cellStyle name="Millares 4 2 2 2 2 2 4 3" xfId="16342"/>
    <cellStyle name="Millares 4 2 2 2 2 2 4 4" xfId="55309"/>
    <cellStyle name="Millares 4 2 2 2 2 2 5" xfId="7039"/>
    <cellStyle name="Millares 4 2 2 2 2 2 5 2" xfId="19830"/>
    <cellStyle name="Millares 4 2 2 2 2 2 5 3" xfId="52545"/>
    <cellStyle name="Millares 4 2 2 2 2 2 6" xfId="13241"/>
    <cellStyle name="Millares 4 2 2 2 2 2 7" xfId="29862"/>
    <cellStyle name="Millares 4 2 2 2 2 3" xfId="1705"/>
    <cellStyle name="Millares 4 2 2 2 2 3 2" xfId="4830"/>
    <cellStyle name="Millares 4 2 2 2 2 3 2 2" xfId="11033"/>
    <cellStyle name="Millares 4 2 2 2 2 3 2 3" xfId="17235"/>
    <cellStyle name="Millares 4 2 2 2 2 3 2 4" xfId="56102"/>
    <cellStyle name="Millares 4 2 2 2 2 3 3" xfId="7933"/>
    <cellStyle name="Millares 4 2 2 2 2 3 3 2" xfId="53212"/>
    <cellStyle name="Millares 4 2 2 2 2 3 4" xfId="14135"/>
    <cellStyle name="Millares 4 2 2 2 2 3 5" xfId="46468"/>
    <cellStyle name="Millares 4 2 2 2 2 4" xfId="2893"/>
    <cellStyle name="Millares 4 2 2 2 2 4 2" xfId="6007"/>
    <cellStyle name="Millares 4 2 2 2 2 4 2 2" xfId="12210"/>
    <cellStyle name="Millares 4 2 2 2 2 4 2 3" xfId="18412"/>
    <cellStyle name="Millares 4 2 2 2 2 4 2 4" xfId="57238"/>
    <cellStyle name="Millares 4 2 2 2 2 4 3" xfId="9110"/>
    <cellStyle name="Millares 4 2 2 2 2 4 4" xfId="15312"/>
    <cellStyle name="Millares 4 2 2 2 2 4 5" xfId="54348"/>
    <cellStyle name="Millares 4 2 2 2 2 5" xfId="3935"/>
    <cellStyle name="Millares 4 2 2 2 2 5 2" xfId="10139"/>
    <cellStyle name="Millares 4 2 2 2 2 5 3" xfId="16341"/>
    <cellStyle name="Millares 4 2 2 2 2 5 4" xfId="55308"/>
    <cellStyle name="Millares 4 2 2 2 2 6" xfId="7038"/>
    <cellStyle name="Millares 4 2 2 2 2 6 2" xfId="19306"/>
    <cellStyle name="Millares 4 2 2 2 2 6 3" xfId="52544"/>
    <cellStyle name="Millares 4 2 2 2 2 7" xfId="13240"/>
    <cellStyle name="Millares 4 2 2 2 2 8" xfId="29861"/>
    <cellStyle name="Millares 4 2 2 2 3" xfId="702"/>
    <cellStyle name="Millares 4 2 2 2 3 2" xfId="1984"/>
    <cellStyle name="Millares 4 2 2 2 3 2 2" xfId="5109"/>
    <cellStyle name="Millares 4 2 2 2 3 2 2 2" xfId="11312"/>
    <cellStyle name="Millares 4 2 2 2 3 2 2 3" xfId="17514"/>
    <cellStyle name="Millares 4 2 2 2 3 2 2 4" xfId="56366"/>
    <cellStyle name="Millares 4 2 2 2 3 2 3" xfId="8212"/>
    <cellStyle name="Millares 4 2 2 2 3 2 3 2" xfId="53472"/>
    <cellStyle name="Millares 4 2 2 2 3 2 4" xfId="14414"/>
    <cellStyle name="Millares 4 2 2 2 3 2 5" xfId="46470"/>
    <cellStyle name="Millares 4 2 2 2 3 3" xfId="2895"/>
    <cellStyle name="Millares 4 2 2 2 3 3 2" xfId="6009"/>
    <cellStyle name="Millares 4 2 2 2 3 3 2 2" xfId="12212"/>
    <cellStyle name="Millares 4 2 2 2 3 3 2 3" xfId="18414"/>
    <cellStyle name="Millares 4 2 2 2 3 3 2 4" xfId="57240"/>
    <cellStyle name="Millares 4 2 2 2 3 3 3" xfId="9112"/>
    <cellStyle name="Millares 4 2 2 2 3 3 4" xfId="15314"/>
    <cellStyle name="Millares 4 2 2 2 3 3 5" xfId="54350"/>
    <cellStyle name="Millares 4 2 2 2 3 4" xfId="3937"/>
    <cellStyle name="Millares 4 2 2 2 3 4 2" xfId="10141"/>
    <cellStyle name="Millares 4 2 2 2 3 4 3" xfId="16343"/>
    <cellStyle name="Millares 4 2 2 2 3 4 4" xfId="55310"/>
    <cellStyle name="Millares 4 2 2 2 3 5" xfId="7040"/>
    <cellStyle name="Millares 4 2 2 2 3 5 2" xfId="19585"/>
    <cellStyle name="Millares 4 2 2 2 3 5 3" xfId="52546"/>
    <cellStyle name="Millares 4 2 2 2 3 6" xfId="13242"/>
    <cellStyle name="Millares 4 2 2 2 3 7" xfId="29863"/>
    <cellStyle name="Millares 4 2 2 2 4" xfId="1460"/>
    <cellStyle name="Millares 4 2 2 2 4 2" xfId="4585"/>
    <cellStyle name="Millares 4 2 2 2 4 2 2" xfId="10788"/>
    <cellStyle name="Millares 4 2 2 2 4 2 3" xfId="16990"/>
    <cellStyle name="Millares 4 2 2 2 4 2 4" xfId="55870"/>
    <cellStyle name="Millares 4 2 2 2 4 3" xfId="7688"/>
    <cellStyle name="Millares 4 2 2 2 4 3 2" xfId="52988"/>
    <cellStyle name="Millares 4 2 2 2 4 4" xfId="13890"/>
    <cellStyle name="Millares 4 2 2 2 4 5" xfId="46467"/>
    <cellStyle name="Millares 4 2 2 2 5" xfId="2892"/>
    <cellStyle name="Millares 4 2 2 2 5 2" xfId="6006"/>
    <cellStyle name="Millares 4 2 2 2 5 2 2" xfId="12209"/>
    <cellStyle name="Millares 4 2 2 2 5 2 3" xfId="18411"/>
    <cellStyle name="Millares 4 2 2 2 5 2 4" xfId="57237"/>
    <cellStyle name="Millares 4 2 2 2 5 3" xfId="9109"/>
    <cellStyle name="Millares 4 2 2 2 5 4" xfId="15311"/>
    <cellStyle name="Millares 4 2 2 2 5 5" xfId="52107"/>
    <cellStyle name="Millares 4 2 2 2 6" xfId="3934"/>
    <cellStyle name="Millares 4 2 2 2 6 2" xfId="10138"/>
    <cellStyle name="Millares 4 2 2 2 6 3" xfId="16340"/>
    <cellStyle name="Millares 4 2 2 2 6 4" xfId="55307"/>
    <cellStyle name="Millares 4 2 2 2 7" xfId="7037"/>
    <cellStyle name="Millares 4 2 2 2 7 2" xfId="19061"/>
    <cellStyle name="Millares 4 2 2 2 8" xfId="13239"/>
    <cellStyle name="Millares 4 2 2 2 9" xfId="29860"/>
    <cellStyle name="Millares 4 2 2 3" xfId="703"/>
    <cellStyle name="Millares 4 2 2 3 2" xfId="704"/>
    <cellStyle name="Millares 4 2 2 3 2 2" xfId="1915"/>
    <cellStyle name="Millares 4 2 2 3 2 2 2" xfId="5040"/>
    <cellStyle name="Millares 4 2 2 3 2 2 2 2" xfId="11243"/>
    <cellStyle name="Millares 4 2 2 3 2 2 2 3" xfId="17445"/>
    <cellStyle name="Millares 4 2 2 3 2 2 2 4" xfId="56301"/>
    <cellStyle name="Millares 4 2 2 3 2 2 3" xfId="8143"/>
    <cellStyle name="Millares 4 2 2 3 2 2 4" xfId="14345"/>
    <cellStyle name="Millares 4 2 2 3 2 2 5" xfId="53407"/>
    <cellStyle name="Millares 4 2 2 3 2 3" xfId="2897"/>
    <cellStyle name="Millares 4 2 2 3 2 3 2" xfId="6011"/>
    <cellStyle name="Millares 4 2 2 3 2 3 2 2" xfId="12214"/>
    <cellStyle name="Millares 4 2 2 3 2 3 2 3" xfId="18416"/>
    <cellStyle name="Millares 4 2 2 3 2 3 2 4" xfId="57242"/>
    <cellStyle name="Millares 4 2 2 3 2 3 3" xfId="9114"/>
    <cellStyle name="Millares 4 2 2 3 2 3 4" xfId="15316"/>
    <cellStyle name="Millares 4 2 2 3 2 3 5" xfId="54352"/>
    <cellStyle name="Millares 4 2 2 3 2 4" xfId="3939"/>
    <cellStyle name="Millares 4 2 2 3 2 4 2" xfId="10143"/>
    <cellStyle name="Millares 4 2 2 3 2 4 3" xfId="16345"/>
    <cellStyle name="Millares 4 2 2 3 2 4 4" xfId="55312"/>
    <cellStyle name="Millares 4 2 2 3 2 5" xfId="7042"/>
    <cellStyle name="Millares 4 2 2 3 2 5 2" xfId="19516"/>
    <cellStyle name="Millares 4 2 2 3 2 5 3" xfId="52548"/>
    <cellStyle name="Millares 4 2 2 3 2 6" xfId="13244"/>
    <cellStyle name="Millares 4 2 2 3 2 7" xfId="52045"/>
    <cellStyle name="Millares 4 2 2 3 3" xfId="1391"/>
    <cellStyle name="Millares 4 2 2 3 3 2" xfId="4516"/>
    <cellStyle name="Millares 4 2 2 3 3 2 2" xfId="10719"/>
    <cellStyle name="Millares 4 2 2 3 3 2 3" xfId="16921"/>
    <cellStyle name="Millares 4 2 2 3 3 2 4" xfId="55805"/>
    <cellStyle name="Millares 4 2 2 3 3 3" xfId="7619"/>
    <cellStyle name="Millares 4 2 2 3 3 4" xfId="13821"/>
    <cellStyle name="Millares 4 2 2 3 3 5" xfId="52929"/>
    <cellStyle name="Millares 4 2 2 3 4" xfId="2896"/>
    <cellStyle name="Millares 4 2 2 3 4 2" xfId="6010"/>
    <cellStyle name="Millares 4 2 2 3 4 2 2" xfId="12213"/>
    <cellStyle name="Millares 4 2 2 3 4 2 3" xfId="18415"/>
    <cellStyle name="Millares 4 2 2 3 4 2 4" xfId="57241"/>
    <cellStyle name="Millares 4 2 2 3 4 3" xfId="9113"/>
    <cellStyle name="Millares 4 2 2 3 4 4" xfId="15315"/>
    <cellStyle name="Millares 4 2 2 3 4 5" xfId="54351"/>
    <cellStyle name="Millares 4 2 2 3 5" xfId="3938"/>
    <cellStyle name="Millares 4 2 2 3 5 2" xfId="10142"/>
    <cellStyle name="Millares 4 2 2 3 5 3" xfId="16344"/>
    <cellStyle name="Millares 4 2 2 3 5 4" xfId="55311"/>
    <cellStyle name="Millares 4 2 2 3 6" xfId="7041"/>
    <cellStyle name="Millares 4 2 2 3 6 2" xfId="18992"/>
    <cellStyle name="Millares 4 2 2 3 6 3" xfId="52547"/>
    <cellStyle name="Millares 4 2 2 3 7" xfId="13243"/>
    <cellStyle name="Millares 4 2 2 3 8" xfId="46466"/>
    <cellStyle name="Millares 4 2 2 4" xfId="705"/>
    <cellStyle name="Millares 4 2 2 4 2" xfId="1842"/>
    <cellStyle name="Millares 4 2 2 4 2 2" xfId="4967"/>
    <cellStyle name="Millares 4 2 2 4 2 2 2" xfId="11170"/>
    <cellStyle name="Millares 4 2 2 4 2 2 3" xfId="17372"/>
    <cellStyle name="Millares 4 2 2 4 2 2 4" xfId="56231"/>
    <cellStyle name="Millares 4 2 2 4 2 3" xfId="8070"/>
    <cellStyle name="Millares 4 2 2 4 2 4" xfId="14272"/>
    <cellStyle name="Millares 4 2 2 4 2 5" xfId="53337"/>
    <cellStyle name="Millares 4 2 2 4 3" xfId="2898"/>
    <cellStyle name="Millares 4 2 2 4 3 2" xfId="6012"/>
    <cellStyle name="Millares 4 2 2 4 3 2 2" xfId="12215"/>
    <cellStyle name="Millares 4 2 2 4 3 2 3" xfId="18417"/>
    <cellStyle name="Millares 4 2 2 4 3 2 4" xfId="57243"/>
    <cellStyle name="Millares 4 2 2 4 3 3" xfId="9115"/>
    <cellStyle name="Millares 4 2 2 4 3 4" xfId="15317"/>
    <cellStyle name="Millares 4 2 2 4 3 5" xfId="54353"/>
    <cellStyle name="Millares 4 2 2 4 4" xfId="3940"/>
    <cellStyle name="Millares 4 2 2 4 4 2" xfId="10144"/>
    <cellStyle name="Millares 4 2 2 4 4 3" xfId="16346"/>
    <cellStyle name="Millares 4 2 2 4 4 4" xfId="55313"/>
    <cellStyle name="Millares 4 2 2 4 5" xfId="7043"/>
    <cellStyle name="Millares 4 2 2 4 5 2" xfId="19443"/>
    <cellStyle name="Millares 4 2 2 4 6" xfId="13245"/>
    <cellStyle name="Millares 4 2 2 4 7" xfId="51976"/>
    <cellStyle name="Millares 4 2 2 5" xfId="1318"/>
    <cellStyle name="Millares 4 2 2 5 2" xfId="4443"/>
    <cellStyle name="Millares 4 2 2 5 2 2" xfId="10646"/>
    <cellStyle name="Millares 4 2 2 5 2 3" xfId="16848"/>
    <cellStyle name="Millares 4 2 2 5 2 4" xfId="55734"/>
    <cellStyle name="Millares 4 2 2 5 3" xfId="7546"/>
    <cellStyle name="Millares 4 2 2 5 4" xfId="13748"/>
    <cellStyle name="Millares 4 2 2 5 5" xfId="52863"/>
    <cellStyle name="Millares 4 2 2 6" xfId="2891"/>
    <cellStyle name="Millares 4 2 2 6 2" xfId="6005"/>
    <cellStyle name="Millares 4 2 2 6 2 2" xfId="12208"/>
    <cellStyle name="Millares 4 2 2 6 2 3" xfId="18410"/>
    <cellStyle name="Millares 4 2 2 6 2 4" xfId="57236"/>
    <cellStyle name="Millares 4 2 2 6 3" xfId="9108"/>
    <cellStyle name="Millares 4 2 2 6 4" xfId="15310"/>
    <cellStyle name="Millares 4 2 2 6 5" xfId="54347"/>
    <cellStyle name="Millares 4 2 2 7" xfId="3933"/>
    <cellStyle name="Millares 4 2 2 7 2" xfId="10137"/>
    <cellStyle name="Millares 4 2 2 7 3" xfId="16339"/>
    <cellStyle name="Millares 4 2 2 7 4" xfId="55306"/>
    <cellStyle name="Millares 4 2 2 8" xfId="7036"/>
    <cellStyle name="Millares 4 2 2 8 2" xfId="18919"/>
    <cellStyle name="Millares 4 2 2 9" xfId="13238"/>
    <cellStyle name="Millares 4 2 3" xfId="706"/>
    <cellStyle name="Millares 4 2 3 10" xfId="29864"/>
    <cellStyle name="Millares 4 2 3 2" xfId="707"/>
    <cellStyle name="Millares 4 2 3 2 2" xfId="708"/>
    <cellStyle name="Millares 4 2 3 2 2 2" xfId="709"/>
    <cellStyle name="Millares 4 2 3 2 2 2 2" xfId="2277"/>
    <cellStyle name="Millares 4 2 3 2 2 2 2 2" xfId="5402"/>
    <cellStyle name="Millares 4 2 3 2 2 2 2 2 2" xfId="11605"/>
    <cellStyle name="Millares 4 2 3 2 2 2 2 2 3" xfId="17807"/>
    <cellStyle name="Millares 4 2 3 2 2 2 2 2 4" xfId="56638"/>
    <cellStyle name="Millares 4 2 3 2 2 2 2 3" xfId="8505"/>
    <cellStyle name="Millares 4 2 3 2 2 2 2 4" xfId="14707"/>
    <cellStyle name="Millares 4 2 3 2 2 2 2 5" xfId="53742"/>
    <cellStyle name="Millares 4 2 3 2 2 2 3" xfId="2902"/>
    <cellStyle name="Millares 4 2 3 2 2 2 3 2" xfId="6016"/>
    <cellStyle name="Millares 4 2 3 2 2 2 3 2 2" xfId="12219"/>
    <cellStyle name="Millares 4 2 3 2 2 2 3 2 3" xfId="18421"/>
    <cellStyle name="Millares 4 2 3 2 2 2 3 2 4" xfId="57247"/>
    <cellStyle name="Millares 4 2 3 2 2 2 3 3" xfId="9119"/>
    <cellStyle name="Millares 4 2 3 2 2 2 3 4" xfId="15321"/>
    <cellStyle name="Millares 4 2 3 2 2 2 3 5" xfId="54357"/>
    <cellStyle name="Millares 4 2 3 2 2 2 4" xfId="3944"/>
    <cellStyle name="Millares 4 2 3 2 2 2 4 2" xfId="10148"/>
    <cellStyle name="Millares 4 2 3 2 2 2 4 3" xfId="16350"/>
    <cellStyle name="Millares 4 2 3 2 2 2 4 4" xfId="55317"/>
    <cellStyle name="Millares 4 2 3 2 2 2 5" xfId="7047"/>
    <cellStyle name="Millares 4 2 3 2 2 2 5 2" xfId="19878"/>
    <cellStyle name="Millares 4 2 3 2 2 2 6" xfId="13249"/>
    <cellStyle name="Millares 4 2 3 2 2 2 7" xfId="52549"/>
    <cellStyle name="Millares 4 2 3 2 2 3" xfId="1753"/>
    <cellStyle name="Millares 4 2 3 2 2 3 2" xfId="4878"/>
    <cellStyle name="Millares 4 2 3 2 2 3 2 2" xfId="11081"/>
    <cellStyle name="Millares 4 2 3 2 2 3 2 3" xfId="17283"/>
    <cellStyle name="Millares 4 2 3 2 2 3 2 4" xfId="56149"/>
    <cellStyle name="Millares 4 2 3 2 2 3 3" xfId="7981"/>
    <cellStyle name="Millares 4 2 3 2 2 3 4" xfId="14183"/>
    <cellStyle name="Millares 4 2 3 2 2 3 5" xfId="53257"/>
    <cellStyle name="Millares 4 2 3 2 2 4" xfId="2901"/>
    <cellStyle name="Millares 4 2 3 2 2 4 2" xfId="6015"/>
    <cellStyle name="Millares 4 2 3 2 2 4 2 2" xfId="12218"/>
    <cellStyle name="Millares 4 2 3 2 2 4 2 3" xfId="18420"/>
    <cellStyle name="Millares 4 2 3 2 2 4 2 4" xfId="57246"/>
    <cellStyle name="Millares 4 2 3 2 2 4 3" xfId="9118"/>
    <cellStyle name="Millares 4 2 3 2 2 4 4" xfId="15320"/>
    <cellStyle name="Millares 4 2 3 2 2 4 5" xfId="54356"/>
    <cellStyle name="Millares 4 2 3 2 2 5" xfId="3943"/>
    <cellStyle name="Millares 4 2 3 2 2 5 2" xfId="10147"/>
    <cellStyle name="Millares 4 2 3 2 2 5 3" xfId="16349"/>
    <cellStyle name="Millares 4 2 3 2 2 5 4" xfId="55316"/>
    <cellStyle name="Millares 4 2 3 2 2 6" xfId="7046"/>
    <cellStyle name="Millares 4 2 3 2 2 6 2" xfId="19354"/>
    <cellStyle name="Millares 4 2 3 2 2 7" xfId="13248"/>
    <cellStyle name="Millares 4 2 3 2 2 8" xfId="52150"/>
    <cellStyle name="Millares 4 2 3 2 3" xfId="710"/>
    <cellStyle name="Millares 4 2 3 2 3 2" xfId="2032"/>
    <cellStyle name="Millares 4 2 3 2 3 2 2" xfId="5157"/>
    <cellStyle name="Millares 4 2 3 2 3 2 2 2" xfId="11360"/>
    <cellStyle name="Millares 4 2 3 2 3 2 2 3" xfId="17562"/>
    <cellStyle name="Millares 4 2 3 2 3 2 2 4" xfId="56411"/>
    <cellStyle name="Millares 4 2 3 2 3 2 3" xfId="8260"/>
    <cellStyle name="Millares 4 2 3 2 3 2 4" xfId="14462"/>
    <cellStyle name="Millares 4 2 3 2 3 2 5" xfId="53516"/>
    <cellStyle name="Millares 4 2 3 2 3 3" xfId="2903"/>
    <cellStyle name="Millares 4 2 3 2 3 3 2" xfId="6017"/>
    <cellStyle name="Millares 4 2 3 2 3 3 2 2" xfId="12220"/>
    <cellStyle name="Millares 4 2 3 2 3 3 2 3" xfId="18422"/>
    <cellStyle name="Millares 4 2 3 2 3 3 2 4" xfId="57248"/>
    <cellStyle name="Millares 4 2 3 2 3 3 3" xfId="9120"/>
    <cellStyle name="Millares 4 2 3 2 3 3 4" xfId="15322"/>
    <cellStyle name="Millares 4 2 3 2 3 3 5" xfId="54358"/>
    <cellStyle name="Millares 4 2 3 2 3 4" xfId="3945"/>
    <cellStyle name="Millares 4 2 3 2 3 4 2" xfId="10149"/>
    <cellStyle name="Millares 4 2 3 2 3 4 3" xfId="16351"/>
    <cellStyle name="Millares 4 2 3 2 3 4 4" xfId="55318"/>
    <cellStyle name="Millares 4 2 3 2 3 5" xfId="7048"/>
    <cellStyle name="Millares 4 2 3 2 3 5 2" xfId="19633"/>
    <cellStyle name="Millares 4 2 3 2 3 6" xfId="13250"/>
    <cellStyle name="Millares 4 2 3 2 3 7" xfId="52550"/>
    <cellStyle name="Millares 4 2 3 2 4" xfId="1508"/>
    <cellStyle name="Millares 4 2 3 2 4 2" xfId="4633"/>
    <cellStyle name="Millares 4 2 3 2 4 2 2" xfId="10836"/>
    <cellStyle name="Millares 4 2 3 2 4 2 3" xfId="17038"/>
    <cellStyle name="Millares 4 2 3 2 4 2 4" xfId="55916"/>
    <cellStyle name="Millares 4 2 3 2 4 3" xfId="7736"/>
    <cellStyle name="Millares 4 2 3 2 4 4" xfId="13938"/>
    <cellStyle name="Millares 4 2 3 2 4 5" xfId="53032"/>
    <cellStyle name="Millares 4 2 3 2 5" xfId="2900"/>
    <cellStyle name="Millares 4 2 3 2 5 2" xfId="6014"/>
    <cellStyle name="Millares 4 2 3 2 5 2 2" xfId="12217"/>
    <cellStyle name="Millares 4 2 3 2 5 2 3" xfId="18419"/>
    <cellStyle name="Millares 4 2 3 2 5 2 4" xfId="57245"/>
    <cellStyle name="Millares 4 2 3 2 5 3" xfId="9117"/>
    <cellStyle name="Millares 4 2 3 2 5 4" xfId="15319"/>
    <cellStyle name="Millares 4 2 3 2 5 5" xfId="54355"/>
    <cellStyle name="Millares 4 2 3 2 6" xfId="3942"/>
    <cellStyle name="Millares 4 2 3 2 6 2" xfId="10146"/>
    <cellStyle name="Millares 4 2 3 2 6 3" xfId="16348"/>
    <cellStyle name="Millares 4 2 3 2 6 4" xfId="55315"/>
    <cellStyle name="Millares 4 2 3 2 7" xfId="7045"/>
    <cellStyle name="Millares 4 2 3 2 7 2" xfId="19109"/>
    <cellStyle name="Millares 4 2 3 2 8" xfId="13247"/>
    <cellStyle name="Millares 4 2 3 2 9" xfId="46471"/>
    <cellStyle name="Millares 4 2 3 3" xfId="711"/>
    <cellStyle name="Millares 4 2 3 3 2" xfId="712"/>
    <cellStyle name="Millares 4 2 3 3 2 2" xfId="2149"/>
    <cellStyle name="Millares 4 2 3 3 2 2 2" xfId="5274"/>
    <cellStyle name="Millares 4 2 3 3 2 2 2 2" xfId="11477"/>
    <cellStyle name="Millares 4 2 3 3 2 2 2 3" xfId="17679"/>
    <cellStyle name="Millares 4 2 3 3 2 2 2 4" xfId="56519"/>
    <cellStyle name="Millares 4 2 3 3 2 2 3" xfId="8377"/>
    <cellStyle name="Millares 4 2 3 3 2 2 4" xfId="14579"/>
    <cellStyle name="Millares 4 2 3 3 2 2 5" xfId="53623"/>
    <cellStyle name="Millares 4 2 3 3 2 3" xfId="2905"/>
    <cellStyle name="Millares 4 2 3 3 2 3 2" xfId="6019"/>
    <cellStyle name="Millares 4 2 3 3 2 3 2 2" xfId="12222"/>
    <cellStyle name="Millares 4 2 3 3 2 3 2 3" xfId="18424"/>
    <cellStyle name="Millares 4 2 3 3 2 3 2 4" xfId="57250"/>
    <cellStyle name="Millares 4 2 3 3 2 3 3" xfId="9122"/>
    <cellStyle name="Millares 4 2 3 3 2 3 4" xfId="15324"/>
    <cellStyle name="Millares 4 2 3 3 2 3 5" xfId="54360"/>
    <cellStyle name="Millares 4 2 3 3 2 4" xfId="3947"/>
    <cellStyle name="Millares 4 2 3 3 2 4 2" xfId="10151"/>
    <cellStyle name="Millares 4 2 3 3 2 4 3" xfId="16353"/>
    <cellStyle name="Millares 4 2 3 3 2 4 4" xfId="55320"/>
    <cellStyle name="Millares 4 2 3 3 2 5" xfId="7050"/>
    <cellStyle name="Millares 4 2 3 3 2 5 2" xfId="19750"/>
    <cellStyle name="Millares 4 2 3 3 2 6" xfId="13252"/>
    <cellStyle name="Millares 4 2 3 3 2 7" xfId="52551"/>
    <cellStyle name="Millares 4 2 3 3 3" xfId="1625"/>
    <cellStyle name="Millares 4 2 3 3 3 2" xfId="4750"/>
    <cellStyle name="Millares 4 2 3 3 3 2 2" xfId="10953"/>
    <cellStyle name="Millares 4 2 3 3 3 2 3" xfId="17155"/>
    <cellStyle name="Millares 4 2 3 3 3 2 4" xfId="56027"/>
    <cellStyle name="Millares 4 2 3 3 3 3" xfId="7853"/>
    <cellStyle name="Millares 4 2 3 3 3 4" xfId="14055"/>
    <cellStyle name="Millares 4 2 3 3 3 5" xfId="53138"/>
    <cellStyle name="Millares 4 2 3 3 4" xfId="2904"/>
    <cellStyle name="Millares 4 2 3 3 4 2" xfId="6018"/>
    <cellStyle name="Millares 4 2 3 3 4 2 2" xfId="12221"/>
    <cellStyle name="Millares 4 2 3 3 4 2 3" xfId="18423"/>
    <cellStyle name="Millares 4 2 3 3 4 2 4" xfId="57249"/>
    <cellStyle name="Millares 4 2 3 3 4 3" xfId="9121"/>
    <cellStyle name="Millares 4 2 3 3 4 4" xfId="15323"/>
    <cellStyle name="Millares 4 2 3 3 4 5" xfId="54359"/>
    <cellStyle name="Millares 4 2 3 3 5" xfId="3946"/>
    <cellStyle name="Millares 4 2 3 3 5 2" xfId="10150"/>
    <cellStyle name="Millares 4 2 3 3 5 3" xfId="16352"/>
    <cellStyle name="Millares 4 2 3 3 5 4" xfId="55319"/>
    <cellStyle name="Millares 4 2 3 3 6" xfId="7049"/>
    <cellStyle name="Millares 4 2 3 3 6 2" xfId="19226"/>
    <cellStyle name="Millares 4 2 3 3 7" xfId="13251"/>
    <cellStyle name="Millares 4 2 3 3 8" xfId="52018"/>
    <cellStyle name="Millares 4 2 3 4" xfId="713"/>
    <cellStyle name="Millares 4 2 3 4 2" xfId="1890"/>
    <cellStyle name="Millares 4 2 3 4 2 2" xfId="5015"/>
    <cellStyle name="Millares 4 2 3 4 2 2 2" xfId="11218"/>
    <cellStyle name="Millares 4 2 3 4 2 2 3" xfId="17420"/>
    <cellStyle name="Millares 4 2 3 4 2 2 4" xfId="56277"/>
    <cellStyle name="Millares 4 2 3 4 2 3" xfId="8118"/>
    <cellStyle name="Millares 4 2 3 4 2 4" xfId="14320"/>
    <cellStyle name="Millares 4 2 3 4 2 5" xfId="53383"/>
    <cellStyle name="Millares 4 2 3 4 3" xfId="2906"/>
    <cellStyle name="Millares 4 2 3 4 3 2" xfId="6020"/>
    <cellStyle name="Millares 4 2 3 4 3 2 2" xfId="12223"/>
    <cellStyle name="Millares 4 2 3 4 3 2 3" xfId="18425"/>
    <cellStyle name="Millares 4 2 3 4 3 2 4" xfId="57251"/>
    <cellStyle name="Millares 4 2 3 4 3 3" xfId="9123"/>
    <cellStyle name="Millares 4 2 3 4 3 4" xfId="15325"/>
    <cellStyle name="Millares 4 2 3 4 3 5" xfId="54361"/>
    <cellStyle name="Millares 4 2 3 4 4" xfId="3948"/>
    <cellStyle name="Millares 4 2 3 4 4 2" xfId="10152"/>
    <cellStyle name="Millares 4 2 3 4 4 3" xfId="16354"/>
    <cellStyle name="Millares 4 2 3 4 4 4" xfId="55321"/>
    <cellStyle name="Millares 4 2 3 4 5" xfId="7051"/>
    <cellStyle name="Millares 4 2 3 4 5 2" xfId="19491"/>
    <cellStyle name="Millares 4 2 3 4 6" xfId="13253"/>
    <cellStyle name="Millares 4 2 3 4 7" xfId="52552"/>
    <cellStyle name="Millares 4 2 3 5" xfId="1366"/>
    <cellStyle name="Millares 4 2 3 5 2" xfId="4491"/>
    <cellStyle name="Millares 4 2 3 5 2 2" xfId="10694"/>
    <cellStyle name="Millares 4 2 3 5 2 3" xfId="16896"/>
    <cellStyle name="Millares 4 2 3 5 2 4" xfId="55781"/>
    <cellStyle name="Millares 4 2 3 5 3" xfId="7594"/>
    <cellStyle name="Millares 4 2 3 5 4" xfId="13796"/>
    <cellStyle name="Millares 4 2 3 5 5" xfId="52906"/>
    <cellStyle name="Millares 4 2 3 6" xfId="2899"/>
    <cellStyle name="Millares 4 2 3 6 2" xfId="6013"/>
    <cellStyle name="Millares 4 2 3 6 2 2" xfId="12216"/>
    <cellStyle name="Millares 4 2 3 6 2 3" xfId="18418"/>
    <cellStyle name="Millares 4 2 3 6 2 4" xfId="57244"/>
    <cellStyle name="Millares 4 2 3 6 3" xfId="9116"/>
    <cellStyle name="Millares 4 2 3 6 4" xfId="15318"/>
    <cellStyle name="Millares 4 2 3 6 5" xfId="54354"/>
    <cellStyle name="Millares 4 2 3 7" xfId="3941"/>
    <cellStyle name="Millares 4 2 3 7 2" xfId="10145"/>
    <cellStyle name="Millares 4 2 3 7 3" xfId="16347"/>
    <cellStyle name="Millares 4 2 3 7 4" xfId="55314"/>
    <cellStyle name="Millares 4 2 3 8" xfId="7044"/>
    <cellStyle name="Millares 4 2 3 8 2" xfId="18967"/>
    <cellStyle name="Millares 4 2 3 9" xfId="13246"/>
    <cellStyle name="Millares 4 2 4" xfId="714"/>
    <cellStyle name="Millares 4 2 4 2" xfId="715"/>
    <cellStyle name="Millares 4 2 4 2 2" xfId="716"/>
    <cellStyle name="Millares 4 2 4 2 2 2" xfId="2293"/>
    <cellStyle name="Millares 4 2 4 2 2 2 2" xfId="5418"/>
    <cellStyle name="Millares 4 2 4 2 2 2 2 2" xfId="11621"/>
    <cellStyle name="Millares 4 2 4 2 2 2 2 3" xfId="17823"/>
    <cellStyle name="Millares 4 2 4 2 2 2 2 4" xfId="56652"/>
    <cellStyle name="Millares 4 2 4 2 2 2 3" xfId="8521"/>
    <cellStyle name="Millares 4 2 4 2 2 2 4" xfId="14723"/>
    <cellStyle name="Millares 4 2 4 2 2 2 5" xfId="53756"/>
    <cellStyle name="Millares 4 2 4 2 2 3" xfId="2909"/>
    <cellStyle name="Millares 4 2 4 2 2 3 2" xfId="6023"/>
    <cellStyle name="Millares 4 2 4 2 2 3 2 2" xfId="12226"/>
    <cellStyle name="Millares 4 2 4 2 2 3 2 3" xfId="18428"/>
    <cellStyle name="Millares 4 2 4 2 2 3 2 4" xfId="57254"/>
    <cellStyle name="Millares 4 2 4 2 2 3 3" xfId="9126"/>
    <cellStyle name="Millares 4 2 4 2 2 3 4" xfId="15328"/>
    <cellStyle name="Millares 4 2 4 2 2 3 5" xfId="54364"/>
    <cellStyle name="Millares 4 2 4 2 2 4" xfId="3951"/>
    <cellStyle name="Millares 4 2 4 2 2 4 2" xfId="10155"/>
    <cellStyle name="Millares 4 2 4 2 2 4 3" xfId="16357"/>
    <cellStyle name="Millares 4 2 4 2 2 4 4" xfId="55324"/>
    <cellStyle name="Millares 4 2 4 2 2 5" xfId="7054"/>
    <cellStyle name="Millares 4 2 4 2 2 5 2" xfId="19894"/>
    <cellStyle name="Millares 4 2 4 2 2 6" xfId="13256"/>
    <cellStyle name="Millares 4 2 4 2 2 7" xfId="52555"/>
    <cellStyle name="Millares 4 2 4 2 3" xfId="1769"/>
    <cellStyle name="Millares 4 2 4 2 3 2" xfId="4894"/>
    <cellStyle name="Millares 4 2 4 2 3 2 2" xfId="11097"/>
    <cellStyle name="Millares 4 2 4 2 3 2 3" xfId="17299"/>
    <cellStyle name="Millares 4 2 4 2 3 2 4" xfId="56164"/>
    <cellStyle name="Millares 4 2 4 2 3 3" xfId="7997"/>
    <cellStyle name="Millares 4 2 4 2 3 4" xfId="14199"/>
    <cellStyle name="Millares 4 2 4 2 3 5" xfId="53271"/>
    <cellStyle name="Millares 4 2 4 2 4" xfId="2908"/>
    <cellStyle name="Millares 4 2 4 2 4 2" xfId="6022"/>
    <cellStyle name="Millares 4 2 4 2 4 2 2" xfId="12225"/>
    <cellStyle name="Millares 4 2 4 2 4 2 3" xfId="18427"/>
    <cellStyle name="Millares 4 2 4 2 4 2 4" xfId="57253"/>
    <cellStyle name="Millares 4 2 4 2 4 3" xfId="9125"/>
    <cellStyle name="Millares 4 2 4 2 4 4" xfId="15327"/>
    <cellStyle name="Millares 4 2 4 2 4 5" xfId="54363"/>
    <cellStyle name="Millares 4 2 4 2 5" xfId="3950"/>
    <cellStyle name="Millares 4 2 4 2 5 2" xfId="10154"/>
    <cellStyle name="Millares 4 2 4 2 5 3" xfId="16356"/>
    <cellStyle name="Millares 4 2 4 2 5 4" xfId="55323"/>
    <cellStyle name="Millares 4 2 4 2 6" xfId="7053"/>
    <cellStyle name="Millares 4 2 4 2 6 2" xfId="19370"/>
    <cellStyle name="Millares 4 2 4 2 6 3" xfId="52554"/>
    <cellStyle name="Millares 4 2 4 2 7" xfId="13255"/>
    <cellStyle name="Millares 4 2 4 2 8" xfId="46472"/>
    <cellStyle name="Millares 4 2 4 3" xfId="717"/>
    <cellStyle name="Millares 4 2 4 3 2" xfId="1906"/>
    <cellStyle name="Millares 4 2 4 3 2 2" xfId="5031"/>
    <cellStyle name="Millares 4 2 4 3 2 2 2" xfId="11234"/>
    <cellStyle name="Millares 4 2 4 3 2 2 3" xfId="17436"/>
    <cellStyle name="Millares 4 2 4 3 2 2 4" xfId="56292"/>
    <cellStyle name="Millares 4 2 4 3 2 3" xfId="8134"/>
    <cellStyle name="Millares 4 2 4 3 2 4" xfId="14336"/>
    <cellStyle name="Millares 4 2 4 3 2 5" xfId="53398"/>
    <cellStyle name="Millares 4 2 4 3 3" xfId="2910"/>
    <cellStyle name="Millares 4 2 4 3 3 2" xfId="6024"/>
    <cellStyle name="Millares 4 2 4 3 3 2 2" xfId="12227"/>
    <cellStyle name="Millares 4 2 4 3 3 2 3" xfId="18429"/>
    <cellStyle name="Millares 4 2 4 3 3 2 4" xfId="57255"/>
    <cellStyle name="Millares 4 2 4 3 3 3" xfId="9127"/>
    <cellStyle name="Millares 4 2 4 3 3 4" xfId="15329"/>
    <cellStyle name="Millares 4 2 4 3 3 5" xfId="54365"/>
    <cellStyle name="Millares 4 2 4 3 4" xfId="3952"/>
    <cellStyle name="Millares 4 2 4 3 4 2" xfId="10156"/>
    <cellStyle name="Millares 4 2 4 3 4 3" xfId="16358"/>
    <cellStyle name="Millares 4 2 4 3 4 4" xfId="55325"/>
    <cellStyle name="Millares 4 2 4 3 5" xfId="7055"/>
    <cellStyle name="Millares 4 2 4 3 5 2" xfId="19507"/>
    <cellStyle name="Millares 4 2 4 3 5 3" xfId="52556"/>
    <cellStyle name="Millares 4 2 4 3 6" xfId="13257"/>
    <cellStyle name="Millares 4 2 4 3 7" xfId="52033"/>
    <cellStyle name="Millares 4 2 4 4" xfId="1382"/>
    <cellStyle name="Millares 4 2 4 4 2" xfId="4507"/>
    <cellStyle name="Millares 4 2 4 4 2 2" xfId="10710"/>
    <cellStyle name="Millares 4 2 4 4 2 3" xfId="16912"/>
    <cellStyle name="Millares 4 2 4 4 2 4" xfId="55796"/>
    <cellStyle name="Millares 4 2 4 4 3" xfId="7610"/>
    <cellStyle name="Millares 4 2 4 4 4" xfId="13812"/>
    <cellStyle name="Millares 4 2 4 4 5" xfId="52920"/>
    <cellStyle name="Millares 4 2 4 5" xfId="2907"/>
    <cellStyle name="Millares 4 2 4 5 2" xfId="6021"/>
    <cellStyle name="Millares 4 2 4 5 2 2" xfId="12224"/>
    <cellStyle name="Millares 4 2 4 5 2 3" xfId="18426"/>
    <cellStyle name="Millares 4 2 4 5 2 4" xfId="57252"/>
    <cellStyle name="Millares 4 2 4 5 3" xfId="9124"/>
    <cellStyle name="Millares 4 2 4 5 4" xfId="15326"/>
    <cellStyle name="Millares 4 2 4 5 5" xfId="54362"/>
    <cellStyle name="Millares 4 2 4 6" xfId="3949"/>
    <cellStyle name="Millares 4 2 4 6 2" xfId="10153"/>
    <cellStyle name="Millares 4 2 4 6 3" xfId="16355"/>
    <cellStyle name="Millares 4 2 4 6 4" xfId="55322"/>
    <cellStyle name="Millares 4 2 4 7" xfId="7052"/>
    <cellStyle name="Millares 4 2 4 7 2" xfId="18983"/>
    <cellStyle name="Millares 4 2 4 7 3" xfId="52553"/>
    <cellStyle name="Millares 4 2 4 8" xfId="13254"/>
    <cellStyle name="Millares 4 2 4 9" xfId="29865"/>
    <cellStyle name="Millares 4 2 5" xfId="718"/>
    <cellStyle name="Millares 4 2 5 2" xfId="719"/>
    <cellStyle name="Millares 4 2 5 2 2" xfId="720"/>
    <cellStyle name="Millares 4 2 5 2 2 2" xfId="2209"/>
    <cellStyle name="Millares 4 2 5 2 2 2 2" xfId="5334"/>
    <cellStyle name="Millares 4 2 5 2 2 2 2 2" xfId="11537"/>
    <cellStyle name="Millares 4 2 5 2 2 2 2 3" xfId="17739"/>
    <cellStyle name="Millares 4 2 5 2 2 2 2 4" xfId="56575"/>
    <cellStyle name="Millares 4 2 5 2 2 2 3" xfId="8437"/>
    <cellStyle name="Millares 4 2 5 2 2 2 4" xfId="14639"/>
    <cellStyle name="Millares 4 2 5 2 2 2 5" xfId="53679"/>
    <cellStyle name="Millares 4 2 5 2 2 3" xfId="2913"/>
    <cellStyle name="Millares 4 2 5 2 2 3 2" xfId="6027"/>
    <cellStyle name="Millares 4 2 5 2 2 3 2 2" xfId="12230"/>
    <cellStyle name="Millares 4 2 5 2 2 3 2 3" xfId="18432"/>
    <cellStyle name="Millares 4 2 5 2 2 3 2 4" xfId="57258"/>
    <cellStyle name="Millares 4 2 5 2 2 3 3" xfId="9130"/>
    <cellStyle name="Millares 4 2 5 2 2 3 4" xfId="15332"/>
    <cellStyle name="Millares 4 2 5 2 2 3 5" xfId="54368"/>
    <cellStyle name="Millares 4 2 5 2 2 4" xfId="3955"/>
    <cellStyle name="Millares 4 2 5 2 2 4 2" xfId="10159"/>
    <cellStyle name="Millares 4 2 5 2 2 4 3" xfId="16361"/>
    <cellStyle name="Millares 4 2 5 2 2 4 4" xfId="55328"/>
    <cellStyle name="Millares 4 2 5 2 2 5" xfId="7058"/>
    <cellStyle name="Millares 4 2 5 2 2 5 2" xfId="19810"/>
    <cellStyle name="Millares 4 2 5 2 2 6" xfId="13260"/>
    <cellStyle name="Millares 4 2 5 2 2 7" xfId="52558"/>
    <cellStyle name="Millares 4 2 5 2 3" xfId="1685"/>
    <cellStyle name="Millares 4 2 5 2 3 2" xfId="4810"/>
    <cellStyle name="Millares 4 2 5 2 3 2 2" xfId="11013"/>
    <cellStyle name="Millares 4 2 5 2 3 2 3" xfId="17215"/>
    <cellStyle name="Millares 4 2 5 2 3 2 4" xfId="56084"/>
    <cellStyle name="Millares 4 2 5 2 3 3" xfId="7913"/>
    <cellStyle name="Millares 4 2 5 2 3 4" xfId="14115"/>
    <cellStyle name="Millares 4 2 5 2 3 5" xfId="53194"/>
    <cellStyle name="Millares 4 2 5 2 4" xfId="2912"/>
    <cellStyle name="Millares 4 2 5 2 4 2" xfId="6026"/>
    <cellStyle name="Millares 4 2 5 2 4 2 2" xfId="12229"/>
    <cellStyle name="Millares 4 2 5 2 4 2 3" xfId="18431"/>
    <cellStyle name="Millares 4 2 5 2 4 2 4" xfId="57257"/>
    <cellStyle name="Millares 4 2 5 2 4 3" xfId="9129"/>
    <cellStyle name="Millares 4 2 5 2 4 4" xfId="15331"/>
    <cellStyle name="Millares 4 2 5 2 4 5" xfId="54367"/>
    <cellStyle name="Millares 4 2 5 2 5" xfId="3954"/>
    <cellStyle name="Millares 4 2 5 2 5 2" xfId="10158"/>
    <cellStyle name="Millares 4 2 5 2 5 3" xfId="16360"/>
    <cellStyle name="Millares 4 2 5 2 5 4" xfId="55327"/>
    <cellStyle name="Millares 4 2 5 2 6" xfId="7057"/>
    <cellStyle name="Millares 4 2 5 2 6 2" xfId="19286"/>
    <cellStyle name="Millares 4 2 5 2 6 3" xfId="52557"/>
    <cellStyle name="Millares 4 2 5 2 7" xfId="13259"/>
    <cellStyle name="Millares 4 2 5 2 8" xfId="46473"/>
    <cellStyle name="Millares 4 2 5 3" xfId="721"/>
    <cellStyle name="Millares 4 2 5 3 2" xfId="1964"/>
    <cellStyle name="Millares 4 2 5 3 2 2" xfId="5089"/>
    <cellStyle name="Millares 4 2 5 3 2 2 2" xfId="11292"/>
    <cellStyle name="Millares 4 2 5 3 2 2 3" xfId="17494"/>
    <cellStyle name="Millares 4 2 5 3 2 2 4" xfId="56348"/>
    <cellStyle name="Millares 4 2 5 3 2 3" xfId="8192"/>
    <cellStyle name="Millares 4 2 5 3 2 4" xfId="14394"/>
    <cellStyle name="Millares 4 2 5 3 2 5" xfId="53454"/>
    <cellStyle name="Millares 4 2 5 3 3" xfId="2914"/>
    <cellStyle name="Millares 4 2 5 3 3 2" xfId="6028"/>
    <cellStyle name="Millares 4 2 5 3 3 2 2" xfId="12231"/>
    <cellStyle name="Millares 4 2 5 3 3 2 3" xfId="18433"/>
    <cellStyle name="Millares 4 2 5 3 3 2 4" xfId="57259"/>
    <cellStyle name="Millares 4 2 5 3 3 3" xfId="9131"/>
    <cellStyle name="Millares 4 2 5 3 3 4" xfId="15333"/>
    <cellStyle name="Millares 4 2 5 3 3 5" xfId="54369"/>
    <cellStyle name="Millares 4 2 5 3 4" xfId="3956"/>
    <cellStyle name="Millares 4 2 5 3 4 2" xfId="10160"/>
    <cellStyle name="Millares 4 2 5 3 4 3" xfId="16362"/>
    <cellStyle name="Millares 4 2 5 3 4 4" xfId="55329"/>
    <cellStyle name="Millares 4 2 5 3 5" xfId="7059"/>
    <cellStyle name="Millares 4 2 5 3 5 2" xfId="19565"/>
    <cellStyle name="Millares 4 2 5 3 6" xfId="13261"/>
    <cellStyle name="Millares 4 2 5 3 7" xfId="52087"/>
    <cellStyle name="Millares 4 2 5 4" xfId="1440"/>
    <cellStyle name="Millares 4 2 5 4 2" xfId="4565"/>
    <cellStyle name="Millares 4 2 5 4 2 2" xfId="10768"/>
    <cellStyle name="Millares 4 2 5 4 2 3" xfId="16970"/>
    <cellStyle name="Millares 4 2 5 4 2 4" xfId="55852"/>
    <cellStyle name="Millares 4 2 5 4 3" xfId="7668"/>
    <cellStyle name="Millares 4 2 5 4 4" xfId="13870"/>
    <cellStyle name="Millares 4 2 5 4 5" xfId="52970"/>
    <cellStyle name="Millares 4 2 5 5" xfId="2911"/>
    <cellStyle name="Millares 4 2 5 5 2" xfId="6025"/>
    <cellStyle name="Millares 4 2 5 5 2 2" xfId="12228"/>
    <cellStyle name="Millares 4 2 5 5 2 3" xfId="18430"/>
    <cellStyle name="Millares 4 2 5 5 2 4" xfId="57256"/>
    <cellStyle name="Millares 4 2 5 5 3" xfId="9128"/>
    <cellStyle name="Millares 4 2 5 5 4" xfId="15330"/>
    <cellStyle name="Millares 4 2 5 5 5" xfId="54366"/>
    <cellStyle name="Millares 4 2 5 6" xfId="3953"/>
    <cellStyle name="Millares 4 2 5 6 2" xfId="10157"/>
    <cellStyle name="Millares 4 2 5 6 3" xfId="16359"/>
    <cellStyle name="Millares 4 2 5 6 4" xfId="55326"/>
    <cellStyle name="Millares 4 2 5 7" xfId="7056"/>
    <cellStyle name="Millares 4 2 5 7 2" xfId="19041"/>
    <cellStyle name="Millares 4 2 5 8" xfId="13258"/>
    <cellStyle name="Millares 4 2 5 9" xfId="29866"/>
    <cellStyle name="Millares 4 2 6" xfId="722"/>
    <cellStyle name="Millares 4 2 6 2" xfId="723"/>
    <cellStyle name="Millares 4 2 6 2 2" xfId="2093"/>
    <cellStyle name="Millares 4 2 6 2 2 2" xfId="5218"/>
    <cellStyle name="Millares 4 2 6 2 2 2 2" xfId="11421"/>
    <cellStyle name="Millares 4 2 6 2 2 2 3" xfId="17623"/>
    <cellStyle name="Millares 4 2 6 2 2 2 4" xfId="56467"/>
    <cellStyle name="Millares 4 2 6 2 2 3" xfId="8321"/>
    <cellStyle name="Millares 4 2 6 2 2 4" xfId="14523"/>
    <cellStyle name="Millares 4 2 6 2 2 5" xfId="53571"/>
    <cellStyle name="Millares 4 2 6 2 3" xfId="2916"/>
    <cellStyle name="Millares 4 2 6 2 3 2" xfId="6030"/>
    <cellStyle name="Millares 4 2 6 2 3 2 2" xfId="12233"/>
    <cellStyle name="Millares 4 2 6 2 3 2 3" xfId="18435"/>
    <cellStyle name="Millares 4 2 6 2 3 2 4" xfId="57261"/>
    <cellStyle name="Millares 4 2 6 2 3 3" xfId="9133"/>
    <cellStyle name="Millares 4 2 6 2 3 4" xfId="15335"/>
    <cellStyle name="Millares 4 2 6 2 3 5" xfId="54371"/>
    <cellStyle name="Millares 4 2 6 2 4" xfId="3958"/>
    <cellStyle name="Millares 4 2 6 2 4 2" xfId="10162"/>
    <cellStyle name="Millares 4 2 6 2 4 3" xfId="16364"/>
    <cellStyle name="Millares 4 2 6 2 4 4" xfId="55331"/>
    <cellStyle name="Millares 4 2 6 2 5" xfId="7061"/>
    <cellStyle name="Millares 4 2 6 2 5 2" xfId="19694"/>
    <cellStyle name="Millares 4 2 6 2 5 3" xfId="52560"/>
    <cellStyle name="Millares 4 2 6 2 6" xfId="13263"/>
    <cellStyle name="Millares 4 2 6 2 7" xfId="46474"/>
    <cellStyle name="Millares 4 2 6 3" xfId="1569"/>
    <cellStyle name="Millares 4 2 6 3 2" xfId="4694"/>
    <cellStyle name="Millares 4 2 6 3 2 2" xfId="10897"/>
    <cellStyle name="Millares 4 2 6 3 2 3" xfId="17099"/>
    <cellStyle name="Millares 4 2 6 3 2 4" xfId="55973"/>
    <cellStyle name="Millares 4 2 6 3 3" xfId="7797"/>
    <cellStyle name="Millares 4 2 6 3 4" xfId="13999"/>
    <cellStyle name="Millares 4 2 6 3 5" xfId="53086"/>
    <cellStyle name="Millares 4 2 6 4" xfId="2915"/>
    <cellStyle name="Millares 4 2 6 4 2" xfId="6029"/>
    <cellStyle name="Millares 4 2 6 4 2 2" xfId="12232"/>
    <cellStyle name="Millares 4 2 6 4 2 3" xfId="18434"/>
    <cellStyle name="Millares 4 2 6 4 2 4" xfId="57260"/>
    <cellStyle name="Millares 4 2 6 4 3" xfId="9132"/>
    <cellStyle name="Millares 4 2 6 4 4" xfId="15334"/>
    <cellStyle name="Millares 4 2 6 4 5" xfId="54370"/>
    <cellStyle name="Millares 4 2 6 5" xfId="3957"/>
    <cellStyle name="Millares 4 2 6 5 2" xfId="10161"/>
    <cellStyle name="Millares 4 2 6 5 3" xfId="16363"/>
    <cellStyle name="Millares 4 2 6 5 4" xfId="55330"/>
    <cellStyle name="Millares 4 2 6 6" xfId="7060"/>
    <cellStyle name="Millares 4 2 6 6 2" xfId="19170"/>
    <cellStyle name="Millares 4 2 6 6 3" xfId="52559"/>
    <cellStyle name="Millares 4 2 6 7" xfId="13262"/>
    <cellStyle name="Millares 4 2 6 8" xfId="29867"/>
    <cellStyle name="Millares 4 2 7" xfId="724"/>
    <cellStyle name="Millares 4 2 7 2" xfId="1823"/>
    <cellStyle name="Millares 4 2 7 2 2" xfId="4948"/>
    <cellStyle name="Millares 4 2 7 2 2 2" xfId="11151"/>
    <cellStyle name="Millares 4 2 7 2 2 3" xfId="17353"/>
    <cellStyle name="Millares 4 2 7 2 2 4" xfId="56213"/>
    <cellStyle name="Millares 4 2 7 2 3" xfId="8051"/>
    <cellStyle name="Millares 4 2 7 2 3 2" xfId="53319"/>
    <cellStyle name="Millares 4 2 7 2 4" xfId="14253"/>
    <cellStyle name="Millares 4 2 7 2 5" xfId="46475"/>
    <cellStyle name="Millares 4 2 7 3" xfId="2917"/>
    <cellStyle name="Millares 4 2 7 3 2" xfId="6031"/>
    <cellStyle name="Millares 4 2 7 3 2 2" xfId="12234"/>
    <cellStyle name="Millares 4 2 7 3 2 3" xfId="18436"/>
    <cellStyle name="Millares 4 2 7 3 2 4" xfId="57262"/>
    <cellStyle name="Millares 4 2 7 3 3" xfId="9134"/>
    <cellStyle name="Millares 4 2 7 3 4" xfId="15336"/>
    <cellStyle name="Millares 4 2 7 3 5" xfId="54372"/>
    <cellStyle name="Millares 4 2 7 4" xfId="3959"/>
    <cellStyle name="Millares 4 2 7 4 2" xfId="10163"/>
    <cellStyle name="Millares 4 2 7 4 3" xfId="16365"/>
    <cellStyle name="Millares 4 2 7 4 4" xfId="55332"/>
    <cellStyle name="Millares 4 2 7 5" xfId="7062"/>
    <cellStyle name="Millares 4 2 7 5 2" xfId="19424"/>
    <cellStyle name="Millares 4 2 7 5 3" xfId="52561"/>
    <cellStyle name="Millares 4 2 7 6" xfId="13264"/>
    <cellStyle name="Millares 4 2 7 7" xfId="29868"/>
    <cellStyle name="Millares 4 2 8" xfId="1298"/>
    <cellStyle name="Millares 4 2 8 2" xfId="4423"/>
    <cellStyle name="Millares 4 2 8 2 2" xfId="10626"/>
    <cellStyle name="Millares 4 2 8 2 3" xfId="16828"/>
    <cellStyle name="Millares 4 2 8 2 4" xfId="55716"/>
    <cellStyle name="Millares 4 2 8 3" xfId="7526"/>
    <cellStyle name="Millares 4 2 8 3 2" xfId="52845"/>
    <cellStyle name="Millares 4 2 8 4" xfId="13728"/>
    <cellStyle name="Millares 4 2 8 5" xfId="29858"/>
    <cellStyle name="Millares 4 2 9" xfId="2890"/>
    <cellStyle name="Millares 4 2 9 2" xfId="6004"/>
    <cellStyle name="Millares 4 2 9 2 2" xfId="12207"/>
    <cellStyle name="Millares 4 2 9 2 3" xfId="18409"/>
    <cellStyle name="Millares 4 2 9 2 4" xfId="57235"/>
    <cellStyle name="Millares 4 2 9 3" xfId="9107"/>
    <cellStyle name="Millares 4 2 9 3 2" xfId="54346"/>
    <cellStyle name="Millares 4 2 9 4" xfId="15309"/>
    <cellStyle name="Millares 4 2 9 5" xfId="46465"/>
    <cellStyle name="Millares 4 20" xfId="29869"/>
    <cellStyle name="Millares 4 20 2" xfId="46476"/>
    <cellStyle name="Millares 4 21" xfId="29870"/>
    <cellStyle name="Millares 4 21 2" xfId="46477"/>
    <cellStyle name="Millares 4 22" xfId="29871"/>
    <cellStyle name="Millares 4 23" xfId="29832"/>
    <cellStyle name="Millares 4 24" xfId="46439"/>
    <cellStyle name="Millares 4 3" xfId="725"/>
    <cellStyle name="Millares 4 3 10" xfId="51973"/>
    <cellStyle name="Millares 4 3 11" xfId="29872"/>
    <cellStyle name="Millares 4 3 2" xfId="726"/>
    <cellStyle name="Millares 4 3 2 2" xfId="727"/>
    <cellStyle name="Millares 4 3 2 2 2" xfId="728"/>
    <cellStyle name="Millares 4 3 2 2 2 2" xfId="2225"/>
    <cellStyle name="Millares 4 3 2 2 2 2 2" xfId="5350"/>
    <cellStyle name="Millares 4 3 2 2 2 2 2 2" xfId="11553"/>
    <cellStyle name="Millares 4 3 2 2 2 2 2 3" xfId="17755"/>
    <cellStyle name="Millares 4 3 2 2 2 2 2 4" xfId="56589"/>
    <cellStyle name="Millares 4 3 2 2 2 2 3" xfId="8453"/>
    <cellStyle name="Millares 4 3 2 2 2 2 4" xfId="14655"/>
    <cellStyle name="Millares 4 3 2 2 2 2 5" xfId="53693"/>
    <cellStyle name="Millares 4 3 2 2 2 3" xfId="2921"/>
    <cellStyle name="Millares 4 3 2 2 2 3 2" xfId="6035"/>
    <cellStyle name="Millares 4 3 2 2 2 3 2 2" xfId="12238"/>
    <cellStyle name="Millares 4 3 2 2 2 3 2 3" xfId="18440"/>
    <cellStyle name="Millares 4 3 2 2 2 3 2 4" xfId="57266"/>
    <cellStyle name="Millares 4 3 2 2 2 3 3" xfId="9138"/>
    <cellStyle name="Millares 4 3 2 2 2 3 4" xfId="15340"/>
    <cellStyle name="Millares 4 3 2 2 2 3 5" xfId="54376"/>
    <cellStyle name="Millares 4 3 2 2 2 4" xfId="3963"/>
    <cellStyle name="Millares 4 3 2 2 2 4 2" xfId="10167"/>
    <cellStyle name="Millares 4 3 2 2 2 4 3" xfId="16369"/>
    <cellStyle name="Millares 4 3 2 2 2 4 4" xfId="55336"/>
    <cellStyle name="Millares 4 3 2 2 2 5" xfId="7066"/>
    <cellStyle name="Millares 4 3 2 2 2 5 2" xfId="19826"/>
    <cellStyle name="Millares 4 3 2 2 2 6" xfId="13268"/>
    <cellStyle name="Millares 4 3 2 2 2 7" xfId="52563"/>
    <cellStyle name="Millares 4 3 2 2 3" xfId="1701"/>
    <cellStyle name="Millares 4 3 2 2 3 2" xfId="4826"/>
    <cellStyle name="Millares 4 3 2 2 3 2 2" xfId="11029"/>
    <cellStyle name="Millares 4 3 2 2 3 2 3" xfId="17231"/>
    <cellStyle name="Millares 4 3 2 2 3 2 4" xfId="56098"/>
    <cellStyle name="Millares 4 3 2 2 3 3" xfId="7929"/>
    <cellStyle name="Millares 4 3 2 2 3 4" xfId="14131"/>
    <cellStyle name="Millares 4 3 2 2 3 5" xfId="53208"/>
    <cellStyle name="Millares 4 3 2 2 4" xfId="2920"/>
    <cellStyle name="Millares 4 3 2 2 4 2" xfId="6034"/>
    <cellStyle name="Millares 4 3 2 2 4 2 2" xfId="12237"/>
    <cellStyle name="Millares 4 3 2 2 4 2 3" xfId="18439"/>
    <cellStyle name="Millares 4 3 2 2 4 2 4" xfId="57265"/>
    <cellStyle name="Millares 4 3 2 2 4 3" xfId="9137"/>
    <cellStyle name="Millares 4 3 2 2 4 4" xfId="15339"/>
    <cellStyle name="Millares 4 3 2 2 4 5" xfId="54375"/>
    <cellStyle name="Millares 4 3 2 2 5" xfId="3962"/>
    <cellStyle name="Millares 4 3 2 2 5 2" xfId="10166"/>
    <cellStyle name="Millares 4 3 2 2 5 3" xfId="16368"/>
    <cellStyle name="Millares 4 3 2 2 5 4" xfId="55335"/>
    <cellStyle name="Millares 4 3 2 2 6" xfId="7065"/>
    <cellStyle name="Millares 4 3 2 2 6 2" xfId="19302"/>
    <cellStyle name="Millares 4 3 2 2 6 3" xfId="52562"/>
    <cellStyle name="Millares 4 3 2 2 7" xfId="13267"/>
    <cellStyle name="Millares 4 3 2 2 8" xfId="46479"/>
    <cellStyle name="Millares 4 3 2 3" xfId="729"/>
    <cellStyle name="Millares 4 3 2 3 2" xfId="1980"/>
    <cellStyle name="Millares 4 3 2 3 2 2" xfId="5105"/>
    <cellStyle name="Millares 4 3 2 3 2 2 2" xfId="11308"/>
    <cellStyle name="Millares 4 3 2 3 2 2 3" xfId="17510"/>
    <cellStyle name="Millares 4 3 2 3 2 2 4" xfId="56362"/>
    <cellStyle name="Millares 4 3 2 3 2 3" xfId="8208"/>
    <cellStyle name="Millares 4 3 2 3 2 4" xfId="14410"/>
    <cellStyle name="Millares 4 3 2 3 2 5" xfId="53468"/>
    <cellStyle name="Millares 4 3 2 3 3" xfId="2922"/>
    <cellStyle name="Millares 4 3 2 3 3 2" xfId="6036"/>
    <cellStyle name="Millares 4 3 2 3 3 2 2" xfId="12239"/>
    <cellStyle name="Millares 4 3 2 3 3 2 3" xfId="18441"/>
    <cellStyle name="Millares 4 3 2 3 3 2 4" xfId="57267"/>
    <cellStyle name="Millares 4 3 2 3 3 3" xfId="9139"/>
    <cellStyle name="Millares 4 3 2 3 3 4" xfId="15341"/>
    <cellStyle name="Millares 4 3 2 3 3 5" xfId="54377"/>
    <cellStyle name="Millares 4 3 2 3 4" xfId="3964"/>
    <cellStyle name="Millares 4 3 2 3 4 2" xfId="10168"/>
    <cellStyle name="Millares 4 3 2 3 4 3" xfId="16370"/>
    <cellStyle name="Millares 4 3 2 3 4 4" xfId="55337"/>
    <cellStyle name="Millares 4 3 2 3 5" xfId="7067"/>
    <cellStyle name="Millares 4 3 2 3 5 2" xfId="19581"/>
    <cellStyle name="Millares 4 3 2 3 6" xfId="13269"/>
    <cellStyle name="Millares 4 3 2 3 7" xfId="52103"/>
    <cellStyle name="Millares 4 3 2 4" xfId="1456"/>
    <cellStyle name="Millares 4 3 2 4 2" xfId="4581"/>
    <cellStyle name="Millares 4 3 2 4 2 2" xfId="10784"/>
    <cellStyle name="Millares 4 3 2 4 2 3" xfId="16986"/>
    <cellStyle name="Millares 4 3 2 4 2 4" xfId="55866"/>
    <cellStyle name="Millares 4 3 2 4 3" xfId="7684"/>
    <cellStyle name="Millares 4 3 2 4 4" xfId="13886"/>
    <cellStyle name="Millares 4 3 2 4 5" xfId="52984"/>
    <cellStyle name="Millares 4 3 2 5" xfId="2919"/>
    <cellStyle name="Millares 4 3 2 5 2" xfId="6033"/>
    <cellStyle name="Millares 4 3 2 5 2 2" xfId="12236"/>
    <cellStyle name="Millares 4 3 2 5 2 3" xfId="18438"/>
    <cellStyle name="Millares 4 3 2 5 2 4" xfId="57264"/>
    <cellStyle name="Millares 4 3 2 5 3" xfId="9136"/>
    <cellStyle name="Millares 4 3 2 5 4" xfId="15338"/>
    <cellStyle name="Millares 4 3 2 5 5" xfId="54374"/>
    <cellStyle name="Millares 4 3 2 6" xfId="3961"/>
    <cellStyle name="Millares 4 3 2 6 2" xfId="10165"/>
    <cellStyle name="Millares 4 3 2 6 3" xfId="16367"/>
    <cellStyle name="Millares 4 3 2 6 4" xfId="55334"/>
    <cellStyle name="Millares 4 3 2 7" xfId="7064"/>
    <cellStyle name="Millares 4 3 2 7 2" xfId="19057"/>
    <cellStyle name="Millares 4 3 2 8" xfId="13266"/>
    <cellStyle name="Millares 4 3 2 9" xfId="29873"/>
    <cellStyle name="Millares 4 3 3" xfId="730"/>
    <cellStyle name="Millares 4 3 3 2" xfId="731"/>
    <cellStyle name="Millares 4 3 3 2 2" xfId="1911"/>
    <cellStyle name="Millares 4 3 3 2 2 2" xfId="5036"/>
    <cellStyle name="Millares 4 3 3 2 2 2 2" xfId="11239"/>
    <cellStyle name="Millares 4 3 3 2 2 2 3" xfId="17441"/>
    <cellStyle name="Millares 4 3 3 2 2 2 4" xfId="56297"/>
    <cellStyle name="Millares 4 3 3 2 2 3" xfId="8139"/>
    <cellStyle name="Millares 4 3 3 2 2 4" xfId="14341"/>
    <cellStyle name="Millares 4 3 3 2 2 5" xfId="53403"/>
    <cellStyle name="Millares 4 3 3 2 3" xfId="2924"/>
    <cellStyle name="Millares 4 3 3 2 3 2" xfId="6038"/>
    <cellStyle name="Millares 4 3 3 2 3 2 2" xfId="12241"/>
    <cellStyle name="Millares 4 3 3 2 3 2 3" xfId="18443"/>
    <cellStyle name="Millares 4 3 3 2 3 2 4" xfId="57269"/>
    <cellStyle name="Millares 4 3 3 2 3 3" xfId="9141"/>
    <cellStyle name="Millares 4 3 3 2 3 4" xfId="15343"/>
    <cellStyle name="Millares 4 3 3 2 3 5" xfId="54379"/>
    <cellStyle name="Millares 4 3 3 2 4" xfId="3966"/>
    <cellStyle name="Millares 4 3 3 2 4 2" xfId="10170"/>
    <cellStyle name="Millares 4 3 3 2 4 3" xfId="16372"/>
    <cellStyle name="Millares 4 3 3 2 4 4" xfId="55339"/>
    <cellStyle name="Millares 4 3 3 2 5" xfId="7069"/>
    <cellStyle name="Millares 4 3 3 2 5 2" xfId="19512"/>
    <cellStyle name="Millares 4 3 3 2 5 3" xfId="52565"/>
    <cellStyle name="Millares 4 3 3 2 6" xfId="13271"/>
    <cellStyle name="Millares 4 3 3 2 7" xfId="46480"/>
    <cellStyle name="Millares 4 3 3 3" xfId="1387"/>
    <cellStyle name="Millares 4 3 3 3 2" xfId="4512"/>
    <cellStyle name="Millares 4 3 3 3 2 2" xfId="10715"/>
    <cellStyle name="Millares 4 3 3 3 2 3" xfId="16917"/>
    <cellStyle name="Millares 4 3 3 3 2 4" xfId="55801"/>
    <cellStyle name="Millares 4 3 3 3 3" xfId="7615"/>
    <cellStyle name="Millares 4 3 3 3 3 2" xfId="52925"/>
    <cellStyle name="Millares 4 3 3 3 4" xfId="13817"/>
    <cellStyle name="Millares 4 3 3 3 5" xfId="52041"/>
    <cellStyle name="Millares 4 3 3 4" xfId="2923"/>
    <cellStyle name="Millares 4 3 3 4 2" xfId="6037"/>
    <cellStyle name="Millares 4 3 3 4 2 2" xfId="12240"/>
    <cellStyle name="Millares 4 3 3 4 2 3" xfId="18442"/>
    <cellStyle name="Millares 4 3 3 4 2 4" xfId="57268"/>
    <cellStyle name="Millares 4 3 3 4 3" xfId="9140"/>
    <cellStyle name="Millares 4 3 3 4 4" xfId="15342"/>
    <cellStyle name="Millares 4 3 3 4 5" xfId="54378"/>
    <cellStyle name="Millares 4 3 3 5" xfId="3965"/>
    <cellStyle name="Millares 4 3 3 5 2" xfId="10169"/>
    <cellStyle name="Millares 4 3 3 5 3" xfId="16371"/>
    <cellStyle name="Millares 4 3 3 5 4" xfId="55338"/>
    <cellStyle name="Millares 4 3 3 6" xfId="7068"/>
    <cellStyle name="Millares 4 3 3 6 2" xfId="18988"/>
    <cellStyle name="Millares 4 3 3 6 3" xfId="52564"/>
    <cellStyle name="Millares 4 3 3 7" xfId="13270"/>
    <cellStyle name="Millares 4 3 3 8" xfId="29874"/>
    <cellStyle name="Millares 4 3 4" xfId="732"/>
    <cellStyle name="Millares 4 3 4 2" xfId="1838"/>
    <cellStyle name="Millares 4 3 4 2 2" xfId="4963"/>
    <cellStyle name="Millares 4 3 4 2 2 2" xfId="11166"/>
    <cellStyle name="Millares 4 3 4 2 2 3" xfId="17368"/>
    <cellStyle name="Millares 4 3 4 2 2 4" xfId="56227"/>
    <cellStyle name="Millares 4 3 4 2 3" xfId="8066"/>
    <cellStyle name="Millares 4 3 4 2 3 2" xfId="53333"/>
    <cellStyle name="Millares 4 3 4 2 4" xfId="14268"/>
    <cellStyle name="Millares 4 3 4 2 5" xfId="46481"/>
    <cellStyle name="Millares 4 3 4 3" xfId="2925"/>
    <cellStyle name="Millares 4 3 4 3 2" xfId="6039"/>
    <cellStyle name="Millares 4 3 4 3 2 2" xfId="12242"/>
    <cellStyle name="Millares 4 3 4 3 2 3" xfId="18444"/>
    <cellStyle name="Millares 4 3 4 3 2 4" xfId="57270"/>
    <cellStyle name="Millares 4 3 4 3 3" xfId="9142"/>
    <cellStyle name="Millares 4 3 4 3 4" xfId="15344"/>
    <cellStyle name="Millares 4 3 4 3 5" xfId="54380"/>
    <cellStyle name="Millares 4 3 4 4" xfId="3967"/>
    <cellStyle name="Millares 4 3 4 4 2" xfId="10171"/>
    <cellStyle name="Millares 4 3 4 4 3" xfId="16373"/>
    <cellStyle name="Millares 4 3 4 4 4" xfId="55340"/>
    <cellStyle name="Millares 4 3 4 5" xfId="7070"/>
    <cellStyle name="Millares 4 3 4 5 2" xfId="19439"/>
    <cellStyle name="Millares 4 3 4 5 3" xfId="52566"/>
    <cellStyle name="Millares 4 3 4 6" xfId="13272"/>
    <cellStyle name="Millares 4 3 4 7" xfId="29875"/>
    <cellStyle name="Millares 4 3 5" xfId="1314"/>
    <cellStyle name="Millares 4 3 5 2" xfId="4439"/>
    <cellStyle name="Millares 4 3 5 2 2" xfId="10642"/>
    <cellStyle name="Millares 4 3 5 2 2 2" xfId="46484"/>
    <cellStyle name="Millares 4 3 5 2 2 3" xfId="29878"/>
    <cellStyle name="Millares 4 3 5 2 3" xfId="16844"/>
    <cellStyle name="Millares 4 3 5 2 3 2" xfId="46483"/>
    <cellStyle name="Millares 4 3 5 2 4" xfId="55730"/>
    <cellStyle name="Millares 4 3 5 2 5" xfId="29877"/>
    <cellStyle name="Millares 4 3 5 3" xfId="7542"/>
    <cellStyle name="Millares 4 3 5 3 2" xfId="46485"/>
    <cellStyle name="Millares 4 3 5 3 3" xfId="29879"/>
    <cellStyle name="Millares 4 3 5 4" xfId="13744"/>
    <cellStyle name="Millares 4 3 5 4 2" xfId="46482"/>
    <cellStyle name="Millares 4 3 5 5" xfId="52859"/>
    <cellStyle name="Millares 4 3 5 6" xfId="29876"/>
    <cellStyle name="Millares 4 3 6" xfId="2918"/>
    <cellStyle name="Millares 4 3 6 2" xfId="6032"/>
    <cellStyle name="Millares 4 3 6 2 2" xfId="12235"/>
    <cellStyle name="Millares 4 3 6 2 2 2" xfId="57263"/>
    <cellStyle name="Millares 4 3 6 2 3" xfId="18437"/>
    <cellStyle name="Millares 4 3 6 2 4" xfId="46486"/>
    <cellStyle name="Millares 4 3 6 3" xfId="9135"/>
    <cellStyle name="Millares 4 3 6 3 2" xfId="54373"/>
    <cellStyle name="Millares 4 3 6 4" xfId="15337"/>
    <cellStyle name="Millares 4 3 6 5" xfId="29880"/>
    <cellStyle name="Millares 4 3 7" xfId="3960"/>
    <cellStyle name="Millares 4 3 7 2" xfId="10164"/>
    <cellStyle name="Millares 4 3 7 2 2" xfId="46487"/>
    <cellStyle name="Millares 4 3 7 3" xfId="16366"/>
    <cellStyle name="Millares 4 3 7 3 2" xfId="55333"/>
    <cellStyle name="Millares 4 3 7 4" xfId="29881"/>
    <cellStyle name="Millares 4 3 8" xfId="7063"/>
    <cellStyle name="Millares 4 3 8 2" xfId="18915"/>
    <cellStyle name="Millares 4 3 8 2 2" xfId="46488"/>
    <cellStyle name="Millares 4 3 8 3" xfId="29882"/>
    <cellStyle name="Millares 4 3 9" xfId="13265"/>
    <cellStyle name="Millares 4 3 9 2" xfId="46478"/>
    <cellStyle name="Millares 4 3_Plan by Lob" xfId="29883"/>
    <cellStyle name="Millares 4 4" xfId="733"/>
    <cellStyle name="Millares 4 4 10" xfId="51997"/>
    <cellStyle name="Millares 4 4 11" xfId="29884"/>
    <cellStyle name="Millares 4 4 2" xfId="734"/>
    <cellStyle name="Millares 4 4 2 2" xfId="735"/>
    <cellStyle name="Millares 4 4 2 2 2" xfId="736"/>
    <cellStyle name="Millares 4 4 2 2 2 2" xfId="2249"/>
    <cellStyle name="Millares 4 4 2 2 2 2 2" xfId="5374"/>
    <cellStyle name="Millares 4 4 2 2 2 2 2 2" xfId="11577"/>
    <cellStyle name="Millares 4 4 2 2 2 2 2 3" xfId="17779"/>
    <cellStyle name="Millares 4 4 2 2 2 2 2 4" xfId="56613"/>
    <cellStyle name="Millares 4 4 2 2 2 2 3" xfId="8477"/>
    <cellStyle name="Millares 4 4 2 2 2 2 4" xfId="14679"/>
    <cellStyle name="Millares 4 4 2 2 2 2 5" xfId="53717"/>
    <cellStyle name="Millares 4 4 2 2 2 3" xfId="2929"/>
    <cellStyle name="Millares 4 4 2 2 2 3 2" xfId="6043"/>
    <cellStyle name="Millares 4 4 2 2 2 3 2 2" xfId="12246"/>
    <cellStyle name="Millares 4 4 2 2 2 3 2 3" xfId="18448"/>
    <cellStyle name="Millares 4 4 2 2 2 3 2 4" xfId="57274"/>
    <cellStyle name="Millares 4 4 2 2 2 3 3" xfId="9146"/>
    <cellStyle name="Millares 4 4 2 2 2 3 4" xfId="15348"/>
    <cellStyle name="Millares 4 4 2 2 2 3 5" xfId="54384"/>
    <cellStyle name="Millares 4 4 2 2 2 4" xfId="3971"/>
    <cellStyle name="Millares 4 4 2 2 2 4 2" xfId="10175"/>
    <cellStyle name="Millares 4 4 2 2 2 4 3" xfId="16377"/>
    <cellStyle name="Millares 4 4 2 2 2 4 4" xfId="55344"/>
    <cellStyle name="Millares 4 4 2 2 2 5" xfId="7074"/>
    <cellStyle name="Millares 4 4 2 2 2 5 2" xfId="19850"/>
    <cellStyle name="Millares 4 4 2 2 2 6" xfId="13276"/>
    <cellStyle name="Millares 4 4 2 2 2 7" xfId="52568"/>
    <cellStyle name="Millares 4 4 2 2 3" xfId="1725"/>
    <cellStyle name="Millares 4 4 2 2 3 2" xfId="4850"/>
    <cellStyle name="Millares 4 4 2 2 3 2 2" xfId="11053"/>
    <cellStyle name="Millares 4 4 2 2 3 2 3" xfId="17255"/>
    <cellStyle name="Millares 4 4 2 2 3 2 4" xfId="56122"/>
    <cellStyle name="Millares 4 4 2 2 3 3" xfId="7953"/>
    <cellStyle name="Millares 4 4 2 2 3 4" xfId="14155"/>
    <cellStyle name="Millares 4 4 2 2 3 5" xfId="53232"/>
    <cellStyle name="Millares 4 4 2 2 4" xfId="2928"/>
    <cellStyle name="Millares 4 4 2 2 4 2" xfId="6042"/>
    <cellStyle name="Millares 4 4 2 2 4 2 2" xfId="12245"/>
    <cellStyle name="Millares 4 4 2 2 4 2 3" xfId="18447"/>
    <cellStyle name="Millares 4 4 2 2 4 2 4" xfId="57273"/>
    <cellStyle name="Millares 4 4 2 2 4 3" xfId="9145"/>
    <cellStyle name="Millares 4 4 2 2 4 4" xfId="15347"/>
    <cellStyle name="Millares 4 4 2 2 4 5" xfId="54383"/>
    <cellStyle name="Millares 4 4 2 2 5" xfId="3970"/>
    <cellStyle name="Millares 4 4 2 2 5 2" xfId="10174"/>
    <cellStyle name="Millares 4 4 2 2 5 3" xfId="16376"/>
    <cellStyle name="Millares 4 4 2 2 5 4" xfId="55343"/>
    <cellStyle name="Millares 4 4 2 2 6" xfId="7073"/>
    <cellStyle name="Millares 4 4 2 2 6 2" xfId="19326"/>
    <cellStyle name="Millares 4 4 2 2 6 3" xfId="52567"/>
    <cellStyle name="Millares 4 4 2 2 7" xfId="13275"/>
    <cellStyle name="Millares 4 4 2 2 8" xfId="46490"/>
    <cellStyle name="Millares 4 4 2 3" xfId="737"/>
    <cellStyle name="Millares 4 4 2 3 2" xfId="2004"/>
    <cellStyle name="Millares 4 4 2 3 2 2" xfId="5129"/>
    <cellStyle name="Millares 4 4 2 3 2 2 2" xfId="11332"/>
    <cellStyle name="Millares 4 4 2 3 2 2 3" xfId="17534"/>
    <cellStyle name="Millares 4 4 2 3 2 2 4" xfId="56386"/>
    <cellStyle name="Millares 4 4 2 3 2 3" xfId="8232"/>
    <cellStyle name="Millares 4 4 2 3 2 4" xfId="14434"/>
    <cellStyle name="Millares 4 4 2 3 2 5" xfId="53491"/>
    <cellStyle name="Millares 4 4 2 3 3" xfId="2930"/>
    <cellStyle name="Millares 4 4 2 3 3 2" xfId="6044"/>
    <cellStyle name="Millares 4 4 2 3 3 2 2" xfId="12247"/>
    <cellStyle name="Millares 4 4 2 3 3 2 3" xfId="18449"/>
    <cellStyle name="Millares 4 4 2 3 3 2 4" xfId="57275"/>
    <cellStyle name="Millares 4 4 2 3 3 3" xfId="9147"/>
    <cellStyle name="Millares 4 4 2 3 3 4" xfId="15349"/>
    <cellStyle name="Millares 4 4 2 3 3 5" xfId="54385"/>
    <cellStyle name="Millares 4 4 2 3 4" xfId="3972"/>
    <cellStyle name="Millares 4 4 2 3 4 2" xfId="10176"/>
    <cellStyle name="Millares 4 4 2 3 4 3" xfId="16378"/>
    <cellStyle name="Millares 4 4 2 3 4 4" xfId="55345"/>
    <cellStyle name="Millares 4 4 2 3 5" xfId="7075"/>
    <cellStyle name="Millares 4 4 2 3 5 2" xfId="19605"/>
    <cellStyle name="Millares 4 4 2 3 6" xfId="13277"/>
    <cellStyle name="Millares 4 4 2 3 7" xfId="52125"/>
    <cellStyle name="Millares 4 4 2 4" xfId="1480"/>
    <cellStyle name="Millares 4 4 2 4 2" xfId="4605"/>
    <cellStyle name="Millares 4 4 2 4 2 2" xfId="10808"/>
    <cellStyle name="Millares 4 4 2 4 2 3" xfId="17010"/>
    <cellStyle name="Millares 4 4 2 4 2 4" xfId="55890"/>
    <cellStyle name="Millares 4 4 2 4 3" xfId="7708"/>
    <cellStyle name="Millares 4 4 2 4 4" xfId="13910"/>
    <cellStyle name="Millares 4 4 2 4 5" xfId="53007"/>
    <cellStyle name="Millares 4 4 2 5" xfId="2927"/>
    <cellStyle name="Millares 4 4 2 5 2" xfId="6041"/>
    <cellStyle name="Millares 4 4 2 5 2 2" xfId="12244"/>
    <cellStyle name="Millares 4 4 2 5 2 3" xfId="18446"/>
    <cellStyle name="Millares 4 4 2 5 2 4" xfId="57272"/>
    <cellStyle name="Millares 4 4 2 5 3" xfId="9144"/>
    <cellStyle name="Millares 4 4 2 5 4" xfId="15346"/>
    <cellStyle name="Millares 4 4 2 5 5" xfId="54382"/>
    <cellStyle name="Millares 4 4 2 6" xfId="3969"/>
    <cellStyle name="Millares 4 4 2 6 2" xfId="10173"/>
    <cellStyle name="Millares 4 4 2 6 3" xfId="16375"/>
    <cellStyle name="Millares 4 4 2 6 4" xfId="55342"/>
    <cellStyle name="Millares 4 4 2 7" xfId="7072"/>
    <cellStyle name="Millares 4 4 2 7 2" xfId="19081"/>
    <cellStyle name="Millares 4 4 2 8" xfId="13274"/>
    <cellStyle name="Millares 4 4 2 9" xfId="29885"/>
    <cellStyle name="Millares 4 4 3" xfId="738"/>
    <cellStyle name="Millares 4 4 3 2" xfId="739"/>
    <cellStyle name="Millares 4 4 3 2 2" xfId="2121"/>
    <cellStyle name="Millares 4 4 3 2 2 2" xfId="5246"/>
    <cellStyle name="Millares 4 4 3 2 2 2 2" xfId="11449"/>
    <cellStyle name="Millares 4 4 3 2 2 2 3" xfId="17651"/>
    <cellStyle name="Millares 4 4 3 2 2 2 4" xfId="56494"/>
    <cellStyle name="Millares 4 4 3 2 2 3" xfId="8349"/>
    <cellStyle name="Millares 4 4 3 2 2 4" xfId="14551"/>
    <cellStyle name="Millares 4 4 3 2 2 5" xfId="53598"/>
    <cellStyle name="Millares 4 4 3 2 3" xfId="2932"/>
    <cellStyle name="Millares 4 4 3 2 3 2" xfId="6046"/>
    <cellStyle name="Millares 4 4 3 2 3 2 2" xfId="12249"/>
    <cellStyle name="Millares 4 4 3 2 3 2 3" xfId="18451"/>
    <cellStyle name="Millares 4 4 3 2 3 2 4" xfId="57277"/>
    <cellStyle name="Millares 4 4 3 2 3 3" xfId="9149"/>
    <cellStyle name="Millares 4 4 3 2 3 4" xfId="15351"/>
    <cellStyle name="Millares 4 4 3 2 3 5" xfId="54387"/>
    <cellStyle name="Millares 4 4 3 2 4" xfId="3974"/>
    <cellStyle name="Millares 4 4 3 2 4 2" xfId="10178"/>
    <cellStyle name="Millares 4 4 3 2 4 3" xfId="16380"/>
    <cellStyle name="Millares 4 4 3 2 4 4" xfId="55347"/>
    <cellStyle name="Millares 4 4 3 2 5" xfId="7077"/>
    <cellStyle name="Millares 4 4 3 2 5 2" xfId="19722"/>
    <cellStyle name="Millares 4 4 3 2 5 3" xfId="52570"/>
    <cellStyle name="Millares 4 4 3 2 6" xfId="13279"/>
    <cellStyle name="Millares 4 4 3 2 7" xfId="46491"/>
    <cellStyle name="Millares 4 4 3 3" xfId="1597"/>
    <cellStyle name="Millares 4 4 3 3 2" xfId="4722"/>
    <cellStyle name="Millares 4 4 3 3 2 2" xfId="10925"/>
    <cellStyle name="Millares 4 4 3 3 2 3" xfId="17127"/>
    <cellStyle name="Millares 4 4 3 3 2 4" xfId="56000"/>
    <cellStyle name="Millares 4 4 3 3 3" xfId="7825"/>
    <cellStyle name="Millares 4 4 3 3 4" xfId="14027"/>
    <cellStyle name="Millares 4 4 3 3 5" xfId="53113"/>
    <cellStyle name="Millares 4 4 3 4" xfId="2931"/>
    <cellStyle name="Millares 4 4 3 4 2" xfId="6045"/>
    <cellStyle name="Millares 4 4 3 4 2 2" xfId="12248"/>
    <cellStyle name="Millares 4 4 3 4 2 3" xfId="18450"/>
    <cellStyle name="Millares 4 4 3 4 2 4" xfId="57276"/>
    <cellStyle name="Millares 4 4 3 4 3" xfId="9148"/>
    <cellStyle name="Millares 4 4 3 4 4" xfId="15350"/>
    <cellStyle name="Millares 4 4 3 4 5" xfId="54386"/>
    <cellStyle name="Millares 4 4 3 5" xfId="3973"/>
    <cellStyle name="Millares 4 4 3 5 2" xfId="10177"/>
    <cellStyle name="Millares 4 4 3 5 3" xfId="16379"/>
    <cellStyle name="Millares 4 4 3 5 4" xfId="55346"/>
    <cellStyle name="Millares 4 4 3 6" xfId="7076"/>
    <cellStyle name="Millares 4 4 3 6 2" xfId="19198"/>
    <cellStyle name="Millares 4 4 3 6 3" xfId="52569"/>
    <cellStyle name="Millares 4 4 3 7" xfId="13278"/>
    <cellStyle name="Millares 4 4 3 8" xfId="29886"/>
    <cellStyle name="Millares 4 4 4" xfId="740"/>
    <cellStyle name="Millares 4 4 4 2" xfId="1862"/>
    <cellStyle name="Millares 4 4 4 2 2" xfId="4987"/>
    <cellStyle name="Millares 4 4 4 2 2 2" xfId="11190"/>
    <cellStyle name="Millares 4 4 4 2 2 3" xfId="17392"/>
    <cellStyle name="Millares 4 4 4 2 2 4" xfId="56251"/>
    <cellStyle name="Millares 4 4 4 2 3" xfId="8090"/>
    <cellStyle name="Millares 4 4 4 2 3 2" xfId="53357"/>
    <cellStyle name="Millares 4 4 4 2 4" xfId="14292"/>
    <cellStyle name="Millares 4 4 4 2 5" xfId="46492"/>
    <cellStyle name="Millares 4 4 4 3" xfId="2933"/>
    <cellStyle name="Millares 4 4 4 3 2" xfId="6047"/>
    <cellStyle name="Millares 4 4 4 3 2 2" xfId="12250"/>
    <cellStyle name="Millares 4 4 4 3 2 3" xfId="18452"/>
    <cellStyle name="Millares 4 4 4 3 2 4" xfId="57278"/>
    <cellStyle name="Millares 4 4 4 3 3" xfId="9150"/>
    <cellStyle name="Millares 4 4 4 3 4" xfId="15352"/>
    <cellStyle name="Millares 4 4 4 3 5" xfId="54388"/>
    <cellStyle name="Millares 4 4 4 4" xfId="3975"/>
    <cellStyle name="Millares 4 4 4 4 2" xfId="10179"/>
    <cellStyle name="Millares 4 4 4 4 3" xfId="16381"/>
    <cellStyle name="Millares 4 4 4 4 4" xfId="55348"/>
    <cellStyle name="Millares 4 4 4 5" xfId="7078"/>
    <cellStyle name="Millares 4 4 4 5 2" xfId="19463"/>
    <cellStyle name="Millares 4 4 4 5 3" xfId="52571"/>
    <cellStyle name="Millares 4 4 4 6" xfId="13280"/>
    <cellStyle name="Millares 4 4 4 7" xfId="29887"/>
    <cellStyle name="Millares 4 4 5" xfId="1338"/>
    <cellStyle name="Millares 4 4 5 2" xfId="4463"/>
    <cellStyle name="Millares 4 4 5 2 2" xfId="10666"/>
    <cellStyle name="Millares 4 4 5 2 2 2" xfId="55754"/>
    <cellStyle name="Millares 4 4 5 2 3" xfId="16868"/>
    <cellStyle name="Millares 4 4 5 2 4" xfId="46493"/>
    <cellStyle name="Millares 4 4 5 3" xfId="7566"/>
    <cellStyle name="Millares 4 4 5 3 2" xfId="52882"/>
    <cellStyle name="Millares 4 4 5 4" xfId="13768"/>
    <cellStyle name="Millares 4 4 5 5" xfId="29888"/>
    <cellStyle name="Millares 4 4 6" xfId="2926"/>
    <cellStyle name="Millares 4 4 6 2" xfId="6040"/>
    <cellStyle name="Millares 4 4 6 2 2" xfId="12243"/>
    <cellStyle name="Millares 4 4 6 2 2 2" xfId="57271"/>
    <cellStyle name="Millares 4 4 6 2 3" xfId="18445"/>
    <cellStyle name="Millares 4 4 6 2 4" xfId="46494"/>
    <cellStyle name="Millares 4 4 6 3" xfId="9143"/>
    <cellStyle name="Millares 4 4 6 3 2" xfId="54381"/>
    <cellStyle name="Millares 4 4 6 4" xfId="15345"/>
    <cellStyle name="Millares 4 4 6 5" xfId="29889"/>
    <cellStyle name="Millares 4 4 7" xfId="3968"/>
    <cellStyle name="Millares 4 4 7 2" xfId="10172"/>
    <cellStyle name="Millares 4 4 7 2 2" xfId="46495"/>
    <cellStyle name="Millares 4 4 7 3" xfId="16374"/>
    <cellStyle name="Millares 4 4 7 3 2" xfId="55341"/>
    <cellStyle name="Millares 4 4 7 4" xfId="29890"/>
    <cellStyle name="Millares 4 4 8" xfId="7071"/>
    <cellStyle name="Millares 4 4 8 2" xfId="18939"/>
    <cellStyle name="Millares 4 4 8 2 2" xfId="46496"/>
    <cellStyle name="Millares 4 4 8 3" xfId="29891"/>
    <cellStyle name="Millares 4 4 9" xfId="13273"/>
    <cellStyle name="Millares 4 4 9 2" xfId="46489"/>
    <cellStyle name="Millares 4 4_Plan by Lob" xfId="29892"/>
    <cellStyle name="Millares 4 5" xfId="741"/>
    <cellStyle name="Millares 4 5 10" xfId="52572"/>
    <cellStyle name="Millares 4 5 11" xfId="29893"/>
    <cellStyle name="Millares 4 5 2" xfId="742"/>
    <cellStyle name="Millares 4 5 2 2" xfId="743"/>
    <cellStyle name="Millares 4 5 2 2 2" xfId="2292"/>
    <cellStyle name="Millares 4 5 2 2 2 2" xfId="5417"/>
    <cellStyle name="Millares 4 5 2 2 2 2 2" xfId="11620"/>
    <cellStyle name="Millares 4 5 2 2 2 2 3" xfId="17822"/>
    <cellStyle name="Millares 4 5 2 2 2 2 4" xfId="56651"/>
    <cellStyle name="Millares 4 5 2 2 2 3" xfId="8520"/>
    <cellStyle name="Millares 4 5 2 2 2 4" xfId="14722"/>
    <cellStyle name="Millares 4 5 2 2 2 5" xfId="53755"/>
    <cellStyle name="Millares 4 5 2 2 3" xfId="2936"/>
    <cellStyle name="Millares 4 5 2 2 3 2" xfId="6050"/>
    <cellStyle name="Millares 4 5 2 2 3 2 2" xfId="12253"/>
    <cellStyle name="Millares 4 5 2 2 3 2 3" xfId="18455"/>
    <cellStyle name="Millares 4 5 2 2 3 2 4" xfId="57281"/>
    <cellStyle name="Millares 4 5 2 2 3 3" xfId="9153"/>
    <cellStyle name="Millares 4 5 2 2 3 4" xfId="15355"/>
    <cellStyle name="Millares 4 5 2 2 3 5" xfId="54391"/>
    <cellStyle name="Millares 4 5 2 2 4" xfId="3978"/>
    <cellStyle name="Millares 4 5 2 2 4 2" xfId="10182"/>
    <cellStyle name="Millares 4 5 2 2 4 3" xfId="16384"/>
    <cellStyle name="Millares 4 5 2 2 4 4" xfId="55351"/>
    <cellStyle name="Millares 4 5 2 2 5" xfId="7081"/>
    <cellStyle name="Millares 4 5 2 2 5 2" xfId="19893"/>
    <cellStyle name="Millares 4 5 2 2 5 3" xfId="52574"/>
    <cellStyle name="Millares 4 5 2 2 6" xfId="13283"/>
    <cellStyle name="Millares 4 5 2 2 7" xfId="46498"/>
    <cellStyle name="Millares 4 5 2 3" xfId="1768"/>
    <cellStyle name="Millares 4 5 2 3 2" xfId="4893"/>
    <cellStyle name="Millares 4 5 2 3 2 2" xfId="11096"/>
    <cellStyle name="Millares 4 5 2 3 2 3" xfId="17298"/>
    <cellStyle name="Millares 4 5 2 3 2 4" xfId="56163"/>
    <cellStyle name="Millares 4 5 2 3 3" xfId="7996"/>
    <cellStyle name="Millares 4 5 2 3 4" xfId="14198"/>
    <cellStyle name="Millares 4 5 2 3 5" xfId="53270"/>
    <cellStyle name="Millares 4 5 2 4" xfId="2935"/>
    <cellStyle name="Millares 4 5 2 4 2" xfId="6049"/>
    <cellStyle name="Millares 4 5 2 4 2 2" xfId="12252"/>
    <cellStyle name="Millares 4 5 2 4 2 3" xfId="18454"/>
    <cellStyle name="Millares 4 5 2 4 2 4" xfId="57280"/>
    <cellStyle name="Millares 4 5 2 4 3" xfId="9152"/>
    <cellStyle name="Millares 4 5 2 4 4" xfId="15354"/>
    <cellStyle name="Millares 4 5 2 4 5" xfId="54390"/>
    <cellStyle name="Millares 4 5 2 5" xfId="3977"/>
    <cellStyle name="Millares 4 5 2 5 2" xfId="10181"/>
    <cellStyle name="Millares 4 5 2 5 3" xfId="16383"/>
    <cellStyle name="Millares 4 5 2 5 4" xfId="55350"/>
    <cellStyle name="Millares 4 5 2 6" xfId="7080"/>
    <cellStyle name="Millares 4 5 2 6 2" xfId="19369"/>
    <cellStyle name="Millares 4 5 2 6 3" xfId="52573"/>
    <cellStyle name="Millares 4 5 2 7" xfId="13282"/>
    <cellStyle name="Millares 4 5 2 8" xfId="29894"/>
    <cellStyle name="Millares 4 5 3" xfId="744"/>
    <cellStyle name="Millares 4 5 3 2" xfId="1905"/>
    <cellStyle name="Millares 4 5 3 2 2" xfId="5030"/>
    <cellStyle name="Millares 4 5 3 2 2 2" xfId="11233"/>
    <cellStyle name="Millares 4 5 3 2 2 3" xfId="17435"/>
    <cellStyle name="Millares 4 5 3 2 2 4" xfId="56291"/>
    <cellStyle name="Millares 4 5 3 2 3" xfId="8133"/>
    <cellStyle name="Millares 4 5 3 2 3 2" xfId="53397"/>
    <cellStyle name="Millares 4 5 3 2 4" xfId="14335"/>
    <cellStyle name="Millares 4 5 3 2 5" xfId="46499"/>
    <cellStyle name="Millares 4 5 3 3" xfId="2937"/>
    <cellStyle name="Millares 4 5 3 3 2" xfId="6051"/>
    <cellStyle name="Millares 4 5 3 3 2 2" xfId="12254"/>
    <cellStyle name="Millares 4 5 3 3 2 3" xfId="18456"/>
    <cellStyle name="Millares 4 5 3 3 2 4" xfId="57282"/>
    <cellStyle name="Millares 4 5 3 3 3" xfId="9154"/>
    <cellStyle name="Millares 4 5 3 3 4" xfId="15356"/>
    <cellStyle name="Millares 4 5 3 3 5" xfId="54392"/>
    <cellStyle name="Millares 4 5 3 4" xfId="3979"/>
    <cellStyle name="Millares 4 5 3 4 2" xfId="10183"/>
    <cellStyle name="Millares 4 5 3 4 3" xfId="16385"/>
    <cellStyle name="Millares 4 5 3 4 4" xfId="55352"/>
    <cellStyle name="Millares 4 5 3 5" xfId="7082"/>
    <cellStyle name="Millares 4 5 3 5 2" xfId="19506"/>
    <cellStyle name="Millares 4 5 3 5 3" xfId="52575"/>
    <cellStyle name="Millares 4 5 3 6" xfId="13284"/>
    <cellStyle name="Millares 4 5 3 7" xfId="29895"/>
    <cellStyle name="Millares 4 5 4" xfId="1381"/>
    <cellStyle name="Millares 4 5 4 2" xfId="4506"/>
    <cellStyle name="Millares 4 5 4 2 2" xfId="10709"/>
    <cellStyle name="Millares 4 5 4 2 2 2" xfId="55795"/>
    <cellStyle name="Millares 4 5 4 2 3" xfId="16911"/>
    <cellStyle name="Millares 4 5 4 2 4" xfId="46500"/>
    <cellStyle name="Millares 4 5 4 3" xfId="7609"/>
    <cellStyle name="Millares 4 5 4 3 2" xfId="52919"/>
    <cellStyle name="Millares 4 5 4 4" xfId="13811"/>
    <cellStyle name="Millares 4 5 4 5" xfId="29896"/>
    <cellStyle name="Millares 4 5 5" xfId="2934"/>
    <cellStyle name="Millares 4 5 5 2" xfId="6048"/>
    <cellStyle name="Millares 4 5 5 2 2" xfId="12251"/>
    <cellStyle name="Millares 4 5 5 2 2 2" xfId="57279"/>
    <cellStyle name="Millares 4 5 5 2 3" xfId="18453"/>
    <cellStyle name="Millares 4 5 5 2 4" xfId="46501"/>
    <cellStyle name="Millares 4 5 5 3" xfId="9151"/>
    <cellStyle name="Millares 4 5 5 3 2" xfId="54389"/>
    <cellStyle name="Millares 4 5 5 4" xfId="15353"/>
    <cellStyle name="Millares 4 5 5 5" xfId="29897"/>
    <cellStyle name="Millares 4 5 6" xfId="3976"/>
    <cellStyle name="Millares 4 5 6 2" xfId="10180"/>
    <cellStyle name="Millares 4 5 6 2 2" xfId="46502"/>
    <cellStyle name="Millares 4 5 6 3" xfId="16382"/>
    <cellStyle name="Millares 4 5 6 3 2" xfId="55349"/>
    <cellStyle name="Millares 4 5 6 4" xfId="29898"/>
    <cellStyle name="Millares 4 5 7" xfId="7079"/>
    <cellStyle name="Millares 4 5 7 2" xfId="18982"/>
    <cellStyle name="Millares 4 5 7 2 2" xfId="46503"/>
    <cellStyle name="Millares 4 5 7 3" xfId="29899"/>
    <cellStyle name="Millares 4 5 8" xfId="13281"/>
    <cellStyle name="Millares 4 5 8 2" xfId="46497"/>
    <cellStyle name="Millares 4 5 9" xfId="52032"/>
    <cellStyle name="Millares 4 6" xfId="745"/>
    <cellStyle name="Millares 4 6 2" xfId="746"/>
    <cellStyle name="Millares 4 6 2 2" xfId="747"/>
    <cellStyle name="Millares 4 6 2 2 2" xfId="2186"/>
    <cellStyle name="Millares 4 6 2 2 2 2" xfId="5311"/>
    <cellStyle name="Millares 4 6 2 2 2 2 2" xfId="11514"/>
    <cellStyle name="Millares 4 6 2 2 2 2 3" xfId="17716"/>
    <cellStyle name="Millares 4 6 2 2 2 2 4" xfId="56553"/>
    <cellStyle name="Millares 4 6 2 2 2 3" xfId="8414"/>
    <cellStyle name="Millares 4 6 2 2 2 4" xfId="14616"/>
    <cellStyle name="Millares 4 6 2 2 2 5" xfId="53657"/>
    <cellStyle name="Millares 4 6 2 2 3" xfId="2940"/>
    <cellStyle name="Millares 4 6 2 2 3 2" xfId="6054"/>
    <cellStyle name="Millares 4 6 2 2 3 2 2" xfId="12257"/>
    <cellStyle name="Millares 4 6 2 2 3 2 3" xfId="18459"/>
    <cellStyle name="Millares 4 6 2 2 3 2 4" xfId="57285"/>
    <cellStyle name="Millares 4 6 2 2 3 3" xfId="9157"/>
    <cellStyle name="Millares 4 6 2 2 3 4" xfId="15359"/>
    <cellStyle name="Millares 4 6 2 2 3 5" xfId="54395"/>
    <cellStyle name="Millares 4 6 2 2 4" xfId="3982"/>
    <cellStyle name="Millares 4 6 2 2 4 2" xfId="10186"/>
    <cellStyle name="Millares 4 6 2 2 4 3" xfId="16388"/>
    <cellStyle name="Millares 4 6 2 2 4 4" xfId="55354"/>
    <cellStyle name="Millares 4 6 2 2 5" xfId="7085"/>
    <cellStyle name="Millares 4 6 2 2 5 2" xfId="19787"/>
    <cellStyle name="Millares 4 6 2 2 5 3" xfId="52577"/>
    <cellStyle name="Millares 4 6 2 2 6" xfId="13287"/>
    <cellStyle name="Millares 4 6 2 2 7" xfId="46505"/>
    <cellStyle name="Millares 4 6 2 3" xfId="1662"/>
    <cellStyle name="Millares 4 6 2 3 2" xfId="4787"/>
    <cellStyle name="Millares 4 6 2 3 2 2" xfId="10990"/>
    <cellStyle name="Millares 4 6 2 3 2 3" xfId="17192"/>
    <cellStyle name="Millares 4 6 2 3 2 4" xfId="56062"/>
    <cellStyle name="Millares 4 6 2 3 3" xfId="7890"/>
    <cellStyle name="Millares 4 6 2 3 4" xfId="14092"/>
    <cellStyle name="Millares 4 6 2 3 5" xfId="53172"/>
    <cellStyle name="Millares 4 6 2 4" xfId="2939"/>
    <cellStyle name="Millares 4 6 2 4 2" xfId="6053"/>
    <cellStyle name="Millares 4 6 2 4 2 2" xfId="12256"/>
    <cellStyle name="Millares 4 6 2 4 2 3" xfId="18458"/>
    <cellStyle name="Millares 4 6 2 4 2 4" xfId="57284"/>
    <cellStyle name="Millares 4 6 2 4 3" xfId="9156"/>
    <cellStyle name="Millares 4 6 2 4 4" xfId="15358"/>
    <cellStyle name="Millares 4 6 2 4 5" xfId="54394"/>
    <cellStyle name="Millares 4 6 2 5" xfId="3981"/>
    <cellStyle name="Millares 4 6 2 5 2" xfId="10185"/>
    <cellStyle name="Millares 4 6 2 5 3" xfId="16387"/>
    <cellStyle name="Millares 4 6 2 5 4" xfId="55353"/>
    <cellStyle name="Millares 4 6 2 6" xfId="7084"/>
    <cellStyle name="Millares 4 6 2 6 2" xfId="19263"/>
    <cellStyle name="Millares 4 6 2 6 3" xfId="52576"/>
    <cellStyle name="Millares 4 6 2 7" xfId="13286"/>
    <cellStyle name="Millares 4 6 2 8" xfId="29901"/>
    <cellStyle name="Millares 4 6 3" xfId="748"/>
    <cellStyle name="Millares 4 6 3 2" xfId="1941"/>
    <cellStyle name="Millares 4 6 3 2 2" xfId="5066"/>
    <cellStyle name="Millares 4 6 3 2 2 2" xfId="11269"/>
    <cellStyle name="Millares 4 6 3 2 2 3" xfId="17471"/>
    <cellStyle name="Millares 4 6 3 2 2 4" xfId="56326"/>
    <cellStyle name="Millares 4 6 3 2 3" xfId="8169"/>
    <cellStyle name="Millares 4 6 3 2 3 2" xfId="53432"/>
    <cellStyle name="Millares 4 6 3 2 4" xfId="14371"/>
    <cellStyle name="Millares 4 6 3 2 5" xfId="46506"/>
    <cellStyle name="Millares 4 6 3 3" xfId="2941"/>
    <cellStyle name="Millares 4 6 3 3 2" xfId="6055"/>
    <cellStyle name="Millares 4 6 3 3 2 2" xfId="12258"/>
    <cellStyle name="Millares 4 6 3 3 2 3" xfId="18460"/>
    <cellStyle name="Millares 4 6 3 3 2 4" xfId="57286"/>
    <cellStyle name="Millares 4 6 3 3 3" xfId="9158"/>
    <cellStyle name="Millares 4 6 3 3 4" xfId="15360"/>
    <cellStyle name="Millares 4 6 3 3 5" xfId="54396"/>
    <cellStyle name="Millares 4 6 3 4" xfId="3983"/>
    <cellStyle name="Millares 4 6 3 4 2" xfId="10187"/>
    <cellStyle name="Millares 4 6 3 4 3" xfId="16389"/>
    <cellStyle name="Millares 4 6 3 4 4" xfId="55355"/>
    <cellStyle name="Millares 4 6 3 5" xfId="7086"/>
    <cellStyle name="Millares 4 6 3 5 2" xfId="19542"/>
    <cellStyle name="Millares 4 6 3 5 3" xfId="52578"/>
    <cellStyle name="Millares 4 6 3 6" xfId="13288"/>
    <cellStyle name="Millares 4 6 3 7" xfId="29902"/>
    <cellStyle name="Millares 4 6 4" xfId="1417"/>
    <cellStyle name="Millares 4 6 4 2" xfId="4542"/>
    <cellStyle name="Millares 4 6 4 2 2" xfId="10745"/>
    <cellStyle name="Millares 4 6 4 2 2 2" xfId="55830"/>
    <cellStyle name="Millares 4 6 4 2 3" xfId="16947"/>
    <cellStyle name="Millares 4 6 4 2 4" xfId="46507"/>
    <cellStyle name="Millares 4 6 4 3" xfId="7645"/>
    <cellStyle name="Millares 4 6 4 3 2" xfId="52948"/>
    <cellStyle name="Millares 4 6 4 4" xfId="13847"/>
    <cellStyle name="Millares 4 6 4 5" xfId="29903"/>
    <cellStyle name="Millares 4 6 5" xfId="2938"/>
    <cellStyle name="Millares 4 6 5 2" xfId="6052"/>
    <cellStyle name="Millares 4 6 5 2 2" xfId="12255"/>
    <cellStyle name="Millares 4 6 5 2 3" xfId="18457"/>
    <cellStyle name="Millares 4 6 5 2 4" xfId="57283"/>
    <cellStyle name="Millares 4 6 5 3" xfId="9155"/>
    <cellStyle name="Millares 4 6 5 3 2" xfId="54393"/>
    <cellStyle name="Millares 4 6 5 4" xfId="15357"/>
    <cellStyle name="Millares 4 6 5 5" xfId="46504"/>
    <cellStyle name="Millares 4 6 6" xfId="3980"/>
    <cellStyle name="Millares 4 6 6 2" xfId="10184"/>
    <cellStyle name="Millares 4 6 6 3" xfId="16386"/>
    <cellStyle name="Millares 4 6 6 4" xfId="52069"/>
    <cellStyle name="Millares 4 6 7" xfId="7083"/>
    <cellStyle name="Millares 4 6 7 2" xfId="19018"/>
    <cellStyle name="Millares 4 6 8" xfId="13285"/>
    <cellStyle name="Millares 4 6 9" xfId="29900"/>
    <cellStyle name="Millares 4 7" xfId="749"/>
    <cellStyle name="Millares 4 7 2" xfId="2942"/>
    <cellStyle name="Millares 4 7 2 2" xfId="46509"/>
    <cellStyle name="Millares 4 7 2 3" xfId="29905"/>
    <cellStyle name="Millares 4 7 3" xfId="29906"/>
    <cellStyle name="Millares 4 7 3 2" xfId="46510"/>
    <cellStyle name="Millares 4 7 4" xfId="29907"/>
    <cellStyle name="Millares 4 7 4 2" xfId="46511"/>
    <cellStyle name="Millares 4 7 5" xfId="46508"/>
    <cellStyle name="Millares 4 7 6" xfId="52579"/>
    <cellStyle name="Millares 4 7 7" xfId="29904"/>
    <cellStyle name="Millares 4 8" xfId="750"/>
    <cellStyle name="Millares 4 8 2" xfId="751"/>
    <cellStyle name="Millares 4 8 2 2" xfId="2082"/>
    <cellStyle name="Millares 4 8 2 2 2" xfId="5207"/>
    <cellStyle name="Millares 4 8 2 2 2 2" xfId="11410"/>
    <cellStyle name="Millares 4 8 2 2 2 3" xfId="17612"/>
    <cellStyle name="Millares 4 8 2 2 2 4" xfId="56457"/>
    <cellStyle name="Millares 4 8 2 2 3" xfId="8310"/>
    <cellStyle name="Millares 4 8 2 2 3 2" xfId="53561"/>
    <cellStyle name="Millares 4 8 2 2 4" xfId="14512"/>
    <cellStyle name="Millares 4 8 2 2 5" xfId="46513"/>
    <cellStyle name="Millares 4 8 2 3" xfId="2944"/>
    <cellStyle name="Millares 4 8 2 3 2" xfId="6057"/>
    <cellStyle name="Millares 4 8 2 3 2 2" xfId="12260"/>
    <cellStyle name="Millares 4 8 2 3 2 3" xfId="18462"/>
    <cellStyle name="Millares 4 8 2 3 2 4" xfId="57288"/>
    <cellStyle name="Millares 4 8 2 3 3" xfId="9160"/>
    <cellStyle name="Millares 4 8 2 3 4" xfId="15362"/>
    <cellStyle name="Millares 4 8 2 3 5" xfId="54398"/>
    <cellStyle name="Millares 4 8 2 4" xfId="3985"/>
    <cellStyle name="Millares 4 8 2 4 2" xfId="10189"/>
    <cellStyle name="Millares 4 8 2 4 3" xfId="16391"/>
    <cellStyle name="Millares 4 8 2 4 4" xfId="55357"/>
    <cellStyle name="Millares 4 8 2 5" xfId="7088"/>
    <cellStyle name="Millares 4 8 2 5 2" xfId="19683"/>
    <cellStyle name="Millares 4 8 2 5 3" xfId="52581"/>
    <cellStyle name="Millares 4 8 2 6" xfId="13290"/>
    <cellStyle name="Millares 4 8 2 7" xfId="29909"/>
    <cellStyle name="Millares 4 8 3" xfId="1558"/>
    <cellStyle name="Millares 4 8 3 2" xfId="4683"/>
    <cellStyle name="Millares 4 8 3 2 2" xfId="10886"/>
    <cellStyle name="Millares 4 8 3 2 2 2" xfId="55962"/>
    <cellStyle name="Millares 4 8 3 2 3" xfId="17088"/>
    <cellStyle name="Millares 4 8 3 2 4" xfId="46514"/>
    <cellStyle name="Millares 4 8 3 3" xfId="7786"/>
    <cellStyle name="Millares 4 8 3 3 2" xfId="53076"/>
    <cellStyle name="Millares 4 8 3 4" xfId="13988"/>
    <cellStyle name="Millares 4 8 3 5" xfId="29910"/>
    <cellStyle name="Millares 4 8 4" xfId="2943"/>
    <cellStyle name="Millares 4 8 4 2" xfId="6056"/>
    <cellStyle name="Millares 4 8 4 2 2" xfId="12259"/>
    <cellStyle name="Millares 4 8 4 2 2 2" xfId="57287"/>
    <cellStyle name="Millares 4 8 4 2 3" xfId="18461"/>
    <cellStyle name="Millares 4 8 4 2 4" xfId="46515"/>
    <cellStyle name="Millares 4 8 4 3" xfId="9159"/>
    <cellStyle name="Millares 4 8 4 3 2" xfId="54397"/>
    <cellStyle name="Millares 4 8 4 4" xfId="15361"/>
    <cellStyle name="Millares 4 8 4 5" xfId="29911"/>
    <cellStyle name="Millares 4 8 5" xfId="3984"/>
    <cellStyle name="Millares 4 8 5 2" xfId="10188"/>
    <cellStyle name="Millares 4 8 5 2 2" xfId="55356"/>
    <cellStyle name="Millares 4 8 5 3" xfId="16390"/>
    <cellStyle name="Millares 4 8 5 4" xfId="46512"/>
    <cellStyle name="Millares 4 8 6" xfId="7087"/>
    <cellStyle name="Millares 4 8 6 2" xfId="19159"/>
    <cellStyle name="Millares 4 8 6 3" xfId="52580"/>
    <cellStyle name="Millares 4 8 7" xfId="13289"/>
    <cellStyle name="Millares 4 8 8" xfId="29908"/>
    <cellStyle name="Millares 4 9" xfId="752"/>
    <cellStyle name="Millares 4 9 2" xfId="1812"/>
    <cellStyle name="Millares 4 9 2 2" xfId="4937"/>
    <cellStyle name="Millares 4 9 2 2 2" xfId="11140"/>
    <cellStyle name="Millares 4 9 2 2 2 2" xfId="56204"/>
    <cellStyle name="Millares 4 9 2 2 3" xfId="17342"/>
    <cellStyle name="Millares 4 9 2 2 4" xfId="46517"/>
    <cellStyle name="Millares 4 9 2 3" xfId="8040"/>
    <cellStyle name="Millares 4 9 2 3 2" xfId="53310"/>
    <cellStyle name="Millares 4 9 2 4" xfId="14242"/>
    <cellStyle name="Millares 4 9 2 5" xfId="29913"/>
    <cellStyle name="Millares 4 9 3" xfId="2945"/>
    <cellStyle name="Millares 4 9 3 2" xfId="6058"/>
    <cellStyle name="Millares 4 9 3 2 2" xfId="12261"/>
    <cellStyle name="Millares 4 9 3 2 2 2" xfId="57289"/>
    <cellStyle name="Millares 4 9 3 2 3" xfId="18463"/>
    <cellStyle name="Millares 4 9 3 2 4" xfId="46518"/>
    <cellStyle name="Millares 4 9 3 3" xfId="9161"/>
    <cellStyle name="Millares 4 9 3 3 2" xfId="54399"/>
    <cellStyle name="Millares 4 9 3 4" xfId="15363"/>
    <cellStyle name="Millares 4 9 3 5" xfId="29914"/>
    <cellStyle name="Millares 4 9 4" xfId="3986"/>
    <cellStyle name="Millares 4 9 4 2" xfId="10190"/>
    <cellStyle name="Millares 4 9 4 2 2" xfId="46519"/>
    <cellStyle name="Millares 4 9 4 3" xfId="16392"/>
    <cellStyle name="Millares 4 9 4 3 2" xfId="55358"/>
    <cellStyle name="Millares 4 9 4 4" xfId="29915"/>
    <cellStyle name="Millares 4 9 5" xfId="7089"/>
    <cellStyle name="Millares 4 9 5 2" xfId="19413"/>
    <cellStyle name="Millares 4 9 5 3" xfId="46516"/>
    <cellStyle name="Millares 4 9 6" xfId="13291"/>
    <cellStyle name="Millares 4 9 6 2" xfId="52582"/>
    <cellStyle name="Millares 4 9 7" xfId="29912"/>
    <cellStyle name="Millares 4_FYFC" xfId="29916"/>
    <cellStyle name="Millares 40" xfId="29917"/>
    <cellStyle name="Millares 40 2" xfId="29918"/>
    <cellStyle name="Millares 40 2 2" xfId="29919"/>
    <cellStyle name="Millares 40 2 2 2" xfId="29920"/>
    <cellStyle name="Millares 40 2 2 2 2" xfId="46523"/>
    <cellStyle name="Millares 40 2 2 3" xfId="46522"/>
    <cellStyle name="Millares 40 2 3" xfId="29921"/>
    <cellStyle name="Millares 40 2 3 2" xfId="46524"/>
    <cellStyle name="Millares 40 2 4" xfId="46521"/>
    <cellStyle name="Millares 40 3" xfId="29922"/>
    <cellStyle name="Millares 40 3 2" xfId="29923"/>
    <cellStyle name="Millares 40 3 2 2" xfId="29924"/>
    <cellStyle name="Millares 40 3 2 2 2" xfId="46527"/>
    <cellStyle name="Millares 40 3 2 3" xfId="46526"/>
    <cellStyle name="Millares 40 3 3" xfId="29925"/>
    <cellStyle name="Millares 40 3 3 2" xfId="46528"/>
    <cellStyle name="Millares 40 3 4" xfId="46525"/>
    <cellStyle name="Millares 40 4" xfId="29926"/>
    <cellStyle name="Millares 40 4 2" xfId="46529"/>
    <cellStyle name="Millares 40 5" xfId="29927"/>
    <cellStyle name="Millares 40 5 2" xfId="46530"/>
    <cellStyle name="Millares 40 6" xfId="46520"/>
    <cellStyle name="Millares 41" xfId="29928"/>
    <cellStyle name="Millares 41 2" xfId="29929"/>
    <cellStyle name="Millares 41 2 2" xfId="29930"/>
    <cellStyle name="Millares 41 2 2 2" xfId="29931"/>
    <cellStyle name="Millares 41 2 2 2 2" xfId="46534"/>
    <cellStyle name="Millares 41 2 2 3" xfId="46533"/>
    <cellStyle name="Millares 41 2 3" xfId="29932"/>
    <cellStyle name="Millares 41 2 3 2" xfId="46535"/>
    <cellStyle name="Millares 41 2 4" xfId="46532"/>
    <cellStyle name="Millares 41 3" xfId="29933"/>
    <cellStyle name="Millares 41 3 2" xfId="29934"/>
    <cellStyle name="Millares 41 3 2 2" xfId="29935"/>
    <cellStyle name="Millares 41 3 2 2 2" xfId="46538"/>
    <cellStyle name="Millares 41 3 2 3" xfId="46537"/>
    <cellStyle name="Millares 41 3 3" xfId="29936"/>
    <cellStyle name="Millares 41 3 3 2" xfId="46539"/>
    <cellStyle name="Millares 41 3 4" xfId="46536"/>
    <cellStyle name="Millares 41 4" xfId="29937"/>
    <cellStyle name="Millares 41 4 2" xfId="46540"/>
    <cellStyle name="Millares 41 5" xfId="29938"/>
    <cellStyle name="Millares 41 5 2" xfId="46541"/>
    <cellStyle name="Millares 41 6" xfId="46531"/>
    <cellStyle name="Millares 42" xfId="29939"/>
    <cellStyle name="Millares 42 2" xfId="29940"/>
    <cellStyle name="Millares 42 2 2" xfId="29941"/>
    <cellStyle name="Millares 42 2 2 2" xfId="29942"/>
    <cellStyle name="Millares 42 2 2 2 2" xfId="46545"/>
    <cellStyle name="Millares 42 2 2 3" xfId="46544"/>
    <cellStyle name="Millares 42 2 3" xfId="29943"/>
    <cellStyle name="Millares 42 2 3 2" xfId="46546"/>
    <cellStyle name="Millares 42 2 4" xfId="46543"/>
    <cellStyle name="Millares 42 3" xfId="29944"/>
    <cellStyle name="Millares 42 3 2" xfId="29945"/>
    <cellStyle name="Millares 42 3 2 2" xfId="29946"/>
    <cellStyle name="Millares 42 3 2 2 2" xfId="46549"/>
    <cellStyle name="Millares 42 3 2 3" xfId="46548"/>
    <cellStyle name="Millares 42 3 3" xfId="29947"/>
    <cellStyle name="Millares 42 3 3 2" xfId="46550"/>
    <cellStyle name="Millares 42 3 4" xfId="46547"/>
    <cellStyle name="Millares 42 4" xfId="29948"/>
    <cellStyle name="Millares 42 4 2" xfId="46551"/>
    <cellStyle name="Millares 42 5" xfId="29949"/>
    <cellStyle name="Millares 42 5 2" xfId="46552"/>
    <cellStyle name="Millares 42 6" xfId="46542"/>
    <cellStyle name="Millares 43" xfId="29950"/>
    <cellStyle name="Millares 43 2" xfId="46553"/>
    <cellStyle name="Millares 44" xfId="29951"/>
    <cellStyle name="Millares 44 2" xfId="29952"/>
    <cellStyle name="Millares 44 2 2" xfId="29953"/>
    <cellStyle name="Millares 44 2 2 2" xfId="29954"/>
    <cellStyle name="Millares 44 2 2 2 2" xfId="46557"/>
    <cellStyle name="Millares 44 2 2 3" xfId="46556"/>
    <cellStyle name="Millares 44 2 3" xfId="29955"/>
    <cellStyle name="Millares 44 2 3 2" xfId="46558"/>
    <cellStyle name="Millares 44 2 4" xfId="46555"/>
    <cellStyle name="Millares 44 3" xfId="29956"/>
    <cellStyle name="Millares 44 3 2" xfId="29957"/>
    <cellStyle name="Millares 44 3 2 2" xfId="29958"/>
    <cellStyle name="Millares 44 3 2 2 2" xfId="46561"/>
    <cellStyle name="Millares 44 3 2 3" xfId="46560"/>
    <cellStyle name="Millares 44 3 3" xfId="29959"/>
    <cellStyle name="Millares 44 3 3 2" xfId="46562"/>
    <cellStyle name="Millares 44 3 4" xfId="46559"/>
    <cellStyle name="Millares 44 4" xfId="29960"/>
    <cellStyle name="Millares 44 4 2" xfId="46563"/>
    <cellStyle name="Millares 44 5" xfId="29961"/>
    <cellStyle name="Millares 44 5 2" xfId="46564"/>
    <cellStyle name="Millares 44 6" xfId="46554"/>
    <cellStyle name="Millares 45" xfId="29962"/>
    <cellStyle name="Millares 45 2" xfId="46565"/>
    <cellStyle name="Millares 46" xfId="29963"/>
    <cellStyle name="Millares 46 2" xfId="29964"/>
    <cellStyle name="Millares 46 2 2" xfId="29965"/>
    <cellStyle name="Millares 46 2 2 2" xfId="29966"/>
    <cellStyle name="Millares 46 2 2 2 2" xfId="46569"/>
    <cellStyle name="Millares 46 2 2 3" xfId="46568"/>
    <cellStyle name="Millares 46 2 3" xfId="29967"/>
    <cellStyle name="Millares 46 2 3 2" xfId="46570"/>
    <cellStyle name="Millares 46 2 4" xfId="46567"/>
    <cellStyle name="Millares 46 3" xfId="29968"/>
    <cellStyle name="Millares 46 3 2" xfId="29969"/>
    <cellStyle name="Millares 46 3 2 2" xfId="29970"/>
    <cellStyle name="Millares 46 3 2 2 2" xfId="46573"/>
    <cellStyle name="Millares 46 3 2 3" xfId="46572"/>
    <cellStyle name="Millares 46 3 3" xfId="29971"/>
    <cellStyle name="Millares 46 3 3 2" xfId="46574"/>
    <cellStyle name="Millares 46 3 4" xfId="46571"/>
    <cellStyle name="Millares 46 4" xfId="29972"/>
    <cellStyle name="Millares 46 4 2" xfId="46575"/>
    <cellStyle name="Millares 46 5" xfId="29973"/>
    <cellStyle name="Millares 46 5 2" xfId="46576"/>
    <cellStyle name="Millares 46 6" xfId="46566"/>
    <cellStyle name="Millares 47" xfId="29974"/>
    <cellStyle name="Millares 47 2" xfId="29975"/>
    <cellStyle name="Millares 47 2 2" xfId="29976"/>
    <cellStyle name="Millares 47 2 2 2" xfId="29977"/>
    <cellStyle name="Millares 47 2 2 2 2" xfId="46580"/>
    <cellStyle name="Millares 47 2 2 3" xfId="46579"/>
    <cellStyle name="Millares 47 2 3" xfId="29978"/>
    <cellStyle name="Millares 47 2 3 2" xfId="46581"/>
    <cellStyle name="Millares 47 2 4" xfId="46578"/>
    <cellStyle name="Millares 47 3" xfId="29979"/>
    <cellStyle name="Millares 47 3 2" xfId="29980"/>
    <cellStyle name="Millares 47 3 2 2" xfId="29981"/>
    <cellStyle name="Millares 47 3 2 2 2" xfId="46584"/>
    <cellStyle name="Millares 47 3 2 3" xfId="46583"/>
    <cellStyle name="Millares 47 3 3" xfId="29982"/>
    <cellStyle name="Millares 47 3 3 2" xfId="46585"/>
    <cellStyle name="Millares 47 3 4" xfId="46582"/>
    <cellStyle name="Millares 47 4" xfId="29983"/>
    <cellStyle name="Millares 47 4 2" xfId="46586"/>
    <cellStyle name="Millares 47 5" xfId="29984"/>
    <cellStyle name="Millares 47 5 2" xfId="46587"/>
    <cellStyle name="Millares 47 6" xfId="46577"/>
    <cellStyle name="Millares 48" xfId="29985"/>
    <cellStyle name="Millares 48 2" xfId="29986"/>
    <cellStyle name="Millares 48 2 2" xfId="29987"/>
    <cellStyle name="Millares 48 2 2 2" xfId="29988"/>
    <cellStyle name="Millares 48 2 2 2 2" xfId="46591"/>
    <cellStyle name="Millares 48 2 2 3" xfId="46590"/>
    <cellStyle name="Millares 48 2 3" xfId="29989"/>
    <cellStyle name="Millares 48 2 3 2" xfId="46592"/>
    <cellStyle name="Millares 48 2 4" xfId="46589"/>
    <cellStyle name="Millares 48 3" xfId="29990"/>
    <cellStyle name="Millares 48 3 2" xfId="29991"/>
    <cellStyle name="Millares 48 3 2 2" xfId="29992"/>
    <cellStyle name="Millares 48 3 2 2 2" xfId="46595"/>
    <cellStyle name="Millares 48 3 2 3" xfId="46594"/>
    <cellStyle name="Millares 48 3 3" xfId="29993"/>
    <cellStyle name="Millares 48 3 3 2" xfId="46596"/>
    <cellStyle name="Millares 48 3 4" xfId="46593"/>
    <cellStyle name="Millares 48 4" xfId="29994"/>
    <cellStyle name="Millares 48 4 2" xfId="46597"/>
    <cellStyle name="Millares 48 5" xfId="29995"/>
    <cellStyle name="Millares 48 5 2" xfId="46598"/>
    <cellStyle name="Millares 48 6" xfId="46588"/>
    <cellStyle name="Millares 49" xfId="29996"/>
    <cellStyle name="Millares 49 2" xfId="46599"/>
    <cellStyle name="Millares 5" xfId="753"/>
    <cellStyle name="Millares 5 10" xfId="3987"/>
    <cellStyle name="Millares 5 10 2" xfId="10191"/>
    <cellStyle name="Millares 5 10 2 2" xfId="46601"/>
    <cellStyle name="Millares 5 10 2 3" xfId="29999"/>
    <cellStyle name="Millares 5 10 3" xfId="16393"/>
    <cellStyle name="Millares 5 10 3 2" xfId="46602"/>
    <cellStyle name="Millares 5 10 3 3" xfId="30000"/>
    <cellStyle name="Millares 5 10 4" xfId="30001"/>
    <cellStyle name="Millares 5 10 4 2" xfId="46603"/>
    <cellStyle name="Millares 5 10 5" xfId="46600"/>
    <cellStyle name="Millares 5 10 6" xfId="55359"/>
    <cellStyle name="Millares 5 10 7" xfId="29998"/>
    <cellStyle name="Millares 5 11" xfId="7090"/>
    <cellStyle name="Millares 5 11 2" xfId="18894"/>
    <cellStyle name="Millares 5 11 2 2" xfId="46605"/>
    <cellStyle name="Millares 5 11 2 3" xfId="30003"/>
    <cellStyle name="Millares 5 11 3" xfId="30004"/>
    <cellStyle name="Millares 5 11 3 2" xfId="46606"/>
    <cellStyle name="Millares 5 11 4" xfId="30005"/>
    <cellStyle name="Millares 5 11 4 2" xfId="46607"/>
    <cellStyle name="Millares 5 11 5" xfId="46604"/>
    <cellStyle name="Millares 5 11 6" xfId="30002"/>
    <cellStyle name="Millares 5 12" xfId="13292"/>
    <cellStyle name="Millares 5 12 2" xfId="30007"/>
    <cellStyle name="Millares 5 12 2 2" xfId="46609"/>
    <cellStyle name="Millares 5 12 3" xfId="30008"/>
    <cellStyle name="Millares 5 12 3 2" xfId="46610"/>
    <cellStyle name="Millares 5 12 4" xfId="30009"/>
    <cellStyle name="Millares 5 12 4 2" xfId="46611"/>
    <cellStyle name="Millares 5 12 5" xfId="46608"/>
    <cellStyle name="Millares 5 12 6" xfId="30006"/>
    <cellStyle name="Millares 5 13" xfId="30010"/>
    <cellStyle name="Millares 5 13 2" xfId="30011"/>
    <cellStyle name="Millares 5 13 2 2" xfId="46613"/>
    <cellStyle name="Millares 5 13 3" xfId="46612"/>
    <cellStyle name="Millares 5 14" xfId="30012"/>
    <cellStyle name="Millares 5 14 2" xfId="46614"/>
    <cellStyle name="Millares 5 15" xfId="30013"/>
    <cellStyle name="Millares 5 15 2" xfId="46615"/>
    <cellStyle name="Millares 5 16" xfId="30014"/>
    <cellStyle name="Millares 5 16 2" xfId="46616"/>
    <cellStyle name="Millares 5 17" xfId="30015"/>
    <cellStyle name="Millares 5 17 2" xfId="46617"/>
    <cellStyle name="Millares 5 18" xfId="30016"/>
    <cellStyle name="Millares 5 18 2" xfId="30017"/>
    <cellStyle name="Millares 5 18 2 2" xfId="46619"/>
    <cellStyle name="Millares 5 18 3" xfId="46618"/>
    <cellStyle name="Millares 5 19" xfId="30018"/>
    <cellStyle name="Millares 5 19 2" xfId="46620"/>
    <cellStyle name="Millares 5 2" xfId="754"/>
    <cellStyle name="Millares 5 2 10" xfId="30019"/>
    <cellStyle name="Millares 5 2 2" xfId="755"/>
    <cellStyle name="Millares 5 2 2 2" xfId="756"/>
    <cellStyle name="Millares 5 2 2 2 2" xfId="757"/>
    <cellStyle name="Millares 5 2 2 2 2 2" xfId="2226"/>
    <cellStyle name="Millares 5 2 2 2 2 2 2" xfId="5351"/>
    <cellStyle name="Millares 5 2 2 2 2 2 2 2" xfId="11554"/>
    <cellStyle name="Millares 5 2 2 2 2 2 2 2 2" xfId="56590"/>
    <cellStyle name="Millares 5 2 2 2 2 2 2 3" xfId="17756"/>
    <cellStyle name="Millares 5 2 2 2 2 2 2 4" xfId="46625"/>
    <cellStyle name="Millares 5 2 2 2 2 2 3" xfId="8454"/>
    <cellStyle name="Millares 5 2 2 2 2 2 3 2" xfId="53694"/>
    <cellStyle name="Millares 5 2 2 2 2 2 4" xfId="14656"/>
    <cellStyle name="Millares 5 2 2 2 2 2 5" xfId="30023"/>
    <cellStyle name="Millares 5 2 2 2 2 3" xfId="2950"/>
    <cellStyle name="Millares 5 2 2 2 2 3 2" xfId="6063"/>
    <cellStyle name="Millares 5 2 2 2 2 3 2 2" xfId="12266"/>
    <cellStyle name="Millares 5 2 2 2 2 3 2 3" xfId="18468"/>
    <cellStyle name="Millares 5 2 2 2 2 3 2 4" xfId="57294"/>
    <cellStyle name="Millares 5 2 2 2 2 3 3" xfId="9166"/>
    <cellStyle name="Millares 5 2 2 2 2 3 3 2" xfId="54404"/>
    <cellStyle name="Millares 5 2 2 2 2 3 4" xfId="15368"/>
    <cellStyle name="Millares 5 2 2 2 2 3 5" xfId="46624"/>
    <cellStyle name="Millares 5 2 2 2 2 4" xfId="3991"/>
    <cellStyle name="Millares 5 2 2 2 2 4 2" xfId="10195"/>
    <cellStyle name="Millares 5 2 2 2 2 4 3" xfId="16397"/>
    <cellStyle name="Millares 5 2 2 2 2 4 4" xfId="55361"/>
    <cellStyle name="Millares 5 2 2 2 2 5" xfId="7094"/>
    <cellStyle name="Millares 5 2 2 2 2 5 2" xfId="19827"/>
    <cellStyle name="Millares 5 2 2 2 2 5 3" xfId="52584"/>
    <cellStyle name="Millares 5 2 2 2 2 6" xfId="13296"/>
    <cellStyle name="Millares 5 2 2 2 2 7" xfId="30022"/>
    <cellStyle name="Millares 5 2 2 2 3" xfId="1702"/>
    <cellStyle name="Millares 5 2 2 2 3 2" xfId="4827"/>
    <cellStyle name="Millares 5 2 2 2 3 2 2" xfId="11030"/>
    <cellStyle name="Millares 5 2 2 2 3 2 2 2" xfId="56099"/>
    <cellStyle name="Millares 5 2 2 2 3 2 3" xfId="17232"/>
    <cellStyle name="Millares 5 2 2 2 3 2 4" xfId="46626"/>
    <cellStyle name="Millares 5 2 2 2 3 3" xfId="7930"/>
    <cellStyle name="Millares 5 2 2 2 3 3 2" xfId="53209"/>
    <cellStyle name="Millares 5 2 2 2 3 4" xfId="14132"/>
    <cellStyle name="Millares 5 2 2 2 3 5" xfId="30024"/>
    <cellStyle name="Millares 5 2 2 2 4" xfId="2949"/>
    <cellStyle name="Millares 5 2 2 2 4 2" xfId="6062"/>
    <cellStyle name="Millares 5 2 2 2 4 2 2" xfId="12265"/>
    <cellStyle name="Millares 5 2 2 2 4 2 3" xfId="18467"/>
    <cellStyle name="Millares 5 2 2 2 4 2 4" xfId="57293"/>
    <cellStyle name="Millares 5 2 2 2 4 3" xfId="9165"/>
    <cellStyle name="Millares 5 2 2 2 4 3 2" xfId="54403"/>
    <cellStyle name="Millares 5 2 2 2 4 4" xfId="15367"/>
    <cellStyle name="Millares 5 2 2 2 4 5" xfId="46623"/>
    <cellStyle name="Millares 5 2 2 2 5" xfId="3990"/>
    <cellStyle name="Millares 5 2 2 2 5 2" xfId="10194"/>
    <cellStyle name="Millares 5 2 2 2 5 3" xfId="16396"/>
    <cellStyle name="Millares 5 2 2 2 5 4" xfId="55360"/>
    <cellStyle name="Millares 5 2 2 2 6" xfId="7093"/>
    <cellStyle name="Millares 5 2 2 2 6 2" xfId="19303"/>
    <cellStyle name="Millares 5 2 2 2 6 3" xfId="52583"/>
    <cellStyle name="Millares 5 2 2 2 7" xfId="13295"/>
    <cellStyle name="Millares 5 2 2 2 8" xfId="30021"/>
    <cellStyle name="Millares 5 2 2 3" xfId="758"/>
    <cellStyle name="Millares 5 2 2 3 2" xfId="1981"/>
    <cellStyle name="Millares 5 2 2 3 2 2" xfId="5106"/>
    <cellStyle name="Millares 5 2 2 3 2 2 2" xfId="11309"/>
    <cellStyle name="Millares 5 2 2 3 2 2 2 2" xfId="46629"/>
    <cellStyle name="Millares 5 2 2 3 2 2 3" xfId="17511"/>
    <cellStyle name="Millares 5 2 2 3 2 2 3 2" xfId="56363"/>
    <cellStyle name="Millares 5 2 2 3 2 2 4" xfId="30027"/>
    <cellStyle name="Millares 5 2 2 3 2 3" xfId="8209"/>
    <cellStyle name="Millares 5 2 2 3 2 3 2" xfId="46628"/>
    <cellStyle name="Millares 5 2 2 3 2 4" xfId="14411"/>
    <cellStyle name="Millares 5 2 2 3 2 4 2" xfId="53469"/>
    <cellStyle name="Millares 5 2 2 3 2 5" xfId="30026"/>
    <cellStyle name="Millares 5 2 2 3 3" xfId="2951"/>
    <cellStyle name="Millares 5 2 2 3 3 2" xfId="6064"/>
    <cellStyle name="Millares 5 2 2 3 3 2 2" xfId="12267"/>
    <cellStyle name="Millares 5 2 2 3 3 2 2 2" xfId="57295"/>
    <cellStyle name="Millares 5 2 2 3 3 2 3" xfId="18469"/>
    <cellStyle name="Millares 5 2 2 3 3 2 4" xfId="46630"/>
    <cellStyle name="Millares 5 2 2 3 3 3" xfId="9167"/>
    <cellStyle name="Millares 5 2 2 3 3 3 2" xfId="54405"/>
    <cellStyle name="Millares 5 2 2 3 3 4" xfId="15369"/>
    <cellStyle name="Millares 5 2 2 3 3 5" xfId="30028"/>
    <cellStyle name="Millares 5 2 2 3 4" xfId="3992"/>
    <cellStyle name="Millares 5 2 2 3 4 2" xfId="10196"/>
    <cellStyle name="Millares 5 2 2 3 4 2 2" xfId="55362"/>
    <cellStyle name="Millares 5 2 2 3 4 3" xfId="16398"/>
    <cellStyle name="Millares 5 2 2 3 4 4" xfId="46627"/>
    <cellStyle name="Millares 5 2 2 3 5" xfId="7095"/>
    <cellStyle name="Millares 5 2 2 3 5 2" xfId="19582"/>
    <cellStyle name="Millares 5 2 2 3 5 3" xfId="52585"/>
    <cellStyle name="Millares 5 2 2 3 6" xfId="13297"/>
    <cellStyle name="Millares 5 2 2 3 7" xfId="30025"/>
    <cellStyle name="Millares 5 2 2 4" xfId="1457"/>
    <cellStyle name="Millares 5 2 2 4 2" xfId="4582"/>
    <cellStyle name="Millares 5 2 2 4 2 2" xfId="10785"/>
    <cellStyle name="Millares 5 2 2 4 2 2 2" xfId="46633"/>
    <cellStyle name="Millares 5 2 2 4 2 2 3" xfId="30031"/>
    <cellStyle name="Millares 5 2 2 4 2 3" xfId="16987"/>
    <cellStyle name="Millares 5 2 2 4 2 3 2" xfId="46632"/>
    <cellStyle name="Millares 5 2 2 4 2 4" xfId="55867"/>
    <cellStyle name="Millares 5 2 2 4 2 5" xfId="30030"/>
    <cellStyle name="Millares 5 2 2 4 3" xfId="7685"/>
    <cellStyle name="Millares 5 2 2 4 3 2" xfId="46634"/>
    <cellStyle name="Millares 5 2 2 4 3 3" xfId="30032"/>
    <cellStyle name="Millares 5 2 2 4 4" xfId="13887"/>
    <cellStyle name="Millares 5 2 2 4 4 2" xfId="46631"/>
    <cellStyle name="Millares 5 2 2 4 5" xfId="52985"/>
    <cellStyle name="Millares 5 2 2 4 6" xfId="30029"/>
    <cellStyle name="Millares 5 2 2 5" xfId="2948"/>
    <cellStyle name="Millares 5 2 2 5 2" xfId="6061"/>
    <cellStyle name="Millares 5 2 2 5 2 2" xfId="12264"/>
    <cellStyle name="Millares 5 2 2 5 2 3" xfId="18466"/>
    <cellStyle name="Millares 5 2 2 5 2 4" xfId="57292"/>
    <cellStyle name="Millares 5 2 2 5 3" xfId="9164"/>
    <cellStyle name="Millares 5 2 2 5 3 2" xfId="54402"/>
    <cellStyle name="Millares 5 2 2 5 4" xfId="15366"/>
    <cellStyle name="Millares 5 2 2 5 5" xfId="46622"/>
    <cellStyle name="Millares 5 2 2 6" xfId="3989"/>
    <cellStyle name="Millares 5 2 2 6 2" xfId="10193"/>
    <cellStyle name="Millares 5 2 2 6 3" xfId="16395"/>
    <cellStyle name="Millares 5 2 2 6 4" xfId="52104"/>
    <cellStyle name="Millares 5 2 2 7" xfId="7092"/>
    <cellStyle name="Millares 5 2 2 7 2" xfId="19058"/>
    <cellStyle name="Millares 5 2 2 8" xfId="13294"/>
    <cellStyle name="Millares 5 2 2 9" xfId="30020"/>
    <cellStyle name="Millares 5 2 3" xfId="759"/>
    <cellStyle name="Millares 5 2 3 2" xfId="760"/>
    <cellStyle name="Millares 5 2 3 2 2" xfId="1912"/>
    <cellStyle name="Millares 5 2 3 2 2 2" xfId="5037"/>
    <cellStyle name="Millares 5 2 3 2 2 2 2" xfId="11240"/>
    <cellStyle name="Millares 5 2 3 2 2 2 3" xfId="17442"/>
    <cellStyle name="Millares 5 2 3 2 2 2 4" xfId="56298"/>
    <cellStyle name="Millares 5 2 3 2 2 3" xfId="8140"/>
    <cellStyle name="Millares 5 2 3 2 2 4" xfId="14342"/>
    <cellStyle name="Millares 5 2 3 2 2 5" xfId="53404"/>
    <cellStyle name="Millares 5 2 3 2 3" xfId="2953"/>
    <cellStyle name="Millares 5 2 3 2 3 2" xfId="6066"/>
    <cellStyle name="Millares 5 2 3 2 3 2 2" xfId="12269"/>
    <cellStyle name="Millares 5 2 3 2 3 2 3" xfId="18471"/>
    <cellStyle name="Millares 5 2 3 2 3 2 4" xfId="57297"/>
    <cellStyle name="Millares 5 2 3 2 3 3" xfId="9169"/>
    <cellStyle name="Millares 5 2 3 2 3 4" xfId="15371"/>
    <cellStyle name="Millares 5 2 3 2 3 5" xfId="54407"/>
    <cellStyle name="Millares 5 2 3 2 4" xfId="3994"/>
    <cellStyle name="Millares 5 2 3 2 4 2" xfId="10198"/>
    <cellStyle name="Millares 5 2 3 2 4 3" xfId="16400"/>
    <cellStyle name="Millares 5 2 3 2 4 4" xfId="55364"/>
    <cellStyle name="Millares 5 2 3 2 5" xfId="7097"/>
    <cellStyle name="Millares 5 2 3 2 5 2" xfId="19513"/>
    <cellStyle name="Millares 5 2 3 2 5 3" xfId="52587"/>
    <cellStyle name="Millares 5 2 3 2 6" xfId="13299"/>
    <cellStyle name="Millares 5 2 3 2 7" xfId="46635"/>
    <cellStyle name="Millares 5 2 3 3" xfId="1388"/>
    <cellStyle name="Millares 5 2 3 3 2" xfId="4513"/>
    <cellStyle name="Millares 5 2 3 3 2 2" xfId="10716"/>
    <cellStyle name="Millares 5 2 3 3 2 3" xfId="16918"/>
    <cellStyle name="Millares 5 2 3 3 2 4" xfId="55802"/>
    <cellStyle name="Millares 5 2 3 3 3" xfId="7616"/>
    <cellStyle name="Millares 5 2 3 3 3 2" xfId="52926"/>
    <cellStyle name="Millares 5 2 3 3 4" xfId="13818"/>
    <cellStyle name="Millares 5 2 3 3 5" xfId="52042"/>
    <cellStyle name="Millares 5 2 3 4" xfId="2952"/>
    <cellStyle name="Millares 5 2 3 4 2" xfId="6065"/>
    <cellStyle name="Millares 5 2 3 4 2 2" xfId="12268"/>
    <cellStyle name="Millares 5 2 3 4 2 3" xfId="18470"/>
    <cellStyle name="Millares 5 2 3 4 2 4" xfId="57296"/>
    <cellStyle name="Millares 5 2 3 4 3" xfId="9168"/>
    <cellStyle name="Millares 5 2 3 4 4" xfId="15370"/>
    <cellStyle name="Millares 5 2 3 4 5" xfId="54406"/>
    <cellStyle name="Millares 5 2 3 5" xfId="3993"/>
    <cellStyle name="Millares 5 2 3 5 2" xfId="10197"/>
    <cellStyle name="Millares 5 2 3 5 3" xfId="16399"/>
    <cellStyle name="Millares 5 2 3 5 4" xfId="55363"/>
    <cellStyle name="Millares 5 2 3 6" xfId="7096"/>
    <cellStyle name="Millares 5 2 3 6 2" xfId="18989"/>
    <cellStyle name="Millares 5 2 3 6 3" xfId="52586"/>
    <cellStyle name="Millares 5 2 3 7" xfId="13298"/>
    <cellStyle name="Millares 5 2 3 8" xfId="30033"/>
    <cellStyle name="Millares 5 2 4" xfId="761"/>
    <cellStyle name="Millares 5 2 4 2" xfId="1839"/>
    <cellStyle name="Millares 5 2 4 2 2" xfId="4964"/>
    <cellStyle name="Millares 5 2 4 2 2 2" xfId="11167"/>
    <cellStyle name="Millares 5 2 4 2 2 3" xfId="17369"/>
    <cellStyle name="Millares 5 2 4 2 2 4" xfId="56228"/>
    <cellStyle name="Millares 5 2 4 2 3" xfId="8067"/>
    <cellStyle name="Millares 5 2 4 2 3 2" xfId="53334"/>
    <cellStyle name="Millares 5 2 4 2 4" xfId="14269"/>
    <cellStyle name="Millares 5 2 4 2 5" xfId="46636"/>
    <cellStyle name="Millares 5 2 4 3" xfId="2954"/>
    <cellStyle name="Millares 5 2 4 3 2" xfId="6067"/>
    <cellStyle name="Millares 5 2 4 3 2 2" xfId="12270"/>
    <cellStyle name="Millares 5 2 4 3 2 3" xfId="18472"/>
    <cellStyle name="Millares 5 2 4 3 2 4" xfId="57298"/>
    <cellStyle name="Millares 5 2 4 3 3" xfId="9170"/>
    <cellStyle name="Millares 5 2 4 3 4" xfId="15372"/>
    <cellStyle name="Millares 5 2 4 3 5" xfId="54408"/>
    <cellStyle name="Millares 5 2 4 4" xfId="3995"/>
    <cellStyle name="Millares 5 2 4 4 2" xfId="10199"/>
    <cellStyle name="Millares 5 2 4 4 3" xfId="16401"/>
    <cellStyle name="Millares 5 2 4 4 4" xfId="55365"/>
    <cellStyle name="Millares 5 2 4 5" xfId="7098"/>
    <cellStyle name="Millares 5 2 4 5 2" xfId="19440"/>
    <cellStyle name="Millares 5 2 4 5 3" xfId="52588"/>
    <cellStyle name="Millares 5 2 4 6" xfId="13300"/>
    <cellStyle name="Millares 5 2 4 7" xfId="30034"/>
    <cellStyle name="Millares 5 2 5" xfId="1315"/>
    <cellStyle name="Millares 5 2 5 2" xfId="4440"/>
    <cellStyle name="Millares 5 2 5 2 2" xfId="10643"/>
    <cellStyle name="Millares 5 2 5 2 2 2" xfId="46639"/>
    <cellStyle name="Millares 5 2 5 2 2 3" xfId="30037"/>
    <cellStyle name="Millares 5 2 5 2 3" xfId="16845"/>
    <cellStyle name="Millares 5 2 5 2 3 2" xfId="46638"/>
    <cellStyle name="Millares 5 2 5 2 4" xfId="55731"/>
    <cellStyle name="Millares 5 2 5 2 5" xfId="30036"/>
    <cellStyle name="Millares 5 2 5 3" xfId="7543"/>
    <cellStyle name="Millares 5 2 5 3 2" xfId="46640"/>
    <cellStyle name="Millares 5 2 5 3 3" xfId="30038"/>
    <cellStyle name="Millares 5 2 5 4" xfId="13745"/>
    <cellStyle name="Millares 5 2 5 4 2" xfId="46637"/>
    <cellStyle name="Millares 5 2 5 5" xfId="52860"/>
    <cellStyle name="Millares 5 2 5 6" xfId="30035"/>
    <cellStyle name="Millares 5 2 6" xfId="2947"/>
    <cellStyle name="Millares 5 2 6 2" xfId="6060"/>
    <cellStyle name="Millares 5 2 6 2 2" xfId="12263"/>
    <cellStyle name="Millares 5 2 6 2 2 2" xfId="46642"/>
    <cellStyle name="Millares 5 2 6 2 3" xfId="18465"/>
    <cellStyle name="Millares 5 2 6 2 3 2" xfId="57291"/>
    <cellStyle name="Millares 5 2 6 2 4" xfId="30040"/>
    <cellStyle name="Millares 5 2 6 3" xfId="9163"/>
    <cellStyle name="Millares 5 2 6 3 2" xfId="46641"/>
    <cellStyle name="Millares 5 2 6 4" xfId="15365"/>
    <cellStyle name="Millares 5 2 6 4 2" xfId="54401"/>
    <cellStyle name="Millares 5 2 6 5" xfId="30039"/>
    <cellStyle name="Millares 5 2 7" xfId="3988"/>
    <cellStyle name="Millares 5 2 7 2" xfId="10192"/>
    <cellStyle name="Millares 5 2 7 2 2" xfId="46643"/>
    <cellStyle name="Millares 5 2 7 3" xfId="16394"/>
    <cellStyle name="Millares 5 2 7 4" xfId="30041"/>
    <cellStyle name="Millares 5 2 8" xfId="7091"/>
    <cellStyle name="Millares 5 2 8 2" xfId="18916"/>
    <cellStyle name="Millares 5 2 8 3" xfId="46621"/>
    <cellStyle name="Millares 5 2 9" xfId="13293"/>
    <cellStyle name="Millares 5 2_Plan by Lob" xfId="30042"/>
    <cellStyle name="Millares 5 20" xfId="30043"/>
    <cellStyle name="Millares 5 21" xfId="29997"/>
    <cellStyle name="Millares 5 22" xfId="19952"/>
    <cellStyle name="Millares 5 3" xfId="762"/>
    <cellStyle name="Millares 5 3 10" xfId="52013"/>
    <cellStyle name="Millares 5 3 11" xfId="30044"/>
    <cellStyle name="Millares 5 3 2" xfId="763"/>
    <cellStyle name="Millares 5 3 2 2" xfId="764"/>
    <cellStyle name="Millares 5 3 2 2 2" xfId="765"/>
    <cellStyle name="Millares 5 3 2 2 2 2" xfId="2272"/>
    <cellStyle name="Millares 5 3 2 2 2 2 2" xfId="5397"/>
    <cellStyle name="Millares 5 3 2 2 2 2 2 2" xfId="11600"/>
    <cellStyle name="Millares 5 3 2 2 2 2 2 3" xfId="17802"/>
    <cellStyle name="Millares 5 3 2 2 2 2 2 4" xfId="56633"/>
    <cellStyle name="Millares 5 3 2 2 2 2 3" xfId="8500"/>
    <cellStyle name="Millares 5 3 2 2 2 2 4" xfId="14702"/>
    <cellStyle name="Millares 5 3 2 2 2 2 5" xfId="53737"/>
    <cellStyle name="Millares 5 3 2 2 2 3" xfId="2958"/>
    <cellStyle name="Millares 5 3 2 2 2 3 2" xfId="6071"/>
    <cellStyle name="Millares 5 3 2 2 2 3 2 2" xfId="12274"/>
    <cellStyle name="Millares 5 3 2 2 2 3 2 3" xfId="18476"/>
    <cellStyle name="Millares 5 3 2 2 2 3 2 4" xfId="57302"/>
    <cellStyle name="Millares 5 3 2 2 2 3 3" xfId="9174"/>
    <cellStyle name="Millares 5 3 2 2 2 3 4" xfId="15376"/>
    <cellStyle name="Millares 5 3 2 2 2 3 5" xfId="54412"/>
    <cellStyle name="Millares 5 3 2 2 2 4" xfId="3999"/>
    <cellStyle name="Millares 5 3 2 2 2 4 2" xfId="10203"/>
    <cellStyle name="Millares 5 3 2 2 2 4 3" xfId="16405"/>
    <cellStyle name="Millares 5 3 2 2 2 4 4" xfId="55369"/>
    <cellStyle name="Millares 5 3 2 2 2 5" xfId="7102"/>
    <cellStyle name="Millares 5 3 2 2 2 5 2" xfId="19873"/>
    <cellStyle name="Millares 5 3 2 2 2 6" xfId="13304"/>
    <cellStyle name="Millares 5 3 2 2 2 7" xfId="52590"/>
    <cellStyle name="Millares 5 3 2 2 3" xfId="1748"/>
    <cellStyle name="Millares 5 3 2 2 3 2" xfId="4873"/>
    <cellStyle name="Millares 5 3 2 2 3 2 2" xfId="11076"/>
    <cellStyle name="Millares 5 3 2 2 3 2 3" xfId="17278"/>
    <cellStyle name="Millares 5 3 2 2 3 2 4" xfId="56144"/>
    <cellStyle name="Millares 5 3 2 2 3 3" xfId="7976"/>
    <cellStyle name="Millares 5 3 2 2 3 4" xfId="14178"/>
    <cellStyle name="Millares 5 3 2 2 3 5" xfId="53252"/>
    <cellStyle name="Millares 5 3 2 2 4" xfId="2957"/>
    <cellStyle name="Millares 5 3 2 2 4 2" xfId="6070"/>
    <cellStyle name="Millares 5 3 2 2 4 2 2" xfId="12273"/>
    <cellStyle name="Millares 5 3 2 2 4 2 3" xfId="18475"/>
    <cellStyle name="Millares 5 3 2 2 4 2 4" xfId="57301"/>
    <cellStyle name="Millares 5 3 2 2 4 3" xfId="9173"/>
    <cellStyle name="Millares 5 3 2 2 4 4" xfId="15375"/>
    <cellStyle name="Millares 5 3 2 2 4 5" xfId="54411"/>
    <cellStyle name="Millares 5 3 2 2 5" xfId="3998"/>
    <cellStyle name="Millares 5 3 2 2 5 2" xfId="10202"/>
    <cellStyle name="Millares 5 3 2 2 5 3" xfId="16404"/>
    <cellStyle name="Millares 5 3 2 2 5 4" xfId="55368"/>
    <cellStyle name="Millares 5 3 2 2 6" xfId="7101"/>
    <cellStyle name="Millares 5 3 2 2 6 2" xfId="19349"/>
    <cellStyle name="Millares 5 3 2 2 6 3" xfId="52589"/>
    <cellStyle name="Millares 5 3 2 2 7" xfId="13303"/>
    <cellStyle name="Millares 5 3 2 2 8" xfId="46645"/>
    <cellStyle name="Millares 5 3 2 3" xfId="766"/>
    <cellStyle name="Millares 5 3 2 3 2" xfId="2027"/>
    <cellStyle name="Millares 5 3 2 3 2 2" xfId="5152"/>
    <cellStyle name="Millares 5 3 2 3 2 2 2" xfId="11355"/>
    <cellStyle name="Millares 5 3 2 3 2 2 3" xfId="17557"/>
    <cellStyle name="Millares 5 3 2 3 2 2 4" xfId="56406"/>
    <cellStyle name="Millares 5 3 2 3 2 3" xfId="8255"/>
    <cellStyle name="Millares 5 3 2 3 2 4" xfId="14457"/>
    <cellStyle name="Millares 5 3 2 3 2 5" xfId="53511"/>
    <cellStyle name="Millares 5 3 2 3 3" xfId="2959"/>
    <cellStyle name="Millares 5 3 2 3 3 2" xfId="6072"/>
    <cellStyle name="Millares 5 3 2 3 3 2 2" xfId="12275"/>
    <cellStyle name="Millares 5 3 2 3 3 2 3" xfId="18477"/>
    <cellStyle name="Millares 5 3 2 3 3 2 4" xfId="57303"/>
    <cellStyle name="Millares 5 3 2 3 3 3" xfId="9175"/>
    <cellStyle name="Millares 5 3 2 3 3 4" xfId="15377"/>
    <cellStyle name="Millares 5 3 2 3 3 5" xfId="54413"/>
    <cellStyle name="Millares 5 3 2 3 4" xfId="4000"/>
    <cellStyle name="Millares 5 3 2 3 4 2" xfId="10204"/>
    <cellStyle name="Millares 5 3 2 3 4 3" xfId="16406"/>
    <cellStyle name="Millares 5 3 2 3 4 4" xfId="55370"/>
    <cellStyle name="Millares 5 3 2 3 5" xfId="7103"/>
    <cellStyle name="Millares 5 3 2 3 5 2" xfId="19628"/>
    <cellStyle name="Millares 5 3 2 3 6" xfId="13305"/>
    <cellStyle name="Millares 5 3 2 3 7" xfId="52145"/>
    <cellStyle name="Millares 5 3 2 4" xfId="1503"/>
    <cellStyle name="Millares 5 3 2 4 2" xfId="4628"/>
    <cellStyle name="Millares 5 3 2 4 2 2" xfId="10831"/>
    <cellStyle name="Millares 5 3 2 4 2 3" xfId="17033"/>
    <cellStyle name="Millares 5 3 2 4 2 4" xfId="55911"/>
    <cellStyle name="Millares 5 3 2 4 3" xfId="7731"/>
    <cellStyle name="Millares 5 3 2 4 4" xfId="13933"/>
    <cellStyle name="Millares 5 3 2 4 5" xfId="53027"/>
    <cellStyle name="Millares 5 3 2 5" xfId="2956"/>
    <cellStyle name="Millares 5 3 2 5 2" xfId="6069"/>
    <cellStyle name="Millares 5 3 2 5 2 2" xfId="12272"/>
    <cellStyle name="Millares 5 3 2 5 2 3" xfId="18474"/>
    <cellStyle name="Millares 5 3 2 5 2 4" xfId="57300"/>
    <cellStyle name="Millares 5 3 2 5 3" xfId="9172"/>
    <cellStyle name="Millares 5 3 2 5 4" xfId="15374"/>
    <cellStyle name="Millares 5 3 2 5 5" xfId="54410"/>
    <cellStyle name="Millares 5 3 2 6" xfId="3997"/>
    <cellStyle name="Millares 5 3 2 6 2" xfId="10201"/>
    <cellStyle name="Millares 5 3 2 6 3" xfId="16403"/>
    <cellStyle name="Millares 5 3 2 6 4" xfId="55367"/>
    <cellStyle name="Millares 5 3 2 7" xfId="7100"/>
    <cellStyle name="Millares 5 3 2 7 2" xfId="19104"/>
    <cellStyle name="Millares 5 3 2 8" xfId="13302"/>
    <cellStyle name="Millares 5 3 2 9" xfId="30045"/>
    <cellStyle name="Millares 5 3 3" xfId="767"/>
    <cellStyle name="Millares 5 3 3 2" xfId="768"/>
    <cellStyle name="Millares 5 3 3 2 2" xfId="2144"/>
    <cellStyle name="Millares 5 3 3 2 2 2" xfId="5269"/>
    <cellStyle name="Millares 5 3 3 2 2 2 2" xfId="11472"/>
    <cellStyle name="Millares 5 3 3 2 2 2 3" xfId="17674"/>
    <cellStyle name="Millares 5 3 3 2 2 2 4" xfId="56514"/>
    <cellStyle name="Millares 5 3 3 2 2 3" xfId="8372"/>
    <cellStyle name="Millares 5 3 3 2 2 4" xfId="14574"/>
    <cellStyle name="Millares 5 3 3 2 2 5" xfId="53618"/>
    <cellStyle name="Millares 5 3 3 2 3" xfId="2961"/>
    <cellStyle name="Millares 5 3 3 2 3 2" xfId="6074"/>
    <cellStyle name="Millares 5 3 3 2 3 2 2" xfId="12277"/>
    <cellStyle name="Millares 5 3 3 2 3 2 3" xfId="18479"/>
    <cellStyle name="Millares 5 3 3 2 3 2 4" xfId="57305"/>
    <cellStyle name="Millares 5 3 3 2 3 3" xfId="9177"/>
    <cellStyle name="Millares 5 3 3 2 3 4" xfId="15379"/>
    <cellStyle name="Millares 5 3 3 2 3 5" xfId="54415"/>
    <cellStyle name="Millares 5 3 3 2 4" xfId="4002"/>
    <cellStyle name="Millares 5 3 3 2 4 2" xfId="10206"/>
    <cellStyle name="Millares 5 3 3 2 4 3" xfId="16408"/>
    <cellStyle name="Millares 5 3 3 2 4 4" xfId="55372"/>
    <cellStyle name="Millares 5 3 3 2 5" xfId="7105"/>
    <cellStyle name="Millares 5 3 3 2 5 2" xfId="19745"/>
    <cellStyle name="Millares 5 3 3 2 5 3" xfId="52592"/>
    <cellStyle name="Millares 5 3 3 2 6" xfId="13307"/>
    <cellStyle name="Millares 5 3 3 2 7" xfId="46646"/>
    <cellStyle name="Millares 5 3 3 3" xfId="1620"/>
    <cellStyle name="Millares 5 3 3 3 2" xfId="4745"/>
    <cellStyle name="Millares 5 3 3 3 2 2" xfId="10948"/>
    <cellStyle name="Millares 5 3 3 3 2 3" xfId="17150"/>
    <cellStyle name="Millares 5 3 3 3 2 4" xfId="56022"/>
    <cellStyle name="Millares 5 3 3 3 3" xfId="7848"/>
    <cellStyle name="Millares 5 3 3 3 4" xfId="14050"/>
    <cellStyle name="Millares 5 3 3 3 5" xfId="53133"/>
    <cellStyle name="Millares 5 3 3 4" xfId="2960"/>
    <cellStyle name="Millares 5 3 3 4 2" xfId="6073"/>
    <cellStyle name="Millares 5 3 3 4 2 2" xfId="12276"/>
    <cellStyle name="Millares 5 3 3 4 2 3" xfId="18478"/>
    <cellStyle name="Millares 5 3 3 4 2 4" xfId="57304"/>
    <cellStyle name="Millares 5 3 3 4 3" xfId="9176"/>
    <cellStyle name="Millares 5 3 3 4 4" xfId="15378"/>
    <cellStyle name="Millares 5 3 3 4 5" xfId="54414"/>
    <cellStyle name="Millares 5 3 3 5" xfId="4001"/>
    <cellStyle name="Millares 5 3 3 5 2" xfId="10205"/>
    <cellStyle name="Millares 5 3 3 5 3" xfId="16407"/>
    <cellStyle name="Millares 5 3 3 5 4" xfId="55371"/>
    <cellStyle name="Millares 5 3 3 6" xfId="7104"/>
    <cellStyle name="Millares 5 3 3 6 2" xfId="19221"/>
    <cellStyle name="Millares 5 3 3 6 3" xfId="52591"/>
    <cellStyle name="Millares 5 3 3 7" xfId="13306"/>
    <cellStyle name="Millares 5 3 3 8" xfId="30046"/>
    <cellStyle name="Millares 5 3 4" xfId="769"/>
    <cellStyle name="Millares 5 3 4 2" xfId="1885"/>
    <cellStyle name="Millares 5 3 4 2 2" xfId="5010"/>
    <cellStyle name="Millares 5 3 4 2 2 2" xfId="11213"/>
    <cellStyle name="Millares 5 3 4 2 2 3" xfId="17415"/>
    <cellStyle name="Millares 5 3 4 2 2 4" xfId="56272"/>
    <cellStyle name="Millares 5 3 4 2 3" xfId="8113"/>
    <cellStyle name="Millares 5 3 4 2 3 2" xfId="53378"/>
    <cellStyle name="Millares 5 3 4 2 4" xfId="14315"/>
    <cellStyle name="Millares 5 3 4 2 5" xfId="46647"/>
    <cellStyle name="Millares 5 3 4 3" xfId="2962"/>
    <cellStyle name="Millares 5 3 4 3 2" xfId="6075"/>
    <cellStyle name="Millares 5 3 4 3 2 2" xfId="12278"/>
    <cellStyle name="Millares 5 3 4 3 2 3" xfId="18480"/>
    <cellStyle name="Millares 5 3 4 3 2 4" xfId="57306"/>
    <cellStyle name="Millares 5 3 4 3 3" xfId="9178"/>
    <cellStyle name="Millares 5 3 4 3 4" xfId="15380"/>
    <cellStyle name="Millares 5 3 4 3 5" xfId="54416"/>
    <cellStyle name="Millares 5 3 4 4" xfId="4003"/>
    <cellStyle name="Millares 5 3 4 4 2" xfId="10207"/>
    <cellStyle name="Millares 5 3 4 4 3" xfId="16409"/>
    <cellStyle name="Millares 5 3 4 4 4" xfId="55373"/>
    <cellStyle name="Millares 5 3 4 5" xfId="7106"/>
    <cellStyle name="Millares 5 3 4 5 2" xfId="19486"/>
    <cellStyle name="Millares 5 3 4 5 3" xfId="52593"/>
    <cellStyle name="Millares 5 3 4 6" xfId="13308"/>
    <cellStyle name="Millares 5 3 4 7" xfId="30047"/>
    <cellStyle name="Millares 5 3 5" xfId="1361"/>
    <cellStyle name="Millares 5 3 5 2" xfId="4486"/>
    <cellStyle name="Millares 5 3 5 2 2" xfId="10689"/>
    <cellStyle name="Millares 5 3 5 2 2 2" xfId="46650"/>
    <cellStyle name="Millares 5 3 5 2 2 3" xfId="30050"/>
    <cellStyle name="Millares 5 3 5 2 3" xfId="16891"/>
    <cellStyle name="Millares 5 3 5 2 3 2" xfId="46649"/>
    <cellStyle name="Millares 5 3 5 2 4" xfId="55776"/>
    <cellStyle name="Millares 5 3 5 2 5" xfId="30049"/>
    <cellStyle name="Millares 5 3 5 3" xfId="7589"/>
    <cellStyle name="Millares 5 3 5 3 2" xfId="46651"/>
    <cellStyle name="Millares 5 3 5 3 3" xfId="30051"/>
    <cellStyle name="Millares 5 3 5 4" xfId="13791"/>
    <cellStyle name="Millares 5 3 5 4 2" xfId="46648"/>
    <cellStyle name="Millares 5 3 5 5" xfId="52901"/>
    <cellStyle name="Millares 5 3 5 6" xfId="30048"/>
    <cellStyle name="Millares 5 3 6" xfId="2955"/>
    <cellStyle name="Millares 5 3 6 2" xfId="6068"/>
    <cellStyle name="Millares 5 3 6 2 2" xfId="12271"/>
    <cellStyle name="Millares 5 3 6 2 2 2" xfId="57299"/>
    <cellStyle name="Millares 5 3 6 2 3" xfId="18473"/>
    <cellStyle name="Millares 5 3 6 2 4" xfId="46652"/>
    <cellStyle name="Millares 5 3 6 3" xfId="9171"/>
    <cellStyle name="Millares 5 3 6 3 2" xfId="54409"/>
    <cellStyle name="Millares 5 3 6 4" xfId="15373"/>
    <cellStyle name="Millares 5 3 6 5" xfId="30052"/>
    <cellStyle name="Millares 5 3 7" xfId="3996"/>
    <cellStyle name="Millares 5 3 7 2" xfId="10200"/>
    <cellStyle name="Millares 5 3 7 2 2" xfId="46653"/>
    <cellStyle name="Millares 5 3 7 3" xfId="16402"/>
    <cellStyle name="Millares 5 3 7 3 2" xfId="55366"/>
    <cellStyle name="Millares 5 3 7 4" xfId="30053"/>
    <cellStyle name="Millares 5 3 8" xfId="7099"/>
    <cellStyle name="Millares 5 3 8 2" xfId="18962"/>
    <cellStyle name="Millares 5 3 8 2 2" xfId="46654"/>
    <cellStyle name="Millares 5 3 8 3" xfId="30054"/>
    <cellStyle name="Millares 5 3 9" xfId="13301"/>
    <cellStyle name="Millares 5 3 9 2" xfId="46644"/>
    <cellStyle name="Millares 5 4" xfId="770"/>
    <cellStyle name="Millares 5 4 10" xfId="52594"/>
    <cellStyle name="Millares 5 4 11" xfId="30055"/>
    <cellStyle name="Millares 5 4 2" xfId="771"/>
    <cellStyle name="Millares 5 4 2 2" xfId="772"/>
    <cellStyle name="Millares 5 4 2 2 2" xfId="2294"/>
    <cellStyle name="Millares 5 4 2 2 2 2" xfId="5419"/>
    <cellStyle name="Millares 5 4 2 2 2 2 2" xfId="11622"/>
    <cellStyle name="Millares 5 4 2 2 2 2 3" xfId="17824"/>
    <cellStyle name="Millares 5 4 2 2 2 2 4" xfId="56653"/>
    <cellStyle name="Millares 5 4 2 2 2 3" xfId="8522"/>
    <cellStyle name="Millares 5 4 2 2 2 4" xfId="14724"/>
    <cellStyle name="Millares 5 4 2 2 2 5" xfId="53757"/>
    <cellStyle name="Millares 5 4 2 2 3" xfId="2965"/>
    <cellStyle name="Millares 5 4 2 2 3 2" xfId="6078"/>
    <cellStyle name="Millares 5 4 2 2 3 2 2" xfId="12281"/>
    <cellStyle name="Millares 5 4 2 2 3 2 3" xfId="18483"/>
    <cellStyle name="Millares 5 4 2 2 3 2 4" xfId="57309"/>
    <cellStyle name="Millares 5 4 2 2 3 3" xfId="9181"/>
    <cellStyle name="Millares 5 4 2 2 3 4" xfId="15383"/>
    <cellStyle name="Millares 5 4 2 2 3 5" xfId="54419"/>
    <cellStyle name="Millares 5 4 2 2 4" xfId="4006"/>
    <cellStyle name="Millares 5 4 2 2 4 2" xfId="10210"/>
    <cellStyle name="Millares 5 4 2 2 4 3" xfId="16412"/>
    <cellStyle name="Millares 5 4 2 2 4 4" xfId="55376"/>
    <cellStyle name="Millares 5 4 2 2 5" xfId="7109"/>
    <cellStyle name="Millares 5 4 2 2 5 2" xfId="19895"/>
    <cellStyle name="Millares 5 4 2 2 5 3" xfId="52596"/>
    <cellStyle name="Millares 5 4 2 2 6" xfId="13311"/>
    <cellStyle name="Millares 5 4 2 2 7" xfId="46656"/>
    <cellStyle name="Millares 5 4 2 3" xfId="1770"/>
    <cellStyle name="Millares 5 4 2 3 2" xfId="4895"/>
    <cellStyle name="Millares 5 4 2 3 2 2" xfId="11098"/>
    <cellStyle name="Millares 5 4 2 3 2 3" xfId="17300"/>
    <cellStyle name="Millares 5 4 2 3 2 4" xfId="56165"/>
    <cellStyle name="Millares 5 4 2 3 3" xfId="7998"/>
    <cellStyle name="Millares 5 4 2 3 4" xfId="14200"/>
    <cellStyle name="Millares 5 4 2 3 5" xfId="53272"/>
    <cellStyle name="Millares 5 4 2 4" xfId="2964"/>
    <cellStyle name="Millares 5 4 2 4 2" xfId="6077"/>
    <cellStyle name="Millares 5 4 2 4 2 2" xfId="12280"/>
    <cellStyle name="Millares 5 4 2 4 2 3" xfId="18482"/>
    <cellStyle name="Millares 5 4 2 4 2 4" xfId="57308"/>
    <cellStyle name="Millares 5 4 2 4 3" xfId="9180"/>
    <cellStyle name="Millares 5 4 2 4 4" xfId="15382"/>
    <cellStyle name="Millares 5 4 2 4 5" xfId="54418"/>
    <cellStyle name="Millares 5 4 2 5" xfId="4005"/>
    <cellStyle name="Millares 5 4 2 5 2" xfId="10209"/>
    <cellStyle name="Millares 5 4 2 5 3" xfId="16411"/>
    <cellStyle name="Millares 5 4 2 5 4" xfId="55375"/>
    <cellStyle name="Millares 5 4 2 6" xfId="7108"/>
    <cellStyle name="Millares 5 4 2 6 2" xfId="19371"/>
    <cellStyle name="Millares 5 4 2 6 3" xfId="52595"/>
    <cellStyle name="Millares 5 4 2 7" xfId="13310"/>
    <cellStyle name="Millares 5 4 2 8" xfId="30056"/>
    <cellStyle name="Millares 5 4 3" xfId="773"/>
    <cellStyle name="Millares 5 4 3 2" xfId="1907"/>
    <cellStyle name="Millares 5 4 3 2 2" xfId="5032"/>
    <cellStyle name="Millares 5 4 3 2 2 2" xfId="11235"/>
    <cellStyle name="Millares 5 4 3 2 2 3" xfId="17437"/>
    <cellStyle name="Millares 5 4 3 2 2 4" xfId="56293"/>
    <cellStyle name="Millares 5 4 3 2 3" xfId="8135"/>
    <cellStyle name="Millares 5 4 3 2 3 2" xfId="53399"/>
    <cellStyle name="Millares 5 4 3 2 4" xfId="14337"/>
    <cellStyle name="Millares 5 4 3 2 5" xfId="46657"/>
    <cellStyle name="Millares 5 4 3 3" xfId="2966"/>
    <cellStyle name="Millares 5 4 3 3 2" xfId="6079"/>
    <cellStyle name="Millares 5 4 3 3 2 2" xfId="12282"/>
    <cellStyle name="Millares 5 4 3 3 2 3" xfId="18484"/>
    <cellStyle name="Millares 5 4 3 3 2 4" xfId="57310"/>
    <cellStyle name="Millares 5 4 3 3 3" xfId="9182"/>
    <cellStyle name="Millares 5 4 3 3 4" xfId="15384"/>
    <cellStyle name="Millares 5 4 3 3 5" xfId="54420"/>
    <cellStyle name="Millares 5 4 3 4" xfId="4007"/>
    <cellStyle name="Millares 5 4 3 4 2" xfId="10211"/>
    <cellStyle name="Millares 5 4 3 4 3" xfId="16413"/>
    <cellStyle name="Millares 5 4 3 4 4" xfId="55377"/>
    <cellStyle name="Millares 5 4 3 5" xfId="7110"/>
    <cellStyle name="Millares 5 4 3 5 2" xfId="19508"/>
    <cellStyle name="Millares 5 4 3 5 3" xfId="52597"/>
    <cellStyle name="Millares 5 4 3 6" xfId="13312"/>
    <cellStyle name="Millares 5 4 3 7" xfId="30057"/>
    <cellStyle name="Millares 5 4 4" xfId="1383"/>
    <cellStyle name="Millares 5 4 4 2" xfId="4508"/>
    <cellStyle name="Millares 5 4 4 2 2" xfId="10711"/>
    <cellStyle name="Millares 5 4 4 2 2 2" xfId="55797"/>
    <cellStyle name="Millares 5 4 4 2 3" xfId="16913"/>
    <cellStyle name="Millares 5 4 4 2 4" xfId="46658"/>
    <cellStyle name="Millares 5 4 4 3" xfId="7611"/>
    <cellStyle name="Millares 5 4 4 3 2" xfId="52921"/>
    <cellStyle name="Millares 5 4 4 4" xfId="13813"/>
    <cellStyle name="Millares 5 4 4 5" xfId="30058"/>
    <cellStyle name="Millares 5 4 5" xfId="2963"/>
    <cellStyle name="Millares 5 4 5 2" xfId="6076"/>
    <cellStyle name="Millares 5 4 5 2 2" xfId="12279"/>
    <cellStyle name="Millares 5 4 5 2 2 2" xfId="57307"/>
    <cellStyle name="Millares 5 4 5 2 3" xfId="18481"/>
    <cellStyle name="Millares 5 4 5 2 4" xfId="46659"/>
    <cellStyle name="Millares 5 4 5 3" xfId="9179"/>
    <cellStyle name="Millares 5 4 5 3 2" xfId="54417"/>
    <cellStyle name="Millares 5 4 5 4" xfId="15381"/>
    <cellStyle name="Millares 5 4 5 5" xfId="30059"/>
    <cellStyle name="Millares 5 4 6" xfId="4004"/>
    <cellStyle name="Millares 5 4 6 2" xfId="10208"/>
    <cellStyle name="Millares 5 4 6 2 2" xfId="46660"/>
    <cellStyle name="Millares 5 4 6 3" xfId="16410"/>
    <cellStyle name="Millares 5 4 6 3 2" xfId="55374"/>
    <cellStyle name="Millares 5 4 6 4" xfId="30060"/>
    <cellStyle name="Millares 5 4 7" xfId="7107"/>
    <cellStyle name="Millares 5 4 7 2" xfId="18984"/>
    <cellStyle name="Millares 5 4 7 2 2" xfId="46661"/>
    <cellStyle name="Millares 5 4 7 3" xfId="30061"/>
    <cellStyle name="Millares 5 4 8" xfId="13309"/>
    <cellStyle name="Millares 5 4 8 2" xfId="46655"/>
    <cellStyle name="Millares 5 4 9" xfId="52034"/>
    <cellStyle name="Millares 5 5" xfId="774"/>
    <cellStyle name="Millares 5 5 10" xfId="30062"/>
    <cellStyle name="Millares 5 5 2" xfId="775"/>
    <cellStyle name="Millares 5 5 2 2" xfId="776"/>
    <cellStyle name="Millares 5 5 2 2 2" xfId="2204"/>
    <cellStyle name="Millares 5 5 2 2 2 2" xfId="5329"/>
    <cellStyle name="Millares 5 5 2 2 2 2 2" xfId="11532"/>
    <cellStyle name="Millares 5 5 2 2 2 2 3" xfId="17734"/>
    <cellStyle name="Millares 5 5 2 2 2 2 4" xfId="56570"/>
    <cellStyle name="Millares 5 5 2 2 2 3" xfId="8432"/>
    <cellStyle name="Millares 5 5 2 2 2 4" xfId="14634"/>
    <cellStyle name="Millares 5 5 2 2 2 5" xfId="53674"/>
    <cellStyle name="Millares 5 5 2 2 3" xfId="2969"/>
    <cellStyle name="Millares 5 5 2 2 3 2" xfId="6082"/>
    <cellStyle name="Millares 5 5 2 2 3 2 2" xfId="12285"/>
    <cellStyle name="Millares 5 5 2 2 3 2 3" xfId="18487"/>
    <cellStyle name="Millares 5 5 2 2 3 2 4" xfId="57313"/>
    <cellStyle name="Millares 5 5 2 2 3 3" xfId="9185"/>
    <cellStyle name="Millares 5 5 2 2 3 4" xfId="15387"/>
    <cellStyle name="Millares 5 5 2 2 3 5" xfId="54423"/>
    <cellStyle name="Millares 5 5 2 2 4" xfId="4010"/>
    <cellStyle name="Millares 5 5 2 2 4 2" xfId="10214"/>
    <cellStyle name="Millares 5 5 2 2 4 3" xfId="16416"/>
    <cellStyle name="Millares 5 5 2 2 4 4" xfId="55380"/>
    <cellStyle name="Millares 5 5 2 2 5" xfId="7113"/>
    <cellStyle name="Millares 5 5 2 2 5 2" xfId="19805"/>
    <cellStyle name="Millares 5 5 2 2 5 3" xfId="52599"/>
    <cellStyle name="Millares 5 5 2 2 6" xfId="13315"/>
    <cellStyle name="Millares 5 5 2 2 7" xfId="46663"/>
    <cellStyle name="Millares 5 5 2 3" xfId="1680"/>
    <cellStyle name="Millares 5 5 2 3 2" xfId="4805"/>
    <cellStyle name="Millares 5 5 2 3 2 2" xfId="11008"/>
    <cellStyle name="Millares 5 5 2 3 2 3" xfId="17210"/>
    <cellStyle name="Millares 5 5 2 3 2 4" xfId="56079"/>
    <cellStyle name="Millares 5 5 2 3 3" xfId="7908"/>
    <cellStyle name="Millares 5 5 2 3 4" xfId="14110"/>
    <cellStyle name="Millares 5 5 2 3 5" xfId="53189"/>
    <cellStyle name="Millares 5 5 2 4" xfId="2968"/>
    <cellStyle name="Millares 5 5 2 4 2" xfId="6081"/>
    <cellStyle name="Millares 5 5 2 4 2 2" xfId="12284"/>
    <cellStyle name="Millares 5 5 2 4 2 3" xfId="18486"/>
    <cellStyle name="Millares 5 5 2 4 2 4" xfId="57312"/>
    <cellStyle name="Millares 5 5 2 4 3" xfId="9184"/>
    <cellStyle name="Millares 5 5 2 4 4" xfId="15386"/>
    <cellStyle name="Millares 5 5 2 4 5" xfId="54422"/>
    <cellStyle name="Millares 5 5 2 5" xfId="4009"/>
    <cellStyle name="Millares 5 5 2 5 2" xfId="10213"/>
    <cellStyle name="Millares 5 5 2 5 3" xfId="16415"/>
    <cellStyle name="Millares 5 5 2 5 4" xfId="55379"/>
    <cellStyle name="Millares 5 5 2 6" xfId="7112"/>
    <cellStyle name="Millares 5 5 2 6 2" xfId="19281"/>
    <cellStyle name="Millares 5 5 2 6 3" xfId="52598"/>
    <cellStyle name="Millares 5 5 2 7" xfId="13314"/>
    <cellStyle name="Millares 5 5 2 8" xfId="30063"/>
    <cellStyle name="Millares 5 5 3" xfId="777"/>
    <cellStyle name="Millares 5 5 3 2" xfId="1959"/>
    <cellStyle name="Millares 5 5 3 2 2" xfId="5084"/>
    <cellStyle name="Millares 5 5 3 2 2 2" xfId="11287"/>
    <cellStyle name="Millares 5 5 3 2 2 3" xfId="17489"/>
    <cellStyle name="Millares 5 5 3 2 2 4" xfId="56343"/>
    <cellStyle name="Millares 5 5 3 2 3" xfId="8187"/>
    <cellStyle name="Millares 5 5 3 2 3 2" xfId="53449"/>
    <cellStyle name="Millares 5 5 3 2 4" xfId="14389"/>
    <cellStyle name="Millares 5 5 3 2 5" xfId="46664"/>
    <cellStyle name="Millares 5 5 3 3" xfId="2970"/>
    <cellStyle name="Millares 5 5 3 3 2" xfId="6083"/>
    <cellStyle name="Millares 5 5 3 3 2 2" xfId="12286"/>
    <cellStyle name="Millares 5 5 3 3 2 3" xfId="18488"/>
    <cellStyle name="Millares 5 5 3 3 2 4" xfId="57314"/>
    <cellStyle name="Millares 5 5 3 3 3" xfId="9186"/>
    <cellStyle name="Millares 5 5 3 3 4" xfId="15388"/>
    <cellStyle name="Millares 5 5 3 3 5" xfId="54424"/>
    <cellStyle name="Millares 5 5 3 4" xfId="4011"/>
    <cellStyle name="Millares 5 5 3 4 2" xfId="10215"/>
    <cellStyle name="Millares 5 5 3 4 3" xfId="16417"/>
    <cellStyle name="Millares 5 5 3 4 4" xfId="55381"/>
    <cellStyle name="Millares 5 5 3 5" xfId="7114"/>
    <cellStyle name="Millares 5 5 3 5 2" xfId="19560"/>
    <cellStyle name="Millares 5 5 3 5 3" xfId="52600"/>
    <cellStyle name="Millares 5 5 3 6" xfId="13316"/>
    <cellStyle name="Millares 5 5 3 7" xfId="30064"/>
    <cellStyle name="Millares 5 5 4" xfId="1435"/>
    <cellStyle name="Millares 5 5 4 2" xfId="4560"/>
    <cellStyle name="Millares 5 5 4 2 2" xfId="10763"/>
    <cellStyle name="Millares 5 5 4 2 2 2" xfId="55847"/>
    <cellStyle name="Millares 5 5 4 2 3" xfId="16965"/>
    <cellStyle name="Millares 5 5 4 2 4" xfId="46665"/>
    <cellStyle name="Millares 5 5 4 3" xfId="7663"/>
    <cellStyle name="Millares 5 5 4 3 2" xfId="52965"/>
    <cellStyle name="Millares 5 5 4 4" xfId="13865"/>
    <cellStyle name="Millares 5 5 4 5" xfId="30065"/>
    <cellStyle name="Millares 5 5 5" xfId="2967"/>
    <cellStyle name="Millares 5 5 5 2" xfId="6080"/>
    <cellStyle name="Millares 5 5 5 2 2" xfId="12283"/>
    <cellStyle name="Millares 5 5 5 2 2 2" xfId="57311"/>
    <cellStyle name="Millares 5 5 5 2 3" xfId="18485"/>
    <cellStyle name="Millares 5 5 5 2 4" xfId="46666"/>
    <cellStyle name="Millares 5 5 5 3" xfId="9183"/>
    <cellStyle name="Millares 5 5 5 3 2" xfId="54421"/>
    <cellStyle name="Millares 5 5 5 4" xfId="15385"/>
    <cellStyle name="Millares 5 5 5 5" xfId="30066"/>
    <cellStyle name="Millares 5 5 6" xfId="4008"/>
    <cellStyle name="Millares 5 5 6 2" xfId="10212"/>
    <cellStyle name="Millares 5 5 6 2 2" xfId="46667"/>
    <cellStyle name="Millares 5 5 6 3" xfId="16414"/>
    <cellStyle name="Millares 5 5 6 3 2" xfId="55378"/>
    <cellStyle name="Millares 5 5 6 4" xfId="30067"/>
    <cellStyle name="Millares 5 5 7" xfId="7111"/>
    <cellStyle name="Millares 5 5 7 2" xfId="19036"/>
    <cellStyle name="Millares 5 5 7 2 2" xfId="46668"/>
    <cellStyle name="Millares 5 5 7 3" xfId="30068"/>
    <cellStyle name="Millares 5 5 8" xfId="13313"/>
    <cellStyle name="Millares 5 5 8 2" xfId="46662"/>
    <cellStyle name="Millares 5 5 9" xfId="52082"/>
    <cellStyle name="Millares 5 6" xfId="778"/>
    <cellStyle name="Millares 5 6 10" xfId="30069"/>
    <cellStyle name="Millares 5 6 2" xfId="779"/>
    <cellStyle name="Millares 5 6 2 2" xfId="2088"/>
    <cellStyle name="Millares 5 6 2 2 2" xfId="5213"/>
    <cellStyle name="Millares 5 6 2 2 2 2" xfId="11416"/>
    <cellStyle name="Millares 5 6 2 2 2 3" xfId="17618"/>
    <cellStyle name="Millares 5 6 2 2 2 4" xfId="56462"/>
    <cellStyle name="Millares 5 6 2 2 3" xfId="8316"/>
    <cellStyle name="Millares 5 6 2 2 3 2" xfId="53566"/>
    <cellStyle name="Millares 5 6 2 2 4" xfId="14518"/>
    <cellStyle name="Millares 5 6 2 2 5" xfId="46670"/>
    <cellStyle name="Millares 5 6 2 3" xfId="2972"/>
    <cellStyle name="Millares 5 6 2 3 2" xfId="6085"/>
    <cellStyle name="Millares 5 6 2 3 2 2" xfId="12288"/>
    <cellStyle name="Millares 5 6 2 3 2 3" xfId="18490"/>
    <cellStyle name="Millares 5 6 2 3 2 4" xfId="57316"/>
    <cellStyle name="Millares 5 6 2 3 3" xfId="9188"/>
    <cellStyle name="Millares 5 6 2 3 4" xfId="15390"/>
    <cellStyle name="Millares 5 6 2 3 5" xfId="54426"/>
    <cellStyle name="Millares 5 6 2 4" xfId="4013"/>
    <cellStyle name="Millares 5 6 2 4 2" xfId="10217"/>
    <cellStyle name="Millares 5 6 2 4 3" xfId="16419"/>
    <cellStyle name="Millares 5 6 2 4 4" xfId="55383"/>
    <cellStyle name="Millares 5 6 2 5" xfId="7116"/>
    <cellStyle name="Millares 5 6 2 5 2" xfId="19689"/>
    <cellStyle name="Millares 5 6 2 5 3" xfId="52602"/>
    <cellStyle name="Millares 5 6 2 6" xfId="13318"/>
    <cellStyle name="Millares 5 6 2 7" xfId="30070"/>
    <cellStyle name="Millares 5 6 3" xfId="1564"/>
    <cellStyle name="Millares 5 6 3 2" xfId="4689"/>
    <cellStyle name="Millares 5 6 3 2 2" xfId="10892"/>
    <cellStyle name="Millares 5 6 3 2 2 2" xfId="55968"/>
    <cellStyle name="Millares 5 6 3 2 3" xfId="17094"/>
    <cellStyle name="Millares 5 6 3 2 4" xfId="46671"/>
    <cellStyle name="Millares 5 6 3 3" xfId="7792"/>
    <cellStyle name="Millares 5 6 3 3 2" xfId="53081"/>
    <cellStyle name="Millares 5 6 3 4" xfId="13994"/>
    <cellStyle name="Millares 5 6 3 5" xfId="30071"/>
    <cellStyle name="Millares 5 6 4" xfId="2971"/>
    <cellStyle name="Millares 5 6 4 2" xfId="6084"/>
    <cellStyle name="Millares 5 6 4 2 2" xfId="12287"/>
    <cellStyle name="Millares 5 6 4 2 2 2" xfId="57315"/>
    <cellStyle name="Millares 5 6 4 2 3" xfId="18489"/>
    <cellStyle name="Millares 5 6 4 2 4" xfId="46672"/>
    <cellStyle name="Millares 5 6 4 3" xfId="9187"/>
    <cellStyle name="Millares 5 6 4 3 2" xfId="54425"/>
    <cellStyle name="Millares 5 6 4 4" xfId="15389"/>
    <cellStyle name="Millares 5 6 4 5" xfId="30072"/>
    <cellStyle name="Millares 5 6 5" xfId="4012"/>
    <cellStyle name="Millares 5 6 5 2" xfId="10216"/>
    <cellStyle name="Millares 5 6 5 2 2" xfId="46673"/>
    <cellStyle name="Millares 5 6 5 3" xfId="16418"/>
    <cellStyle name="Millares 5 6 5 3 2" xfId="55382"/>
    <cellStyle name="Millares 5 6 5 4" xfId="30073"/>
    <cellStyle name="Millares 5 6 6" xfId="7115"/>
    <cellStyle name="Millares 5 6 6 2" xfId="19165"/>
    <cellStyle name="Millares 5 6 6 2 2" xfId="46674"/>
    <cellStyle name="Millares 5 6 6 3" xfId="30074"/>
    <cellStyle name="Millares 5 6 7" xfId="13317"/>
    <cellStyle name="Millares 5 6 7 2" xfId="46675"/>
    <cellStyle name="Millares 5 6 7 3" xfId="30075"/>
    <cellStyle name="Millares 5 6 8" xfId="46669"/>
    <cellStyle name="Millares 5 6 9" xfId="52601"/>
    <cellStyle name="Millares 5 7" xfId="780"/>
    <cellStyle name="Millares 5 7 10" xfId="30076"/>
    <cellStyle name="Millares 5 7 2" xfId="1818"/>
    <cellStyle name="Millares 5 7 2 2" xfId="4943"/>
    <cellStyle name="Millares 5 7 2 2 2" xfId="11146"/>
    <cellStyle name="Millares 5 7 2 2 2 2" xfId="56208"/>
    <cellStyle name="Millares 5 7 2 2 3" xfId="17348"/>
    <cellStyle name="Millares 5 7 2 2 4" xfId="46677"/>
    <cellStyle name="Millares 5 7 2 3" xfId="8046"/>
    <cellStyle name="Millares 5 7 2 3 2" xfId="53314"/>
    <cellStyle name="Millares 5 7 2 4" xfId="14248"/>
    <cellStyle name="Millares 5 7 2 5" xfId="30077"/>
    <cellStyle name="Millares 5 7 3" xfId="2973"/>
    <cellStyle name="Millares 5 7 3 2" xfId="6086"/>
    <cellStyle name="Millares 5 7 3 2 2" xfId="12289"/>
    <cellStyle name="Millares 5 7 3 2 2 2" xfId="57317"/>
    <cellStyle name="Millares 5 7 3 2 3" xfId="18491"/>
    <cellStyle name="Millares 5 7 3 2 4" xfId="46678"/>
    <cellStyle name="Millares 5 7 3 3" xfId="9189"/>
    <cellStyle name="Millares 5 7 3 3 2" xfId="54427"/>
    <cellStyle name="Millares 5 7 3 4" xfId="15391"/>
    <cellStyle name="Millares 5 7 3 5" xfId="30078"/>
    <cellStyle name="Millares 5 7 4" xfId="4014"/>
    <cellStyle name="Millares 5 7 4 2" xfId="10218"/>
    <cellStyle name="Millares 5 7 4 2 2" xfId="46679"/>
    <cellStyle name="Millares 5 7 4 3" xfId="16420"/>
    <cellStyle name="Millares 5 7 4 3 2" xfId="55384"/>
    <cellStyle name="Millares 5 7 4 4" xfId="30079"/>
    <cellStyle name="Millares 5 7 5" xfId="7117"/>
    <cellStyle name="Millares 5 7 5 2" xfId="19419"/>
    <cellStyle name="Millares 5 7 5 2 2" xfId="30082"/>
    <cellStyle name="Millares 5 7 5 2 2 2" xfId="46682"/>
    <cellStyle name="Millares 5 7 5 2 3" xfId="46681"/>
    <cellStyle name="Millares 5 7 5 2 4" xfId="30081"/>
    <cellStyle name="Millares 5 7 5 3" xfId="30083"/>
    <cellStyle name="Millares 5 7 5 3 2" xfId="46683"/>
    <cellStyle name="Millares 5 7 5 4" xfId="46680"/>
    <cellStyle name="Millares 5 7 5 5" xfId="30080"/>
    <cellStyle name="Millares 5 7 6" xfId="13319"/>
    <cellStyle name="Millares 5 7 6 2" xfId="30085"/>
    <cellStyle name="Millares 5 7 6 2 2" xfId="30086"/>
    <cellStyle name="Millares 5 7 6 2 2 2" xfId="46686"/>
    <cellStyle name="Millares 5 7 6 2 3" xfId="46685"/>
    <cellStyle name="Millares 5 7 6 3" xfId="30087"/>
    <cellStyle name="Millares 5 7 6 3 2" xfId="46687"/>
    <cellStyle name="Millares 5 7 6 4" xfId="46684"/>
    <cellStyle name="Millares 5 7 6 5" xfId="30084"/>
    <cellStyle name="Millares 5 7 7" xfId="30088"/>
    <cellStyle name="Millares 5 7 7 2" xfId="30089"/>
    <cellStyle name="Millares 5 7 7 2 2" xfId="30090"/>
    <cellStyle name="Millares 5 7 7 2 2 2" xfId="46690"/>
    <cellStyle name="Millares 5 7 7 2 3" xfId="46689"/>
    <cellStyle name="Millares 5 7 7 3" xfId="30091"/>
    <cellStyle name="Millares 5 7 7 3 2" xfId="46691"/>
    <cellStyle name="Millares 5 7 7 4" xfId="46688"/>
    <cellStyle name="Millares 5 7 8" xfId="46676"/>
    <cellStyle name="Millares 5 7 9" xfId="52603"/>
    <cellStyle name="Millares 5 8" xfId="1293"/>
    <cellStyle name="Millares 5 8 2" xfId="4418"/>
    <cellStyle name="Millares 5 8 2 2" xfId="10621"/>
    <cellStyle name="Millares 5 8 2 2 2" xfId="46693"/>
    <cellStyle name="Millares 5 8 2 3" xfId="16823"/>
    <cellStyle name="Millares 5 8 2 3 2" xfId="55711"/>
    <cellStyle name="Millares 5 8 2 4" xfId="30093"/>
    <cellStyle name="Millares 5 8 3" xfId="7521"/>
    <cellStyle name="Millares 5 8 3 2" xfId="46694"/>
    <cellStyle name="Millares 5 8 3 3" xfId="30094"/>
    <cellStyle name="Millares 5 8 4" xfId="13723"/>
    <cellStyle name="Millares 5 8 4 2" xfId="46695"/>
    <cellStyle name="Millares 5 8 4 3" xfId="30095"/>
    <cellStyle name="Millares 5 8 5" xfId="46692"/>
    <cellStyle name="Millares 5 8 6" xfId="52840"/>
    <cellStyle name="Millares 5 8 7" xfId="30092"/>
    <cellStyle name="Millares 5 9" xfId="2946"/>
    <cellStyle name="Millares 5 9 2" xfId="6059"/>
    <cellStyle name="Millares 5 9 2 2" xfId="12262"/>
    <cellStyle name="Millares 5 9 2 2 2" xfId="46697"/>
    <cellStyle name="Millares 5 9 2 3" xfId="18464"/>
    <cellStyle name="Millares 5 9 2 3 2" xfId="57290"/>
    <cellStyle name="Millares 5 9 2 4" xfId="30097"/>
    <cellStyle name="Millares 5 9 3" xfId="9162"/>
    <cellStyle name="Millares 5 9 3 2" xfId="46698"/>
    <cellStyle name="Millares 5 9 3 3" xfId="30098"/>
    <cellStyle name="Millares 5 9 4" xfId="15364"/>
    <cellStyle name="Millares 5 9 4 2" xfId="46699"/>
    <cellStyle name="Millares 5 9 4 3" xfId="30099"/>
    <cellStyle name="Millares 5 9 5" xfId="46696"/>
    <cellStyle name="Millares 5 9 6" xfId="54400"/>
    <cellStyle name="Millares 5 9 7" xfId="30096"/>
    <cellStyle name="Millares 5_2012" xfId="30100"/>
    <cellStyle name="Millares 50" xfId="30101"/>
    <cellStyle name="Millares 50 2" xfId="30102"/>
    <cellStyle name="Millares 50 2 2" xfId="30103"/>
    <cellStyle name="Millares 50 2 2 2" xfId="30104"/>
    <cellStyle name="Millares 50 2 2 2 2" xfId="46703"/>
    <cellStyle name="Millares 50 2 2 3" xfId="46702"/>
    <cellStyle name="Millares 50 2 3" xfId="30105"/>
    <cellStyle name="Millares 50 2 3 2" xfId="46704"/>
    <cellStyle name="Millares 50 2 4" xfId="46701"/>
    <cellStyle name="Millares 50 3" xfId="30106"/>
    <cellStyle name="Millares 50 3 2" xfId="30107"/>
    <cellStyle name="Millares 50 3 2 2" xfId="30108"/>
    <cellStyle name="Millares 50 3 2 2 2" xfId="46707"/>
    <cellStyle name="Millares 50 3 2 3" xfId="46706"/>
    <cellStyle name="Millares 50 3 3" xfId="30109"/>
    <cellStyle name="Millares 50 3 3 2" xfId="46708"/>
    <cellStyle name="Millares 50 3 4" xfId="46705"/>
    <cellStyle name="Millares 50 4" xfId="30110"/>
    <cellStyle name="Millares 50 4 2" xfId="46709"/>
    <cellStyle name="Millares 50 5" xfId="30111"/>
    <cellStyle name="Millares 50 5 2" xfId="46710"/>
    <cellStyle name="Millares 50 6" xfId="46700"/>
    <cellStyle name="Millares 51" xfId="30112"/>
    <cellStyle name="Millares 51 2" xfId="46711"/>
    <cellStyle name="Millares 52" xfId="30113"/>
    <cellStyle name="Millares 52 2" xfId="30114"/>
    <cellStyle name="Millares 52 2 2" xfId="30115"/>
    <cellStyle name="Millares 52 2 2 2" xfId="30116"/>
    <cellStyle name="Millares 52 2 2 2 2" xfId="46715"/>
    <cellStyle name="Millares 52 2 2 3" xfId="46714"/>
    <cellStyle name="Millares 52 2 3" xfId="30117"/>
    <cellStyle name="Millares 52 2 3 2" xfId="46716"/>
    <cellStyle name="Millares 52 2 4" xfId="46713"/>
    <cellStyle name="Millares 52 3" xfId="30118"/>
    <cellStyle name="Millares 52 3 2" xfId="30119"/>
    <cellStyle name="Millares 52 3 2 2" xfId="30120"/>
    <cellStyle name="Millares 52 3 2 2 2" xfId="46719"/>
    <cellStyle name="Millares 52 3 2 3" xfId="46718"/>
    <cellStyle name="Millares 52 3 3" xfId="30121"/>
    <cellStyle name="Millares 52 3 3 2" xfId="46720"/>
    <cellStyle name="Millares 52 3 4" xfId="46717"/>
    <cellStyle name="Millares 52 4" xfId="30122"/>
    <cellStyle name="Millares 52 4 2" xfId="46721"/>
    <cellStyle name="Millares 52 5" xfId="30123"/>
    <cellStyle name="Millares 52 5 2" xfId="46722"/>
    <cellStyle name="Millares 52 6" xfId="46712"/>
    <cellStyle name="Millares 53" xfId="30124"/>
    <cellStyle name="Millares 53 2" xfId="30125"/>
    <cellStyle name="Millares 53 2 2" xfId="30126"/>
    <cellStyle name="Millares 53 2 2 2" xfId="30127"/>
    <cellStyle name="Millares 53 2 2 2 2" xfId="46726"/>
    <cellStyle name="Millares 53 2 2 3" xfId="46725"/>
    <cellStyle name="Millares 53 2 3" xfId="30128"/>
    <cellStyle name="Millares 53 2 3 2" xfId="46727"/>
    <cellStyle name="Millares 53 2 4" xfId="46724"/>
    <cellStyle name="Millares 53 3" xfId="30129"/>
    <cellStyle name="Millares 53 3 2" xfId="30130"/>
    <cellStyle name="Millares 53 3 2 2" xfId="30131"/>
    <cellStyle name="Millares 53 3 2 2 2" xfId="46730"/>
    <cellStyle name="Millares 53 3 2 3" xfId="46729"/>
    <cellStyle name="Millares 53 3 3" xfId="30132"/>
    <cellStyle name="Millares 53 3 3 2" xfId="46731"/>
    <cellStyle name="Millares 53 3 4" xfId="46728"/>
    <cellStyle name="Millares 53 4" xfId="30133"/>
    <cellStyle name="Millares 53 4 2" xfId="46732"/>
    <cellStyle name="Millares 53 5" xfId="30134"/>
    <cellStyle name="Millares 53 5 2" xfId="46733"/>
    <cellStyle name="Millares 53 6" xfId="46723"/>
    <cellStyle name="Millares 54" xfId="30135"/>
    <cellStyle name="Millares 54 2" xfId="46734"/>
    <cellStyle name="Millares 55" xfId="30136"/>
    <cellStyle name="Millares 55 2" xfId="46735"/>
    <cellStyle name="Millares 56" xfId="30137"/>
    <cellStyle name="Millares 56 2" xfId="46736"/>
    <cellStyle name="Millares 57" xfId="30138"/>
    <cellStyle name="Millares 57 2" xfId="30139"/>
    <cellStyle name="Millares 57 2 2" xfId="30140"/>
    <cellStyle name="Millares 57 2 2 2" xfId="30141"/>
    <cellStyle name="Millares 57 2 2 2 2" xfId="46740"/>
    <cellStyle name="Millares 57 2 2 3" xfId="46739"/>
    <cellStyle name="Millares 57 2 3" xfId="30142"/>
    <cellStyle name="Millares 57 2 3 2" xfId="46741"/>
    <cellStyle name="Millares 57 2 4" xfId="46738"/>
    <cellStyle name="Millares 57 3" xfId="30143"/>
    <cellStyle name="Millares 57 3 2" xfId="30144"/>
    <cellStyle name="Millares 57 3 2 2" xfId="30145"/>
    <cellStyle name="Millares 57 3 2 2 2" xfId="46744"/>
    <cellStyle name="Millares 57 3 2 3" xfId="46743"/>
    <cellStyle name="Millares 57 3 3" xfId="30146"/>
    <cellStyle name="Millares 57 3 3 2" xfId="46745"/>
    <cellStyle name="Millares 57 3 4" xfId="46742"/>
    <cellStyle name="Millares 57 4" xfId="30147"/>
    <cellStyle name="Millares 57 4 2" xfId="46746"/>
    <cellStyle name="Millares 57 5" xfId="30148"/>
    <cellStyle name="Millares 57 5 2" xfId="46747"/>
    <cellStyle name="Millares 57 6" xfId="46737"/>
    <cellStyle name="Millares 58" xfId="30149"/>
    <cellStyle name="Millares 58 2" xfId="30150"/>
    <cellStyle name="Millares 58 2 2" xfId="30151"/>
    <cellStyle name="Millares 58 2 2 2" xfId="30152"/>
    <cellStyle name="Millares 58 2 2 2 2" xfId="46751"/>
    <cellStyle name="Millares 58 2 2 3" xfId="46750"/>
    <cellStyle name="Millares 58 2 3" xfId="30153"/>
    <cellStyle name="Millares 58 2 3 2" xfId="46752"/>
    <cellStyle name="Millares 58 2 4" xfId="46749"/>
    <cellStyle name="Millares 58 3" xfId="30154"/>
    <cellStyle name="Millares 58 3 2" xfId="30155"/>
    <cellStyle name="Millares 58 3 2 2" xfId="30156"/>
    <cellStyle name="Millares 58 3 2 2 2" xfId="46755"/>
    <cellStyle name="Millares 58 3 2 3" xfId="46754"/>
    <cellStyle name="Millares 58 3 3" xfId="30157"/>
    <cellStyle name="Millares 58 3 3 2" xfId="46756"/>
    <cellStyle name="Millares 58 3 4" xfId="46753"/>
    <cellStyle name="Millares 58 4" xfId="30158"/>
    <cellStyle name="Millares 58 4 2" xfId="46757"/>
    <cellStyle name="Millares 58 5" xfId="30159"/>
    <cellStyle name="Millares 58 5 2" xfId="46758"/>
    <cellStyle name="Millares 58 6" xfId="46748"/>
    <cellStyle name="Millares 59" xfId="30160"/>
    <cellStyle name="Millares 59 2" xfId="30161"/>
    <cellStyle name="Millares 59 2 2" xfId="30162"/>
    <cellStyle name="Millares 59 2 2 2" xfId="30163"/>
    <cellStyle name="Millares 59 2 2 2 2" xfId="46762"/>
    <cellStyle name="Millares 59 2 2 3" xfId="46761"/>
    <cellStyle name="Millares 59 2 3" xfId="30164"/>
    <cellStyle name="Millares 59 2 3 2" xfId="46763"/>
    <cellStyle name="Millares 59 2 4" xfId="46760"/>
    <cellStyle name="Millares 59 3" xfId="30165"/>
    <cellStyle name="Millares 59 3 2" xfId="30166"/>
    <cellStyle name="Millares 59 3 2 2" xfId="30167"/>
    <cellStyle name="Millares 59 3 2 2 2" xfId="46766"/>
    <cellStyle name="Millares 59 3 2 3" xfId="46765"/>
    <cellStyle name="Millares 59 3 3" xfId="30168"/>
    <cellStyle name="Millares 59 3 3 2" xfId="46767"/>
    <cellStyle name="Millares 59 3 4" xfId="46764"/>
    <cellStyle name="Millares 59 4" xfId="30169"/>
    <cellStyle name="Millares 59 4 2" xfId="46768"/>
    <cellStyle name="Millares 59 5" xfId="30170"/>
    <cellStyle name="Millares 59 5 2" xfId="46769"/>
    <cellStyle name="Millares 59 6" xfId="46759"/>
    <cellStyle name="Millares 6" xfId="781"/>
    <cellStyle name="Millares 6 10" xfId="30172"/>
    <cellStyle name="Millares 6 10 2" xfId="46771"/>
    <cellStyle name="Millares 6 11" xfId="30173"/>
    <cellStyle name="Millares 6 11 2" xfId="46772"/>
    <cellStyle name="Millares 6 12" xfId="30174"/>
    <cellStyle name="Millares 6 12 2" xfId="46773"/>
    <cellStyle name="Millares 6 13" xfId="30175"/>
    <cellStyle name="Millares 6 13 2" xfId="30176"/>
    <cellStyle name="Millares 6 13 2 2" xfId="46775"/>
    <cellStyle name="Millares 6 13 3" xfId="46774"/>
    <cellStyle name="Millares 6 14" xfId="30177"/>
    <cellStyle name="Millares 6 15" xfId="30178"/>
    <cellStyle name="Millares 6 16" xfId="30171"/>
    <cellStyle name="Millares 6 17" xfId="46770"/>
    <cellStyle name="Millares 6 18" xfId="51964"/>
    <cellStyle name="Millares 6 19" xfId="19953"/>
    <cellStyle name="Millares 6 2" xfId="782"/>
    <cellStyle name="Millares 6 2 10" xfId="30180"/>
    <cellStyle name="Millares 6 2 10 2" xfId="30181"/>
    <cellStyle name="Millares 6 2 10 2 2" xfId="30182"/>
    <cellStyle name="Millares 6 2 10 2 2 2" xfId="46779"/>
    <cellStyle name="Millares 6 2 10 2 3" xfId="46778"/>
    <cellStyle name="Millares 6 2 10 3" xfId="30183"/>
    <cellStyle name="Millares 6 2 10 3 2" xfId="46780"/>
    <cellStyle name="Millares 6 2 10 4" xfId="46777"/>
    <cellStyle name="Millares 6 2 11" xfId="30184"/>
    <cellStyle name="Millares 6 2 11 2" xfId="30185"/>
    <cellStyle name="Millares 6 2 11 2 2" xfId="30186"/>
    <cellStyle name="Millares 6 2 11 2 2 2" xfId="46783"/>
    <cellStyle name="Millares 6 2 11 2 3" xfId="46782"/>
    <cellStyle name="Millares 6 2 11 3" xfId="30187"/>
    <cellStyle name="Millares 6 2 11 3 2" xfId="46784"/>
    <cellStyle name="Millares 6 2 11 4" xfId="46781"/>
    <cellStyle name="Millares 6 2 12" xfId="30188"/>
    <cellStyle name="Millares 6 2 12 2" xfId="30189"/>
    <cellStyle name="Millares 6 2 12 2 2" xfId="30190"/>
    <cellStyle name="Millares 6 2 12 2 2 2" xfId="46787"/>
    <cellStyle name="Millares 6 2 12 2 3" xfId="46786"/>
    <cellStyle name="Millares 6 2 12 3" xfId="30191"/>
    <cellStyle name="Millares 6 2 12 3 2" xfId="46788"/>
    <cellStyle name="Millares 6 2 12 4" xfId="46785"/>
    <cellStyle name="Millares 6 2 13" xfId="30192"/>
    <cellStyle name="Millares 6 2 13 2" xfId="30193"/>
    <cellStyle name="Millares 6 2 13 2 2" xfId="46790"/>
    <cellStyle name="Millares 6 2 13 3" xfId="46789"/>
    <cellStyle name="Millares 6 2 14" xfId="30194"/>
    <cellStyle name="Millares 6 2 14 2" xfId="30195"/>
    <cellStyle name="Millares 6 2 14 2 2" xfId="46792"/>
    <cellStyle name="Millares 6 2 14 3" xfId="46791"/>
    <cellStyle name="Millares 6 2 15" xfId="30196"/>
    <cellStyle name="Millares 6 2 15 2" xfId="30197"/>
    <cellStyle name="Millares 6 2 15 2 2" xfId="46794"/>
    <cellStyle name="Millares 6 2 15 3" xfId="46793"/>
    <cellStyle name="Millares 6 2 16" xfId="30198"/>
    <cellStyle name="Millares 6 2 16 2" xfId="46795"/>
    <cellStyle name="Millares 6 2 17" xfId="30199"/>
    <cellStyle name="Millares 6 2 17 2" xfId="46796"/>
    <cellStyle name="Millares 6 2 18" xfId="30200"/>
    <cellStyle name="Millares 6 2 19" xfId="30179"/>
    <cellStyle name="Millares 6 2 2" xfId="783"/>
    <cellStyle name="Millares 6 2 2 10" xfId="46797"/>
    <cellStyle name="Millares 6 2 2 11" xfId="52604"/>
    <cellStyle name="Millares 6 2 2 12" xfId="30201"/>
    <cellStyle name="Millares 6 2 2 2" xfId="784"/>
    <cellStyle name="Millares 6 2 2 2 2" xfId="2220"/>
    <cellStyle name="Millares 6 2 2 2 2 2" xfId="5345"/>
    <cellStyle name="Millares 6 2 2 2 2 2 2" xfId="11548"/>
    <cellStyle name="Millares 6 2 2 2 2 2 2 2" xfId="30206"/>
    <cellStyle name="Millares 6 2 2 2 2 2 2 2 2" xfId="46802"/>
    <cellStyle name="Millares 6 2 2 2 2 2 2 3" xfId="46801"/>
    <cellStyle name="Millares 6 2 2 2 2 2 2 4" xfId="30205"/>
    <cellStyle name="Millares 6 2 2 2 2 2 3" xfId="17750"/>
    <cellStyle name="Millares 6 2 2 2 2 2 3 2" xfId="30208"/>
    <cellStyle name="Millares 6 2 2 2 2 2 3 2 2" xfId="46804"/>
    <cellStyle name="Millares 6 2 2 2 2 2 3 3" xfId="46803"/>
    <cellStyle name="Millares 6 2 2 2 2 2 3 4" xfId="30207"/>
    <cellStyle name="Millares 6 2 2 2 2 2 4" xfId="30209"/>
    <cellStyle name="Millares 6 2 2 2 2 2 4 2" xfId="46805"/>
    <cellStyle name="Millares 6 2 2 2 2 2 5" xfId="46800"/>
    <cellStyle name="Millares 6 2 2 2 2 2 6" xfId="56584"/>
    <cellStyle name="Millares 6 2 2 2 2 2 7" xfId="30204"/>
    <cellStyle name="Millares 6 2 2 2 2 3" xfId="8448"/>
    <cellStyle name="Millares 6 2 2 2 2 3 2" xfId="46806"/>
    <cellStyle name="Millares 6 2 2 2 2 3 3" xfId="30210"/>
    <cellStyle name="Millares 6 2 2 2 2 4" xfId="14650"/>
    <cellStyle name="Millares 6 2 2 2 2 4 2" xfId="30212"/>
    <cellStyle name="Millares 6 2 2 2 2 4 2 2" xfId="46808"/>
    <cellStyle name="Millares 6 2 2 2 2 4 3" xfId="46807"/>
    <cellStyle name="Millares 6 2 2 2 2 4 4" xfId="30211"/>
    <cellStyle name="Millares 6 2 2 2 2 5" xfId="30213"/>
    <cellStyle name="Millares 6 2 2 2 2 5 2" xfId="46809"/>
    <cellStyle name="Millares 6 2 2 2 2 6" xfId="46799"/>
    <cellStyle name="Millares 6 2 2 2 2 7" xfId="53688"/>
    <cellStyle name="Millares 6 2 2 2 2 8" xfId="30203"/>
    <cellStyle name="Millares 6 2 2 2 3" xfId="2977"/>
    <cellStyle name="Millares 6 2 2 2 3 2" xfId="6090"/>
    <cellStyle name="Millares 6 2 2 2 3 2 2" xfId="12293"/>
    <cellStyle name="Millares 6 2 2 2 3 2 2 2" xfId="46812"/>
    <cellStyle name="Millares 6 2 2 2 3 2 2 3" xfId="30216"/>
    <cellStyle name="Millares 6 2 2 2 3 2 3" xfId="18495"/>
    <cellStyle name="Millares 6 2 2 2 3 2 3 2" xfId="46811"/>
    <cellStyle name="Millares 6 2 2 2 3 2 4" xfId="57321"/>
    <cellStyle name="Millares 6 2 2 2 3 2 5" xfId="30215"/>
    <cellStyle name="Millares 6 2 2 2 3 3" xfId="9193"/>
    <cellStyle name="Millares 6 2 2 2 3 3 2" xfId="30218"/>
    <cellStyle name="Millares 6 2 2 2 3 3 2 2" xfId="46814"/>
    <cellStyle name="Millares 6 2 2 2 3 3 3" xfId="46813"/>
    <cellStyle name="Millares 6 2 2 2 3 3 4" xfId="30217"/>
    <cellStyle name="Millares 6 2 2 2 3 4" xfId="15395"/>
    <cellStyle name="Millares 6 2 2 2 3 4 2" xfId="46815"/>
    <cellStyle name="Millares 6 2 2 2 3 4 3" xfId="30219"/>
    <cellStyle name="Millares 6 2 2 2 3 5" xfId="46810"/>
    <cellStyle name="Millares 6 2 2 2 3 6" xfId="54431"/>
    <cellStyle name="Millares 6 2 2 2 3 7" xfId="30214"/>
    <cellStyle name="Millares 6 2 2 2 4" xfId="4018"/>
    <cellStyle name="Millares 6 2 2 2 4 2" xfId="10222"/>
    <cellStyle name="Millares 6 2 2 2 4 2 2" xfId="46816"/>
    <cellStyle name="Millares 6 2 2 2 4 3" xfId="16424"/>
    <cellStyle name="Millares 6 2 2 2 4 3 2" xfId="55388"/>
    <cellStyle name="Millares 6 2 2 2 4 4" xfId="30220"/>
    <cellStyle name="Millares 6 2 2 2 5" xfId="7121"/>
    <cellStyle name="Millares 6 2 2 2 5 2" xfId="19821"/>
    <cellStyle name="Millares 6 2 2 2 5 2 2" xfId="46818"/>
    <cellStyle name="Millares 6 2 2 2 5 2 3" xfId="30222"/>
    <cellStyle name="Millares 6 2 2 2 5 3" xfId="46817"/>
    <cellStyle name="Millares 6 2 2 2 5 4" xfId="30221"/>
    <cellStyle name="Millares 6 2 2 2 6" xfId="13323"/>
    <cellStyle name="Millares 6 2 2 2 6 2" xfId="46819"/>
    <cellStyle name="Millares 6 2 2 2 6 3" xfId="30223"/>
    <cellStyle name="Millares 6 2 2 2 7" xfId="46798"/>
    <cellStyle name="Millares 6 2 2 2 8" xfId="52605"/>
    <cellStyle name="Millares 6 2 2 2 9" xfId="30202"/>
    <cellStyle name="Millares 6 2 2 3" xfId="1696"/>
    <cellStyle name="Millares 6 2 2 3 2" xfId="4821"/>
    <cellStyle name="Millares 6 2 2 3 2 2" xfId="11024"/>
    <cellStyle name="Millares 6 2 2 3 2 2 2" xfId="30227"/>
    <cellStyle name="Millares 6 2 2 3 2 2 2 2" xfId="46823"/>
    <cellStyle name="Millares 6 2 2 3 2 2 3" xfId="46822"/>
    <cellStyle name="Millares 6 2 2 3 2 2 4" xfId="30226"/>
    <cellStyle name="Millares 6 2 2 3 2 3" xfId="17226"/>
    <cellStyle name="Millares 6 2 2 3 2 3 2" xfId="30229"/>
    <cellStyle name="Millares 6 2 2 3 2 3 2 2" xfId="46825"/>
    <cellStyle name="Millares 6 2 2 3 2 3 3" xfId="46824"/>
    <cellStyle name="Millares 6 2 2 3 2 3 4" xfId="30228"/>
    <cellStyle name="Millares 6 2 2 3 2 4" xfId="30230"/>
    <cellStyle name="Millares 6 2 2 3 2 4 2" xfId="46826"/>
    <cellStyle name="Millares 6 2 2 3 2 5" xfId="46821"/>
    <cellStyle name="Millares 6 2 2 3 2 6" xfId="56093"/>
    <cellStyle name="Millares 6 2 2 3 2 7" xfId="30225"/>
    <cellStyle name="Millares 6 2 2 3 3" xfId="7924"/>
    <cellStyle name="Millares 6 2 2 3 3 2" xfId="46827"/>
    <cellStyle name="Millares 6 2 2 3 3 3" xfId="30231"/>
    <cellStyle name="Millares 6 2 2 3 4" xfId="14126"/>
    <cellStyle name="Millares 6 2 2 3 4 2" xfId="30233"/>
    <cellStyle name="Millares 6 2 2 3 4 2 2" xfId="46829"/>
    <cellStyle name="Millares 6 2 2 3 4 3" xfId="46828"/>
    <cellStyle name="Millares 6 2 2 3 4 4" xfId="30232"/>
    <cellStyle name="Millares 6 2 2 3 5" xfId="30234"/>
    <cellStyle name="Millares 6 2 2 3 5 2" xfId="46830"/>
    <cellStyle name="Millares 6 2 2 3 6" xfId="46820"/>
    <cellStyle name="Millares 6 2 2 3 7" xfId="53203"/>
    <cellStyle name="Millares 6 2 2 3 8" xfId="30224"/>
    <cellStyle name="Millares 6 2 2 4" xfId="2976"/>
    <cellStyle name="Millares 6 2 2 4 2" xfId="6089"/>
    <cellStyle name="Millares 6 2 2 4 2 2" xfId="12292"/>
    <cellStyle name="Millares 6 2 2 4 2 2 2" xfId="46833"/>
    <cellStyle name="Millares 6 2 2 4 2 2 3" xfId="30237"/>
    <cellStyle name="Millares 6 2 2 4 2 3" xfId="18494"/>
    <cellStyle name="Millares 6 2 2 4 2 3 2" xfId="46832"/>
    <cellStyle name="Millares 6 2 2 4 2 4" xfId="57320"/>
    <cellStyle name="Millares 6 2 2 4 2 5" xfId="30236"/>
    <cellStyle name="Millares 6 2 2 4 3" xfId="9192"/>
    <cellStyle name="Millares 6 2 2 4 3 2" xfId="30239"/>
    <cellStyle name="Millares 6 2 2 4 3 2 2" xfId="46835"/>
    <cellStyle name="Millares 6 2 2 4 3 3" xfId="46834"/>
    <cellStyle name="Millares 6 2 2 4 3 4" xfId="30238"/>
    <cellStyle name="Millares 6 2 2 4 4" xfId="15394"/>
    <cellStyle name="Millares 6 2 2 4 4 2" xfId="46836"/>
    <cellStyle name="Millares 6 2 2 4 4 3" xfId="30240"/>
    <cellStyle name="Millares 6 2 2 4 5" xfId="46831"/>
    <cellStyle name="Millares 6 2 2 4 6" xfId="54430"/>
    <cellStyle name="Millares 6 2 2 4 7" xfId="30235"/>
    <cellStyle name="Millares 6 2 2 5" xfId="4017"/>
    <cellStyle name="Millares 6 2 2 5 2" xfId="10221"/>
    <cellStyle name="Millares 6 2 2 5 2 2" xfId="46837"/>
    <cellStyle name="Millares 6 2 2 5 3" xfId="16423"/>
    <cellStyle name="Millares 6 2 2 5 3 2" xfId="55387"/>
    <cellStyle name="Millares 6 2 2 5 4" xfId="30241"/>
    <cellStyle name="Millares 6 2 2 6" xfId="7120"/>
    <cellStyle name="Millares 6 2 2 6 2" xfId="19297"/>
    <cellStyle name="Millares 6 2 2 6 2 2" xfId="46839"/>
    <cellStyle name="Millares 6 2 2 6 2 3" xfId="30243"/>
    <cellStyle name="Millares 6 2 2 6 3" xfId="46838"/>
    <cellStyle name="Millares 6 2 2 6 4" xfId="30242"/>
    <cellStyle name="Millares 6 2 2 7" xfId="13322"/>
    <cellStyle name="Millares 6 2 2 7 2" xfId="30245"/>
    <cellStyle name="Millares 6 2 2 7 2 2" xfId="46841"/>
    <cellStyle name="Millares 6 2 2 7 3" xfId="46840"/>
    <cellStyle name="Millares 6 2 2 7 4" xfId="30244"/>
    <cellStyle name="Millares 6 2 2 8" xfId="30246"/>
    <cellStyle name="Millares 6 2 2 8 2" xfId="46842"/>
    <cellStyle name="Millares 6 2 2 9" xfId="30247"/>
    <cellStyle name="Millares 6 2 2 9 2" xfId="46843"/>
    <cellStyle name="Millares 6 2 20" xfId="46776"/>
    <cellStyle name="Millares 6 2 21" xfId="52095"/>
    <cellStyle name="Millares 6 2 22" xfId="19998"/>
    <cellStyle name="Millares 6 2 3" xfId="785"/>
    <cellStyle name="Millares 6 2 3 10" xfId="52606"/>
    <cellStyle name="Millares 6 2 3 11" xfId="30248"/>
    <cellStyle name="Millares 6 2 3 2" xfId="1975"/>
    <cellStyle name="Millares 6 2 3 2 2" xfId="5100"/>
    <cellStyle name="Millares 6 2 3 2 2 2" xfId="11303"/>
    <cellStyle name="Millares 6 2 3 2 2 2 2" xfId="30252"/>
    <cellStyle name="Millares 6 2 3 2 2 2 2 2" xfId="30253"/>
    <cellStyle name="Millares 6 2 3 2 2 2 2 2 2" xfId="46849"/>
    <cellStyle name="Millares 6 2 3 2 2 2 2 3" xfId="46848"/>
    <cellStyle name="Millares 6 2 3 2 2 2 3" xfId="30254"/>
    <cellStyle name="Millares 6 2 3 2 2 2 3 2" xfId="30255"/>
    <cellStyle name="Millares 6 2 3 2 2 2 3 2 2" xfId="46851"/>
    <cellStyle name="Millares 6 2 3 2 2 2 3 3" xfId="46850"/>
    <cellStyle name="Millares 6 2 3 2 2 2 4" xfId="30256"/>
    <cellStyle name="Millares 6 2 3 2 2 2 4 2" xfId="46852"/>
    <cellStyle name="Millares 6 2 3 2 2 2 5" xfId="46847"/>
    <cellStyle name="Millares 6 2 3 2 2 2 6" xfId="30251"/>
    <cellStyle name="Millares 6 2 3 2 2 3" xfId="17505"/>
    <cellStyle name="Millares 6 2 3 2 2 3 2" xfId="46853"/>
    <cellStyle name="Millares 6 2 3 2 2 3 3" xfId="30257"/>
    <cellStyle name="Millares 6 2 3 2 2 4" xfId="30258"/>
    <cellStyle name="Millares 6 2 3 2 2 4 2" xfId="30259"/>
    <cellStyle name="Millares 6 2 3 2 2 4 2 2" xfId="46855"/>
    <cellStyle name="Millares 6 2 3 2 2 4 3" xfId="46854"/>
    <cellStyle name="Millares 6 2 3 2 2 5" xfId="30260"/>
    <cellStyle name="Millares 6 2 3 2 2 5 2" xfId="46856"/>
    <cellStyle name="Millares 6 2 3 2 2 6" xfId="46846"/>
    <cellStyle name="Millares 6 2 3 2 2 7" xfId="56357"/>
    <cellStyle name="Millares 6 2 3 2 2 8" xfId="30250"/>
    <cellStyle name="Millares 6 2 3 2 3" xfId="8203"/>
    <cellStyle name="Millares 6 2 3 2 3 2" xfId="30262"/>
    <cellStyle name="Millares 6 2 3 2 3 2 2" xfId="30263"/>
    <cellStyle name="Millares 6 2 3 2 3 2 2 2" xfId="46859"/>
    <cellStyle name="Millares 6 2 3 2 3 2 3" xfId="46858"/>
    <cellStyle name="Millares 6 2 3 2 3 3" xfId="30264"/>
    <cellStyle name="Millares 6 2 3 2 3 3 2" xfId="30265"/>
    <cellStyle name="Millares 6 2 3 2 3 3 2 2" xfId="46861"/>
    <cellStyle name="Millares 6 2 3 2 3 3 3" xfId="46860"/>
    <cellStyle name="Millares 6 2 3 2 3 4" xfId="30266"/>
    <cellStyle name="Millares 6 2 3 2 3 4 2" xfId="46862"/>
    <cellStyle name="Millares 6 2 3 2 3 5" xfId="46857"/>
    <cellStyle name="Millares 6 2 3 2 3 6" xfId="30261"/>
    <cellStyle name="Millares 6 2 3 2 4" xfId="14405"/>
    <cellStyle name="Millares 6 2 3 2 4 2" xfId="46863"/>
    <cellStyle name="Millares 6 2 3 2 4 3" xfId="30267"/>
    <cellStyle name="Millares 6 2 3 2 5" xfId="30268"/>
    <cellStyle name="Millares 6 2 3 2 5 2" xfId="30269"/>
    <cellStyle name="Millares 6 2 3 2 5 2 2" xfId="46865"/>
    <cellStyle name="Millares 6 2 3 2 5 3" xfId="46864"/>
    <cellStyle name="Millares 6 2 3 2 6" xfId="30270"/>
    <cellStyle name="Millares 6 2 3 2 6 2" xfId="46866"/>
    <cellStyle name="Millares 6 2 3 2 7" xfId="46845"/>
    <cellStyle name="Millares 6 2 3 2 8" xfId="53463"/>
    <cellStyle name="Millares 6 2 3 2 9" xfId="30249"/>
    <cellStyle name="Millares 6 2 3 3" xfId="2978"/>
    <cellStyle name="Millares 6 2 3 3 2" xfId="6091"/>
    <cellStyle name="Millares 6 2 3 3 2 2" xfId="12294"/>
    <cellStyle name="Millares 6 2 3 3 2 2 2" xfId="30274"/>
    <cellStyle name="Millares 6 2 3 3 2 2 2 2" xfId="46870"/>
    <cellStyle name="Millares 6 2 3 3 2 2 3" xfId="46869"/>
    <cellStyle name="Millares 6 2 3 3 2 2 4" xfId="30273"/>
    <cellStyle name="Millares 6 2 3 3 2 3" xfId="18496"/>
    <cellStyle name="Millares 6 2 3 3 2 3 2" xfId="30276"/>
    <cellStyle name="Millares 6 2 3 3 2 3 2 2" xfId="46872"/>
    <cellStyle name="Millares 6 2 3 3 2 3 3" xfId="46871"/>
    <cellStyle name="Millares 6 2 3 3 2 3 4" xfId="30275"/>
    <cellStyle name="Millares 6 2 3 3 2 4" xfId="30277"/>
    <cellStyle name="Millares 6 2 3 3 2 4 2" xfId="46873"/>
    <cellStyle name="Millares 6 2 3 3 2 5" xfId="46868"/>
    <cellStyle name="Millares 6 2 3 3 2 6" xfId="57322"/>
    <cellStyle name="Millares 6 2 3 3 2 7" xfId="30272"/>
    <cellStyle name="Millares 6 2 3 3 3" xfId="9194"/>
    <cellStyle name="Millares 6 2 3 3 3 2" xfId="46874"/>
    <cellStyle name="Millares 6 2 3 3 3 3" xfId="30278"/>
    <cellStyle name="Millares 6 2 3 3 4" xfId="15396"/>
    <cellStyle name="Millares 6 2 3 3 4 2" xfId="30280"/>
    <cellStyle name="Millares 6 2 3 3 4 2 2" xfId="46876"/>
    <cellStyle name="Millares 6 2 3 3 4 3" xfId="46875"/>
    <cellStyle name="Millares 6 2 3 3 4 4" xfId="30279"/>
    <cellStyle name="Millares 6 2 3 3 5" xfId="30281"/>
    <cellStyle name="Millares 6 2 3 3 5 2" xfId="46877"/>
    <cellStyle name="Millares 6 2 3 3 6" xfId="46867"/>
    <cellStyle name="Millares 6 2 3 3 7" xfId="54432"/>
    <cellStyle name="Millares 6 2 3 3 8" xfId="30271"/>
    <cellStyle name="Millares 6 2 3 4" xfId="4019"/>
    <cellStyle name="Millares 6 2 3 4 2" xfId="10223"/>
    <cellStyle name="Millares 6 2 3 4 2 2" xfId="30284"/>
    <cellStyle name="Millares 6 2 3 4 2 2 2" xfId="46880"/>
    <cellStyle name="Millares 6 2 3 4 2 3" xfId="46879"/>
    <cellStyle name="Millares 6 2 3 4 2 4" xfId="30283"/>
    <cellStyle name="Millares 6 2 3 4 3" xfId="16425"/>
    <cellStyle name="Millares 6 2 3 4 3 2" xfId="30286"/>
    <cellStyle name="Millares 6 2 3 4 3 2 2" xfId="46882"/>
    <cellStyle name="Millares 6 2 3 4 3 3" xfId="46881"/>
    <cellStyle name="Millares 6 2 3 4 3 4" xfId="30285"/>
    <cellStyle name="Millares 6 2 3 4 4" xfId="30287"/>
    <cellStyle name="Millares 6 2 3 4 4 2" xfId="46883"/>
    <cellStyle name="Millares 6 2 3 4 5" xfId="46878"/>
    <cellStyle name="Millares 6 2 3 4 6" xfId="55389"/>
    <cellStyle name="Millares 6 2 3 4 7" xfId="30282"/>
    <cellStyle name="Millares 6 2 3 5" xfId="7122"/>
    <cellStyle name="Millares 6 2 3 5 2" xfId="19576"/>
    <cellStyle name="Millares 6 2 3 5 2 2" xfId="46884"/>
    <cellStyle name="Millares 6 2 3 5 3" xfId="30288"/>
    <cellStyle name="Millares 6 2 3 6" xfId="13324"/>
    <cellStyle name="Millares 6 2 3 6 2" xfId="30290"/>
    <cellStyle name="Millares 6 2 3 6 2 2" xfId="46886"/>
    <cellStyle name="Millares 6 2 3 6 3" xfId="46885"/>
    <cellStyle name="Millares 6 2 3 6 4" xfId="30289"/>
    <cellStyle name="Millares 6 2 3 7" xfId="30291"/>
    <cellStyle name="Millares 6 2 3 7 2" xfId="46887"/>
    <cellStyle name="Millares 6 2 3 8" xfId="30292"/>
    <cellStyle name="Millares 6 2 3 8 2" xfId="46888"/>
    <cellStyle name="Millares 6 2 3 9" xfId="46844"/>
    <cellStyle name="Millares 6 2 4" xfId="1451"/>
    <cellStyle name="Millares 6 2 4 2" xfId="4576"/>
    <cellStyle name="Millares 6 2 4 2 2" xfId="10779"/>
    <cellStyle name="Millares 6 2 4 2 2 2" xfId="55861"/>
    <cellStyle name="Millares 6 2 4 2 3" xfId="16981"/>
    <cellStyle name="Millares 6 2 4 2 4" xfId="46889"/>
    <cellStyle name="Millares 6 2 4 3" xfId="7679"/>
    <cellStyle name="Millares 6 2 4 3 2" xfId="52979"/>
    <cellStyle name="Millares 6 2 4 4" xfId="13881"/>
    <cellStyle name="Millares 6 2 4 5" xfId="30293"/>
    <cellStyle name="Millares 6 2 5" xfId="2975"/>
    <cellStyle name="Millares 6 2 5 2" xfId="6088"/>
    <cellStyle name="Millares 6 2 5 2 2" xfId="12291"/>
    <cellStyle name="Millares 6 2 5 2 2 2" xfId="30297"/>
    <cellStyle name="Millares 6 2 5 2 2 2 2" xfId="30298"/>
    <cellStyle name="Millares 6 2 5 2 2 2 2 2" xfId="46894"/>
    <cellStyle name="Millares 6 2 5 2 2 2 3" xfId="46893"/>
    <cellStyle name="Millares 6 2 5 2 2 3" xfId="30299"/>
    <cellStyle name="Millares 6 2 5 2 2 3 2" xfId="30300"/>
    <cellStyle name="Millares 6 2 5 2 2 3 2 2" xfId="46896"/>
    <cellStyle name="Millares 6 2 5 2 2 3 3" xfId="46895"/>
    <cellStyle name="Millares 6 2 5 2 2 4" xfId="30301"/>
    <cellStyle name="Millares 6 2 5 2 2 4 2" xfId="46897"/>
    <cellStyle name="Millares 6 2 5 2 2 5" xfId="46892"/>
    <cellStyle name="Millares 6 2 5 2 2 6" xfId="30296"/>
    <cellStyle name="Millares 6 2 5 2 3" xfId="18493"/>
    <cellStyle name="Millares 6 2 5 2 3 2" xfId="46898"/>
    <cellStyle name="Millares 6 2 5 2 3 3" xfId="30302"/>
    <cellStyle name="Millares 6 2 5 2 4" xfId="30303"/>
    <cellStyle name="Millares 6 2 5 2 4 2" xfId="30304"/>
    <cellStyle name="Millares 6 2 5 2 4 2 2" xfId="46900"/>
    <cellStyle name="Millares 6 2 5 2 4 3" xfId="46899"/>
    <cellStyle name="Millares 6 2 5 2 5" xfId="30305"/>
    <cellStyle name="Millares 6 2 5 2 5 2" xfId="46901"/>
    <cellStyle name="Millares 6 2 5 2 6" xfId="46891"/>
    <cellStyle name="Millares 6 2 5 2 7" xfId="57319"/>
    <cellStyle name="Millares 6 2 5 2 8" xfId="30295"/>
    <cellStyle name="Millares 6 2 5 3" xfId="9191"/>
    <cellStyle name="Millares 6 2 5 3 2" xfId="30307"/>
    <cellStyle name="Millares 6 2 5 3 2 2" xfId="30308"/>
    <cellStyle name="Millares 6 2 5 3 2 2 2" xfId="46904"/>
    <cellStyle name="Millares 6 2 5 3 2 3" xfId="46903"/>
    <cellStyle name="Millares 6 2 5 3 3" xfId="30309"/>
    <cellStyle name="Millares 6 2 5 3 3 2" xfId="30310"/>
    <cellStyle name="Millares 6 2 5 3 3 2 2" xfId="46906"/>
    <cellStyle name="Millares 6 2 5 3 3 3" xfId="46905"/>
    <cellStyle name="Millares 6 2 5 3 4" xfId="30311"/>
    <cellStyle name="Millares 6 2 5 3 4 2" xfId="46907"/>
    <cellStyle name="Millares 6 2 5 3 5" xfId="46902"/>
    <cellStyle name="Millares 6 2 5 3 6" xfId="30306"/>
    <cellStyle name="Millares 6 2 5 4" xfId="15393"/>
    <cellStyle name="Millares 6 2 5 4 2" xfId="46908"/>
    <cellStyle name="Millares 6 2 5 4 3" xfId="30312"/>
    <cellStyle name="Millares 6 2 5 5" xfId="30313"/>
    <cellStyle name="Millares 6 2 5 5 2" xfId="30314"/>
    <cellStyle name="Millares 6 2 5 5 2 2" xfId="46910"/>
    <cellStyle name="Millares 6 2 5 5 3" xfId="46909"/>
    <cellStyle name="Millares 6 2 5 6" xfId="30315"/>
    <cellStyle name="Millares 6 2 5 6 2" xfId="46911"/>
    <cellStyle name="Millares 6 2 5 7" xfId="46890"/>
    <cellStyle name="Millares 6 2 5 8" xfId="54429"/>
    <cellStyle name="Millares 6 2 5 9" xfId="30294"/>
    <cellStyle name="Millares 6 2 6" xfId="4016"/>
    <cellStyle name="Millares 6 2 6 2" xfId="10220"/>
    <cellStyle name="Millares 6 2 6 2 2" xfId="46912"/>
    <cellStyle name="Millares 6 2 6 3" xfId="16422"/>
    <cellStyle name="Millares 6 2 6 3 2" xfId="55386"/>
    <cellStyle name="Millares 6 2 6 4" xfId="30316"/>
    <cellStyle name="Millares 6 2 7" xfId="7119"/>
    <cellStyle name="Millares 6 2 7 2" xfId="19052"/>
    <cellStyle name="Millares 6 2 7 2 2" xfId="30319"/>
    <cellStyle name="Millares 6 2 7 2 2 2" xfId="30320"/>
    <cellStyle name="Millares 6 2 7 2 2 2 2" xfId="46916"/>
    <cellStyle name="Millares 6 2 7 2 2 3" xfId="46915"/>
    <cellStyle name="Millares 6 2 7 2 3" xfId="30321"/>
    <cellStyle name="Millares 6 2 7 2 3 2" xfId="30322"/>
    <cellStyle name="Millares 6 2 7 2 3 2 2" xfId="46918"/>
    <cellStyle name="Millares 6 2 7 2 3 3" xfId="46917"/>
    <cellStyle name="Millares 6 2 7 2 4" xfId="30323"/>
    <cellStyle name="Millares 6 2 7 2 4 2" xfId="46919"/>
    <cellStyle name="Millares 6 2 7 2 5" xfId="46914"/>
    <cellStyle name="Millares 6 2 7 2 6" xfId="30318"/>
    <cellStyle name="Millares 6 2 7 3" xfId="30324"/>
    <cellStyle name="Millares 6 2 7 3 2" xfId="46920"/>
    <cellStyle name="Millares 6 2 7 4" xfId="30325"/>
    <cellStyle name="Millares 6 2 7 4 2" xfId="30326"/>
    <cellStyle name="Millares 6 2 7 4 2 2" xfId="46922"/>
    <cellStyle name="Millares 6 2 7 4 3" xfId="46921"/>
    <cellStyle name="Millares 6 2 7 5" xfId="30327"/>
    <cellStyle name="Millares 6 2 7 5 2" xfId="46923"/>
    <cellStyle name="Millares 6 2 7 6" xfId="46913"/>
    <cellStyle name="Millares 6 2 7 7" xfId="30317"/>
    <cellStyle name="Millares 6 2 8" xfId="13321"/>
    <cellStyle name="Millares 6 2 8 2" xfId="30329"/>
    <cellStyle name="Millares 6 2 8 2 2" xfId="30330"/>
    <cellStyle name="Millares 6 2 8 2 2 2" xfId="46926"/>
    <cellStyle name="Millares 6 2 8 2 3" xfId="46925"/>
    <cellStyle name="Millares 6 2 8 3" xfId="46924"/>
    <cellStyle name="Millares 6 2 8 4" xfId="30328"/>
    <cellStyle name="Millares 6 2 9" xfId="30331"/>
    <cellStyle name="Millares 6 2 9 2" xfId="30332"/>
    <cellStyle name="Millares 6 2 9 2 2" xfId="30333"/>
    <cellStyle name="Millares 6 2 9 2 2 2" xfId="46929"/>
    <cellStyle name="Millares 6 2 9 2 3" xfId="46928"/>
    <cellStyle name="Millares 6 2 9 3" xfId="30334"/>
    <cellStyle name="Millares 6 2 9 3 2" xfId="46930"/>
    <cellStyle name="Millares 6 2 9 4" xfId="46927"/>
    <cellStyle name="Millares 6 2_Plan by Lob" xfId="30335"/>
    <cellStyle name="Millares 6 3" xfId="786"/>
    <cellStyle name="Millares 6 3 2" xfId="787"/>
    <cellStyle name="Millares 6 3 2 2" xfId="2160"/>
    <cellStyle name="Millares 6 3 2 2 2" xfId="5285"/>
    <cellStyle name="Millares 6 3 2 2 2 2" xfId="11488"/>
    <cellStyle name="Millares 6 3 2 2 2 2 2" xfId="46934"/>
    <cellStyle name="Millares 6 3 2 2 2 3" xfId="17690"/>
    <cellStyle name="Millares 6 3 2 2 2 3 2" xfId="56528"/>
    <cellStyle name="Millares 6 3 2 2 2 4" xfId="30339"/>
    <cellStyle name="Millares 6 3 2 2 3" xfId="8388"/>
    <cellStyle name="Millares 6 3 2 2 3 2" xfId="46933"/>
    <cellStyle name="Millares 6 3 2 2 4" xfId="14590"/>
    <cellStyle name="Millares 6 3 2 2 4 2" xfId="53632"/>
    <cellStyle name="Millares 6 3 2 2 5" xfId="30338"/>
    <cellStyle name="Millares 6 3 2 3" xfId="2980"/>
    <cellStyle name="Millares 6 3 2 3 2" xfId="6093"/>
    <cellStyle name="Millares 6 3 2 3 2 2" xfId="12296"/>
    <cellStyle name="Millares 6 3 2 3 2 2 2" xfId="57324"/>
    <cellStyle name="Millares 6 3 2 3 2 3" xfId="18498"/>
    <cellStyle name="Millares 6 3 2 3 2 4" xfId="46935"/>
    <cellStyle name="Millares 6 3 2 3 3" xfId="9196"/>
    <cellStyle name="Millares 6 3 2 3 3 2" xfId="54434"/>
    <cellStyle name="Millares 6 3 2 3 4" xfId="15398"/>
    <cellStyle name="Millares 6 3 2 3 5" xfId="30340"/>
    <cellStyle name="Millares 6 3 2 4" xfId="4021"/>
    <cellStyle name="Millares 6 3 2 4 2" xfId="10225"/>
    <cellStyle name="Millares 6 3 2 4 2 2" xfId="55391"/>
    <cellStyle name="Millares 6 3 2 4 3" xfId="16427"/>
    <cellStyle name="Millares 6 3 2 4 4" xfId="46932"/>
    <cellStyle name="Millares 6 3 2 5" xfId="7124"/>
    <cellStyle name="Millares 6 3 2 5 2" xfId="19761"/>
    <cellStyle name="Millares 6 3 2 5 3" xfId="52608"/>
    <cellStyle name="Millares 6 3 2 6" xfId="13326"/>
    <cellStyle name="Millares 6 3 2 7" xfId="30337"/>
    <cellStyle name="Millares 6 3 3" xfId="1636"/>
    <cellStyle name="Millares 6 3 3 2" xfId="4761"/>
    <cellStyle name="Millares 6 3 3 2 2" xfId="10964"/>
    <cellStyle name="Millares 6 3 3 2 2 2" xfId="56037"/>
    <cellStyle name="Millares 6 3 3 2 3" xfId="17166"/>
    <cellStyle name="Millares 6 3 3 2 4" xfId="46936"/>
    <cellStyle name="Millares 6 3 3 3" xfId="7864"/>
    <cellStyle name="Millares 6 3 3 3 2" xfId="53147"/>
    <cellStyle name="Millares 6 3 3 4" xfId="14066"/>
    <cellStyle name="Millares 6 3 3 5" xfId="30341"/>
    <cellStyle name="Millares 6 3 4" xfId="2979"/>
    <cellStyle name="Millares 6 3 4 2" xfId="6092"/>
    <cellStyle name="Millares 6 3 4 2 2" xfId="12295"/>
    <cellStyle name="Millares 6 3 4 2 3" xfId="18497"/>
    <cellStyle name="Millares 6 3 4 2 4" xfId="57323"/>
    <cellStyle name="Millares 6 3 4 3" xfId="9195"/>
    <cellStyle name="Millares 6 3 4 3 2" xfId="54433"/>
    <cellStyle name="Millares 6 3 4 4" xfId="15397"/>
    <cellStyle name="Millares 6 3 4 5" xfId="46931"/>
    <cellStyle name="Millares 6 3 5" xfId="4020"/>
    <cellStyle name="Millares 6 3 5 2" xfId="10224"/>
    <cellStyle name="Millares 6 3 5 3" xfId="16426"/>
    <cellStyle name="Millares 6 3 5 4" xfId="55390"/>
    <cellStyle name="Millares 6 3 6" xfId="7123"/>
    <cellStyle name="Millares 6 3 6 2" xfId="19237"/>
    <cellStyle name="Millares 6 3 6 3" xfId="52607"/>
    <cellStyle name="Millares 6 3 7" xfId="13325"/>
    <cellStyle name="Millares 6 3 8" xfId="30336"/>
    <cellStyle name="Millares 6 4" xfId="788"/>
    <cellStyle name="Millares 6 4 2" xfId="1833"/>
    <cellStyle name="Millares 6 4 2 2" xfId="4958"/>
    <cellStyle name="Millares 6 4 2 2 2" xfId="11161"/>
    <cellStyle name="Millares 6 4 2 2 3" xfId="17363"/>
    <cellStyle name="Millares 6 4 2 2 4" xfId="56222"/>
    <cellStyle name="Millares 6 4 2 3" xfId="8061"/>
    <cellStyle name="Millares 6 4 2 3 2" xfId="53328"/>
    <cellStyle name="Millares 6 4 2 4" xfId="14263"/>
    <cellStyle name="Millares 6 4 2 5" xfId="46937"/>
    <cellStyle name="Millares 6 4 3" xfId="2981"/>
    <cellStyle name="Millares 6 4 3 2" xfId="6094"/>
    <cellStyle name="Millares 6 4 3 2 2" xfId="12297"/>
    <cellStyle name="Millares 6 4 3 2 3" xfId="18499"/>
    <cellStyle name="Millares 6 4 3 2 4" xfId="57325"/>
    <cellStyle name="Millares 6 4 3 3" xfId="9197"/>
    <cellStyle name="Millares 6 4 3 4" xfId="15399"/>
    <cellStyle name="Millares 6 4 3 5" xfId="54435"/>
    <cellStyle name="Millares 6 4 4" xfId="4022"/>
    <cellStyle name="Millares 6 4 4 2" xfId="10226"/>
    <cellStyle name="Millares 6 4 4 3" xfId="16428"/>
    <cellStyle name="Millares 6 4 4 4" xfId="55392"/>
    <cellStyle name="Millares 6 4 5" xfId="7125"/>
    <cellStyle name="Millares 6 4 5 2" xfId="19434"/>
    <cellStyle name="Millares 6 4 5 3" xfId="52609"/>
    <cellStyle name="Millares 6 4 6" xfId="13327"/>
    <cellStyle name="Millares 6 4 7" xfId="30342"/>
    <cellStyle name="Millares 6 5" xfId="1309"/>
    <cellStyle name="Millares 6 5 2" xfId="4434"/>
    <cellStyle name="Millares 6 5 2 2" xfId="10637"/>
    <cellStyle name="Millares 6 5 2 2 2" xfId="55725"/>
    <cellStyle name="Millares 6 5 2 3" xfId="16839"/>
    <cellStyle name="Millares 6 5 2 4" xfId="46938"/>
    <cellStyle name="Millares 6 5 3" xfId="7537"/>
    <cellStyle name="Millares 6 5 3 2" xfId="52854"/>
    <cellStyle name="Millares 6 5 4" xfId="13739"/>
    <cellStyle name="Millares 6 5 5" xfId="30343"/>
    <cellStyle name="Millares 6 6" xfId="2974"/>
    <cellStyle name="Millares 6 6 2" xfId="6087"/>
    <cellStyle name="Millares 6 6 2 2" xfId="12290"/>
    <cellStyle name="Millares 6 6 2 2 2" xfId="57318"/>
    <cellStyle name="Millares 6 6 2 3" xfId="18492"/>
    <cellStyle name="Millares 6 6 2 4" xfId="46939"/>
    <cellStyle name="Millares 6 6 3" xfId="9190"/>
    <cellStyle name="Millares 6 6 3 2" xfId="54428"/>
    <cellStyle name="Millares 6 6 4" xfId="15392"/>
    <cellStyle name="Millares 6 6 5" xfId="30344"/>
    <cellStyle name="Millares 6 7" xfId="4015"/>
    <cellStyle name="Millares 6 7 2" xfId="10219"/>
    <cellStyle name="Millares 6 7 2 2" xfId="46940"/>
    <cellStyle name="Millares 6 7 3" xfId="16421"/>
    <cellStyle name="Millares 6 7 3 2" xfId="55385"/>
    <cellStyle name="Millares 6 7 4" xfId="30345"/>
    <cellStyle name="Millares 6 8" xfId="7118"/>
    <cellStyle name="Millares 6 8 2" xfId="18910"/>
    <cellStyle name="Millares 6 8 2 2" xfId="46941"/>
    <cellStyle name="Millares 6 8 3" xfId="30346"/>
    <cellStyle name="Millares 6 9" xfId="13320"/>
    <cellStyle name="Millares 6 9 2" xfId="46942"/>
    <cellStyle name="Millares 6 9 3" xfId="30347"/>
    <cellStyle name="Millares 6_FYFC" xfId="30348"/>
    <cellStyle name="Millares 60" xfId="30349"/>
    <cellStyle name="Millares 60 2" xfId="46943"/>
    <cellStyle name="Millares 61" xfId="30350"/>
    <cellStyle name="Millares 61 2" xfId="30351"/>
    <cellStyle name="Millares 61 2 2" xfId="30352"/>
    <cellStyle name="Millares 61 2 2 2" xfId="30353"/>
    <cellStyle name="Millares 61 2 2 2 2" xfId="46947"/>
    <cellStyle name="Millares 61 2 2 3" xfId="46946"/>
    <cellStyle name="Millares 61 2 3" xfId="30354"/>
    <cellStyle name="Millares 61 2 3 2" xfId="46948"/>
    <cellStyle name="Millares 61 2 4" xfId="46945"/>
    <cellStyle name="Millares 61 3" xfId="30355"/>
    <cellStyle name="Millares 61 3 2" xfId="30356"/>
    <cellStyle name="Millares 61 3 2 2" xfId="30357"/>
    <cellStyle name="Millares 61 3 2 2 2" xfId="46951"/>
    <cellStyle name="Millares 61 3 2 3" xfId="46950"/>
    <cellStyle name="Millares 61 3 3" xfId="30358"/>
    <cellStyle name="Millares 61 3 3 2" xfId="46952"/>
    <cellStyle name="Millares 61 3 4" xfId="46949"/>
    <cellStyle name="Millares 61 4" xfId="30359"/>
    <cellStyle name="Millares 61 4 2" xfId="46953"/>
    <cellStyle name="Millares 61 5" xfId="30360"/>
    <cellStyle name="Millares 61 5 2" xfId="46954"/>
    <cellStyle name="Millares 61 6" xfId="46944"/>
    <cellStyle name="Millares 62" xfId="30361"/>
    <cellStyle name="Millares 62 2" xfId="30362"/>
    <cellStyle name="Millares 62 2 2" xfId="30363"/>
    <cellStyle name="Millares 62 2 2 2" xfId="30364"/>
    <cellStyle name="Millares 62 2 2 2 2" xfId="46958"/>
    <cellStyle name="Millares 62 2 2 3" xfId="46957"/>
    <cellStyle name="Millares 62 2 3" xfId="30365"/>
    <cellStyle name="Millares 62 2 3 2" xfId="46959"/>
    <cellStyle name="Millares 62 2 4" xfId="46956"/>
    <cellStyle name="Millares 62 3" xfId="30366"/>
    <cellStyle name="Millares 62 3 2" xfId="30367"/>
    <cellStyle name="Millares 62 3 2 2" xfId="30368"/>
    <cellStyle name="Millares 62 3 2 2 2" xfId="46962"/>
    <cellStyle name="Millares 62 3 2 3" xfId="46961"/>
    <cellStyle name="Millares 62 3 3" xfId="30369"/>
    <cellStyle name="Millares 62 3 3 2" xfId="46963"/>
    <cellStyle name="Millares 62 3 4" xfId="46960"/>
    <cellStyle name="Millares 62 4" xfId="30370"/>
    <cellStyle name="Millares 62 4 2" xfId="46964"/>
    <cellStyle name="Millares 62 5" xfId="30371"/>
    <cellStyle name="Millares 62 5 2" xfId="46965"/>
    <cellStyle name="Millares 62 6" xfId="46955"/>
    <cellStyle name="Millares 63" xfId="30372"/>
    <cellStyle name="Millares 63 2" xfId="30373"/>
    <cellStyle name="Millares 63 2 2" xfId="30374"/>
    <cellStyle name="Millares 63 2 2 2" xfId="30375"/>
    <cellStyle name="Millares 63 2 2 2 2" xfId="46969"/>
    <cellStyle name="Millares 63 2 2 3" xfId="46968"/>
    <cellStyle name="Millares 63 2 3" xfId="30376"/>
    <cellStyle name="Millares 63 2 3 2" xfId="46970"/>
    <cellStyle name="Millares 63 2 4" xfId="46967"/>
    <cellStyle name="Millares 63 3" xfId="30377"/>
    <cellStyle name="Millares 63 3 2" xfId="30378"/>
    <cellStyle name="Millares 63 3 2 2" xfId="30379"/>
    <cellStyle name="Millares 63 3 2 2 2" xfId="46973"/>
    <cellStyle name="Millares 63 3 2 3" xfId="46972"/>
    <cellStyle name="Millares 63 3 3" xfId="30380"/>
    <cellStyle name="Millares 63 3 3 2" xfId="46974"/>
    <cellStyle name="Millares 63 3 4" xfId="46971"/>
    <cellStyle name="Millares 63 4" xfId="30381"/>
    <cellStyle name="Millares 63 4 2" xfId="46975"/>
    <cellStyle name="Millares 63 5" xfId="30382"/>
    <cellStyle name="Millares 63 5 2" xfId="46976"/>
    <cellStyle name="Millares 63 6" xfId="46966"/>
    <cellStyle name="Millares 64" xfId="30383"/>
    <cellStyle name="Millares 64 2" xfId="30384"/>
    <cellStyle name="Millares 64 2 2" xfId="30385"/>
    <cellStyle name="Millares 64 2 2 2" xfId="30386"/>
    <cellStyle name="Millares 64 2 2 2 2" xfId="46980"/>
    <cellStyle name="Millares 64 2 2 3" xfId="46979"/>
    <cellStyle name="Millares 64 2 3" xfId="30387"/>
    <cellStyle name="Millares 64 2 3 2" xfId="46981"/>
    <cellStyle name="Millares 64 2 4" xfId="46978"/>
    <cellStyle name="Millares 64 3" xfId="30388"/>
    <cellStyle name="Millares 64 3 2" xfId="30389"/>
    <cellStyle name="Millares 64 3 2 2" xfId="30390"/>
    <cellStyle name="Millares 64 3 2 2 2" xfId="46984"/>
    <cellStyle name="Millares 64 3 2 3" xfId="46983"/>
    <cellStyle name="Millares 64 3 3" xfId="30391"/>
    <cellStyle name="Millares 64 3 3 2" xfId="46985"/>
    <cellStyle name="Millares 64 3 4" xfId="46982"/>
    <cellStyle name="Millares 64 4" xfId="30392"/>
    <cellStyle name="Millares 64 4 2" xfId="46986"/>
    <cellStyle name="Millares 64 5" xfId="30393"/>
    <cellStyle name="Millares 64 5 2" xfId="46987"/>
    <cellStyle name="Millares 64 6" xfId="46977"/>
    <cellStyle name="Millares 65" xfId="30394"/>
    <cellStyle name="Millares 65 2" xfId="30395"/>
    <cellStyle name="Millares 65 2 2" xfId="30396"/>
    <cellStyle name="Millares 65 2 2 2" xfId="30397"/>
    <cellStyle name="Millares 65 2 2 2 2" xfId="46991"/>
    <cellStyle name="Millares 65 2 2 3" xfId="46990"/>
    <cellStyle name="Millares 65 2 3" xfId="30398"/>
    <cellStyle name="Millares 65 2 3 2" xfId="46992"/>
    <cellStyle name="Millares 65 2 4" xfId="46989"/>
    <cellStyle name="Millares 65 3" xfId="30399"/>
    <cellStyle name="Millares 65 3 2" xfId="30400"/>
    <cellStyle name="Millares 65 3 2 2" xfId="30401"/>
    <cellStyle name="Millares 65 3 2 2 2" xfId="46995"/>
    <cellStyle name="Millares 65 3 2 3" xfId="46994"/>
    <cellStyle name="Millares 65 3 3" xfId="30402"/>
    <cellStyle name="Millares 65 3 3 2" xfId="46996"/>
    <cellStyle name="Millares 65 3 4" xfId="46993"/>
    <cellStyle name="Millares 65 4" xfId="30403"/>
    <cellStyle name="Millares 65 4 2" xfId="46997"/>
    <cellStyle name="Millares 65 5" xfId="30404"/>
    <cellStyle name="Millares 65 5 2" xfId="46998"/>
    <cellStyle name="Millares 65 6" xfId="46988"/>
    <cellStyle name="Millares 66" xfId="30405"/>
    <cellStyle name="Millares 66 2" xfId="30406"/>
    <cellStyle name="Millares 66 2 2" xfId="30407"/>
    <cellStyle name="Millares 66 2 2 2" xfId="30408"/>
    <cellStyle name="Millares 66 2 2 2 2" xfId="47002"/>
    <cellStyle name="Millares 66 2 2 3" xfId="47001"/>
    <cellStyle name="Millares 66 2 3" xfId="30409"/>
    <cellStyle name="Millares 66 2 3 2" xfId="47003"/>
    <cellStyle name="Millares 66 2 4" xfId="47000"/>
    <cellStyle name="Millares 66 3" xfId="30410"/>
    <cellStyle name="Millares 66 3 2" xfId="30411"/>
    <cellStyle name="Millares 66 3 2 2" xfId="30412"/>
    <cellStyle name="Millares 66 3 2 2 2" xfId="47006"/>
    <cellStyle name="Millares 66 3 2 3" xfId="47005"/>
    <cellStyle name="Millares 66 3 3" xfId="30413"/>
    <cellStyle name="Millares 66 3 3 2" xfId="47007"/>
    <cellStyle name="Millares 66 3 4" xfId="47004"/>
    <cellStyle name="Millares 66 4" xfId="30414"/>
    <cellStyle name="Millares 66 4 2" xfId="47008"/>
    <cellStyle name="Millares 66 5" xfId="30415"/>
    <cellStyle name="Millares 66 5 2" xfId="47009"/>
    <cellStyle name="Millares 66 6" xfId="46999"/>
    <cellStyle name="Millares 67" xfId="30416"/>
    <cellStyle name="Millares 67 2" xfId="30417"/>
    <cellStyle name="Millares 67 2 2" xfId="30418"/>
    <cellStyle name="Millares 67 2 2 2" xfId="30419"/>
    <cellStyle name="Millares 67 2 2 2 2" xfId="47013"/>
    <cellStyle name="Millares 67 2 2 3" xfId="47012"/>
    <cellStyle name="Millares 67 2 3" xfId="30420"/>
    <cellStyle name="Millares 67 2 3 2" xfId="47014"/>
    <cellStyle name="Millares 67 2 4" xfId="47011"/>
    <cellStyle name="Millares 67 3" xfId="30421"/>
    <cellStyle name="Millares 67 3 2" xfId="30422"/>
    <cellStyle name="Millares 67 3 2 2" xfId="30423"/>
    <cellStyle name="Millares 67 3 2 2 2" xfId="47017"/>
    <cellStyle name="Millares 67 3 2 3" xfId="47016"/>
    <cellStyle name="Millares 67 3 3" xfId="30424"/>
    <cellStyle name="Millares 67 3 3 2" xfId="47018"/>
    <cellStyle name="Millares 67 3 4" xfId="47015"/>
    <cellStyle name="Millares 67 4" xfId="30425"/>
    <cellStyle name="Millares 67 4 2" xfId="47019"/>
    <cellStyle name="Millares 67 5" xfId="30426"/>
    <cellStyle name="Millares 67 5 2" xfId="47020"/>
    <cellStyle name="Millares 67 6" xfId="47010"/>
    <cellStyle name="Millares 68" xfId="30427"/>
    <cellStyle name="Millares 68 2" xfId="30428"/>
    <cellStyle name="Millares 68 2 2" xfId="30429"/>
    <cellStyle name="Millares 68 2 2 2" xfId="30430"/>
    <cellStyle name="Millares 68 2 2 2 2" xfId="47024"/>
    <cellStyle name="Millares 68 2 2 3" xfId="47023"/>
    <cellStyle name="Millares 68 2 3" xfId="30431"/>
    <cellStyle name="Millares 68 2 3 2" xfId="47025"/>
    <cellStyle name="Millares 68 2 4" xfId="47022"/>
    <cellStyle name="Millares 68 3" xfId="30432"/>
    <cellStyle name="Millares 68 3 2" xfId="30433"/>
    <cellStyle name="Millares 68 3 2 2" xfId="30434"/>
    <cellStyle name="Millares 68 3 2 2 2" xfId="47028"/>
    <cellStyle name="Millares 68 3 2 3" xfId="47027"/>
    <cellStyle name="Millares 68 3 3" xfId="30435"/>
    <cellStyle name="Millares 68 3 3 2" xfId="47029"/>
    <cellStyle name="Millares 68 3 4" xfId="47026"/>
    <cellStyle name="Millares 68 4" xfId="30436"/>
    <cellStyle name="Millares 68 4 2" xfId="47030"/>
    <cellStyle name="Millares 68 5" xfId="30437"/>
    <cellStyle name="Millares 68 5 2" xfId="47031"/>
    <cellStyle name="Millares 68 6" xfId="47021"/>
    <cellStyle name="Millares 69" xfId="30438"/>
    <cellStyle name="Millares 69 2" xfId="30439"/>
    <cellStyle name="Millares 69 2 2" xfId="30440"/>
    <cellStyle name="Millares 69 2 2 2" xfId="30441"/>
    <cellStyle name="Millares 69 2 2 2 2" xfId="47035"/>
    <cellStyle name="Millares 69 2 2 3" xfId="47034"/>
    <cellStyle name="Millares 69 2 3" xfId="30442"/>
    <cellStyle name="Millares 69 2 3 2" xfId="47036"/>
    <cellStyle name="Millares 69 2 4" xfId="47033"/>
    <cellStyle name="Millares 69 3" xfId="30443"/>
    <cellStyle name="Millares 69 3 2" xfId="30444"/>
    <cellStyle name="Millares 69 3 2 2" xfId="30445"/>
    <cellStyle name="Millares 69 3 2 2 2" xfId="47039"/>
    <cellStyle name="Millares 69 3 2 3" xfId="47038"/>
    <cellStyle name="Millares 69 3 3" xfId="30446"/>
    <cellStyle name="Millares 69 3 3 2" xfId="47040"/>
    <cellStyle name="Millares 69 3 4" xfId="47037"/>
    <cellStyle name="Millares 69 4" xfId="30447"/>
    <cellStyle name="Millares 69 4 2" xfId="47041"/>
    <cellStyle name="Millares 69 5" xfId="30448"/>
    <cellStyle name="Millares 69 5 2" xfId="47042"/>
    <cellStyle name="Millares 69 6" xfId="47032"/>
    <cellStyle name="Millares 7" xfId="789"/>
    <cellStyle name="Millares 7 10" xfId="30450"/>
    <cellStyle name="Millares 7 10 2" xfId="30451"/>
    <cellStyle name="Millares 7 10 2 2" xfId="47045"/>
    <cellStyle name="Millares 7 10 3" xfId="47044"/>
    <cellStyle name="Millares 7 11" xfId="30452"/>
    <cellStyle name="Millares 7 11 2" xfId="30453"/>
    <cellStyle name="Millares 7 11 2 2" xfId="30454"/>
    <cellStyle name="Millares 7 11 2 2 2" xfId="47048"/>
    <cellStyle name="Millares 7 11 2 3" xfId="47047"/>
    <cellStyle name="Millares 7 11 3" xfId="30455"/>
    <cellStyle name="Millares 7 11 3 2" xfId="47049"/>
    <cellStyle name="Millares 7 11 4" xfId="47046"/>
    <cellStyle name="Millares 7 12" xfId="30456"/>
    <cellStyle name="Millares 7 12 2" xfId="30457"/>
    <cellStyle name="Millares 7 12 2 2" xfId="30458"/>
    <cellStyle name="Millares 7 12 2 2 2" xfId="47052"/>
    <cellStyle name="Millares 7 12 2 3" xfId="47051"/>
    <cellStyle name="Millares 7 12 3" xfId="30459"/>
    <cellStyle name="Millares 7 12 3 2" xfId="47053"/>
    <cellStyle name="Millares 7 12 4" xfId="47050"/>
    <cellStyle name="Millares 7 13" xfId="30460"/>
    <cellStyle name="Millares 7 13 2" xfId="30461"/>
    <cellStyle name="Millares 7 13 2 2" xfId="30462"/>
    <cellStyle name="Millares 7 13 2 2 2" xfId="47056"/>
    <cellStyle name="Millares 7 13 2 3" xfId="47055"/>
    <cellStyle name="Millares 7 13 3" xfId="30463"/>
    <cellStyle name="Millares 7 13 3 2" xfId="47057"/>
    <cellStyle name="Millares 7 13 4" xfId="47054"/>
    <cellStyle name="Millares 7 14" xfId="30464"/>
    <cellStyle name="Millares 7 14 2" xfId="47058"/>
    <cellStyle name="Millares 7 15" xfId="30465"/>
    <cellStyle name="Millares 7 15 2" xfId="30466"/>
    <cellStyle name="Millares 7 15 2 2" xfId="47060"/>
    <cellStyle name="Millares 7 15 3" xfId="47059"/>
    <cellStyle name="Millares 7 16" xfId="30467"/>
    <cellStyle name="Millares 7 16 2" xfId="47061"/>
    <cellStyle name="Millares 7 17" xfId="30468"/>
    <cellStyle name="Millares 7 18" xfId="30449"/>
    <cellStyle name="Millares 7 19" xfId="47043"/>
    <cellStyle name="Millares 7 2" xfId="790"/>
    <cellStyle name="Millares 7 2 2" xfId="791"/>
    <cellStyle name="Millares 7 2 2 2" xfId="792"/>
    <cellStyle name="Millares 7 2 2 2 2" xfId="2219"/>
    <cellStyle name="Millares 7 2 2 2 2 2" xfId="5344"/>
    <cellStyle name="Millares 7 2 2 2 2 2 2" xfId="11547"/>
    <cellStyle name="Millares 7 2 2 2 2 2 3" xfId="17749"/>
    <cellStyle name="Millares 7 2 2 2 2 2 4" xfId="56583"/>
    <cellStyle name="Millares 7 2 2 2 2 3" xfId="8447"/>
    <cellStyle name="Millares 7 2 2 2 2 4" xfId="14649"/>
    <cellStyle name="Millares 7 2 2 2 2 5" xfId="53687"/>
    <cellStyle name="Millares 7 2 2 2 3" xfId="2985"/>
    <cellStyle name="Millares 7 2 2 2 3 2" xfId="6098"/>
    <cellStyle name="Millares 7 2 2 2 3 2 2" xfId="12301"/>
    <cellStyle name="Millares 7 2 2 2 3 2 3" xfId="18503"/>
    <cellStyle name="Millares 7 2 2 2 3 2 4" xfId="57329"/>
    <cellStyle name="Millares 7 2 2 2 3 3" xfId="9201"/>
    <cellStyle name="Millares 7 2 2 2 3 4" xfId="15403"/>
    <cellStyle name="Millares 7 2 2 2 3 5" xfId="54439"/>
    <cellStyle name="Millares 7 2 2 2 4" xfId="4026"/>
    <cellStyle name="Millares 7 2 2 2 4 2" xfId="10230"/>
    <cellStyle name="Millares 7 2 2 2 4 3" xfId="16432"/>
    <cellStyle name="Millares 7 2 2 2 4 4" xfId="55395"/>
    <cellStyle name="Millares 7 2 2 2 5" xfId="7129"/>
    <cellStyle name="Millares 7 2 2 2 5 2" xfId="19820"/>
    <cellStyle name="Millares 7 2 2 2 5 3" xfId="52611"/>
    <cellStyle name="Millares 7 2 2 2 6" xfId="13331"/>
    <cellStyle name="Millares 7 2 2 2 7" xfId="47063"/>
    <cellStyle name="Millares 7 2 2 3" xfId="1695"/>
    <cellStyle name="Millares 7 2 2 3 2" xfId="4820"/>
    <cellStyle name="Millares 7 2 2 3 2 2" xfId="11023"/>
    <cellStyle name="Millares 7 2 2 3 2 3" xfId="17225"/>
    <cellStyle name="Millares 7 2 2 3 2 4" xfId="56092"/>
    <cellStyle name="Millares 7 2 2 3 3" xfId="7923"/>
    <cellStyle name="Millares 7 2 2 3 4" xfId="14125"/>
    <cellStyle name="Millares 7 2 2 3 5" xfId="53202"/>
    <cellStyle name="Millares 7 2 2 4" xfId="2984"/>
    <cellStyle name="Millares 7 2 2 4 2" xfId="6097"/>
    <cellStyle name="Millares 7 2 2 4 2 2" xfId="12300"/>
    <cellStyle name="Millares 7 2 2 4 2 3" xfId="18502"/>
    <cellStyle name="Millares 7 2 2 4 2 4" xfId="57328"/>
    <cellStyle name="Millares 7 2 2 4 3" xfId="9200"/>
    <cellStyle name="Millares 7 2 2 4 4" xfId="15402"/>
    <cellStyle name="Millares 7 2 2 4 5" xfId="54438"/>
    <cellStyle name="Millares 7 2 2 5" xfId="4025"/>
    <cellStyle name="Millares 7 2 2 5 2" xfId="10229"/>
    <cellStyle name="Millares 7 2 2 5 3" xfId="16431"/>
    <cellStyle name="Millares 7 2 2 5 4" xfId="55394"/>
    <cellStyle name="Millares 7 2 2 6" xfId="7128"/>
    <cellStyle name="Millares 7 2 2 6 2" xfId="19296"/>
    <cellStyle name="Millares 7 2 2 6 3" xfId="52610"/>
    <cellStyle name="Millares 7 2 2 7" xfId="13330"/>
    <cellStyle name="Millares 7 2 2 8" xfId="30470"/>
    <cellStyle name="Millares 7 2 3" xfId="793"/>
    <cellStyle name="Millares 7 2 3 2" xfId="1974"/>
    <cellStyle name="Millares 7 2 3 2 2" xfId="5099"/>
    <cellStyle name="Millares 7 2 3 2 2 2" xfId="11302"/>
    <cellStyle name="Millares 7 2 3 2 2 3" xfId="17504"/>
    <cellStyle name="Millares 7 2 3 2 2 4" xfId="56356"/>
    <cellStyle name="Millares 7 2 3 2 3" xfId="8202"/>
    <cellStyle name="Millares 7 2 3 2 4" xfId="14404"/>
    <cellStyle name="Millares 7 2 3 2 5" xfId="53462"/>
    <cellStyle name="Millares 7 2 3 3" xfId="2986"/>
    <cellStyle name="Millares 7 2 3 3 2" xfId="6099"/>
    <cellStyle name="Millares 7 2 3 3 2 2" xfId="12302"/>
    <cellStyle name="Millares 7 2 3 3 2 3" xfId="18504"/>
    <cellStyle name="Millares 7 2 3 3 2 4" xfId="57330"/>
    <cellStyle name="Millares 7 2 3 3 3" xfId="9202"/>
    <cellStyle name="Millares 7 2 3 3 4" xfId="15404"/>
    <cellStyle name="Millares 7 2 3 3 5" xfId="54440"/>
    <cellStyle name="Millares 7 2 3 4" xfId="4027"/>
    <cellStyle name="Millares 7 2 3 4 2" xfId="10231"/>
    <cellStyle name="Millares 7 2 3 4 3" xfId="16433"/>
    <cellStyle name="Millares 7 2 3 4 4" xfId="55396"/>
    <cellStyle name="Millares 7 2 3 5" xfId="7130"/>
    <cellStyle name="Millares 7 2 3 5 2" xfId="19575"/>
    <cellStyle name="Millares 7 2 3 5 3" xfId="52612"/>
    <cellStyle name="Millares 7 2 3 6" xfId="13332"/>
    <cellStyle name="Millares 7 2 3 7" xfId="30471"/>
    <cellStyle name="Millares 7 2 4" xfId="1450"/>
    <cellStyle name="Millares 7 2 4 2" xfId="4575"/>
    <cellStyle name="Millares 7 2 4 2 2" xfId="10778"/>
    <cellStyle name="Millares 7 2 4 2 3" xfId="16980"/>
    <cellStyle name="Millares 7 2 4 2 4" xfId="55860"/>
    <cellStyle name="Millares 7 2 4 3" xfId="7678"/>
    <cellStyle name="Millares 7 2 4 3 2" xfId="52978"/>
    <cellStyle name="Millares 7 2 4 4" xfId="13880"/>
    <cellStyle name="Millares 7 2 4 5" xfId="30469"/>
    <cellStyle name="Millares 7 2 5" xfId="2983"/>
    <cellStyle name="Millares 7 2 5 2" xfId="6096"/>
    <cellStyle name="Millares 7 2 5 2 2" xfId="12299"/>
    <cellStyle name="Millares 7 2 5 2 3" xfId="18501"/>
    <cellStyle name="Millares 7 2 5 2 4" xfId="57327"/>
    <cellStyle name="Millares 7 2 5 3" xfId="9199"/>
    <cellStyle name="Millares 7 2 5 3 2" xfId="54437"/>
    <cellStyle name="Millares 7 2 5 4" xfId="15401"/>
    <cellStyle name="Millares 7 2 5 5" xfId="47062"/>
    <cellStyle name="Millares 7 2 6" xfId="4024"/>
    <cellStyle name="Millares 7 2 6 2" xfId="10228"/>
    <cellStyle name="Millares 7 2 6 3" xfId="16430"/>
    <cellStyle name="Millares 7 2 6 4" xfId="52094"/>
    <cellStyle name="Millares 7 2 7" xfId="7127"/>
    <cellStyle name="Millares 7 2 7 2" xfId="19051"/>
    <cellStyle name="Millares 7 2 8" xfId="13329"/>
    <cellStyle name="Millares 7 2 9" xfId="19999"/>
    <cellStyle name="Millares 7 2_Plan by Lob" xfId="30472"/>
    <cellStyle name="Millares 7 20" xfId="19954"/>
    <cellStyle name="Millares 7 3" xfId="794"/>
    <cellStyle name="Millares 7 3 2" xfId="795"/>
    <cellStyle name="Millares 7 3 2 2" xfId="2159"/>
    <cellStyle name="Millares 7 3 2 2 2" xfId="5284"/>
    <cellStyle name="Millares 7 3 2 2 2 2" xfId="11487"/>
    <cellStyle name="Millares 7 3 2 2 2 3" xfId="17689"/>
    <cellStyle name="Millares 7 3 2 2 2 4" xfId="56527"/>
    <cellStyle name="Millares 7 3 2 2 3" xfId="8387"/>
    <cellStyle name="Millares 7 3 2 2 4" xfId="14589"/>
    <cellStyle name="Millares 7 3 2 2 5" xfId="53631"/>
    <cellStyle name="Millares 7 3 2 3" xfId="2988"/>
    <cellStyle name="Millares 7 3 2 3 2" xfId="6101"/>
    <cellStyle name="Millares 7 3 2 3 2 2" xfId="12304"/>
    <cellStyle name="Millares 7 3 2 3 2 3" xfId="18506"/>
    <cellStyle name="Millares 7 3 2 3 2 4" xfId="57332"/>
    <cellStyle name="Millares 7 3 2 3 3" xfId="9204"/>
    <cellStyle name="Millares 7 3 2 3 4" xfId="15406"/>
    <cellStyle name="Millares 7 3 2 3 5" xfId="54442"/>
    <cellStyle name="Millares 7 3 2 4" xfId="4029"/>
    <cellStyle name="Millares 7 3 2 4 2" xfId="10233"/>
    <cellStyle name="Millares 7 3 2 4 3" xfId="16435"/>
    <cellStyle name="Millares 7 3 2 4 4" xfId="55398"/>
    <cellStyle name="Millares 7 3 2 5" xfId="7132"/>
    <cellStyle name="Millares 7 3 2 5 2" xfId="19760"/>
    <cellStyle name="Millares 7 3 2 5 3" xfId="52614"/>
    <cellStyle name="Millares 7 3 2 6" xfId="13334"/>
    <cellStyle name="Millares 7 3 2 7" xfId="47064"/>
    <cellStyle name="Millares 7 3 3" xfId="1635"/>
    <cellStyle name="Millares 7 3 3 2" xfId="4760"/>
    <cellStyle name="Millares 7 3 3 2 2" xfId="10963"/>
    <cellStyle name="Millares 7 3 3 2 3" xfId="17165"/>
    <cellStyle name="Millares 7 3 3 2 4" xfId="56036"/>
    <cellStyle name="Millares 7 3 3 3" xfId="7863"/>
    <cellStyle name="Millares 7 3 3 4" xfId="14065"/>
    <cellStyle name="Millares 7 3 3 5" xfId="53146"/>
    <cellStyle name="Millares 7 3 4" xfId="2987"/>
    <cellStyle name="Millares 7 3 4 2" xfId="6100"/>
    <cellStyle name="Millares 7 3 4 2 2" xfId="12303"/>
    <cellStyle name="Millares 7 3 4 2 3" xfId="18505"/>
    <cellStyle name="Millares 7 3 4 2 4" xfId="57331"/>
    <cellStyle name="Millares 7 3 4 3" xfId="9203"/>
    <cellStyle name="Millares 7 3 4 4" xfId="15405"/>
    <cellStyle name="Millares 7 3 4 5" xfId="54441"/>
    <cellStyle name="Millares 7 3 5" xfId="4028"/>
    <cellStyle name="Millares 7 3 5 2" xfId="10232"/>
    <cellStyle name="Millares 7 3 5 3" xfId="16434"/>
    <cellStyle name="Millares 7 3 5 4" xfId="55397"/>
    <cellStyle name="Millares 7 3 6" xfId="7131"/>
    <cellStyle name="Millares 7 3 6 2" xfId="19236"/>
    <cellStyle name="Millares 7 3 6 3" xfId="52613"/>
    <cellStyle name="Millares 7 3 7" xfId="13333"/>
    <cellStyle name="Millares 7 3 8" xfId="30473"/>
    <cellStyle name="Millares 7 4" xfId="796"/>
    <cellStyle name="Millares 7 4 2" xfId="1832"/>
    <cellStyle name="Millares 7 4 2 2" xfId="4957"/>
    <cellStyle name="Millares 7 4 2 2 2" xfId="11160"/>
    <cellStyle name="Millares 7 4 2 2 3" xfId="17362"/>
    <cellStyle name="Millares 7 4 2 2 4" xfId="56221"/>
    <cellStyle name="Millares 7 4 2 3" xfId="8060"/>
    <cellStyle name="Millares 7 4 2 3 2" xfId="53327"/>
    <cellStyle name="Millares 7 4 2 4" xfId="14262"/>
    <cellStyle name="Millares 7 4 2 5" xfId="47065"/>
    <cellStyle name="Millares 7 4 3" xfId="2989"/>
    <cellStyle name="Millares 7 4 3 2" xfId="6102"/>
    <cellStyle name="Millares 7 4 3 2 2" xfId="12305"/>
    <cellStyle name="Millares 7 4 3 2 3" xfId="18507"/>
    <cellStyle name="Millares 7 4 3 2 4" xfId="57333"/>
    <cellStyle name="Millares 7 4 3 3" xfId="9205"/>
    <cellStyle name="Millares 7 4 3 4" xfId="15407"/>
    <cellStyle name="Millares 7 4 3 5" xfId="54443"/>
    <cellStyle name="Millares 7 4 4" xfId="4030"/>
    <cellStyle name="Millares 7 4 4 2" xfId="10234"/>
    <cellStyle name="Millares 7 4 4 3" xfId="16436"/>
    <cellStyle name="Millares 7 4 4 4" xfId="55399"/>
    <cellStyle name="Millares 7 4 5" xfId="7133"/>
    <cellStyle name="Millares 7 4 5 2" xfId="19433"/>
    <cellStyle name="Millares 7 4 5 3" xfId="52615"/>
    <cellStyle name="Millares 7 4 6" xfId="13335"/>
    <cellStyle name="Millares 7 4 7" xfId="30474"/>
    <cellStyle name="Millares 7 5" xfId="1308"/>
    <cellStyle name="Millares 7 5 2" xfId="4433"/>
    <cellStyle name="Millares 7 5 2 2" xfId="10636"/>
    <cellStyle name="Millares 7 5 2 2 2" xfId="55724"/>
    <cellStyle name="Millares 7 5 2 3" xfId="16838"/>
    <cellStyle name="Millares 7 5 2 4" xfId="47066"/>
    <cellStyle name="Millares 7 5 3" xfId="7536"/>
    <cellStyle name="Millares 7 5 3 2" xfId="52853"/>
    <cellStyle name="Millares 7 5 4" xfId="13738"/>
    <cellStyle name="Millares 7 5 5" xfId="30475"/>
    <cellStyle name="Millares 7 6" xfId="2982"/>
    <cellStyle name="Millares 7 6 2" xfId="6095"/>
    <cellStyle name="Millares 7 6 2 2" xfId="12298"/>
    <cellStyle name="Millares 7 6 2 2 2" xfId="57326"/>
    <cellStyle name="Millares 7 6 2 3" xfId="18500"/>
    <cellStyle name="Millares 7 6 2 4" xfId="47067"/>
    <cellStyle name="Millares 7 6 3" xfId="9198"/>
    <cellStyle name="Millares 7 6 3 2" xfId="54436"/>
    <cellStyle name="Millares 7 6 4" xfId="15400"/>
    <cellStyle name="Millares 7 6 5" xfId="30476"/>
    <cellStyle name="Millares 7 7" xfId="4023"/>
    <cellStyle name="Millares 7 7 2" xfId="10227"/>
    <cellStyle name="Millares 7 7 2 2" xfId="47068"/>
    <cellStyle name="Millares 7 7 3" xfId="16429"/>
    <cellStyle name="Millares 7 7 3 2" xfId="55393"/>
    <cellStyle name="Millares 7 7 4" xfId="30477"/>
    <cellStyle name="Millares 7 8" xfId="7126"/>
    <cellStyle name="Millares 7 8 2" xfId="18909"/>
    <cellStyle name="Millares 7 8 2 2" xfId="47069"/>
    <cellStyle name="Millares 7 8 3" xfId="30478"/>
    <cellStyle name="Millares 7 9" xfId="13328"/>
    <cellStyle name="Millares 7 9 2" xfId="30480"/>
    <cellStyle name="Millares 7 9 2 2" xfId="47071"/>
    <cellStyle name="Millares 7 9 3" xfId="47070"/>
    <cellStyle name="Millares 7 9 4" xfId="30479"/>
    <cellStyle name="Millares 7_IAS" xfId="30481"/>
    <cellStyle name="Millares 70" xfId="30482"/>
    <cellStyle name="Millares 70 2" xfId="30483"/>
    <cellStyle name="Millares 70 2 2" xfId="30484"/>
    <cellStyle name="Millares 70 2 2 2" xfId="30485"/>
    <cellStyle name="Millares 70 2 2 2 2" xfId="47075"/>
    <cellStyle name="Millares 70 2 2 3" xfId="47074"/>
    <cellStyle name="Millares 70 2 3" xfId="30486"/>
    <cellStyle name="Millares 70 2 3 2" xfId="47076"/>
    <cellStyle name="Millares 70 2 4" xfId="47073"/>
    <cellStyle name="Millares 70 3" xfId="30487"/>
    <cellStyle name="Millares 70 3 2" xfId="30488"/>
    <cellStyle name="Millares 70 3 2 2" xfId="30489"/>
    <cellStyle name="Millares 70 3 2 2 2" xfId="47079"/>
    <cellStyle name="Millares 70 3 2 3" xfId="47078"/>
    <cellStyle name="Millares 70 3 3" xfId="30490"/>
    <cellStyle name="Millares 70 3 3 2" xfId="47080"/>
    <cellStyle name="Millares 70 3 4" xfId="47077"/>
    <cellStyle name="Millares 70 4" xfId="30491"/>
    <cellStyle name="Millares 70 4 2" xfId="47081"/>
    <cellStyle name="Millares 70 5" xfId="30492"/>
    <cellStyle name="Millares 70 5 2" xfId="47082"/>
    <cellStyle name="Millares 70 6" xfId="47072"/>
    <cellStyle name="Millares 71" xfId="30493"/>
    <cellStyle name="Millares 71 2" xfId="47083"/>
    <cellStyle name="Millares 72" xfId="30494"/>
    <cellStyle name="Millares 72 2" xfId="47084"/>
    <cellStyle name="Millares 73" xfId="30495"/>
    <cellStyle name="Millares 73 2" xfId="47085"/>
    <cellStyle name="Millares 74" xfId="30496"/>
    <cellStyle name="Millares 74 2" xfId="47086"/>
    <cellStyle name="Millares 75" xfId="30497"/>
    <cellStyle name="Millares 75 2" xfId="47087"/>
    <cellStyle name="Millares 76" xfId="30498"/>
    <cellStyle name="Millares 76 2" xfId="47088"/>
    <cellStyle name="Millares 77" xfId="30499"/>
    <cellStyle name="Millares 77 2" xfId="47089"/>
    <cellStyle name="Millares 78" xfId="30500"/>
    <cellStyle name="Millares 78 2" xfId="47090"/>
    <cellStyle name="Millares 79" xfId="30501"/>
    <cellStyle name="Millares 79 2" xfId="47091"/>
    <cellStyle name="Millares 8" xfId="797"/>
    <cellStyle name="Millares 8 10" xfId="30503"/>
    <cellStyle name="Millares 8 11" xfId="30502"/>
    <cellStyle name="Millares 8 12" xfId="47092"/>
    <cellStyle name="Millares 8 13" xfId="51966"/>
    <cellStyle name="Millares 8 14" xfId="19955"/>
    <cellStyle name="Millares 8 2" xfId="798"/>
    <cellStyle name="Millares 8 2 2" xfId="799"/>
    <cellStyle name="Millares 8 2 2 2" xfId="800"/>
    <cellStyle name="Millares 8 2 2 2 2" xfId="2221"/>
    <cellStyle name="Millares 8 2 2 2 2 2" xfId="5346"/>
    <cellStyle name="Millares 8 2 2 2 2 2 2" xfId="11549"/>
    <cellStyle name="Millares 8 2 2 2 2 2 3" xfId="17751"/>
    <cellStyle name="Millares 8 2 2 2 2 2 4" xfId="56585"/>
    <cellStyle name="Millares 8 2 2 2 2 3" xfId="8449"/>
    <cellStyle name="Millares 8 2 2 2 2 4" xfId="14651"/>
    <cellStyle name="Millares 8 2 2 2 2 5" xfId="53689"/>
    <cellStyle name="Millares 8 2 2 2 3" xfId="2993"/>
    <cellStyle name="Millares 8 2 2 2 3 2" xfId="6106"/>
    <cellStyle name="Millares 8 2 2 2 3 2 2" xfId="12309"/>
    <cellStyle name="Millares 8 2 2 2 3 2 3" xfId="18511"/>
    <cellStyle name="Millares 8 2 2 2 3 2 4" xfId="57337"/>
    <cellStyle name="Millares 8 2 2 2 3 3" xfId="9209"/>
    <cellStyle name="Millares 8 2 2 2 3 4" xfId="15411"/>
    <cellStyle name="Millares 8 2 2 2 3 5" xfId="54447"/>
    <cellStyle name="Millares 8 2 2 2 4" xfId="4034"/>
    <cellStyle name="Millares 8 2 2 2 4 2" xfId="10238"/>
    <cellStyle name="Millares 8 2 2 2 4 3" xfId="16440"/>
    <cellStyle name="Millares 8 2 2 2 4 4" xfId="55403"/>
    <cellStyle name="Millares 8 2 2 2 5" xfId="7137"/>
    <cellStyle name="Millares 8 2 2 2 5 2" xfId="19822"/>
    <cellStyle name="Millares 8 2 2 2 5 3" xfId="52617"/>
    <cellStyle name="Millares 8 2 2 2 6" xfId="13339"/>
    <cellStyle name="Millares 8 2 2 2 7" xfId="47094"/>
    <cellStyle name="Millares 8 2 2 3" xfId="1697"/>
    <cellStyle name="Millares 8 2 2 3 2" xfId="4822"/>
    <cellStyle name="Millares 8 2 2 3 2 2" xfId="11025"/>
    <cellStyle name="Millares 8 2 2 3 2 3" xfId="17227"/>
    <cellStyle name="Millares 8 2 2 3 2 4" xfId="56094"/>
    <cellStyle name="Millares 8 2 2 3 3" xfId="7925"/>
    <cellStyle name="Millares 8 2 2 3 4" xfId="14127"/>
    <cellStyle name="Millares 8 2 2 3 5" xfId="53204"/>
    <cellStyle name="Millares 8 2 2 4" xfId="2992"/>
    <cellStyle name="Millares 8 2 2 4 2" xfId="6105"/>
    <cellStyle name="Millares 8 2 2 4 2 2" xfId="12308"/>
    <cellStyle name="Millares 8 2 2 4 2 3" xfId="18510"/>
    <cellStyle name="Millares 8 2 2 4 2 4" xfId="57336"/>
    <cellStyle name="Millares 8 2 2 4 3" xfId="9208"/>
    <cellStyle name="Millares 8 2 2 4 4" xfId="15410"/>
    <cellStyle name="Millares 8 2 2 4 5" xfId="54446"/>
    <cellStyle name="Millares 8 2 2 5" xfId="4033"/>
    <cellStyle name="Millares 8 2 2 5 2" xfId="10237"/>
    <cellStyle name="Millares 8 2 2 5 3" xfId="16439"/>
    <cellStyle name="Millares 8 2 2 5 4" xfId="55402"/>
    <cellStyle name="Millares 8 2 2 6" xfId="7136"/>
    <cellStyle name="Millares 8 2 2 6 2" xfId="19298"/>
    <cellStyle name="Millares 8 2 2 6 3" xfId="52616"/>
    <cellStyle name="Millares 8 2 2 7" xfId="13338"/>
    <cellStyle name="Millares 8 2 2 8" xfId="30505"/>
    <cellStyle name="Millares 8 2 3" xfId="801"/>
    <cellStyle name="Millares 8 2 3 2" xfId="1976"/>
    <cellStyle name="Millares 8 2 3 2 2" xfId="5101"/>
    <cellStyle name="Millares 8 2 3 2 2 2" xfId="11304"/>
    <cellStyle name="Millares 8 2 3 2 2 3" xfId="17506"/>
    <cellStyle name="Millares 8 2 3 2 2 4" xfId="56358"/>
    <cellStyle name="Millares 8 2 3 2 3" xfId="8204"/>
    <cellStyle name="Millares 8 2 3 2 3 2" xfId="53464"/>
    <cellStyle name="Millares 8 2 3 2 4" xfId="14406"/>
    <cellStyle name="Millares 8 2 3 2 5" xfId="47095"/>
    <cellStyle name="Millares 8 2 3 3" xfId="2994"/>
    <cellStyle name="Millares 8 2 3 3 2" xfId="6107"/>
    <cellStyle name="Millares 8 2 3 3 2 2" xfId="12310"/>
    <cellStyle name="Millares 8 2 3 3 2 3" xfId="18512"/>
    <cellStyle name="Millares 8 2 3 3 2 4" xfId="57338"/>
    <cellStyle name="Millares 8 2 3 3 3" xfId="9210"/>
    <cellStyle name="Millares 8 2 3 3 4" xfId="15412"/>
    <cellStyle name="Millares 8 2 3 3 5" xfId="54448"/>
    <cellStyle name="Millares 8 2 3 4" xfId="4035"/>
    <cellStyle name="Millares 8 2 3 4 2" xfId="10239"/>
    <cellStyle name="Millares 8 2 3 4 3" xfId="16441"/>
    <cellStyle name="Millares 8 2 3 4 4" xfId="55404"/>
    <cellStyle name="Millares 8 2 3 5" xfId="7138"/>
    <cellStyle name="Millares 8 2 3 5 2" xfId="19577"/>
    <cellStyle name="Millares 8 2 3 5 3" xfId="52618"/>
    <cellStyle name="Millares 8 2 3 6" xfId="13340"/>
    <cellStyle name="Millares 8 2 3 7" xfId="30506"/>
    <cellStyle name="Millares 8 2 4" xfId="1452"/>
    <cellStyle name="Millares 8 2 4 2" xfId="4577"/>
    <cellStyle name="Millares 8 2 4 2 2" xfId="10780"/>
    <cellStyle name="Millares 8 2 4 2 3" xfId="16982"/>
    <cellStyle name="Millares 8 2 4 2 4" xfId="55862"/>
    <cellStyle name="Millares 8 2 4 3" xfId="7680"/>
    <cellStyle name="Millares 8 2 4 3 2" xfId="52980"/>
    <cellStyle name="Millares 8 2 4 4" xfId="13882"/>
    <cellStyle name="Millares 8 2 4 5" xfId="30507"/>
    <cellStyle name="Millares 8 2 5" xfId="2991"/>
    <cellStyle name="Millares 8 2 5 2" xfId="6104"/>
    <cellStyle name="Millares 8 2 5 2 2" xfId="12307"/>
    <cellStyle name="Millares 8 2 5 2 3" xfId="18509"/>
    <cellStyle name="Millares 8 2 5 2 4" xfId="57335"/>
    <cellStyle name="Millares 8 2 5 3" xfId="9207"/>
    <cellStyle name="Millares 8 2 5 3 2" xfId="54445"/>
    <cellStyle name="Millares 8 2 5 4" xfId="15409"/>
    <cellStyle name="Millares 8 2 5 5" xfId="30504"/>
    <cellStyle name="Millares 8 2 6" xfId="4032"/>
    <cellStyle name="Millares 8 2 6 2" xfId="10236"/>
    <cellStyle name="Millares 8 2 6 2 2" xfId="55401"/>
    <cellStyle name="Millares 8 2 6 3" xfId="16438"/>
    <cellStyle name="Millares 8 2 6 4" xfId="47093"/>
    <cellStyle name="Millares 8 2 7" xfId="7135"/>
    <cellStyle name="Millares 8 2 7 2" xfId="19053"/>
    <cellStyle name="Millares 8 2 7 3" xfId="52096"/>
    <cellStyle name="Millares 8 2 8" xfId="13337"/>
    <cellStyle name="Millares 8 2 9" xfId="20000"/>
    <cellStyle name="Millares 8 2_Plan by Lob" xfId="30508"/>
    <cellStyle name="Millares 8 3" xfId="802"/>
    <cellStyle name="Millares 8 3 2" xfId="803"/>
    <cellStyle name="Millares 8 3 2 2" xfId="2161"/>
    <cellStyle name="Millares 8 3 2 2 2" xfId="5286"/>
    <cellStyle name="Millares 8 3 2 2 2 2" xfId="11489"/>
    <cellStyle name="Millares 8 3 2 2 2 3" xfId="17691"/>
    <cellStyle name="Millares 8 3 2 2 2 4" xfId="56529"/>
    <cellStyle name="Millares 8 3 2 2 3" xfId="8389"/>
    <cellStyle name="Millares 8 3 2 2 4" xfId="14591"/>
    <cellStyle name="Millares 8 3 2 2 5" xfId="53633"/>
    <cellStyle name="Millares 8 3 2 3" xfId="2996"/>
    <cellStyle name="Millares 8 3 2 3 2" xfId="6109"/>
    <cellStyle name="Millares 8 3 2 3 2 2" xfId="12312"/>
    <cellStyle name="Millares 8 3 2 3 2 3" xfId="18514"/>
    <cellStyle name="Millares 8 3 2 3 2 4" xfId="57340"/>
    <cellStyle name="Millares 8 3 2 3 3" xfId="9212"/>
    <cellStyle name="Millares 8 3 2 3 4" xfId="15414"/>
    <cellStyle name="Millares 8 3 2 3 5" xfId="54450"/>
    <cellStyle name="Millares 8 3 2 4" xfId="4037"/>
    <cellStyle name="Millares 8 3 2 4 2" xfId="10241"/>
    <cellStyle name="Millares 8 3 2 4 3" xfId="16443"/>
    <cellStyle name="Millares 8 3 2 4 4" xfId="55406"/>
    <cellStyle name="Millares 8 3 2 5" xfId="7140"/>
    <cellStyle name="Millares 8 3 2 5 2" xfId="19762"/>
    <cellStyle name="Millares 8 3 2 5 3" xfId="52620"/>
    <cellStyle name="Millares 8 3 2 6" xfId="13342"/>
    <cellStyle name="Millares 8 3 2 7" xfId="47096"/>
    <cellStyle name="Millares 8 3 3" xfId="1637"/>
    <cellStyle name="Millares 8 3 3 2" xfId="4762"/>
    <cellStyle name="Millares 8 3 3 2 2" xfId="10965"/>
    <cellStyle name="Millares 8 3 3 2 3" xfId="17167"/>
    <cellStyle name="Millares 8 3 3 2 4" xfId="56038"/>
    <cellStyle name="Millares 8 3 3 3" xfId="7865"/>
    <cellStyle name="Millares 8 3 3 4" xfId="14067"/>
    <cellStyle name="Millares 8 3 3 5" xfId="53148"/>
    <cellStyle name="Millares 8 3 4" xfId="2995"/>
    <cellStyle name="Millares 8 3 4 2" xfId="6108"/>
    <cellStyle name="Millares 8 3 4 2 2" xfId="12311"/>
    <cellStyle name="Millares 8 3 4 2 3" xfId="18513"/>
    <cellStyle name="Millares 8 3 4 2 4" xfId="57339"/>
    <cellStyle name="Millares 8 3 4 3" xfId="9211"/>
    <cellStyle name="Millares 8 3 4 4" xfId="15413"/>
    <cellStyle name="Millares 8 3 4 5" xfId="54449"/>
    <cellStyle name="Millares 8 3 5" xfId="4036"/>
    <cellStyle name="Millares 8 3 5 2" xfId="10240"/>
    <cellStyle name="Millares 8 3 5 3" xfId="16442"/>
    <cellStyle name="Millares 8 3 5 4" xfId="55405"/>
    <cellStyle name="Millares 8 3 6" xfId="7139"/>
    <cellStyle name="Millares 8 3 6 2" xfId="19238"/>
    <cellStyle name="Millares 8 3 6 3" xfId="52619"/>
    <cellStyle name="Millares 8 3 7" xfId="13341"/>
    <cellStyle name="Millares 8 3 8" xfId="30509"/>
    <cellStyle name="Millares 8 4" xfId="804"/>
    <cellStyle name="Millares 8 4 2" xfId="1834"/>
    <cellStyle name="Millares 8 4 2 2" xfId="4959"/>
    <cellStyle name="Millares 8 4 2 2 2" xfId="11162"/>
    <cellStyle name="Millares 8 4 2 2 3" xfId="17364"/>
    <cellStyle name="Millares 8 4 2 2 4" xfId="56223"/>
    <cellStyle name="Millares 8 4 2 3" xfId="8062"/>
    <cellStyle name="Millares 8 4 2 3 2" xfId="53329"/>
    <cellStyle name="Millares 8 4 2 4" xfId="14264"/>
    <cellStyle name="Millares 8 4 2 5" xfId="47097"/>
    <cellStyle name="Millares 8 4 3" xfId="2997"/>
    <cellStyle name="Millares 8 4 3 2" xfId="6110"/>
    <cellStyle name="Millares 8 4 3 2 2" xfId="12313"/>
    <cellStyle name="Millares 8 4 3 2 3" xfId="18515"/>
    <cellStyle name="Millares 8 4 3 2 4" xfId="57341"/>
    <cellStyle name="Millares 8 4 3 3" xfId="9213"/>
    <cellStyle name="Millares 8 4 3 4" xfId="15415"/>
    <cellStyle name="Millares 8 4 3 5" xfId="54451"/>
    <cellStyle name="Millares 8 4 4" xfId="4038"/>
    <cellStyle name="Millares 8 4 4 2" xfId="10242"/>
    <cellStyle name="Millares 8 4 4 3" xfId="16444"/>
    <cellStyle name="Millares 8 4 4 4" xfId="55407"/>
    <cellStyle name="Millares 8 4 5" xfId="7141"/>
    <cellStyle name="Millares 8 4 5 2" xfId="19435"/>
    <cellStyle name="Millares 8 4 5 3" xfId="52621"/>
    <cellStyle name="Millares 8 4 6" xfId="13343"/>
    <cellStyle name="Millares 8 4 7" xfId="30510"/>
    <cellStyle name="Millares 8 5" xfId="1310"/>
    <cellStyle name="Millares 8 5 2" xfId="4435"/>
    <cellStyle name="Millares 8 5 2 2" xfId="10638"/>
    <cellStyle name="Millares 8 5 2 2 2" xfId="55726"/>
    <cellStyle name="Millares 8 5 2 3" xfId="16840"/>
    <cellStyle name="Millares 8 5 2 4" xfId="47098"/>
    <cellStyle name="Millares 8 5 3" xfId="7538"/>
    <cellStyle name="Millares 8 5 3 2" xfId="52855"/>
    <cellStyle name="Millares 8 5 4" xfId="13740"/>
    <cellStyle name="Millares 8 5 5" xfId="30511"/>
    <cellStyle name="Millares 8 6" xfId="2990"/>
    <cellStyle name="Millares 8 6 2" xfId="6103"/>
    <cellStyle name="Millares 8 6 2 2" xfId="12306"/>
    <cellStyle name="Millares 8 6 2 2 2" xfId="57334"/>
    <cellStyle name="Millares 8 6 2 3" xfId="18508"/>
    <cellStyle name="Millares 8 6 2 4" xfId="47099"/>
    <cellStyle name="Millares 8 6 3" xfId="9206"/>
    <cellStyle name="Millares 8 6 3 2" xfId="54444"/>
    <cellStyle name="Millares 8 6 4" xfId="15408"/>
    <cellStyle name="Millares 8 6 5" xfId="30512"/>
    <cellStyle name="Millares 8 7" xfId="4031"/>
    <cellStyle name="Millares 8 7 2" xfId="10235"/>
    <cellStyle name="Millares 8 7 2 2" xfId="47100"/>
    <cellStyle name="Millares 8 7 3" xfId="16437"/>
    <cellStyle name="Millares 8 7 3 2" xfId="55400"/>
    <cellStyle name="Millares 8 7 4" xfId="30513"/>
    <cellStyle name="Millares 8 8" xfId="7134"/>
    <cellStyle name="Millares 8 8 2" xfId="18911"/>
    <cellStyle name="Millares 8 8 2 2" xfId="47101"/>
    <cellStyle name="Millares 8 8 3" xfId="30514"/>
    <cellStyle name="Millares 8 9" xfId="13336"/>
    <cellStyle name="Millares 8 9 2" xfId="47102"/>
    <cellStyle name="Millares 8 9 3" xfId="30515"/>
    <cellStyle name="Millares 8_Plan by Lob" xfId="30516"/>
    <cellStyle name="Millares 80" xfId="30517"/>
    <cellStyle name="Millares 80 2" xfId="47103"/>
    <cellStyle name="Millares 81" xfId="30518"/>
    <cellStyle name="Millares 81 2" xfId="47104"/>
    <cellStyle name="Millares 82" xfId="30519"/>
    <cellStyle name="Millares 82 2" xfId="47105"/>
    <cellStyle name="Millares 83" xfId="30520"/>
    <cellStyle name="Millares 83 2" xfId="47106"/>
    <cellStyle name="Millares 84" xfId="30521"/>
    <cellStyle name="Millares 84 2" xfId="47107"/>
    <cellStyle name="Millares 85" xfId="30522"/>
    <cellStyle name="Millares 85 2" xfId="47108"/>
    <cellStyle name="Millares 86" xfId="30523"/>
    <cellStyle name="Millares 86 2" xfId="47109"/>
    <cellStyle name="Millares 87" xfId="30524"/>
    <cellStyle name="Millares 87 2" xfId="47110"/>
    <cellStyle name="Millares 88" xfId="30525"/>
    <cellStyle name="Millares 88 2" xfId="47111"/>
    <cellStyle name="Millares 89" xfId="30526"/>
    <cellStyle name="Millares 89 2" xfId="47112"/>
    <cellStyle name="Millares 9" xfId="805"/>
    <cellStyle name="Millares 9 10" xfId="19956"/>
    <cellStyle name="Millares 9 2" xfId="806"/>
    <cellStyle name="Millares 9 2 2" xfId="807"/>
    <cellStyle name="Millares 9 2 2 2" xfId="808"/>
    <cellStyle name="Millares 9 2 2 2 2" xfId="2222"/>
    <cellStyle name="Millares 9 2 2 2 2 2" xfId="5347"/>
    <cellStyle name="Millares 9 2 2 2 2 2 2" xfId="11550"/>
    <cellStyle name="Millares 9 2 2 2 2 2 3" xfId="17752"/>
    <cellStyle name="Millares 9 2 2 2 2 2 4" xfId="56586"/>
    <cellStyle name="Millares 9 2 2 2 2 3" xfId="8450"/>
    <cellStyle name="Millares 9 2 2 2 2 4" xfId="14652"/>
    <cellStyle name="Millares 9 2 2 2 2 5" xfId="53690"/>
    <cellStyle name="Millares 9 2 2 2 3" xfId="3001"/>
    <cellStyle name="Millares 9 2 2 2 3 2" xfId="6114"/>
    <cellStyle name="Millares 9 2 2 2 3 2 2" xfId="12317"/>
    <cellStyle name="Millares 9 2 2 2 3 2 3" xfId="18519"/>
    <cellStyle name="Millares 9 2 2 2 3 2 4" xfId="57345"/>
    <cellStyle name="Millares 9 2 2 2 3 3" xfId="9217"/>
    <cellStyle name="Millares 9 2 2 2 3 4" xfId="15419"/>
    <cellStyle name="Millares 9 2 2 2 3 5" xfId="54455"/>
    <cellStyle name="Millares 9 2 2 2 4" xfId="4042"/>
    <cellStyle name="Millares 9 2 2 2 4 2" xfId="10246"/>
    <cellStyle name="Millares 9 2 2 2 4 3" xfId="16448"/>
    <cellStyle name="Millares 9 2 2 2 4 4" xfId="55409"/>
    <cellStyle name="Millares 9 2 2 2 5" xfId="7145"/>
    <cellStyle name="Millares 9 2 2 2 5 2" xfId="19823"/>
    <cellStyle name="Millares 9 2 2 2 5 3" xfId="52623"/>
    <cellStyle name="Millares 9 2 2 2 6" xfId="13347"/>
    <cellStyle name="Millares 9 2 2 2 7" xfId="47115"/>
    <cellStyle name="Millares 9 2 2 3" xfId="1698"/>
    <cellStyle name="Millares 9 2 2 3 2" xfId="4823"/>
    <cellStyle name="Millares 9 2 2 3 2 2" xfId="11026"/>
    <cellStyle name="Millares 9 2 2 3 2 3" xfId="17228"/>
    <cellStyle name="Millares 9 2 2 3 2 4" xfId="56095"/>
    <cellStyle name="Millares 9 2 2 3 3" xfId="7926"/>
    <cellStyle name="Millares 9 2 2 3 4" xfId="14128"/>
    <cellStyle name="Millares 9 2 2 3 5" xfId="53205"/>
    <cellStyle name="Millares 9 2 2 4" xfId="3000"/>
    <cellStyle name="Millares 9 2 2 4 2" xfId="6113"/>
    <cellStyle name="Millares 9 2 2 4 2 2" xfId="12316"/>
    <cellStyle name="Millares 9 2 2 4 2 3" xfId="18518"/>
    <cellStyle name="Millares 9 2 2 4 2 4" xfId="57344"/>
    <cellStyle name="Millares 9 2 2 4 3" xfId="9216"/>
    <cellStyle name="Millares 9 2 2 4 4" xfId="15418"/>
    <cellStyle name="Millares 9 2 2 4 5" xfId="54454"/>
    <cellStyle name="Millares 9 2 2 5" xfId="4041"/>
    <cellStyle name="Millares 9 2 2 5 2" xfId="10245"/>
    <cellStyle name="Millares 9 2 2 5 3" xfId="16447"/>
    <cellStyle name="Millares 9 2 2 5 4" xfId="55408"/>
    <cellStyle name="Millares 9 2 2 6" xfId="7144"/>
    <cellStyle name="Millares 9 2 2 6 2" xfId="19299"/>
    <cellStyle name="Millares 9 2 2 6 3" xfId="52622"/>
    <cellStyle name="Millares 9 2 2 7" xfId="13346"/>
    <cellStyle name="Millares 9 2 2 8" xfId="30529"/>
    <cellStyle name="Millares 9 2 3" xfId="809"/>
    <cellStyle name="Millares 9 2 3 2" xfId="1977"/>
    <cellStyle name="Millares 9 2 3 2 2" xfId="5102"/>
    <cellStyle name="Millares 9 2 3 2 2 2" xfId="11305"/>
    <cellStyle name="Millares 9 2 3 2 2 3" xfId="17507"/>
    <cellStyle name="Millares 9 2 3 2 2 4" xfId="56359"/>
    <cellStyle name="Millares 9 2 3 2 3" xfId="8205"/>
    <cellStyle name="Millares 9 2 3 2 4" xfId="14407"/>
    <cellStyle name="Millares 9 2 3 2 5" xfId="53465"/>
    <cellStyle name="Millares 9 2 3 3" xfId="3002"/>
    <cellStyle name="Millares 9 2 3 3 2" xfId="6115"/>
    <cellStyle name="Millares 9 2 3 3 2 2" xfId="12318"/>
    <cellStyle name="Millares 9 2 3 3 2 3" xfId="18520"/>
    <cellStyle name="Millares 9 2 3 3 2 4" xfId="57346"/>
    <cellStyle name="Millares 9 2 3 3 3" xfId="9218"/>
    <cellStyle name="Millares 9 2 3 3 4" xfId="15420"/>
    <cellStyle name="Millares 9 2 3 3 5" xfId="54456"/>
    <cellStyle name="Millares 9 2 3 4" xfId="4043"/>
    <cellStyle name="Millares 9 2 3 4 2" xfId="10247"/>
    <cellStyle name="Millares 9 2 3 4 3" xfId="16449"/>
    <cellStyle name="Millares 9 2 3 4 4" xfId="55410"/>
    <cellStyle name="Millares 9 2 3 5" xfId="7146"/>
    <cellStyle name="Millares 9 2 3 5 2" xfId="19578"/>
    <cellStyle name="Millares 9 2 3 5 3" xfId="52624"/>
    <cellStyle name="Millares 9 2 3 6" xfId="13348"/>
    <cellStyle name="Millares 9 2 3 7" xfId="30530"/>
    <cellStyle name="Millares 9 2 4" xfId="1453"/>
    <cellStyle name="Millares 9 2 4 2" xfId="4578"/>
    <cellStyle name="Millares 9 2 4 2 2" xfId="10781"/>
    <cellStyle name="Millares 9 2 4 2 3" xfId="16983"/>
    <cellStyle name="Millares 9 2 4 2 4" xfId="55863"/>
    <cellStyle name="Millares 9 2 4 3" xfId="7681"/>
    <cellStyle name="Millares 9 2 4 3 2" xfId="52981"/>
    <cellStyle name="Millares 9 2 4 4" xfId="13883"/>
    <cellStyle name="Millares 9 2 4 5" xfId="30528"/>
    <cellStyle name="Millares 9 2 5" xfId="2999"/>
    <cellStyle name="Millares 9 2 5 2" xfId="6112"/>
    <cellStyle name="Millares 9 2 5 2 2" xfId="12315"/>
    <cellStyle name="Millares 9 2 5 2 3" xfId="18517"/>
    <cellStyle name="Millares 9 2 5 2 4" xfId="57343"/>
    <cellStyle name="Millares 9 2 5 3" xfId="9215"/>
    <cellStyle name="Millares 9 2 5 3 2" xfId="54453"/>
    <cellStyle name="Millares 9 2 5 4" xfId="15417"/>
    <cellStyle name="Millares 9 2 5 5" xfId="47114"/>
    <cellStyle name="Millares 9 2 6" xfId="4040"/>
    <cellStyle name="Millares 9 2 6 2" xfId="10244"/>
    <cellStyle name="Millares 9 2 6 3" xfId="16446"/>
    <cellStyle name="Millares 9 2 6 4" xfId="52097"/>
    <cellStyle name="Millares 9 2 7" xfId="7143"/>
    <cellStyle name="Millares 9 2 7 2" xfId="19054"/>
    <cellStyle name="Millares 9 2 8" xfId="13345"/>
    <cellStyle name="Millares 9 2 9" xfId="20001"/>
    <cellStyle name="Millares 9 2_Reserva USgaap" xfId="30531"/>
    <cellStyle name="Millares 9 3" xfId="810"/>
    <cellStyle name="Millares 9 3 2" xfId="811"/>
    <cellStyle name="Millares 9 3 2 2" xfId="1908"/>
    <cellStyle name="Millares 9 3 2 2 2" xfId="5033"/>
    <cellStyle name="Millares 9 3 2 2 2 2" xfId="11236"/>
    <cellStyle name="Millares 9 3 2 2 2 3" xfId="17438"/>
    <cellStyle name="Millares 9 3 2 2 2 4" xfId="56294"/>
    <cellStyle name="Millares 9 3 2 2 3" xfId="8136"/>
    <cellStyle name="Millares 9 3 2 2 4" xfId="14338"/>
    <cellStyle name="Millares 9 3 2 2 5" xfId="53400"/>
    <cellStyle name="Millares 9 3 2 3" xfId="3004"/>
    <cellStyle name="Millares 9 3 2 3 2" xfId="6117"/>
    <cellStyle name="Millares 9 3 2 3 2 2" xfId="12320"/>
    <cellStyle name="Millares 9 3 2 3 2 3" xfId="18522"/>
    <cellStyle name="Millares 9 3 2 3 2 4" xfId="57348"/>
    <cellStyle name="Millares 9 3 2 3 3" xfId="9220"/>
    <cellStyle name="Millares 9 3 2 3 4" xfId="15422"/>
    <cellStyle name="Millares 9 3 2 3 5" xfId="54458"/>
    <cellStyle name="Millares 9 3 2 4" xfId="4045"/>
    <cellStyle name="Millares 9 3 2 4 2" xfId="10249"/>
    <cellStyle name="Millares 9 3 2 4 3" xfId="16451"/>
    <cellStyle name="Millares 9 3 2 4 4" xfId="55412"/>
    <cellStyle name="Millares 9 3 2 5" xfId="7148"/>
    <cellStyle name="Millares 9 3 2 5 2" xfId="19509"/>
    <cellStyle name="Millares 9 3 2 5 3" xfId="52626"/>
    <cellStyle name="Millares 9 3 2 6" xfId="13350"/>
    <cellStyle name="Millares 9 3 2 7" xfId="47116"/>
    <cellStyle name="Millares 9 3 3" xfId="1384"/>
    <cellStyle name="Millares 9 3 3 2" xfId="4509"/>
    <cellStyle name="Millares 9 3 3 2 2" xfId="10712"/>
    <cellStyle name="Millares 9 3 3 2 3" xfId="16914"/>
    <cellStyle name="Millares 9 3 3 2 4" xfId="55798"/>
    <cellStyle name="Millares 9 3 3 3" xfId="7612"/>
    <cellStyle name="Millares 9 3 3 3 2" xfId="52922"/>
    <cellStyle name="Millares 9 3 3 4" xfId="13814"/>
    <cellStyle name="Millares 9 3 3 5" xfId="52036"/>
    <cellStyle name="Millares 9 3 4" xfId="3003"/>
    <cellStyle name="Millares 9 3 4 2" xfId="6116"/>
    <cellStyle name="Millares 9 3 4 2 2" xfId="12319"/>
    <cellStyle name="Millares 9 3 4 2 3" xfId="18521"/>
    <cellStyle name="Millares 9 3 4 2 4" xfId="57347"/>
    <cellStyle name="Millares 9 3 4 3" xfId="9219"/>
    <cellStyle name="Millares 9 3 4 4" xfId="15421"/>
    <cellStyle name="Millares 9 3 4 5" xfId="54457"/>
    <cellStyle name="Millares 9 3 5" xfId="4044"/>
    <cellStyle name="Millares 9 3 5 2" xfId="10248"/>
    <cellStyle name="Millares 9 3 5 3" xfId="16450"/>
    <cellStyle name="Millares 9 3 5 4" xfId="55411"/>
    <cellStyle name="Millares 9 3 6" xfId="7147"/>
    <cellStyle name="Millares 9 3 6 2" xfId="18985"/>
    <cellStyle name="Millares 9 3 6 3" xfId="52625"/>
    <cellStyle name="Millares 9 3 7" xfId="13349"/>
    <cellStyle name="Millares 9 3 8" xfId="30532"/>
    <cellStyle name="Millares 9 4" xfId="812"/>
    <cellStyle name="Millares 9 4 2" xfId="1835"/>
    <cellStyle name="Millares 9 4 2 2" xfId="4960"/>
    <cellStyle name="Millares 9 4 2 2 2" xfId="11163"/>
    <cellStyle name="Millares 9 4 2 2 3" xfId="17365"/>
    <cellStyle name="Millares 9 4 2 2 4" xfId="56224"/>
    <cellStyle name="Millares 9 4 2 3" xfId="8063"/>
    <cellStyle name="Millares 9 4 2 4" xfId="14265"/>
    <cellStyle name="Millares 9 4 2 5" xfId="53330"/>
    <cellStyle name="Millares 9 4 3" xfId="3005"/>
    <cellStyle name="Millares 9 4 3 2" xfId="6118"/>
    <cellStyle name="Millares 9 4 3 2 2" xfId="12321"/>
    <cellStyle name="Millares 9 4 3 2 3" xfId="18523"/>
    <cellStyle name="Millares 9 4 3 2 4" xfId="57349"/>
    <cellStyle name="Millares 9 4 3 3" xfId="9221"/>
    <cellStyle name="Millares 9 4 3 4" xfId="15423"/>
    <cellStyle name="Millares 9 4 3 5" xfId="54459"/>
    <cellStyle name="Millares 9 4 4" xfId="4046"/>
    <cellStyle name="Millares 9 4 4 2" xfId="10250"/>
    <cellStyle name="Millares 9 4 4 3" xfId="16452"/>
    <cellStyle name="Millares 9 4 4 4" xfId="55413"/>
    <cellStyle name="Millares 9 4 5" xfId="7149"/>
    <cellStyle name="Millares 9 4 5 2" xfId="19436"/>
    <cellStyle name="Millares 9 4 5 3" xfId="52627"/>
    <cellStyle name="Millares 9 4 6" xfId="13351"/>
    <cellStyle name="Millares 9 4 7" xfId="30533"/>
    <cellStyle name="Millares 9 5" xfId="1311"/>
    <cellStyle name="Millares 9 5 2" xfId="4436"/>
    <cellStyle name="Millares 9 5 2 2" xfId="10639"/>
    <cellStyle name="Millares 9 5 2 3" xfId="16841"/>
    <cellStyle name="Millares 9 5 2 4" xfId="55727"/>
    <cellStyle name="Millares 9 5 3" xfId="7539"/>
    <cellStyle name="Millares 9 5 3 2" xfId="52856"/>
    <cellStyle name="Millares 9 5 4" xfId="13741"/>
    <cellStyle name="Millares 9 5 5" xfId="30527"/>
    <cellStyle name="Millares 9 6" xfId="2998"/>
    <cellStyle name="Millares 9 6 2" xfId="6111"/>
    <cellStyle name="Millares 9 6 2 2" xfId="12314"/>
    <cellStyle name="Millares 9 6 2 3" xfId="18516"/>
    <cellStyle name="Millares 9 6 2 4" xfId="57342"/>
    <cellStyle name="Millares 9 6 3" xfId="9214"/>
    <cellStyle name="Millares 9 6 3 2" xfId="54452"/>
    <cellStyle name="Millares 9 6 4" xfId="15416"/>
    <cellStyle name="Millares 9 6 5" xfId="47113"/>
    <cellStyle name="Millares 9 7" xfId="4039"/>
    <cellStyle name="Millares 9 7 2" xfId="10243"/>
    <cellStyle name="Millares 9 7 3" xfId="16445"/>
    <cellStyle name="Millares 9 7 4" xfId="51967"/>
    <cellStyle name="Millares 9 8" xfId="7142"/>
    <cellStyle name="Millares 9 8 2" xfId="18912"/>
    <cellStyle name="Millares 9 9" xfId="13344"/>
    <cellStyle name="Millares 9_Plan by Lob" xfId="30534"/>
    <cellStyle name="Millares 90" xfId="30535"/>
    <cellStyle name="Millares 90 2" xfId="47117"/>
    <cellStyle name="Millares 91" xfId="30536"/>
    <cellStyle name="Millares 91 2" xfId="47118"/>
    <cellStyle name="Millares 92" xfId="30537"/>
    <cellStyle name="Millares 92 2" xfId="47119"/>
    <cellStyle name="Millares 93" xfId="30538"/>
    <cellStyle name="Millares 93 2" xfId="47120"/>
    <cellStyle name="Millares 94" xfId="30539"/>
    <cellStyle name="Millares 94 2" xfId="47121"/>
    <cellStyle name="Millares 95" xfId="30540"/>
    <cellStyle name="Millares 95 2" xfId="47122"/>
    <cellStyle name="Millares 96" xfId="30541"/>
    <cellStyle name="Millares 96 2" xfId="47123"/>
    <cellStyle name="Millares 97" xfId="30542"/>
    <cellStyle name="Millares 97 2" xfId="47124"/>
    <cellStyle name="Millares 98" xfId="30543"/>
    <cellStyle name="Millares 98 2" xfId="30544"/>
    <cellStyle name="Millares 98 2 2" xfId="30545"/>
    <cellStyle name="Millares 98 2 2 2" xfId="30546"/>
    <cellStyle name="Millares 98 2 2 2 2" xfId="47128"/>
    <cellStyle name="Millares 98 2 2 3" xfId="47127"/>
    <cellStyle name="Millares 98 2 3" xfId="30547"/>
    <cellStyle name="Millares 98 2 3 2" xfId="47129"/>
    <cellStyle name="Millares 98 2 4" xfId="47126"/>
    <cellStyle name="Millares 98 3" xfId="30548"/>
    <cellStyle name="Millares 98 3 2" xfId="30549"/>
    <cellStyle name="Millares 98 3 2 2" xfId="30550"/>
    <cellStyle name="Millares 98 3 2 2 2" xfId="47132"/>
    <cellStyle name="Millares 98 3 2 3" xfId="47131"/>
    <cellStyle name="Millares 98 3 3" xfId="30551"/>
    <cellStyle name="Millares 98 3 3 2" xfId="47133"/>
    <cellStyle name="Millares 98 3 4" xfId="47130"/>
    <cellStyle name="Millares 98 4" xfId="30552"/>
    <cellStyle name="Millares 98 4 2" xfId="47134"/>
    <cellStyle name="Millares 98 5" xfId="30553"/>
    <cellStyle name="Millares 98 5 2" xfId="47135"/>
    <cellStyle name="Millares 98 6" xfId="47125"/>
    <cellStyle name="Millares 99" xfId="30554"/>
    <cellStyle name="Millares 99 2" xfId="30555"/>
    <cellStyle name="Millares 99 2 2" xfId="30556"/>
    <cellStyle name="Millares 99 2 2 2" xfId="30557"/>
    <cellStyle name="Millares 99 2 2 2 2" xfId="47139"/>
    <cellStyle name="Millares 99 2 2 3" xfId="47138"/>
    <cellStyle name="Millares 99 2 3" xfId="30558"/>
    <cellStyle name="Millares 99 2 3 2" xfId="47140"/>
    <cellStyle name="Millares 99 2 4" xfId="47137"/>
    <cellStyle name="Millares 99 3" xfId="30559"/>
    <cellStyle name="Millares 99 3 2" xfId="30560"/>
    <cellStyle name="Millares 99 3 2 2" xfId="30561"/>
    <cellStyle name="Millares 99 3 2 2 2" xfId="47143"/>
    <cellStyle name="Millares 99 3 2 3" xfId="47142"/>
    <cellStyle name="Millares 99 3 3" xfId="30562"/>
    <cellStyle name="Millares 99 3 3 2" xfId="47144"/>
    <cellStyle name="Millares 99 3 4" xfId="47141"/>
    <cellStyle name="Millares 99 4" xfId="30563"/>
    <cellStyle name="Millares 99 4 2" xfId="47145"/>
    <cellStyle name="Millares 99 5" xfId="30564"/>
    <cellStyle name="Millares 99 5 2" xfId="47146"/>
    <cellStyle name="Millares 99 6" xfId="47136"/>
    <cellStyle name="Moneda 10" xfId="30565"/>
    <cellStyle name="Moneda 10 2" xfId="30566"/>
    <cellStyle name="Moneda 10 2 2" xfId="30567"/>
    <cellStyle name="Moneda 10 2 2 2" xfId="30568"/>
    <cellStyle name="Moneda 10 2 2 2 2" xfId="47150"/>
    <cellStyle name="Moneda 10 2 2 3" xfId="47149"/>
    <cellStyle name="Moneda 10 2 3" xfId="30569"/>
    <cellStyle name="Moneda 10 2 3 2" xfId="30570"/>
    <cellStyle name="Moneda 10 2 3 2 2" xfId="47152"/>
    <cellStyle name="Moneda 10 2 3 3" xfId="47151"/>
    <cellStyle name="Moneda 10 2 4" xfId="30571"/>
    <cellStyle name="Moneda 10 2 4 2" xfId="47153"/>
    <cellStyle name="Moneda 10 2 5" xfId="47148"/>
    <cellStyle name="Moneda 10 3" xfId="30572"/>
    <cellStyle name="Moneda 10 3 2" xfId="47154"/>
    <cellStyle name="Moneda 10 4" xfId="30573"/>
    <cellStyle name="Moneda 10 4 2" xfId="30574"/>
    <cellStyle name="Moneda 10 4 2 2" xfId="47156"/>
    <cellStyle name="Moneda 10 4 3" xfId="47155"/>
    <cellStyle name="Moneda 10 5" xfId="30575"/>
    <cellStyle name="Moneda 10 5 2" xfId="47157"/>
    <cellStyle name="Moneda 10 6" xfId="47147"/>
    <cellStyle name="Moneda 11" xfId="30576"/>
    <cellStyle name="Moneda 11 2" xfId="30577"/>
    <cellStyle name="Moneda 11 2 2" xfId="30578"/>
    <cellStyle name="Moneda 11 2 2 2" xfId="47160"/>
    <cellStyle name="Moneda 11 2 3" xfId="47159"/>
    <cellStyle name="Moneda 11 3" xfId="30579"/>
    <cellStyle name="Moneda 11 3 2" xfId="30580"/>
    <cellStyle name="Moneda 11 3 2 2" xfId="47162"/>
    <cellStyle name="Moneda 11 3 3" xfId="47161"/>
    <cellStyle name="Moneda 11 4" xfId="30581"/>
    <cellStyle name="Moneda 11 4 2" xfId="47163"/>
    <cellStyle name="Moneda 11 5" xfId="47158"/>
    <cellStyle name="Moneda 12" xfId="30582"/>
    <cellStyle name="Moneda 12 2" xfId="30583"/>
    <cellStyle name="Moneda 12 2 2" xfId="47165"/>
    <cellStyle name="Moneda 12 3" xfId="47164"/>
    <cellStyle name="Moneda 13" xfId="30584"/>
    <cellStyle name="Moneda 13 2" xfId="30585"/>
    <cellStyle name="Moneda 13 2 2" xfId="47167"/>
    <cellStyle name="Moneda 13 3" xfId="47166"/>
    <cellStyle name="Moneda 14" xfId="30586"/>
    <cellStyle name="Moneda 14 2" xfId="47168"/>
    <cellStyle name="Moneda 15" xfId="30587"/>
    <cellStyle name="Moneda 15 2" xfId="47169"/>
    <cellStyle name="Moneda 16" xfId="51843"/>
    <cellStyle name="Moneda 2" xfId="30588"/>
    <cellStyle name="Moneda 2 2" xfId="30589"/>
    <cellStyle name="Moneda 2 2 2" xfId="30590"/>
    <cellStyle name="Moneda 2 2 2 2" xfId="47172"/>
    <cellStyle name="Moneda 2 2 3" xfId="47171"/>
    <cellStyle name="Moneda 2 3" xfId="30591"/>
    <cellStyle name="Moneda 2 3 2" xfId="30592"/>
    <cellStyle name="Moneda 2 3 2 2" xfId="47174"/>
    <cellStyle name="Moneda 2 3 3" xfId="47173"/>
    <cellStyle name="Moneda 2 4" xfId="30593"/>
    <cellStyle name="Moneda 2 4 2" xfId="47175"/>
    <cellStyle name="Moneda 2 5" xfId="30594"/>
    <cellStyle name="Moneda 2 5 2" xfId="47176"/>
    <cellStyle name="Moneda 2 6" xfId="30595"/>
    <cellStyle name="Moneda 2 6 2" xfId="47177"/>
    <cellStyle name="Moneda 2 7" xfId="47170"/>
    <cellStyle name="Moneda 2_Plan by Lob" xfId="30596"/>
    <cellStyle name="Moneda 3" xfId="30597"/>
    <cellStyle name="Moneda 3 2" xfId="30598"/>
    <cellStyle name="Moneda 3 2 2" xfId="47179"/>
    <cellStyle name="Moneda 3 3" xfId="30599"/>
    <cellStyle name="Moneda 3 3 2" xfId="47180"/>
    <cellStyle name="Moneda 3 4" xfId="30600"/>
    <cellStyle name="Moneda 3 4 2" xfId="47181"/>
    <cellStyle name="Moneda 3 5" xfId="30601"/>
    <cellStyle name="Moneda 3 5 2" xfId="47182"/>
    <cellStyle name="Moneda 3 6" xfId="47178"/>
    <cellStyle name="Moneda 3_Plan by Lob" xfId="30602"/>
    <cellStyle name="Moneda 4" xfId="30603"/>
    <cellStyle name="Moneda 4 10" xfId="30604"/>
    <cellStyle name="Moneda 4 10 2" xfId="30605"/>
    <cellStyle name="Moneda 4 10 2 2" xfId="47185"/>
    <cellStyle name="Moneda 4 10 3" xfId="47184"/>
    <cellStyle name="Moneda 4 11" xfId="30606"/>
    <cellStyle name="Moneda 4 11 2" xfId="30607"/>
    <cellStyle name="Moneda 4 11 2 2" xfId="47187"/>
    <cellStyle name="Moneda 4 11 3" xfId="47186"/>
    <cellStyle name="Moneda 4 12" xfId="30608"/>
    <cellStyle name="Moneda 4 12 2" xfId="47188"/>
    <cellStyle name="Moneda 4 13" xfId="30609"/>
    <cellStyle name="Moneda 4 13 2" xfId="47189"/>
    <cellStyle name="Moneda 4 14" xfId="30610"/>
    <cellStyle name="Moneda 4 14 2" xfId="47190"/>
    <cellStyle name="Moneda 4 15" xfId="47183"/>
    <cellStyle name="Moneda 4 2" xfId="30611"/>
    <cellStyle name="Moneda 4 2 10" xfId="47191"/>
    <cellStyle name="Moneda 4 2 2" xfId="30612"/>
    <cellStyle name="Moneda 4 2 2 2" xfId="30613"/>
    <cellStyle name="Moneda 4 2 2 2 2" xfId="30614"/>
    <cellStyle name="Moneda 4 2 2 2 2 2" xfId="30615"/>
    <cellStyle name="Moneda 4 2 2 2 2 2 2" xfId="30616"/>
    <cellStyle name="Moneda 4 2 2 2 2 2 2 2" xfId="47196"/>
    <cellStyle name="Moneda 4 2 2 2 2 2 3" xfId="47195"/>
    <cellStyle name="Moneda 4 2 2 2 2 3" xfId="30617"/>
    <cellStyle name="Moneda 4 2 2 2 2 3 2" xfId="30618"/>
    <cellStyle name="Moneda 4 2 2 2 2 3 2 2" xfId="47198"/>
    <cellStyle name="Moneda 4 2 2 2 2 3 3" xfId="47197"/>
    <cellStyle name="Moneda 4 2 2 2 2 4" xfId="30619"/>
    <cellStyle name="Moneda 4 2 2 2 2 4 2" xfId="47199"/>
    <cellStyle name="Moneda 4 2 2 2 2 5" xfId="47194"/>
    <cellStyle name="Moneda 4 2 2 2 3" xfId="30620"/>
    <cellStyle name="Moneda 4 2 2 2 3 2" xfId="47200"/>
    <cellStyle name="Moneda 4 2 2 2 4" xfId="30621"/>
    <cellStyle name="Moneda 4 2 2 2 4 2" xfId="30622"/>
    <cellStyle name="Moneda 4 2 2 2 4 2 2" xfId="47202"/>
    <cellStyle name="Moneda 4 2 2 2 4 3" xfId="47201"/>
    <cellStyle name="Moneda 4 2 2 2 5" xfId="30623"/>
    <cellStyle name="Moneda 4 2 2 2 5 2" xfId="47203"/>
    <cellStyle name="Moneda 4 2 2 2 6" xfId="47193"/>
    <cellStyle name="Moneda 4 2 2 3" xfId="30624"/>
    <cellStyle name="Moneda 4 2 2 3 2" xfId="30625"/>
    <cellStyle name="Moneda 4 2 2 3 2 2" xfId="30626"/>
    <cellStyle name="Moneda 4 2 2 3 2 2 2" xfId="47206"/>
    <cellStyle name="Moneda 4 2 2 3 2 3" xfId="47205"/>
    <cellStyle name="Moneda 4 2 2 3 3" xfId="30627"/>
    <cellStyle name="Moneda 4 2 2 3 3 2" xfId="30628"/>
    <cellStyle name="Moneda 4 2 2 3 3 2 2" xfId="47208"/>
    <cellStyle name="Moneda 4 2 2 3 3 3" xfId="47207"/>
    <cellStyle name="Moneda 4 2 2 3 4" xfId="30629"/>
    <cellStyle name="Moneda 4 2 2 3 4 2" xfId="47209"/>
    <cellStyle name="Moneda 4 2 2 3 5" xfId="47204"/>
    <cellStyle name="Moneda 4 2 2 4" xfId="30630"/>
    <cellStyle name="Moneda 4 2 2 4 2" xfId="47210"/>
    <cellStyle name="Moneda 4 2 2 5" xfId="30631"/>
    <cellStyle name="Moneda 4 2 2 5 2" xfId="30632"/>
    <cellStyle name="Moneda 4 2 2 5 2 2" xfId="47212"/>
    <cellStyle name="Moneda 4 2 2 5 3" xfId="47211"/>
    <cellStyle name="Moneda 4 2 2 6" xfId="30633"/>
    <cellStyle name="Moneda 4 2 2 6 2" xfId="30634"/>
    <cellStyle name="Moneda 4 2 2 6 2 2" xfId="47214"/>
    <cellStyle name="Moneda 4 2 2 6 3" xfId="47213"/>
    <cellStyle name="Moneda 4 2 2 7" xfId="30635"/>
    <cellStyle name="Moneda 4 2 2 7 2" xfId="47215"/>
    <cellStyle name="Moneda 4 2 2 8" xfId="30636"/>
    <cellStyle name="Moneda 4 2 2 8 2" xfId="47216"/>
    <cellStyle name="Moneda 4 2 2 9" xfId="47192"/>
    <cellStyle name="Moneda 4 2 3" xfId="30637"/>
    <cellStyle name="Moneda 4 2 3 2" xfId="30638"/>
    <cellStyle name="Moneda 4 2 3 2 2" xfId="30639"/>
    <cellStyle name="Moneda 4 2 3 2 2 2" xfId="30640"/>
    <cellStyle name="Moneda 4 2 3 2 2 2 2" xfId="47220"/>
    <cellStyle name="Moneda 4 2 3 2 2 3" xfId="47219"/>
    <cellStyle name="Moneda 4 2 3 2 3" xfId="30641"/>
    <cellStyle name="Moneda 4 2 3 2 3 2" xfId="30642"/>
    <cellStyle name="Moneda 4 2 3 2 3 2 2" xfId="47222"/>
    <cellStyle name="Moneda 4 2 3 2 3 3" xfId="47221"/>
    <cellStyle name="Moneda 4 2 3 2 4" xfId="30643"/>
    <cellStyle name="Moneda 4 2 3 2 4 2" xfId="47223"/>
    <cellStyle name="Moneda 4 2 3 2 5" xfId="47218"/>
    <cellStyle name="Moneda 4 2 3 3" xfId="30644"/>
    <cellStyle name="Moneda 4 2 3 3 2" xfId="47224"/>
    <cellStyle name="Moneda 4 2 3 4" xfId="30645"/>
    <cellStyle name="Moneda 4 2 3 4 2" xfId="30646"/>
    <cellStyle name="Moneda 4 2 3 4 2 2" xfId="47226"/>
    <cellStyle name="Moneda 4 2 3 4 3" xfId="47225"/>
    <cellStyle name="Moneda 4 2 3 5" xfId="30647"/>
    <cellStyle name="Moneda 4 2 3 5 2" xfId="47227"/>
    <cellStyle name="Moneda 4 2 3 6" xfId="47217"/>
    <cellStyle name="Moneda 4 2 4" xfId="30648"/>
    <cellStyle name="Moneda 4 2 4 2" xfId="30649"/>
    <cellStyle name="Moneda 4 2 4 2 2" xfId="30650"/>
    <cellStyle name="Moneda 4 2 4 2 2 2" xfId="47230"/>
    <cellStyle name="Moneda 4 2 4 2 3" xfId="47229"/>
    <cellStyle name="Moneda 4 2 4 3" xfId="30651"/>
    <cellStyle name="Moneda 4 2 4 3 2" xfId="30652"/>
    <cellStyle name="Moneda 4 2 4 3 2 2" xfId="47232"/>
    <cellStyle name="Moneda 4 2 4 3 3" xfId="47231"/>
    <cellStyle name="Moneda 4 2 4 4" xfId="30653"/>
    <cellStyle name="Moneda 4 2 4 4 2" xfId="47233"/>
    <cellStyle name="Moneda 4 2 4 5" xfId="47228"/>
    <cellStyle name="Moneda 4 2 5" xfId="30654"/>
    <cellStyle name="Moneda 4 2 5 2" xfId="47234"/>
    <cellStyle name="Moneda 4 2 6" xfId="30655"/>
    <cellStyle name="Moneda 4 2 6 2" xfId="30656"/>
    <cellStyle name="Moneda 4 2 6 2 2" xfId="47236"/>
    <cellStyle name="Moneda 4 2 6 3" xfId="47235"/>
    <cellStyle name="Moneda 4 2 7" xfId="30657"/>
    <cellStyle name="Moneda 4 2 7 2" xfId="30658"/>
    <cellStyle name="Moneda 4 2 7 2 2" xfId="47238"/>
    <cellStyle name="Moneda 4 2 7 3" xfId="47237"/>
    <cellStyle name="Moneda 4 2 8" xfId="30659"/>
    <cellStyle name="Moneda 4 2 8 2" xfId="47239"/>
    <cellStyle name="Moneda 4 2 9" xfId="30660"/>
    <cellStyle name="Moneda 4 2 9 2" xfId="47240"/>
    <cellStyle name="Moneda 4 3" xfId="30661"/>
    <cellStyle name="Moneda 4 3 2" xfId="30662"/>
    <cellStyle name="Moneda 4 3 2 2" xfId="30663"/>
    <cellStyle name="Moneda 4 3 2 2 2" xfId="30664"/>
    <cellStyle name="Moneda 4 3 2 2 2 2" xfId="30665"/>
    <cellStyle name="Moneda 4 3 2 2 2 2 2" xfId="30666"/>
    <cellStyle name="Moneda 4 3 2 2 2 2 2 2" xfId="47246"/>
    <cellStyle name="Moneda 4 3 2 2 2 2 3" xfId="47245"/>
    <cellStyle name="Moneda 4 3 2 2 2 3" xfId="30667"/>
    <cellStyle name="Moneda 4 3 2 2 2 3 2" xfId="30668"/>
    <cellStyle name="Moneda 4 3 2 2 2 3 2 2" xfId="47248"/>
    <cellStyle name="Moneda 4 3 2 2 2 3 3" xfId="47247"/>
    <cellStyle name="Moneda 4 3 2 2 2 4" xfId="30669"/>
    <cellStyle name="Moneda 4 3 2 2 2 4 2" xfId="47249"/>
    <cellStyle name="Moneda 4 3 2 2 2 5" xfId="47244"/>
    <cellStyle name="Moneda 4 3 2 2 3" xfId="30670"/>
    <cellStyle name="Moneda 4 3 2 2 3 2" xfId="47250"/>
    <cellStyle name="Moneda 4 3 2 2 4" xfId="30671"/>
    <cellStyle name="Moneda 4 3 2 2 4 2" xfId="30672"/>
    <cellStyle name="Moneda 4 3 2 2 4 2 2" xfId="47252"/>
    <cellStyle name="Moneda 4 3 2 2 4 3" xfId="47251"/>
    <cellStyle name="Moneda 4 3 2 2 5" xfId="30673"/>
    <cellStyle name="Moneda 4 3 2 2 5 2" xfId="47253"/>
    <cellStyle name="Moneda 4 3 2 2 6" xfId="47243"/>
    <cellStyle name="Moneda 4 3 2 3" xfId="30674"/>
    <cellStyle name="Moneda 4 3 2 3 2" xfId="30675"/>
    <cellStyle name="Moneda 4 3 2 3 2 2" xfId="30676"/>
    <cellStyle name="Moneda 4 3 2 3 2 2 2" xfId="47256"/>
    <cellStyle name="Moneda 4 3 2 3 2 3" xfId="47255"/>
    <cellStyle name="Moneda 4 3 2 3 3" xfId="30677"/>
    <cellStyle name="Moneda 4 3 2 3 3 2" xfId="30678"/>
    <cellStyle name="Moneda 4 3 2 3 3 2 2" xfId="47258"/>
    <cellStyle name="Moneda 4 3 2 3 3 3" xfId="47257"/>
    <cellStyle name="Moneda 4 3 2 3 4" xfId="30679"/>
    <cellStyle name="Moneda 4 3 2 3 4 2" xfId="47259"/>
    <cellStyle name="Moneda 4 3 2 3 5" xfId="47254"/>
    <cellStyle name="Moneda 4 3 2 4" xfId="30680"/>
    <cellStyle name="Moneda 4 3 2 4 2" xfId="47260"/>
    <cellStyle name="Moneda 4 3 2 5" xfId="30681"/>
    <cellStyle name="Moneda 4 3 2 5 2" xfId="30682"/>
    <cellStyle name="Moneda 4 3 2 5 2 2" xfId="47262"/>
    <cellStyle name="Moneda 4 3 2 5 3" xfId="47261"/>
    <cellStyle name="Moneda 4 3 2 6" xfId="30683"/>
    <cellStyle name="Moneda 4 3 2 6 2" xfId="47263"/>
    <cellStyle name="Moneda 4 3 2 7" xfId="47242"/>
    <cellStyle name="Moneda 4 3 3" xfId="30684"/>
    <cellStyle name="Moneda 4 3 3 2" xfId="30685"/>
    <cellStyle name="Moneda 4 3 3 2 2" xfId="30686"/>
    <cellStyle name="Moneda 4 3 3 2 2 2" xfId="30687"/>
    <cellStyle name="Moneda 4 3 3 2 2 2 2" xfId="47267"/>
    <cellStyle name="Moneda 4 3 3 2 2 3" xfId="47266"/>
    <cellStyle name="Moneda 4 3 3 2 3" xfId="30688"/>
    <cellStyle name="Moneda 4 3 3 2 3 2" xfId="30689"/>
    <cellStyle name="Moneda 4 3 3 2 3 2 2" xfId="47269"/>
    <cellStyle name="Moneda 4 3 3 2 3 3" xfId="47268"/>
    <cellStyle name="Moneda 4 3 3 2 4" xfId="30690"/>
    <cellStyle name="Moneda 4 3 3 2 4 2" xfId="47270"/>
    <cellStyle name="Moneda 4 3 3 2 5" xfId="47265"/>
    <cellStyle name="Moneda 4 3 3 3" xfId="30691"/>
    <cellStyle name="Moneda 4 3 3 3 2" xfId="47271"/>
    <cellStyle name="Moneda 4 3 3 4" xfId="30692"/>
    <cellStyle name="Moneda 4 3 3 4 2" xfId="30693"/>
    <cellStyle name="Moneda 4 3 3 4 2 2" xfId="47273"/>
    <cellStyle name="Moneda 4 3 3 4 3" xfId="47272"/>
    <cellStyle name="Moneda 4 3 3 5" xfId="30694"/>
    <cellStyle name="Moneda 4 3 3 5 2" xfId="47274"/>
    <cellStyle name="Moneda 4 3 3 6" xfId="47264"/>
    <cellStyle name="Moneda 4 3 4" xfId="30695"/>
    <cellStyle name="Moneda 4 3 4 2" xfId="30696"/>
    <cellStyle name="Moneda 4 3 4 2 2" xfId="30697"/>
    <cellStyle name="Moneda 4 3 4 2 2 2" xfId="47277"/>
    <cellStyle name="Moneda 4 3 4 2 3" xfId="47276"/>
    <cellStyle name="Moneda 4 3 4 3" xfId="30698"/>
    <cellStyle name="Moneda 4 3 4 3 2" xfId="30699"/>
    <cellStyle name="Moneda 4 3 4 3 2 2" xfId="47279"/>
    <cellStyle name="Moneda 4 3 4 3 3" xfId="47278"/>
    <cellStyle name="Moneda 4 3 4 4" xfId="30700"/>
    <cellStyle name="Moneda 4 3 4 4 2" xfId="47280"/>
    <cellStyle name="Moneda 4 3 4 5" xfId="47275"/>
    <cellStyle name="Moneda 4 3 5" xfId="30701"/>
    <cellStyle name="Moneda 4 3 5 2" xfId="47281"/>
    <cellStyle name="Moneda 4 3 6" xfId="30702"/>
    <cellStyle name="Moneda 4 3 6 2" xfId="30703"/>
    <cellStyle name="Moneda 4 3 6 2 2" xfId="47283"/>
    <cellStyle name="Moneda 4 3 6 3" xfId="47282"/>
    <cellStyle name="Moneda 4 3 7" xfId="30704"/>
    <cellStyle name="Moneda 4 3 7 2" xfId="47284"/>
    <cellStyle name="Moneda 4 3 8" xfId="47241"/>
    <cellStyle name="Moneda 4 4" xfId="30705"/>
    <cellStyle name="Moneda 4 4 2" xfId="47285"/>
    <cellStyle name="Moneda 4 5" xfId="30706"/>
    <cellStyle name="Moneda 4 5 2" xfId="30707"/>
    <cellStyle name="Moneda 4 5 2 2" xfId="30708"/>
    <cellStyle name="Moneda 4 5 2 2 2" xfId="30709"/>
    <cellStyle name="Moneda 4 5 2 2 2 2" xfId="30710"/>
    <cellStyle name="Moneda 4 5 2 2 2 2 2" xfId="47290"/>
    <cellStyle name="Moneda 4 5 2 2 2 3" xfId="47289"/>
    <cellStyle name="Moneda 4 5 2 2 3" xfId="30711"/>
    <cellStyle name="Moneda 4 5 2 2 3 2" xfId="30712"/>
    <cellStyle name="Moneda 4 5 2 2 3 2 2" xfId="47292"/>
    <cellStyle name="Moneda 4 5 2 2 3 3" xfId="47291"/>
    <cellStyle name="Moneda 4 5 2 2 4" xfId="30713"/>
    <cellStyle name="Moneda 4 5 2 2 4 2" xfId="47293"/>
    <cellStyle name="Moneda 4 5 2 2 5" xfId="47288"/>
    <cellStyle name="Moneda 4 5 2 3" xfId="30714"/>
    <cellStyle name="Moneda 4 5 2 3 2" xfId="47294"/>
    <cellStyle name="Moneda 4 5 2 4" xfId="30715"/>
    <cellStyle name="Moneda 4 5 2 4 2" xfId="30716"/>
    <cellStyle name="Moneda 4 5 2 4 2 2" xfId="47296"/>
    <cellStyle name="Moneda 4 5 2 4 3" xfId="47295"/>
    <cellStyle name="Moneda 4 5 2 5" xfId="30717"/>
    <cellStyle name="Moneda 4 5 2 5 2" xfId="47297"/>
    <cellStyle name="Moneda 4 5 2 6" xfId="47287"/>
    <cellStyle name="Moneda 4 5 3" xfId="30718"/>
    <cellStyle name="Moneda 4 5 3 2" xfId="30719"/>
    <cellStyle name="Moneda 4 5 3 2 2" xfId="30720"/>
    <cellStyle name="Moneda 4 5 3 2 2 2" xfId="47300"/>
    <cellStyle name="Moneda 4 5 3 2 3" xfId="47299"/>
    <cellStyle name="Moneda 4 5 3 3" xfId="30721"/>
    <cellStyle name="Moneda 4 5 3 3 2" xfId="30722"/>
    <cellStyle name="Moneda 4 5 3 3 2 2" xfId="47302"/>
    <cellStyle name="Moneda 4 5 3 3 3" xfId="47301"/>
    <cellStyle name="Moneda 4 5 3 4" xfId="30723"/>
    <cellStyle name="Moneda 4 5 3 4 2" xfId="47303"/>
    <cellStyle name="Moneda 4 5 3 5" xfId="47298"/>
    <cellStyle name="Moneda 4 5 4" xfId="30724"/>
    <cellStyle name="Moneda 4 5 4 2" xfId="47304"/>
    <cellStyle name="Moneda 4 5 5" xfId="30725"/>
    <cellStyle name="Moneda 4 5 5 2" xfId="30726"/>
    <cellStyle name="Moneda 4 5 5 2 2" xfId="47306"/>
    <cellStyle name="Moneda 4 5 5 3" xfId="47305"/>
    <cellStyle name="Moneda 4 5 6" xfId="30727"/>
    <cellStyle name="Moneda 4 5 6 2" xfId="47307"/>
    <cellStyle name="Moneda 4 5 7" xfId="47286"/>
    <cellStyle name="Moneda 4 6" xfId="30728"/>
    <cellStyle name="Moneda 4 6 2" xfId="30729"/>
    <cellStyle name="Moneda 4 6 2 2" xfId="30730"/>
    <cellStyle name="Moneda 4 6 2 2 2" xfId="30731"/>
    <cellStyle name="Moneda 4 6 2 2 2 2" xfId="47311"/>
    <cellStyle name="Moneda 4 6 2 2 3" xfId="47310"/>
    <cellStyle name="Moneda 4 6 2 3" xfId="30732"/>
    <cellStyle name="Moneda 4 6 2 3 2" xfId="30733"/>
    <cellStyle name="Moneda 4 6 2 3 2 2" xfId="47313"/>
    <cellStyle name="Moneda 4 6 2 3 3" xfId="47312"/>
    <cellStyle name="Moneda 4 6 2 4" xfId="30734"/>
    <cellStyle name="Moneda 4 6 2 4 2" xfId="47314"/>
    <cellStyle name="Moneda 4 6 2 5" xfId="47309"/>
    <cellStyle name="Moneda 4 6 3" xfId="30735"/>
    <cellStyle name="Moneda 4 6 3 2" xfId="47315"/>
    <cellStyle name="Moneda 4 6 4" xfId="30736"/>
    <cellStyle name="Moneda 4 6 4 2" xfId="30737"/>
    <cellStyle name="Moneda 4 6 4 2 2" xfId="47317"/>
    <cellStyle name="Moneda 4 6 4 3" xfId="47316"/>
    <cellStyle name="Moneda 4 6 5" xfId="30738"/>
    <cellStyle name="Moneda 4 6 5 2" xfId="47318"/>
    <cellStyle name="Moneda 4 6 6" xfId="47308"/>
    <cellStyle name="Moneda 4 7" xfId="30739"/>
    <cellStyle name="Moneda 4 7 2" xfId="30740"/>
    <cellStyle name="Moneda 4 7 2 2" xfId="30741"/>
    <cellStyle name="Moneda 4 7 2 2 2" xfId="47321"/>
    <cellStyle name="Moneda 4 7 2 3" xfId="47320"/>
    <cellStyle name="Moneda 4 7 3" xfId="30742"/>
    <cellStyle name="Moneda 4 7 3 2" xfId="30743"/>
    <cellStyle name="Moneda 4 7 3 2 2" xfId="47323"/>
    <cellStyle name="Moneda 4 7 3 3" xfId="47322"/>
    <cellStyle name="Moneda 4 7 4" xfId="30744"/>
    <cellStyle name="Moneda 4 7 4 2" xfId="47324"/>
    <cellStyle name="Moneda 4 7 5" xfId="47319"/>
    <cellStyle name="Moneda 4 8" xfId="30745"/>
    <cellStyle name="Moneda 4 8 2" xfId="30746"/>
    <cellStyle name="Moneda 4 8 2 2" xfId="30747"/>
    <cellStyle name="Moneda 4 8 2 2 2" xfId="47327"/>
    <cellStyle name="Moneda 4 8 2 3" xfId="47326"/>
    <cellStyle name="Moneda 4 8 3" xfId="30748"/>
    <cellStyle name="Moneda 4 8 3 2" xfId="47328"/>
    <cellStyle name="Moneda 4 8 4" xfId="47325"/>
    <cellStyle name="Moneda 4 9" xfId="30749"/>
    <cellStyle name="Moneda 4 9 2" xfId="30750"/>
    <cellStyle name="Moneda 4 9 2 2" xfId="47330"/>
    <cellStyle name="Moneda 4 9 3" xfId="47329"/>
    <cellStyle name="Moneda 5" xfId="30751"/>
    <cellStyle name="Moneda 5 10" xfId="30752"/>
    <cellStyle name="Moneda 5 10 2" xfId="47332"/>
    <cellStyle name="Moneda 5 11" xfId="30753"/>
    <cellStyle name="Moneda 5 11 2" xfId="47333"/>
    <cellStyle name="Moneda 5 12" xfId="47331"/>
    <cellStyle name="Moneda 5 2" xfId="30754"/>
    <cellStyle name="Moneda 5 2 2" xfId="30755"/>
    <cellStyle name="Moneda 5 2 2 2" xfId="30756"/>
    <cellStyle name="Moneda 5 2 2 2 2" xfId="30757"/>
    <cellStyle name="Moneda 5 2 2 2 2 2" xfId="30758"/>
    <cellStyle name="Moneda 5 2 2 2 2 2 2" xfId="47338"/>
    <cellStyle name="Moneda 5 2 2 2 2 3" xfId="47337"/>
    <cellStyle name="Moneda 5 2 2 2 3" xfId="30759"/>
    <cellStyle name="Moneda 5 2 2 2 3 2" xfId="30760"/>
    <cellStyle name="Moneda 5 2 2 2 3 2 2" xfId="47340"/>
    <cellStyle name="Moneda 5 2 2 2 3 3" xfId="47339"/>
    <cellStyle name="Moneda 5 2 2 2 4" xfId="30761"/>
    <cellStyle name="Moneda 5 2 2 2 4 2" xfId="47341"/>
    <cellStyle name="Moneda 5 2 2 2 5" xfId="47336"/>
    <cellStyle name="Moneda 5 2 2 3" xfId="30762"/>
    <cellStyle name="Moneda 5 2 2 3 2" xfId="47342"/>
    <cellStyle name="Moneda 5 2 2 4" xfId="30763"/>
    <cellStyle name="Moneda 5 2 2 4 2" xfId="30764"/>
    <cellStyle name="Moneda 5 2 2 4 2 2" xfId="47344"/>
    <cellStyle name="Moneda 5 2 2 4 3" xfId="47343"/>
    <cellStyle name="Moneda 5 2 2 5" xfId="30765"/>
    <cellStyle name="Moneda 5 2 2 5 2" xfId="47345"/>
    <cellStyle name="Moneda 5 2 2 6" xfId="47335"/>
    <cellStyle name="Moneda 5 2 3" xfId="30766"/>
    <cellStyle name="Moneda 5 2 3 2" xfId="30767"/>
    <cellStyle name="Moneda 5 2 3 2 2" xfId="30768"/>
    <cellStyle name="Moneda 5 2 3 2 2 2" xfId="47348"/>
    <cellStyle name="Moneda 5 2 3 2 3" xfId="47347"/>
    <cellStyle name="Moneda 5 2 3 3" xfId="30769"/>
    <cellStyle name="Moneda 5 2 3 3 2" xfId="30770"/>
    <cellStyle name="Moneda 5 2 3 3 2 2" xfId="47350"/>
    <cellStyle name="Moneda 5 2 3 3 3" xfId="47349"/>
    <cellStyle name="Moneda 5 2 3 4" xfId="30771"/>
    <cellStyle name="Moneda 5 2 3 4 2" xfId="47351"/>
    <cellStyle name="Moneda 5 2 3 5" xfId="47346"/>
    <cellStyle name="Moneda 5 2 4" xfId="30772"/>
    <cellStyle name="Moneda 5 2 4 2" xfId="47352"/>
    <cellStyle name="Moneda 5 2 5" xfId="30773"/>
    <cellStyle name="Moneda 5 2 5 2" xfId="30774"/>
    <cellStyle name="Moneda 5 2 5 2 2" xfId="47354"/>
    <cellStyle name="Moneda 5 2 5 3" xfId="47353"/>
    <cellStyle name="Moneda 5 2 6" xfId="30775"/>
    <cellStyle name="Moneda 5 2 6 2" xfId="47355"/>
    <cellStyle name="Moneda 5 2 7" xfId="47334"/>
    <cellStyle name="Moneda 5 3" xfId="30776"/>
    <cellStyle name="Moneda 5 3 2" xfId="30777"/>
    <cellStyle name="Moneda 5 3 2 2" xfId="30778"/>
    <cellStyle name="Moneda 5 3 2 2 2" xfId="30779"/>
    <cellStyle name="Moneda 5 3 2 2 2 2" xfId="47359"/>
    <cellStyle name="Moneda 5 3 2 2 3" xfId="47358"/>
    <cellStyle name="Moneda 5 3 2 3" xfId="30780"/>
    <cellStyle name="Moneda 5 3 2 3 2" xfId="30781"/>
    <cellStyle name="Moneda 5 3 2 3 2 2" xfId="47361"/>
    <cellStyle name="Moneda 5 3 2 3 3" xfId="47360"/>
    <cellStyle name="Moneda 5 3 2 4" xfId="30782"/>
    <cellStyle name="Moneda 5 3 2 4 2" xfId="47362"/>
    <cellStyle name="Moneda 5 3 2 5" xfId="47357"/>
    <cellStyle name="Moneda 5 3 3" xfId="30783"/>
    <cellStyle name="Moneda 5 3 3 2" xfId="47363"/>
    <cellStyle name="Moneda 5 3 4" xfId="30784"/>
    <cellStyle name="Moneda 5 3 4 2" xfId="30785"/>
    <cellStyle name="Moneda 5 3 4 2 2" xfId="47365"/>
    <cellStyle name="Moneda 5 3 4 3" xfId="47364"/>
    <cellStyle name="Moneda 5 3 5" xfId="30786"/>
    <cellStyle name="Moneda 5 3 5 2" xfId="47366"/>
    <cellStyle name="Moneda 5 3 6" xfId="47356"/>
    <cellStyle name="Moneda 5 4" xfId="30787"/>
    <cellStyle name="Moneda 5 4 2" xfId="30788"/>
    <cellStyle name="Moneda 5 4 2 2" xfId="30789"/>
    <cellStyle name="Moneda 5 4 2 2 2" xfId="47369"/>
    <cellStyle name="Moneda 5 4 2 3" xfId="47368"/>
    <cellStyle name="Moneda 5 4 3" xfId="30790"/>
    <cellStyle name="Moneda 5 4 3 2" xfId="30791"/>
    <cellStyle name="Moneda 5 4 3 2 2" xfId="47371"/>
    <cellStyle name="Moneda 5 4 3 3" xfId="47370"/>
    <cellStyle name="Moneda 5 4 4" xfId="30792"/>
    <cellStyle name="Moneda 5 4 4 2" xfId="47372"/>
    <cellStyle name="Moneda 5 4 5" xfId="47367"/>
    <cellStyle name="Moneda 5 5" xfId="30793"/>
    <cellStyle name="Moneda 5 5 2" xfId="30794"/>
    <cellStyle name="Moneda 5 5 2 2" xfId="30795"/>
    <cellStyle name="Moneda 5 5 2 2 2" xfId="47375"/>
    <cellStyle name="Moneda 5 5 2 3" xfId="47374"/>
    <cellStyle name="Moneda 5 5 3" xfId="30796"/>
    <cellStyle name="Moneda 5 5 3 2" xfId="47376"/>
    <cellStyle name="Moneda 5 5 4" xfId="47373"/>
    <cellStyle name="Moneda 5 6" xfId="30797"/>
    <cellStyle name="Moneda 5 6 2" xfId="30798"/>
    <cellStyle name="Moneda 5 6 2 2" xfId="30799"/>
    <cellStyle name="Moneda 5 6 2 2 2" xfId="47379"/>
    <cellStyle name="Moneda 5 6 2 3" xfId="47378"/>
    <cellStyle name="Moneda 5 6 3" xfId="30800"/>
    <cellStyle name="Moneda 5 6 3 2" xfId="47380"/>
    <cellStyle name="Moneda 5 6 4" xfId="47377"/>
    <cellStyle name="Moneda 5 7" xfId="30801"/>
    <cellStyle name="Moneda 5 7 2" xfId="30802"/>
    <cellStyle name="Moneda 5 7 2 2" xfId="30803"/>
    <cellStyle name="Moneda 5 7 2 2 2" xfId="47383"/>
    <cellStyle name="Moneda 5 7 2 3" xfId="47382"/>
    <cellStyle name="Moneda 5 7 3" xfId="30804"/>
    <cellStyle name="Moneda 5 7 3 2" xfId="47384"/>
    <cellStyle name="Moneda 5 7 4" xfId="47381"/>
    <cellStyle name="Moneda 5 8" xfId="30805"/>
    <cellStyle name="Moneda 5 8 2" xfId="47385"/>
    <cellStyle name="Moneda 5 9" xfId="30806"/>
    <cellStyle name="Moneda 5 9 2" xfId="30807"/>
    <cellStyle name="Moneda 5 9 2 2" xfId="47387"/>
    <cellStyle name="Moneda 5 9 3" xfId="47386"/>
    <cellStyle name="Moneda 6" xfId="30808"/>
    <cellStyle name="Moneda 6 10" xfId="30809"/>
    <cellStyle name="Moneda 6 10 2" xfId="47389"/>
    <cellStyle name="Moneda 6 11" xfId="47388"/>
    <cellStyle name="Moneda 6 2" xfId="30810"/>
    <cellStyle name="Moneda 6 2 2" xfId="30811"/>
    <cellStyle name="Moneda 6 2 2 2" xfId="30812"/>
    <cellStyle name="Moneda 6 2 2 2 2" xfId="30813"/>
    <cellStyle name="Moneda 6 2 2 2 2 2" xfId="30814"/>
    <cellStyle name="Moneda 6 2 2 2 2 2 2" xfId="47394"/>
    <cellStyle name="Moneda 6 2 2 2 2 3" xfId="47393"/>
    <cellStyle name="Moneda 6 2 2 2 3" xfId="30815"/>
    <cellStyle name="Moneda 6 2 2 2 3 2" xfId="30816"/>
    <cellStyle name="Moneda 6 2 2 2 3 2 2" xfId="47396"/>
    <cellStyle name="Moneda 6 2 2 2 3 3" xfId="47395"/>
    <cellStyle name="Moneda 6 2 2 2 4" xfId="30817"/>
    <cellStyle name="Moneda 6 2 2 2 4 2" xfId="47397"/>
    <cellStyle name="Moneda 6 2 2 2 5" xfId="47392"/>
    <cellStyle name="Moneda 6 2 2 3" xfId="30818"/>
    <cellStyle name="Moneda 6 2 2 3 2" xfId="47398"/>
    <cellStyle name="Moneda 6 2 2 4" xfId="30819"/>
    <cellStyle name="Moneda 6 2 2 4 2" xfId="30820"/>
    <cellStyle name="Moneda 6 2 2 4 2 2" xfId="47400"/>
    <cellStyle name="Moneda 6 2 2 4 3" xfId="47399"/>
    <cellStyle name="Moneda 6 2 2 5" xfId="30821"/>
    <cellStyle name="Moneda 6 2 2 5 2" xfId="47401"/>
    <cellStyle name="Moneda 6 2 2 6" xfId="47391"/>
    <cellStyle name="Moneda 6 2 3" xfId="30822"/>
    <cellStyle name="Moneda 6 2 3 2" xfId="30823"/>
    <cellStyle name="Moneda 6 2 3 2 2" xfId="30824"/>
    <cellStyle name="Moneda 6 2 3 2 2 2" xfId="47404"/>
    <cellStyle name="Moneda 6 2 3 2 3" xfId="47403"/>
    <cellStyle name="Moneda 6 2 3 3" xfId="30825"/>
    <cellStyle name="Moneda 6 2 3 3 2" xfId="30826"/>
    <cellStyle name="Moneda 6 2 3 3 2 2" xfId="47406"/>
    <cellStyle name="Moneda 6 2 3 3 3" xfId="47405"/>
    <cellStyle name="Moneda 6 2 3 4" xfId="30827"/>
    <cellStyle name="Moneda 6 2 3 4 2" xfId="47407"/>
    <cellStyle name="Moneda 6 2 3 5" xfId="47402"/>
    <cellStyle name="Moneda 6 2 4" xfId="30828"/>
    <cellStyle name="Moneda 6 2 4 2" xfId="47408"/>
    <cellStyle name="Moneda 6 2 5" xfId="30829"/>
    <cellStyle name="Moneda 6 2 5 2" xfId="30830"/>
    <cellStyle name="Moneda 6 2 5 2 2" xfId="47410"/>
    <cellStyle name="Moneda 6 2 5 3" xfId="47409"/>
    <cellStyle name="Moneda 6 2 6" xfId="30831"/>
    <cellStyle name="Moneda 6 2 6 2" xfId="47411"/>
    <cellStyle name="Moneda 6 2 7" xfId="47390"/>
    <cellStyle name="Moneda 6 3" xfId="30832"/>
    <cellStyle name="Moneda 6 3 2" xfId="30833"/>
    <cellStyle name="Moneda 6 3 2 2" xfId="30834"/>
    <cellStyle name="Moneda 6 3 2 2 2" xfId="30835"/>
    <cellStyle name="Moneda 6 3 2 2 2 2" xfId="47415"/>
    <cellStyle name="Moneda 6 3 2 2 3" xfId="47414"/>
    <cellStyle name="Moneda 6 3 2 3" xfId="30836"/>
    <cellStyle name="Moneda 6 3 2 3 2" xfId="30837"/>
    <cellStyle name="Moneda 6 3 2 3 2 2" xfId="47417"/>
    <cellStyle name="Moneda 6 3 2 3 3" xfId="47416"/>
    <cellStyle name="Moneda 6 3 2 4" xfId="30838"/>
    <cellStyle name="Moneda 6 3 2 4 2" xfId="47418"/>
    <cellStyle name="Moneda 6 3 2 5" xfId="47413"/>
    <cellStyle name="Moneda 6 3 3" xfId="30839"/>
    <cellStyle name="Moneda 6 3 3 2" xfId="47419"/>
    <cellStyle name="Moneda 6 3 4" xfId="30840"/>
    <cellStyle name="Moneda 6 3 4 2" xfId="30841"/>
    <cellStyle name="Moneda 6 3 4 2 2" xfId="47421"/>
    <cellStyle name="Moneda 6 3 4 3" xfId="47420"/>
    <cellStyle name="Moneda 6 3 5" xfId="30842"/>
    <cellStyle name="Moneda 6 3 5 2" xfId="47422"/>
    <cellStyle name="Moneda 6 3 6" xfId="47412"/>
    <cellStyle name="Moneda 6 4" xfId="30843"/>
    <cellStyle name="Moneda 6 4 2" xfId="30844"/>
    <cellStyle name="Moneda 6 4 2 2" xfId="30845"/>
    <cellStyle name="Moneda 6 4 2 2 2" xfId="47425"/>
    <cellStyle name="Moneda 6 4 2 3" xfId="47424"/>
    <cellStyle name="Moneda 6 4 3" xfId="30846"/>
    <cellStyle name="Moneda 6 4 3 2" xfId="30847"/>
    <cellStyle name="Moneda 6 4 3 2 2" xfId="47427"/>
    <cellStyle name="Moneda 6 4 3 3" xfId="47426"/>
    <cellStyle name="Moneda 6 4 4" xfId="30848"/>
    <cellStyle name="Moneda 6 4 4 2" xfId="47428"/>
    <cellStyle name="Moneda 6 4 5" xfId="47423"/>
    <cellStyle name="Moneda 6 5" xfId="30849"/>
    <cellStyle name="Moneda 6 5 2" xfId="30850"/>
    <cellStyle name="Moneda 6 5 2 2" xfId="30851"/>
    <cellStyle name="Moneda 6 5 2 2 2" xfId="47431"/>
    <cellStyle name="Moneda 6 5 2 3" xfId="47430"/>
    <cellStyle name="Moneda 6 5 3" xfId="30852"/>
    <cellStyle name="Moneda 6 5 3 2" xfId="47432"/>
    <cellStyle name="Moneda 6 5 4" xfId="47429"/>
    <cellStyle name="Moneda 6 6" xfId="30853"/>
    <cellStyle name="Moneda 6 6 2" xfId="30854"/>
    <cellStyle name="Moneda 6 6 2 2" xfId="30855"/>
    <cellStyle name="Moneda 6 6 2 2 2" xfId="47435"/>
    <cellStyle name="Moneda 6 6 2 3" xfId="47434"/>
    <cellStyle name="Moneda 6 6 3" xfId="30856"/>
    <cellStyle name="Moneda 6 6 3 2" xfId="47436"/>
    <cellStyle name="Moneda 6 6 4" xfId="47433"/>
    <cellStyle name="Moneda 6 7" xfId="30857"/>
    <cellStyle name="Moneda 6 7 2" xfId="30858"/>
    <cellStyle name="Moneda 6 7 2 2" xfId="30859"/>
    <cellStyle name="Moneda 6 7 2 2 2" xfId="47439"/>
    <cellStyle name="Moneda 6 7 2 3" xfId="47438"/>
    <cellStyle name="Moneda 6 7 3" xfId="30860"/>
    <cellStyle name="Moneda 6 7 3 2" xfId="47440"/>
    <cellStyle name="Moneda 6 7 4" xfId="47437"/>
    <cellStyle name="Moneda 6 8" xfId="30861"/>
    <cellStyle name="Moneda 6 8 2" xfId="47441"/>
    <cellStyle name="Moneda 6 9" xfId="30862"/>
    <cellStyle name="Moneda 6 9 2" xfId="30863"/>
    <cellStyle name="Moneda 6 9 2 2" xfId="47443"/>
    <cellStyle name="Moneda 6 9 3" xfId="47442"/>
    <cellStyle name="Moneda 7" xfId="30864"/>
    <cellStyle name="Moneda 7 2" xfId="47444"/>
    <cellStyle name="Moneda 8" xfId="30865"/>
    <cellStyle name="Moneda 8 2" xfId="30866"/>
    <cellStyle name="Moneda 8 2 2" xfId="30867"/>
    <cellStyle name="Moneda 8 2 2 2" xfId="30868"/>
    <cellStyle name="Moneda 8 2 2 2 2" xfId="30869"/>
    <cellStyle name="Moneda 8 2 2 2 2 2" xfId="47449"/>
    <cellStyle name="Moneda 8 2 2 2 3" xfId="47448"/>
    <cellStyle name="Moneda 8 2 2 3" xfId="30870"/>
    <cellStyle name="Moneda 8 2 2 3 2" xfId="30871"/>
    <cellStyle name="Moneda 8 2 2 3 2 2" xfId="47451"/>
    <cellStyle name="Moneda 8 2 2 3 3" xfId="47450"/>
    <cellStyle name="Moneda 8 2 2 4" xfId="30872"/>
    <cellStyle name="Moneda 8 2 2 4 2" xfId="47452"/>
    <cellStyle name="Moneda 8 2 2 5" xfId="47447"/>
    <cellStyle name="Moneda 8 2 3" xfId="30873"/>
    <cellStyle name="Moneda 8 2 3 2" xfId="47453"/>
    <cellStyle name="Moneda 8 2 4" xfId="30874"/>
    <cellStyle name="Moneda 8 2 4 2" xfId="30875"/>
    <cellStyle name="Moneda 8 2 4 2 2" xfId="47455"/>
    <cellStyle name="Moneda 8 2 4 3" xfId="47454"/>
    <cellStyle name="Moneda 8 2 5" xfId="30876"/>
    <cellStyle name="Moneda 8 2 5 2" xfId="47456"/>
    <cellStyle name="Moneda 8 2 6" xfId="47446"/>
    <cellStyle name="Moneda 8 3" xfId="30877"/>
    <cellStyle name="Moneda 8 3 2" xfId="30878"/>
    <cellStyle name="Moneda 8 3 2 2" xfId="30879"/>
    <cellStyle name="Moneda 8 3 2 2 2" xfId="47459"/>
    <cellStyle name="Moneda 8 3 2 3" xfId="47458"/>
    <cellStyle name="Moneda 8 3 3" xfId="30880"/>
    <cellStyle name="Moneda 8 3 3 2" xfId="30881"/>
    <cellStyle name="Moneda 8 3 3 2 2" xfId="47461"/>
    <cellStyle name="Moneda 8 3 3 3" xfId="47460"/>
    <cellStyle name="Moneda 8 3 4" xfId="30882"/>
    <cellStyle name="Moneda 8 3 4 2" xfId="47462"/>
    <cellStyle name="Moneda 8 3 5" xfId="47457"/>
    <cellStyle name="Moneda 8 4" xfId="30883"/>
    <cellStyle name="Moneda 8 4 2" xfId="47463"/>
    <cellStyle name="Moneda 8 5" xfId="30884"/>
    <cellStyle name="Moneda 8 5 2" xfId="30885"/>
    <cellStyle name="Moneda 8 5 2 2" xfId="47465"/>
    <cellStyle name="Moneda 8 5 3" xfId="47464"/>
    <cellStyle name="Moneda 8 6" xfId="30886"/>
    <cellStyle name="Moneda 8 6 2" xfId="47466"/>
    <cellStyle name="Moneda 8 7" xfId="47445"/>
    <cellStyle name="Moneda 9" xfId="30887"/>
    <cellStyle name="Moneda 9 2" xfId="30888"/>
    <cellStyle name="Moneda 9 2 2" xfId="30889"/>
    <cellStyle name="Moneda 9 2 2 2" xfId="30890"/>
    <cellStyle name="Moneda 9 2 2 2 2" xfId="47470"/>
    <cellStyle name="Moneda 9 2 2 3" xfId="47469"/>
    <cellStyle name="Moneda 9 2 3" xfId="30891"/>
    <cellStyle name="Moneda 9 2 3 2" xfId="30892"/>
    <cellStyle name="Moneda 9 2 3 2 2" xfId="47472"/>
    <cellStyle name="Moneda 9 2 3 3" xfId="47471"/>
    <cellStyle name="Moneda 9 2 4" xfId="30893"/>
    <cellStyle name="Moneda 9 2 4 2" xfId="47473"/>
    <cellStyle name="Moneda 9 2 5" xfId="47468"/>
    <cellStyle name="Moneda 9 3" xfId="30894"/>
    <cellStyle name="Moneda 9 3 2" xfId="47474"/>
    <cellStyle name="Moneda 9 4" xfId="30895"/>
    <cellStyle name="Moneda 9 4 2" xfId="30896"/>
    <cellStyle name="Moneda 9 4 2 2" xfId="47476"/>
    <cellStyle name="Moneda 9 4 3" xfId="47475"/>
    <cellStyle name="Moneda 9 5" xfId="30897"/>
    <cellStyle name="Moneda 9 5 2" xfId="47477"/>
    <cellStyle name="Moneda 9 6" xfId="47467"/>
    <cellStyle name="Nagłówek 1" xfId="813"/>
    <cellStyle name="Nagłówek 1 2" xfId="30898"/>
    <cellStyle name="Nagłówek 2" xfId="814"/>
    <cellStyle name="Nagłówek 2 2" xfId="30899"/>
    <cellStyle name="Nagłówek 3" xfId="815"/>
    <cellStyle name="Nagłówek 3 2" xfId="30900"/>
    <cellStyle name="Nagłówek 4" xfId="816"/>
    <cellStyle name="Nagłówek 4 2" xfId="30901"/>
    <cellStyle name="Neutra" xfId="30902"/>
    <cellStyle name="Neutra 2" xfId="47478"/>
    <cellStyle name="Neutral 2" xfId="817"/>
    <cellStyle name="Neutral 2 2" xfId="30905"/>
    <cellStyle name="Neutral 2 2 2" xfId="47480"/>
    <cellStyle name="Neutral 2 3" xfId="30906"/>
    <cellStyle name="Neutral 2 3 2" xfId="47481"/>
    <cellStyle name="Neutral 2 4" xfId="30907"/>
    <cellStyle name="Neutral 2 4 2" xfId="30908"/>
    <cellStyle name="Neutral 2 4 2 2" xfId="47483"/>
    <cellStyle name="Neutral 2 4 3" xfId="30909"/>
    <cellStyle name="Neutral 2 4 3 2" xfId="47484"/>
    <cellStyle name="Neutral 2 4 4" xfId="30910"/>
    <cellStyle name="Neutral 2 4 4 2" xfId="47485"/>
    <cellStyle name="Neutral 2 4 5" xfId="30911"/>
    <cellStyle name="Neutral 2 4 5 2" xfId="47486"/>
    <cellStyle name="Neutral 2 4 6" xfId="47482"/>
    <cellStyle name="Neutral 2 5" xfId="47479"/>
    <cellStyle name="Neutral 2 6" xfId="30904"/>
    <cellStyle name="Neutral 3" xfId="1246"/>
    <cellStyle name="Neutral 3 2" xfId="30913"/>
    <cellStyle name="Neutral 3 2 2" xfId="47488"/>
    <cellStyle name="Neutral 3 3" xfId="30914"/>
    <cellStyle name="Neutral 3 3 2" xfId="47489"/>
    <cellStyle name="Neutral 3 4" xfId="30915"/>
    <cellStyle name="Neutral 3 4 2" xfId="47490"/>
    <cellStyle name="Neutral 3 5" xfId="47487"/>
    <cellStyle name="Neutral 3 6" xfId="52799"/>
    <cellStyle name="Neutral 3 7" xfId="30912"/>
    <cellStyle name="Neutral 3_Plan by Lob" xfId="30916"/>
    <cellStyle name="Neutral 4" xfId="30917"/>
    <cellStyle name="Neutral 4 2" xfId="30918"/>
    <cellStyle name="Neutral 4 2 2" xfId="47492"/>
    <cellStyle name="Neutral 4 3" xfId="47491"/>
    <cellStyle name="Neutral 5" xfId="30919"/>
    <cellStyle name="Neutral 5 2" xfId="30920"/>
    <cellStyle name="Neutral 5 2 2" xfId="47494"/>
    <cellStyle name="Neutral 5 3" xfId="47493"/>
    <cellStyle name="Neutral 6" xfId="30921"/>
    <cellStyle name="Neutral 6 2" xfId="47495"/>
    <cellStyle name="Neutral 7" xfId="30922"/>
    <cellStyle name="Neutral 7 2" xfId="47496"/>
    <cellStyle name="Neutral 8" xfId="30923"/>
    <cellStyle name="Neutral 8 2" xfId="30924"/>
    <cellStyle name="Neutral 8 2 2" xfId="47498"/>
    <cellStyle name="Neutral 8 3" xfId="30925"/>
    <cellStyle name="Neutral 8 3 2" xfId="47499"/>
    <cellStyle name="Neutral 8 4" xfId="30926"/>
    <cellStyle name="Neutral 8 4 2" xfId="47500"/>
    <cellStyle name="Neutral 8 5" xfId="30927"/>
    <cellStyle name="Neutral 8 5 2" xfId="47501"/>
    <cellStyle name="Neutral 8 6" xfId="47497"/>
    <cellStyle name="Neutral 9" xfId="30903"/>
    <cellStyle name="Neutralne" xfId="818"/>
    <cellStyle name="Neutralne 2" xfId="30928"/>
    <cellStyle name="Neutre" xfId="30929"/>
    <cellStyle name="Neutre 2" xfId="47502"/>
    <cellStyle name="No-definido" xfId="19957"/>
    <cellStyle name="No-definido 10" xfId="30931"/>
    <cellStyle name="No-definido 10 2" xfId="47503"/>
    <cellStyle name="No-definido 11" xfId="30932"/>
    <cellStyle name="No-definido 11 2" xfId="47504"/>
    <cellStyle name="No-definido 12" xfId="30933"/>
    <cellStyle name="No-definido 12 2" xfId="47505"/>
    <cellStyle name="No-definido 13" xfId="30934"/>
    <cellStyle name="No-definido 13 2" xfId="47506"/>
    <cellStyle name="No-definido 14" xfId="30935"/>
    <cellStyle name="No-definido 14 2" xfId="47507"/>
    <cellStyle name="No-definido 15" xfId="30936"/>
    <cellStyle name="No-definido 16" xfId="30930"/>
    <cellStyle name="No-definido 2" xfId="30937"/>
    <cellStyle name="No-definido 2 2" xfId="30938"/>
    <cellStyle name="No-definido 2 2 2" xfId="47509"/>
    <cellStyle name="No-definido 2 3" xfId="47508"/>
    <cellStyle name="No-definido 3" xfId="30939"/>
    <cellStyle name="No-definido 3 2" xfId="47510"/>
    <cellStyle name="No-definido 4" xfId="30940"/>
    <cellStyle name="No-definido 4 2" xfId="47511"/>
    <cellStyle name="No-definido 5" xfId="30941"/>
    <cellStyle name="No-definido 5 2" xfId="47512"/>
    <cellStyle name="No-definido 6" xfId="30942"/>
    <cellStyle name="No-definido 6 2" xfId="47513"/>
    <cellStyle name="No-definido 7" xfId="30943"/>
    <cellStyle name="No-definido 7 2" xfId="47514"/>
    <cellStyle name="No-definido 8" xfId="30944"/>
    <cellStyle name="No-definido 8 2" xfId="47515"/>
    <cellStyle name="No-definido 9" xfId="30945"/>
    <cellStyle name="No-definido 9 2" xfId="47516"/>
    <cellStyle name="No-definido_IAS" xfId="30946"/>
    <cellStyle name="Normal" xfId="0" builtinId="0"/>
    <cellStyle name="Normal - Style1" xfId="30947"/>
    <cellStyle name="Normal - Style1 2" xfId="30948"/>
    <cellStyle name="Normal - Style1 2 2" xfId="47518"/>
    <cellStyle name="Normal - Style1 3" xfId="30949"/>
    <cellStyle name="Normal - Style1 3 2" xfId="30950"/>
    <cellStyle name="Normal - Style1 3 2 2" xfId="47520"/>
    <cellStyle name="Normal - Style1 3 3" xfId="30951"/>
    <cellStyle name="Normal - Style1 3 3 2" xfId="47521"/>
    <cellStyle name="Normal - Style1 3 4" xfId="47519"/>
    <cellStyle name="Normal - Style1 3_Plan by Lob" xfId="30952"/>
    <cellStyle name="Normal - Style1 4" xfId="30953"/>
    <cellStyle name="Normal - Style1 4 2" xfId="47522"/>
    <cellStyle name="Normal - Style1 5" xfId="47517"/>
    <cellStyle name="Normal - Style1_FYFC" xfId="30954"/>
    <cellStyle name="Normal 10" xfId="819"/>
    <cellStyle name="Normal 10 2" xfId="30956"/>
    <cellStyle name="Normal 10 2 2" xfId="47523"/>
    <cellStyle name="Normal 10 3" xfId="30957"/>
    <cellStyle name="Normal 10 3 2" xfId="30958"/>
    <cellStyle name="Normal 10 3 2 2" xfId="30959"/>
    <cellStyle name="Normal 10 3 3" xfId="30960"/>
    <cellStyle name="Normal 10 3 4" xfId="30961"/>
    <cellStyle name="Normal 10 4" xfId="30962"/>
    <cellStyle name="Normal 10 5" xfId="30963"/>
    <cellStyle name="Normal 10 6" xfId="30955"/>
    <cellStyle name="Normal 10_Plan by Lob" xfId="30964"/>
    <cellStyle name="Normal 100" xfId="30965"/>
    <cellStyle name="Normal 100 2" xfId="30966"/>
    <cellStyle name="Normal 100 2 2" xfId="47525"/>
    <cellStyle name="Normal 100 3" xfId="47524"/>
    <cellStyle name="Normal 101" xfId="30967"/>
    <cellStyle name="Normal 101 2" xfId="30968"/>
    <cellStyle name="Normal 101 2 2" xfId="47527"/>
    <cellStyle name="Normal 101 3" xfId="47526"/>
    <cellStyle name="Normal 102" xfId="30969"/>
    <cellStyle name="Normal 102 2" xfId="30970"/>
    <cellStyle name="Normal 102 2 2" xfId="47529"/>
    <cellStyle name="Normal 102 3" xfId="47528"/>
    <cellStyle name="Normal 103" xfId="30971"/>
    <cellStyle name="Normal 103 2" xfId="30972"/>
    <cellStyle name="Normal 103 2 2" xfId="47531"/>
    <cellStyle name="Normal 103 3" xfId="47530"/>
    <cellStyle name="Normal 104" xfId="30973"/>
    <cellStyle name="Normal 104 2" xfId="30974"/>
    <cellStyle name="Normal 104 2 2" xfId="47533"/>
    <cellStyle name="Normal 104 3" xfId="47532"/>
    <cellStyle name="Normal 105" xfId="30975"/>
    <cellStyle name="Normal 105 2" xfId="47534"/>
    <cellStyle name="Normal 106" xfId="30976"/>
    <cellStyle name="Normal 106 2" xfId="30977"/>
    <cellStyle name="Normal 106 2 2" xfId="47536"/>
    <cellStyle name="Normal 106 3" xfId="47535"/>
    <cellStyle name="Normal 107" xfId="30978"/>
    <cellStyle name="Normal 107 2" xfId="47537"/>
    <cellStyle name="Normal 108" xfId="30979"/>
    <cellStyle name="Normal 108 2" xfId="47538"/>
    <cellStyle name="Normal 109" xfId="30980"/>
    <cellStyle name="Normal 109 2" xfId="47539"/>
    <cellStyle name="Normal 11" xfId="820"/>
    <cellStyle name="Normal 11 10" xfId="30981"/>
    <cellStyle name="Normal 11 2" xfId="821"/>
    <cellStyle name="Normal 11 2 2" xfId="822"/>
    <cellStyle name="Normal 11 2 2 2" xfId="823"/>
    <cellStyle name="Normal 11 2 2 2 2" xfId="2243"/>
    <cellStyle name="Normal 11 2 2 2 2 2" xfId="5368"/>
    <cellStyle name="Normal 11 2 2 2 2 2 2" xfId="11571"/>
    <cellStyle name="Normal 11 2 2 2 2 2 3" xfId="17773"/>
    <cellStyle name="Normal 11 2 2 2 2 2 4" xfId="56607"/>
    <cellStyle name="Normal 11 2 2 2 2 3" xfId="8471"/>
    <cellStyle name="Normal 11 2 2 2 2 4" xfId="14673"/>
    <cellStyle name="Normal 11 2 2 2 2 5" xfId="53711"/>
    <cellStyle name="Normal 11 2 2 2 3" xfId="3009"/>
    <cellStyle name="Normal 11 2 2 2 3 2" xfId="6122"/>
    <cellStyle name="Normal 11 2 2 2 3 2 2" xfId="12325"/>
    <cellStyle name="Normal 11 2 2 2 3 2 3" xfId="18527"/>
    <cellStyle name="Normal 11 2 2 2 3 2 4" xfId="57353"/>
    <cellStyle name="Normal 11 2 2 2 3 3" xfId="9225"/>
    <cellStyle name="Normal 11 2 2 2 3 4" xfId="15427"/>
    <cellStyle name="Normal 11 2 2 2 3 5" xfId="54463"/>
    <cellStyle name="Normal 11 2 2 2 4" xfId="4050"/>
    <cellStyle name="Normal 11 2 2 2 4 2" xfId="10254"/>
    <cellStyle name="Normal 11 2 2 2 4 3" xfId="16456"/>
    <cellStyle name="Normal 11 2 2 2 4 4" xfId="55417"/>
    <cellStyle name="Normal 11 2 2 2 5" xfId="7153"/>
    <cellStyle name="Normal 11 2 2 2 5 2" xfId="19844"/>
    <cellStyle name="Normal 11 2 2 2 5 3" xfId="52628"/>
    <cellStyle name="Normal 11 2 2 2 6" xfId="13355"/>
    <cellStyle name="Normal 11 2 2 2 7" xfId="47541"/>
    <cellStyle name="Normal 11 2 2 3" xfId="1719"/>
    <cellStyle name="Normal 11 2 2 3 2" xfId="4844"/>
    <cellStyle name="Normal 11 2 2 3 2 2" xfId="11047"/>
    <cellStyle name="Normal 11 2 2 3 2 3" xfId="17249"/>
    <cellStyle name="Normal 11 2 2 3 2 4" xfId="56116"/>
    <cellStyle name="Normal 11 2 2 3 3" xfId="7947"/>
    <cellStyle name="Normal 11 2 2 3 4" xfId="14149"/>
    <cellStyle name="Normal 11 2 2 3 5" xfId="53226"/>
    <cellStyle name="Normal 11 2 2 4" xfId="3008"/>
    <cellStyle name="Normal 11 2 2 4 2" xfId="6121"/>
    <cellStyle name="Normal 11 2 2 4 2 2" xfId="12324"/>
    <cellStyle name="Normal 11 2 2 4 2 3" xfId="18526"/>
    <cellStyle name="Normal 11 2 2 4 2 4" xfId="57352"/>
    <cellStyle name="Normal 11 2 2 4 3" xfId="9224"/>
    <cellStyle name="Normal 11 2 2 4 4" xfId="15426"/>
    <cellStyle name="Normal 11 2 2 4 5" xfId="54462"/>
    <cellStyle name="Normal 11 2 2 5" xfId="4049"/>
    <cellStyle name="Normal 11 2 2 5 2" xfId="10253"/>
    <cellStyle name="Normal 11 2 2 5 3" xfId="16455"/>
    <cellStyle name="Normal 11 2 2 5 4" xfId="55416"/>
    <cellStyle name="Normal 11 2 2 6" xfId="7152"/>
    <cellStyle name="Normal 11 2 2 6 2" xfId="19320"/>
    <cellStyle name="Normal 11 2 2 7" xfId="13354"/>
    <cellStyle name="Normal 11 2 2 8" xfId="30983"/>
    <cellStyle name="Normal 11 2 3" xfId="824"/>
    <cellStyle name="Normal 11 2 3 2" xfId="1998"/>
    <cellStyle name="Normal 11 2 3 2 2" xfId="5123"/>
    <cellStyle name="Normal 11 2 3 2 2 2" xfId="11326"/>
    <cellStyle name="Normal 11 2 3 2 2 3" xfId="17528"/>
    <cellStyle name="Normal 11 2 3 2 2 4" xfId="56380"/>
    <cellStyle name="Normal 11 2 3 2 3" xfId="8226"/>
    <cellStyle name="Normal 11 2 3 2 4" xfId="14428"/>
    <cellStyle name="Normal 11 2 3 2 5" xfId="30985"/>
    <cellStyle name="Normal 11 2 3 3" xfId="3010"/>
    <cellStyle name="Normal 11 2 3 3 2" xfId="6123"/>
    <cellStyle name="Normal 11 2 3 3 2 2" xfId="12326"/>
    <cellStyle name="Normal 11 2 3 3 2 3" xfId="18528"/>
    <cellStyle name="Normal 11 2 3 3 2 4" xfId="57354"/>
    <cellStyle name="Normal 11 2 3 3 3" xfId="9226"/>
    <cellStyle name="Normal 11 2 3 3 4" xfId="15428"/>
    <cellStyle name="Normal 11 2 3 3 5" xfId="54464"/>
    <cellStyle name="Normal 11 2 3 4" xfId="4051"/>
    <cellStyle name="Normal 11 2 3 4 2" xfId="10255"/>
    <cellStyle name="Normal 11 2 3 4 3" xfId="16457"/>
    <cellStyle name="Normal 11 2 3 4 4" xfId="55418"/>
    <cellStyle name="Normal 11 2 3 5" xfId="7154"/>
    <cellStyle name="Normal 11 2 3 5 2" xfId="19599"/>
    <cellStyle name="Normal 11 2 3 6" xfId="13356"/>
    <cellStyle name="Normal 11 2 3 7" xfId="30984"/>
    <cellStyle name="Normal 11 2 4" xfId="1474"/>
    <cellStyle name="Normal 11 2 4 2" xfId="4599"/>
    <cellStyle name="Normal 11 2 4 2 2" xfId="10802"/>
    <cellStyle name="Normal 11 2 4 2 3" xfId="17004"/>
    <cellStyle name="Normal 11 2 4 2 4" xfId="55884"/>
    <cellStyle name="Normal 11 2 4 3" xfId="7702"/>
    <cellStyle name="Normal 11 2 4 4" xfId="13904"/>
    <cellStyle name="Normal 11 2 4 5" xfId="30986"/>
    <cellStyle name="Normal 11 2 5" xfId="3007"/>
    <cellStyle name="Normal 11 2 5 2" xfId="6120"/>
    <cellStyle name="Normal 11 2 5 2 2" xfId="12323"/>
    <cellStyle name="Normal 11 2 5 2 3" xfId="18525"/>
    <cellStyle name="Normal 11 2 5 2 4" xfId="57351"/>
    <cellStyle name="Normal 11 2 5 3" xfId="9223"/>
    <cellStyle name="Normal 11 2 5 4" xfId="15425"/>
    <cellStyle name="Normal 11 2 5 5" xfId="54461"/>
    <cellStyle name="Normal 11 2 6" xfId="4048"/>
    <cellStyle name="Normal 11 2 6 2" xfId="10252"/>
    <cellStyle name="Normal 11 2 6 3" xfId="16454"/>
    <cellStyle name="Normal 11 2 6 4" xfId="55415"/>
    <cellStyle name="Normal 11 2 7" xfId="7151"/>
    <cellStyle name="Normal 11 2 7 2" xfId="19075"/>
    <cellStyle name="Normal 11 2 8" xfId="13353"/>
    <cellStyle name="Normal 11 2 9" xfId="30982"/>
    <cellStyle name="Normal 11 3" xfId="825"/>
    <cellStyle name="Normal 11 3 2" xfId="826"/>
    <cellStyle name="Normal 11 3 2 2" xfId="2115"/>
    <cellStyle name="Normal 11 3 2 2 2" xfId="5240"/>
    <cellStyle name="Normal 11 3 2 2 2 2" xfId="11443"/>
    <cellStyle name="Normal 11 3 2 2 2 3" xfId="17645"/>
    <cellStyle name="Normal 11 3 2 2 2 4" xfId="56488"/>
    <cellStyle name="Normal 11 3 2 2 3" xfId="8343"/>
    <cellStyle name="Normal 11 3 2 2 4" xfId="14545"/>
    <cellStyle name="Normal 11 3 2 2 5" xfId="53592"/>
    <cellStyle name="Normal 11 3 2 3" xfId="3012"/>
    <cellStyle name="Normal 11 3 2 3 2" xfId="6125"/>
    <cellStyle name="Normal 11 3 2 3 2 2" xfId="12328"/>
    <cellStyle name="Normal 11 3 2 3 2 3" xfId="18530"/>
    <cellStyle name="Normal 11 3 2 3 2 4" xfId="57356"/>
    <cellStyle name="Normal 11 3 2 3 3" xfId="9228"/>
    <cellStyle name="Normal 11 3 2 3 4" xfId="15430"/>
    <cellStyle name="Normal 11 3 2 3 5" xfId="54466"/>
    <cellStyle name="Normal 11 3 2 4" xfId="4053"/>
    <cellStyle name="Normal 11 3 2 4 2" xfId="10257"/>
    <cellStyle name="Normal 11 3 2 4 3" xfId="16459"/>
    <cellStyle name="Normal 11 3 2 4 4" xfId="55420"/>
    <cellStyle name="Normal 11 3 2 5" xfId="7156"/>
    <cellStyle name="Normal 11 3 2 5 2" xfId="19716"/>
    <cellStyle name="Normal 11 3 2 5 3" xfId="52629"/>
    <cellStyle name="Normal 11 3 2 6" xfId="13358"/>
    <cellStyle name="Normal 11 3 2 7" xfId="47542"/>
    <cellStyle name="Normal 11 3 3" xfId="1591"/>
    <cellStyle name="Normal 11 3 3 2" xfId="4716"/>
    <cellStyle name="Normal 11 3 3 2 2" xfId="10919"/>
    <cellStyle name="Normal 11 3 3 2 3" xfId="17121"/>
    <cellStyle name="Normal 11 3 3 2 4" xfId="55994"/>
    <cellStyle name="Normal 11 3 3 3" xfId="7819"/>
    <cellStyle name="Normal 11 3 3 4" xfId="14021"/>
    <cellStyle name="Normal 11 3 3 5" xfId="53107"/>
    <cellStyle name="Normal 11 3 4" xfId="3011"/>
    <cellStyle name="Normal 11 3 4 2" xfId="6124"/>
    <cellStyle name="Normal 11 3 4 2 2" xfId="12327"/>
    <cellStyle name="Normal 11 3 4 2 3" xfId="18529"/>
    <cellStyle name="Normal 11 3 4 2 4" xfId="57355"/>
    <cellStyle name="Normal 11 3 4 3" xfId="9227"/>
    <cellStyle name="Normal 11 3 4 4" xfId="15429"/>
    <cellStyle name="Normal 11 3 4 5" xfId="54465"/>
    <cellStyle name="Normal 11 3 5" xfId="4052"/>
    <cellStyle name="Normal 11 3 5 2" xfId="10256"/>
    <cellStyle name="Normal 11 3 5 3" xfId="16458"/>
    <cellStyle name="Normal 11 3 5 4" xfId="55419"/>
    <cellStyle name="Normal 11 3 6" xfId="7155"/>
    <cellStyle name="Normal 11 3 6 2" xfId="19192"/>
    <cellStyle name="Normal 11 3 7" xfId="13357"/>
    <cellStyle name="Normal 11 3 8" xfId="30987"/>
    <cellStyle name="Normal 11 4" xfId="827"/>
    <cellStyle name="Normal 11 4 2" xfId="1856"/>
    <cellStyle name="Normal 11 4 2 2" xfId="4981"/>
    <cellStyle name="Normal 11 4 2 2 2" xfId="11184"/>
    <cellStyle name="Normal 11 4 2 2 3" xfId="17386"/>
    <cellStyle name="Normal 11 4 2 2 4" xfId="56245"/>
    <cellStyle name="Normal 11 4 2 3" xfId="8084"/>
    <cellStyle name="Normal 11 4 2 4" xfId="14286"/>
    <cellStyle name="Normal 11 4 2 5" xfId="53351"/>
    <cellStyle name="Normal 11 4 3" xfId="3013"/>
    <cellStyle name="Normal 11 4 3 2" xfId="6126"/>
    <cellStyle name="Normal 11 4 3 2 2" xfId="12329"/>
    <cellStyle name="Normal 11 4 3 2 3" xfId="18531"/>
    <cellStyle name="Normal 11 4 3 2 4" xfId="57357"/>
    <cellStyle name="Normal 11 4 3 3" xfId="9229"/>
    <cellStyle name="Normal 11 4 3 4" xfId="15431"/>
    <cellStyle name="Normal 11 4 3 5" xfId="54467"/>
    <cellStyle name="Normal 11 4 4" xfId="4054"/>
    <cellStyle name="Normal 11 4 4 2" xfId="10258"/>
    <cellStyle name="Normal 11 4 4 3" xfId="16460"/>
    <cellStyle name="Normal 11 4 4 4" xfId="55421"/>
    <cellStyle name="Normal 11 4 5" xfId="7157"/>
    <cellStyle name="Normal 11 4 5 2" xfId="19457"/>
    <cellStyle name="Normal 11 4 5 3" xfId="52630"/>
    <cellStyle name="Normal 11 4 6" xfId="13359"/>
    <cellStyle name="Normal 11 4 7" xfId="47540"/>
    <cellStyle name="Normal 11 5" xfId="1332"/>
    <cellStyle name="Normal 11 5 2" xfId="4457"/>
    <cellStyle name="Normal 11 5 2 2" xfId="10660"/>
    <cellStyle name="Normal 11 5 2 3" xfId="16862"/>
    <cellStyle name="Normal 11 5 2 4" xfId="55748"/>
    <cellStyle name="Normal 11 5 3" xfId="7560"/>
    <cellStyle name="Normal 11 5 4" xfId="13762"/>
    <cellStyle name="Normal 11 5 5" xfId="52876"/>
    <cellStyle name="Normal 11 6" xfId="3006"/>
    <cellStyle name="Normal 11 6 2" xfId="6119"/>
    <cellStyle name="Normal 11 6 2 2" xfId="12322"/>
    <cellStyle name="Normal 11 6 2 3" xfId="18524"/>
    <cellStyle name="Normal 11 6 2 4" xfId="57350"/>
    <cellStyle name="Normal 11 6 3" xfId="9222"/>
    <cellStyle name="Normal 11 6 4" xfId="15424"/>
    <cellStyle name="Normal 11 6 5" xfId="54460"/>
    <cellStyle name="Normal 11 7" xfId="4047"/>
    <cellStyle name="Normal 11 7 2" xfId="10251"/>
    <cellStyle name="Normal 11 7 3" xfId="16453"/>
    <cellStyle name="Normal 11 7 4" xfId="55414"/>
    <cellStyle name="Normal 11 8" xfId="7150"/>
    <cellStyle name="Normal 11 8 2" xfId="18933"/>
    <cellStyle name="Normal 11 9" xfId="13352"/>
    <cellStyle name="Normal 110" xfId="30988"/>
    <cellStyle name="Normal 110 2" xfId="47543"/>
    <cellStyle name="Normal 111" xfId="30989"/>
    <cellStyle name="Normal 111 2" xfId="30990"/>
    <cellStyle name="Normal 111 2 2" xfId="30991"/>
    <cellStyle name="Normal 111 2 2 2" xfId="30992"/>
    <cellStyle name="Normal 111 2 2 2 2" xfId="30993"/>
    <cellStyle name="Normal 111 2 2 3" xfId="30994"/>
    <cellStyle name="Normal 111 2 2 3 2" xfId="30995"/>
    <cellStyle name="Normal 111 2 2 4" xfId="30996"/>
    <cellStyle name="Normal 111 2 3" xfId="30997"/>
    <cellStyle name="Normal 111 2 3 2" xfId="47544"/>
    <cellStyle name="Normal 111 2 4" xfId="30998"/>
    <cellStyle name="Normal 111 2 4 2" xfId="30999"/>
    <cellStyle name="Normal 111 2 5" xfId="31000"/>
    <cellStyle name="Normal 111 2_IAS" xfId="31001"/>
    <cellStyle name="Normal 111 3" xfId="31002"/>
    <cellStyle name="Normal 111 3 2" xfId="31003"/>
    <cellStyle name="Normal 111 3 2 2" xfId="31004"/>
    <cellStyle name="Normal 111 3 3" xfId="47545"/>
    <cellStyle name="Normal 111 4" xfId="31005"/>
    <cellStyle name="Normal 111 4 2" xfId="47546"/>
    <cellStyle name="Normal 111 5" xfId="31006"/>
    <cellStyle name="Normal 111 5 2" xfId="47547"/>
    <cellStyle name="Normal 111 6" xfId="31007"/>
    <cellStyle name="Normal 111 6 2" xfId="31008"/>
    <cellStyle name="Normal 111 6 2 2" xfId="31009"/>
    <cellStyle name="Normal 111 6 3" xfId="31010"/>
    <cellStyle name="Normal 111 7" xfId="31011"/>
    <cellStyle name="Normal 111 7 2" xfId="47548"/>
    <cellStyle name="Normal 111 8" xfId="31012"/>
    <cellStyle name="Normal 111 8 2" xfId="31013"/>
    <cellStyle name="Normal 111 9" xfId="31014"/>
    <cellStyle name="Normal 111_IAS" xfId="31015"/>
    <cellStyle name="Normal 112" xfId="31016"/>
    <cellStyle name="Normal 112 2" xfId="31017"/>
    <cellStyle name="Normal 112 2 2" xfId="31018"/>
    <cellStyle name="Normal 112 2 2 2" xfId="31019"/>
    <cellStyle name="Normal 112 2 2 2 2" xfId="31020"/>
    <cellStyle name="Normal 112 2 2 3" xfId="31021"/>
    <cellStyle name="Normal 112 2 2 3 2" xfId="31022"/>
    <cellStyle name="Normal 112 2 2 4" xfId="31023"/>
    <cellStyle name="Normal 112 2 3" xfId="31024"/>
    <cellStyle name="Normal 112 2 3 2" xfId="47549"/>
    <cellStyle name="Normal 112 2 4" xfId="31025"/>
    <cellStyle name="Normal 112 2 4 2" xfId="31026"/>
    <cellStyle name="Normal 112 2 5" xfId="31027"/>
    <cellStyle name="Normal 112 2_IAS" xfId="31028"/>
    <cellStyle name="Normal 112 3" xfId="31029"/>
    <cellStyle name="Normal 112 3 2" xfId="31030"/>
    <cellStyle name="Normal 112 3 2 2" xfId="31031"/>
    <cellStyle name="Normal 112 3 3" xfId="47550"/>
    <cellStyle name="Normal 112 4" xfId="31032"/>
    <cellStyle name="Normal 112 4 2" xfId="47551"/>
    <cellStyle name="Normal 112 5" xfId="31033"/>
    <cellStyle name="Normal 112 5 2" xfId="47552"/>
    <cellStyle name="Normal 112 6" xfId="31034"/>
    <cellStyle name="Normal 112 6 2" xfId="31035"/>
    <cellStyle name="Normal 112 6 2 2" xfId="31036"/>
    <cellStyle name="Normal 112 6 3" xfId="31037"/>
    <cellStyle name="Normal 112 7" xfId="31038"/>
    <cellStyle name="Normal 112 7 2" xfId="47553"/>
    <cellStyle name="Normal 112 8" xfId="31039"/>
    <cellStyle name="Normal 112 8 2" xfId="31040"/>
    <cellStyle name="Normal 112 9" xfId="31041"/>
    <cellStyle name="Normal 112_IAS" xfId="31042"/>
    <cellStyle name="Normal 113" xfId="31043"/>
    <cellStyle name="Normal 113 2" xfId="31044"/>
    <cellStyle name="Normal 113 2 2" xfId="31045"/>
    <cellStyle name="Normal 113 2 2 2" xfId="31046"/>
    <cellStyle name="Normal 113 2 2 2 2" xfId="31047"/>
    <cellStyle name="Normal 113 2 2 3" xfId="31048"/>
    <cellStyle name="Normal 113 2 2 3 2" xfId="31049"/>
    <cellStyle name="Normal 113 2 2 4" xfId="31050"/>
    <cellStyle name="Normal 113 2 3" xfId="31051"/>
    <cellStyle name="Normal 113 2 3 2" xfId="47554"/>
    <cellStyle name="Normal 113 2 4" xfId="31052"/>
    <cellStyle name="Normal 113 2 4 2" xfId="31053"/>
    <cellStyle name="Normal 113 2 5" xfId="31054"/>
    <cellStyle name="Normal 113 2_IAS" xfId="31055"/>
    <cellStyle name="Normal 113 3" xfId="31056"/>
    <cellStyle name="Normal 113 3 2" xfId="31057"/>
    <cellStyle name="Normal 113 3 2 2" xfId="31058"/>
    <cellStyle name="Normal 113 3 3" xfId="47555"/>
    <cellStyle name="Normal 113 4" xfId="31059"/>
    <cellStyle name="Normal 113 4 2" xfId="47556"/>
    <cellStyle name="Normal 113 5" xfId="31060"/>
    <cellStyle name="Normal 113 5 2" xfId="47557"/>
    <cellStyle name="Normal 113 6" xfId="31061"/>
    <cellStyle name="Normal 113 6 2" xfId="31062"/>
    <cellStyle name="Normal 113 6 2 2" xfId="31063"/>
    <cellStyle name="Normal 113 6 3" xfId="31064"/>
    <cellStyle name="Normal 113 7" xfId="31065"/>
    <cellStyle name="Normal 113 7 2" xfId="47558"/>
    <cellStyle name="Normal 113 8" xfId="31066"/>
    <cellStyle name="Normal 113 8 2" xfId="31067"/>
    <cellStyle name="Normal 113 9" xfId="31068"/>
    <cellStyle name="Normal 113_IAS" xfId="31069"/>
    <cellStyle name="Normal 114" xfId="31070"/>
    <cellStyle name="Normal 114 2" xfId="31071"/>
    <cellStyle name="Normal 114 2 2" xfId="31072"/>
    <cellStyle name="Normal 114 2 2 2" xfId="31073"/>
    <cellStyle name="Normal 114 2 3" xfId="31074"/>
    <cellStyle name="Normal 114 3" xfId="31075"/>
    <cellStyle name="Normal 114 3 2" xfId="31076"/>
    <cellStyle name="Normal 114 3 2 2" xfId="31077"/>
    <cellStyle name="Normal 114 3 3" xfId="31078"/>
    <cellStyle name="Normal 114 4" xfId="31079"/>
    <cellStyle name="Normal 114 4 2" xfId="31080"/>
    <cellStyle name="Normal 114 4 2 2" xfId="31081"/>
    <cellStyle name="Normal 114 4 3" xfId="31082"/>
    <cellStyle name="Normal 114 5" xfId="47559"/>
    <cellStyle name="Normal 115" xfId="31083"/>
    <cellStyle name="Normal 115 2" xfId="31084"/>
    <cellStyle name="Normal 115 2 2" xfId="31085"/>
    <cellStyle name="Normal 115 2 2 2" xfId="31086"/>
    <cellStyle name="Normal 115 2 3" xfId="31087"/>
    <cellStyle name="Normal 115 2 3 2" xfId="31088"/>
    <cellStyle name="Normal 115 2 4" xfId="31089"/>
    <cellStyle name="Normal 115 3" xfId="31090"/>
    <cellStyle name="Normal 115 3 2" xfId="31091"/>
    <cellStyle name="Normal 115 3 2 2" xfId="31092"/>
    <cellStyle name="Normal 115 3 3" xfId="31093"/>
    <cellStyle name="Normal 115 4" xfId="31094"/>
    <cellStyle name="Normal 115 4 2" xfId="31095"/>
    <cellStyle name="Normal 115 4 2 2" xfId="31096"/>
    <cellStyle name="Normal 115 4 3" xfId="31097"/>
    <cellStyle name="Normal 115 5" xfId="31098"/>
    <cellStyle name="Normal 115 5 2" xfId="31099"/>
    <cellStyle name="Normal 115 6" xfId="47560"/>
    <cellStyle name="Normal 115_IAS" xfId="31100"/>
    <cellStyle name="Normal 116" xfId="31101"/>
    <cellStyle name="Normal 116 2" xfId="31102"/>
    <cellStyle name="Normal 116 2 2" xfId="47562"/>
    <cellStyle name="Normal 116 3" xfId="47561"/>
    <cellStyle name="Normal 117" xfId="31103"/>
    <cellStyle name="Normal 117 2" xfId="31104"/>
    <cellStyle name="Normal 117 2 2" xfId="31105"/>
    <cellStyle name="Normal 117 2 2 2" xfId="31106"/>
    <cellStyle name="Normal 117 2 3" xfId="31107"/>
    <cellStyle name="Normal 117 3" xfId="31108"/>
    <cellStyle name="Normal 117 3 2" xfId="47563"/>
    <cellStyle name="Normal 117 4" xfId="31109"/>
    <cellStyle name="Normal 117 4 2" xfId="47564"/>
    <cellStyle name="Normal 117 5" xfId="31110"/>
    <cellStyle name="Normal 118" xfId="31111"/>
    <cellStyle name="Normal 118 2" xfId="31112"/>
    <cellStyle name="Normal 118 2 2" xfId="31113"/>
    <cellStyle name="Normal 118 3" xfId="31114"/>
    <cellStyle name="Normal 118 3 2" xfId="31115"/>
    <cellStyle name="Normal 118 4" xfId="31116"/>
    <cellStyle name="Normal 119" xfId="31117"/>
    <cellStyle name="Normal 119 2" xfId="31118"/>
    <cellStyle name="Normal 119 2 2" xfId="31119"/>
    <cellStyle name="Normal 119 3" xfId="47565"/>
    <cellStyle name="Normal 12" xfId="828"/>
    <cellStyle name="Normal 12 2" xfId="31121"/>
    <cellStyle name="Normal 12 2 2" xfId="31122"/>
    <cellStyle name="Normal 12 2 2 2" xfId="47568"/>
    <cellStyle name="Normal 12 2 3" xfId="47567"/>
    <cellStyle name="Normal 12 3" xfId="31123"/>
    <cellStyle name="Normal 12 3 2" xfId="31124"/>
    <cellStyle name="Normal 12 3 2 2" xfId="31125"/>
    <cellStyle name="Normal 12 3 3" xfId="31126"/>
    <cellStyle name="Normal 12 4" xfId="31127"/>
    <cellStyle name="Normal 12 4 2" xfId="47569"/>
    <cellStyle name="Normal 12 5" xfId="31128"/>
    <cellStyle name="Normal 12 6" xfId="47566"/>
    <cellStyle name="Normal 12 7" xfId="51931"/>
    <cellStyle name="Normal 12 8" xfId="31120"/>
    <cellStyle name="Normal 12_Plan by Lob" xfId="31129"/>
    <cellStyle name="Normal 120" xfId="829"/>
    <cellStyle name="Normal 120 10" xfId="7158"/>
    <cellStyle name="Normal 120 10 2" xfId="18872"/>
    <cellStyle name="Normal 120 11" xfId="13360"/>
    <cellStyle name="Normal 120 12" xfId="19958"/>
    <cellStyle name="Normal 120 2" xfId="830"/>
    <cellStyle name="Normal 120 2 10" xfId="13361"/>
    <cellStyle name="Normal 120 2 11" xfId="31130"/>
    <cellStyle name="Normal 120 2 2" xfId="831"/>
    <cellStyle name="Normal 120 2 2 10" xfId="31131"/>
    <cellStyle name="Normal 120 2 2 2" xfId="832"/>
    <cellStyle name="Normal 120 2 2 2 2" xfId="833"/>
    <cellStyle name="Normal 120 2 2 2 2 2" xfId="834"/>
    <cellStyle name="Normal 120 2 2 2 2 2 2" xfId="2278"/>
    <cellStyle name="Normal 120 2 2 2 2 2 2 2" xfId="5403"/>
    <cellStyle name="Normal 120 2 2 2 2 2 2 2 2" xfId="11606"/>
    <cellStyle name="Normal 120 2 2 2 2 2 2 2 3" xfId="17808"/>
    <cellStyle name="Normal 120 2 2 2 2 2 2 2 4" xfId="56639"/>
    <cellStyle name="Normal 120 2 2 2 2 2 2 3" xfId="8506"/>
    <cellStyle name="Normal 120 2 2 2 2 2 2 4" xfId="14708"/>
    <cellStyle name="Normal 120 2 2 2 2 2 2 5" xfId="53743"/>
    <cellStyle name="Normal 120 2 2 2 2 2 3" xfId="3020"/>
    <cellStyle name="Normal 120 2 2 2 2 2 3 2" xfId="6132"/>
    <cellStyle name="Normal 120 2 2 2 2 2 3 2 2" xfId="12335"/>
    <cellStyle name="Normal 120 2 2 2 2 2 3 2 3" xfId="18537"/>
    <cellStyle name="Normal 120 2 2 2 2 2 3 2 4" xfId="57363"/>
    <cellStyle name="Normal 120 2 2 2 2 2 3 3" xfId="9235"/>
    <cellStyle name="Normal 120 2 2 2 2 2 3 4" xfId="15437"/>
    <cellStyle name="Normal 120 2 2 2 2 2 3 5" xfId="54474"/>
    <cellStyle name="Normal 120 2 2 2 2 2 4" xfId="4060"/>
    <cellStyle name="Normal 120 2 2 2 2 2 4 2" xfId="10264"/>
    <cellStyle name="Normal 120 2 2 2 2 2 4 3" xfId="16466"/>
    <cellStyle name="Normal 120 2 2 2 2 2 4 4" xfId="55427"/>
    <cellStyle name="Normal 120 2 2 2 2 2 5" xfId="7163"/>
    <cellStyle name="Normal 120 2 2 2 2 2 5 2" xfId="19879"/>
    <cellStyle name="Normal 120 2 2 2 2 2 6" xfId="13365"/>
    <cellStyle name="Normal 120 2 2 2 2 2 7" xfId="52632"/>
    <cellStyle name="Normal 120 2 2 2 2 3" xfId="1754"/>
    <cellStyle name="Normal 120 2 2 2 2 3 2" xfId="4879"/>
    <cellStyle name="Normal 120 2 2 2 2 3 2 2" xfId="11082"/>
    <cellStyle name="Normal 120 2 2 2 2 3 2 3" xfId="17284"/>
    <cellStyle name="Normal 120 2 2 2 2 3 2 4" xfId="56150"/>
    <cellStyle name="Normal 120 2 2 2 2 3 3" xfId="7982"/>
    <cellStyle name="Normal 120 2 2 2 2 3 4" xfId="14184"/>
    <cellStyle name="Normal 120 2 2 2 2 3 5" xfId="53258"/>
    <cellStyle name="Normal 120 2 2 2 2 4" xfId="3019"/>
    <cellStyle name="Normal 120 2 2 2 2 4 2" xfId="6131"/>
    <cellStyle name="Normal 120 2 2 2 2 4 2 2" xfId="12334"/>
    <cellStyle name="Normal 120 2 2 2 2 4 2 3" xfId="18536"/>
    <cellStyle name="Normal 120 2 2 2 2 4 2 4" xfId="57362"/>
    <cellStyle name="Normal 120 2 2 2 2 4 3" xfId="9234"/>
    <cellStyle name="Normal 120 2 2 2 2 4 4" xfId="15436"/>
    <cellStyle name="Normal 120 2 2 2 2 4 5" xfId="54473"/>
    <cellStyle name="Normal 120 2 2 2 2 5" xfId="4059"/>
    <cellStyle name="Normal 120 2 2 2 2 5 2" xfId="10263"/>
    <cellStyle name="Normal 120 2 2 2 2 5 3" xfId="16465"/>
    <cellStyle name="Normal 120 2 2 2 2 5 4" xfId="55426"/>
    <cellStyle name="Normal 120 2 2 2 2 6" xfId="7162"/>
    <cellStyle name="Normal 120 2 2 2 2 6 2" xfId="19355"/>
    <cellStyle name="Normal 120 2 2 2 2 7" xfId="13364"/>
    <cellStyle name="Normal 120 2 2 2 2 8" xfId="52631"/>
    <cellStyle name="Normal 120 2 2 2 3" xfId="835"/>
    <cellStyle name="Normal 120 2 2 2 3 2" xfId="2033"/>
    <cellStyle name="Normal 120 2 2 2 3 2 2" xfId="5158"/>
    <cellStyle name="Normal 120 2 2 2 3 2 2 2" xfId="11361"/>
    <cellStyle name="Normal 120 2 2 2 3 2 2 3" xfId="17563"/>
    <cellStyle name="Normal 120 2 2 2 3 2 2 4" xfId="56412"/>
    <cellStyle name="Normal 120 2 2 2 3 2 3" xfId="8261"/>
    <cellStyle name="Normal 120 2 2 2 3 2 4" xfId="14463"/>
    <cellStyle name="Normal 120 2 2 2 3 2 5" xfId="53517"/>
    <cellStyle name="Normal 120 2 2 2 3 3" xfId="3021"/>
    <cellStyle name="Normal 120 2 2 2 3 3 2" xfId="6133"/>
    <cellStyle name="Normal 120 2 2 2 3 3 2 2" xfId="12336"/>
    <cellStyle name="Normal 120 2 2 2 3 3 2 3" xfId="18538"/>
    <cellStyle name="Normal 120 2 2 2 3 3 2 4" xfId="57364"/>
    <cellStyle name="Normal 120 2 2 2 3 3 3" xfId="9236"/>
    <cellStyle name="Normal 120 2 2 2 3 3 4" xfId="15438"/>
    <cellStyle name="Normal 120 2 2 2 3 3 5" xfId="54475"/>
    <cellStyle name="Normal 120 2 2 2 3 4" xfId="4061"/>
    <cellStyle name="Normal 120 2 2 2 3 4 2" xfId="10265"/>
    <cellStyle name="Normal 120 2 2 2 3 4 3" xfId="16467"/>
    <cellStyle name="Normal 120 2 2 2 3 4 4" xfId="55428"/>
    <cellStyle name="Normal 120 2 2 2 3 5" xfId="7164"/>
    <cellStyle name="Normal 120 2 2 2 3 5 2" xfId="19634"/>
    <cellStyle name="Normal 120 2 2 2 3 6" xfId="13366"/>
    <cellStyle name="Normal 120 2 2 2 3 7" xfId="52633"/>
    <cellStyle name="Normal 120 2 2 2 4" xfId="1509"/>
    <cellStyle name="Normal 120 2 2 2 4 2" xfId="4634"/>
    <cellStyle name="Normal 120 2 2 2 4 2 2" xfId="10837"/>
    <cellStyle name="Normal 120 2 2 2 4 2 3" xfId="17039"/>
    <cellStyle name="Normal 120 2 2 2 4 2 4" xfId="55917"/>
    <cellStyle name="Normal 120 2 2 2 4 3" xfId="7737"/>
    <cellStyle name="Normal 120 2 2 2 4 4" xfId="13939"/>
    <cellStyle name="Normal 120 2 2 2 4 5" xfId="53033"/>
    <cellStyle name="Normal 120 2 2 2 5" xfId="3018"/>
    <cellStyle name="Normal 120 2 2 2 5 2" xfId="6130"/>
    <cellStyle name="Normal 120 2 2 2 5 2 2" xfId="12333"/>
    <cellStyle name="Normal 120 2 2 2 5 2 3" xfId="18535"/>
    <cellStyle name="Normal 120 2 2 2 5 2 4" xfId="57361"/>
    <cellStyle name="Normal 120 2 2 2 5 3" xfId="9233"/>
    <cellStyle name="Normal 120 2 2 2 5 4" xfId="15435"/>
    <cellStyle name="Normal 120 2 2 2 5 5" xfId="54472"/>
    <cellStyle name="Normal 120 2 2 2 6" xfId="4058"/>
    <cellStyle name="Normal 120 2 2 2 6 2" xfId="10262"/>
    <cellStyle name="Normal 120 2 2 2 6 3" xfId="16464"/>
    <cellStyle name="Normal 120 2 2 2 6 4" xfId="55425"/>
    <cellStyle name="Normal 120 2 2 2 7" xfId="7161"/>
    <cellStyle name="Normal 120 2 2 2 7 2" xfId="19110"/>
    <cellStyle name="Normal 120 2 2 2 8" xfId="13363"/>
    <cellStyle name="Normal 120 2 2 2 9" xfId="52151"/>
    <cellStyle name="Normal 120 2 2 3" xfId="836"/>
    <cellStyle name="Normal 120 2 2 3 2" xfId="837"/>
    <cellStyle name="Normal 120 2 2 3 2 2" xfId="2150"/>
    <cellStyle name="Normal 120 2 2 3 2 2 2" xfId="5275"/>
    <cellStyle name="Normal 120 2 2 3 2 2 2 2" xfId="11478"/>
    <cellStyle name="Normal 120 2 2 3 2 2 2 3" xfId="17680"/>
    <cellStyle name="Normal 120 2 2 3 2 2 2 4" xfId="56520"/>
    <cellStyle name="Normal 120 2 2 3 2 2 3" xfId="8378"/>
    <cellStyle name="Normal 120 2 2 3 2 2 4" xfId="14580"/>
    <cellStyle name="Normal 120 2 2 3 2 2 5" xfId="53624"/>
    <cellStyle name="Normal 120 2 2 3 2 3" xfId="3023"/>
    <cellStyle name="Normal 120 2 2 3 2 3 2" xfId="6135"/>
    <cellStyle name="Normal 120 2 2 3 2 3 2 2" xfId="12338"/>
    <cellStyle name="Normal 120 2 2 3 2 3 2 3" xfId="18540"/>
    <cellStyle name="Normal 120 2 2 3 2 3 2 4" xfId="57366"/>
    <cellStyle name="Normal 120 2 2 3 2 3 3" xfId="9238"/>
    <cellStyle name="Normal 120 2 2 3 2 3 4" xfId="15440"/>
    <cellStyle name="Normal 120 2 2 3 2 3 5" xfId="54477"/>
    <cellStyle name="Normal 120 2 2 3 2 4" xfId="4063"/>
    <cellStyle name="Normal 120 2 2 3 2 4 2" xfId="10267"/>
    <cellStyle name="Normal 120 2 2 3 2 4 3" xfId="16469"/>
    <cellStyle name="Normal 120 2 2 3 2 4 4" xfId="55430"/>
    <cellStyle name="Normal 120 2 2 3 2 5" xfId="7166"/>
    <cellStyle name="Normal 120 2 2 3 2 5 2" xfId="19751"/>
    <cellStyle name="Normal 120 2 2 3 2 6" xfId="13368"/>
    <cellStyle name="Normal 120 2 2 3 2 7" xfId="52635"/>
    <cellStyle name="Normal 120 2 2 3 3" xfId="1626"/>
    <cellStyle name="Normal 120 2 2 3 3 2" xfId="4751"/>
    <cellStyle name="Normal 120 2 2 3 3 2 2" xfId="10954"/>
    <cellStyle name="Normal 120 2 2 3 3 2 3" xfId="17156"/>
    <cellStyle name="Normal 120 2 2 3 3 2 4" xfId="56028"/>
    <cellStyle name="Normal 120 2 2 3 3 3" xfId="7854"/>
    <cellStyle name="Normal 120 2 2 3 3 4" xfId="14056"/>
    <cellStyle name="Normal 120 2 2 3 3 5" xfId="53139"/>
    <cellStyle name="Normal 120 2 2 3 4" xfId="3022"/>
    <cellStyle name="Normal 120 2 2 3 4 2" xfId="6134"/>
    <cellStyle name="Normal 120 2 2 3 4 2 2" xfId="12337"/>
    <cellStyle name="Normal 120 2 2 3 4 2 3" xfId="18539"/>
    <cellStyle name="Normal 120 2 2 3 4 2 4" xfId="57365"/>
    <cellStyle name="Normal 120 2 2 3 4 3" xfId="9237"/>
    <cellStyle name="Normal 120 2 2 3 4 4" xfId="15439"/>
    <cellStyle name="Normal 120 2 2 3 4 5" xfId="54476"/>
    <cellStyle name="Normal 120 2 2 3 5" xfId="4062"/>
    <cellStyle name="Normal 120 2 2 3 5 2" xfId="10266"/>
    <cellStyle name="Normal 120 2 2 3 5 3" xfId="16468"/>
    <cellStyle name="Normal 120 2 2 3 5 4" xfId="55429"/>
    <cellStyle name="Normal 120 2 2 3 6" xfId="7165"/>
    <cellStyle name="Normal 120 2 2 3 6 2" xfId="19227"/>
    <cellStyle name="Normal 120 2 2 3 7" xfId="13367"/>
    <cellStyle name="Normal 120 2 2 3 8" xfId="52634"/>
    <cellStyle name="Normal 120 2 2 4" xfId="838"/>
    <cellStyle name="Normal 120 2 2 4 2" xfId="1891"/>
    <cellStyle name="Normal 120 2 2 4 2 2" xfId="5016"/>
    <cellStyle name="Normal 120 2 2 4 2 2 2" xfId="11219"/>
    <cellStyle name="Normal 120 2 2 4 2 2 3" xfId="17421"/>
    <cellStyle name="Normal 120 2 2 4 2 2 4" xfId="56278"/>
    <cellStyle name="Normal 120 2 2 4 2 3" xfId="8119"/>
    <cellStyle name="Normal 120 2 2 4 2 4" xfId="14321"/>
    <cellStyle name="Normal 120 2 2 4 2 5" xfId="53384"/>
    <cellStyle name="Normal 120 2 2 4 3" xfId="3024"/>
    <cellStyle name="Normal 120 2 2 4 3 2" xfId="6136"/>
    <cellStyle name="Normal 120 2 2 4 3 2 2" xfId="12339"/>
    <cellStyle name="Normal 120 2 2 4 3 2 3" xfId="18541"/>
    <cellStyle name="Normal 120 2 2 4 3 2 4" xfId="57367"/>
    <cellStyle name="Normal 120 2 2 4 3 3" xfId="9239"/>
    <cellStyle name="Normal 120 2 2 4 3 4" xfId="15441"/>
    <cellStyle name="Normal 120 2 2 4 3 5" xfId="54478"/>
    <cellStyle name="Normal 120 2 2 4 4" xfId="4064"/>
    <cellStyle name="Normal 120 2 2 4 4 2" xfId="10268"/>
    <cellStyle name="Normal 120 2 2 4 4 3" xfId="16470"/>
    <cellStyle name="Normal 120 2 2 4 4 4" xfId="55431"/>
    <cellStyle name="Normal 120 2 2 4 5" xfId="7167"/>
    <cellStyle name="Normal 120 2 2 4 5 2" xfId="19492"/>
    <cellStyle name="Normal 120 2 2 4 6" xfId="13369"/>
    <cellStyle name="Normal 120 2 2 4 7" xfId="52636"/>
    <cellStyle name="Normal 120 2 2 5" xfId="1367"/>
    <cellStyle name="Normal 120 2 2 5 2" xfId="4492"/>
    <cellStyle name="Normal 120 2 2 5 2 2" xfId="10695"/>
    <cellStyle name="Normal 120 2 2 5 2 3" xfId="16897"/>
    <cellStyle name="Normal 120 2 2 5 2 4" xfId="55782"/>
    <cellStyle name="Normal 120 2 2 5 3" xfId="7595"/>
    <cellStyle name="Normal 120 2 2 5 4" xfId="13797"/>
    <cellStyle name="Normal 120 2 2 5 5" xfId="52907"/>
    <cellStyle name="Normal 120 2 2 6" xfId="3017"/>
    <cellStyle name="Normal 120 2 2 6 2" xfId="6129"/>
    <cellStyle name="Normal 120 2 2 6 2 2" xfId="12332"/>
    <cellStyle name="Normal 120 2 2 6 2 3" xfId="18534"/>
    <cellStyle name="Normal 120 2 2 6 2 4" xfId="57360"/>
    <cellStyle name="Normal 120 2 2 6 3" xfId="9232"/>
    <cellStyle name="Normal 120 2 2 6 4" xfId="15434"/>
    <cellStyle name="Normal 120 2 2 6 5" xfId="54471"/>
    <cellStyle name="Normal 120 2 2 7" xfId="4057"/>
    <cellStyle name="Normal 120 2 2 7 2" xfId="10261"/>
    <cellStyle name="Normal 120 2 2 7 3" xfId="16463"/>
    <cellStyle name="Normal 120 2 2 7 4" xfId="55424"/>
    <cellStyle name="Normal 120 2 2 8" xfId="7160"/>
    <cellStyle name="Normal 120 2 2 8 2" xfId="18968"/>
    <cellStyle name="Normal 120 2 2 9" xfId="13362"/>
    <cellStyle name="Normal 120 2 3" xfId="839"/>
    <cellStyle name="Normal 120 2 3 2" xfId="840"/>
    <cellStyle name="Normal 120 2 3 2 2" xfId="841"/>
    <cellStyle name="Normal 120 2 3 2 2 2" xfId="2210"/>
    <cellStyle name="Normal 120 2 3 2 2 2 2" xfId="5335"/>
    <cellStyle name="Normal 120 2 3 2 2 2 2 2" xfId="11538"/>
    <cellStyle name="Normal 120 2 3 2 2 2 2 3" xfId="17740"/>
    <cellStyle name="Normal 120 2 3 2 2 2 2 4" xfId="56576"/>
    <cellStyle name="Normal 120 2 3 2 2 2 3" xfId="8438"/>
    <cellStyle name="Normal 120 2 3 2 2 2 4" xfId="14640"/>
    <cellStyle name="Normal 120 2 3 2 2 2 5" xfId="53680"/>
    <cellStyle name="Normal 120 2 3 2 2 3" xfId="3027"/>
    <cellStyle name="Normal 120 2 3 2 2 3 2" xfId="6139"/>
    <cellStyle name="Normal 120 2 3 2 2 3 2 2" xfId="12342"/>
    <cellStyle name="Normal 120 2 3 2 2 3 2 3" xfId="18544"/>
    <cellStyle name="Normal 120 2 3 2 2 3 2 4" xfId="57370"/>
    <cellStyle name="Normal 120 2 3 2 2 3 3" xfId="9242"/>
    <cellStyle name="Normal 120 2 3 2 2 3 4" xfId="15444"/>
    <cellStyle name="Normal 120 2 3 2 2 3 5" xfId="54481"/>
    <cellStyle name="Normal 120 2 3 2 2 4" xfId="4067"/>
    <cellStyle name="Normal 120 2 3 2 2 4 2" xfId="10271"/>
    <cellStyle name="Normal 120 2 3 2 2 4 3" xfId="16473"/>
    <cellStyle name="Normal 120 2 3 2 2 4 4" xfId="55434"/>
    <cellStyle name="Normal 120 2 3 2 2 5" xfId="7170"/>
    <cellStyle name="Normal 120 2 3 2 2 5 2" xfId="19811"/>
    <cellStyle name="Normal 120 2 3 2 2 6" xfId="13372"/>
    <cellStyle name="Normal 120 2 3 2 2 7" xfId="52638"/>
    <cellStyle name="Normal 120 2 3 2 3" xfId="1686"/>
    <cellStyle name="Normal 120 2 3 2 3 2" xfId="4811"/>
    <cellStyle name="Normal 120 2 3 2 3 2 2" xfId="11014"/>
    <cellStyle name="Normal 120 2 3 2 3 2 3" xfId="17216"/>
    <cellStyle name="Normal 120 2 3 2 3 2 4" xfId="56085"/>
    <cellStyle name="Normal 120 2 3 2 3 3" xfId="7914"/>
    <cellStyle name="Normal 120 2 3 2 3 4" xfId="14116"/>
    <cellStyle name="Normal 120 2 3 2 3 5" xfId="53195"/>
    <cellStyle name="Normal 120 2 3 2 4" xfId="3026"/>
    <cellStyle name="Normal 120 2 3 2 4 2" xfId="6138"/>
    <cellStyle name="Normal 120 2 3 2 4 2 2" xfId="12341"/>
    <cellStyle name="Normal 120 2 3 2 4 2 3" xfId="18543"/>
    <cellStyle name="Normal 120 2 3 2 4 2 4" xfId="57369"/>
    <cellStyle name="Normal 120 2 3 2 4 3" xfId="9241"/>
    <cellStyle name="Normal 120 2 3 2 4 4" xfId="15443"/>
    <cellStyle name="Normal 120 2 3 2 4 5" xfId="54480"/>
    <cellStyle name="Normal 120 2 3 2 5" xfId="4066"/>
    <cellStyle name="Normal 120 2 3 2 5 2" xfId="10270"/>
    <cellStyle name="Normal 120 2 3 2 5 3" xfId="16472"/>
    <cellStyle name="Normal 120 2 3 2 5 4" xfId="55433"/>
    <cellStyle name="Normal 120 2 3 2 6" xfId="7169"/>
    <cellStyle name="Normal 120 2 3 2 6 2" xfId="19287"/>
    <cellStyle name="Normal 120 2 3 2 7" xfId="13371"/>
    <cellStyle name="Normal 120 2 3 2 8" xfId="52637"/>
    <cellStyle name="Normal 120 2 3 3" xfId="842"/>
    <cellStyle name="Normal 120 2 3 3 2" xfId="1965"/>
    <cellStyle name="Normal 120 2 3 3 2 2" xfId="5090"/>
    <cellStyle name="Normal 120 2 3 3 2 2 2" xfId="11293"/>
    <cellStyle name="Normal 120 2 3 3 2 2 3" xfId="17495"/>
    <cellStyle name="Normal 120 2 3 3 2 2 4" xfId="56349"/>
    <cellStyle name="Normal 120 2 3 3 2 3" xfId="8193"/>
    <cellStyle name="Normal 120 2 3 3 2 4" xfId="14395"/>
    <cellStyle name="Normal 120 2 3 3 2 5" xfId="53455"/>
    <cellStyle name="Normal 120 2 3 3 3" xfId="3028"/>
    <cellStyle name="Normal 120 2 3 3 3 2" xfId="6140"/>
    <cellStyle name="Normal 120 2 3 3 3 2 2" xfId="12343"/>
    <cellStyle name="Normal 120 2 3 3 3 2 3" xfId="18545"/>
    <cellStyle name="Normal 120 2 3 3 3 2 4" xfId="57371"/>
    <cellStyle name="Normal 120 2 3 3 3 3" xfId="9243"/>
    <cellStyle name="Normal 120 2 3 3 3 4" xfId="15445"/>
    <cellStyle name="Normal 120 2 3 3 3 5" xfId="54482"/>
    <cellStyle name="Normal 120 2 3 3 4" xfId="4068"/>
    <cellStyle name="Normal 120 2 3 3 4 2" xfId="10272"/>
    <cellStyle name="Normal 120 2 3 3 4 3" xfId="16474"/>
    <cellStyle name="Normal 120 2 3 3 4 4" xfId="55435"/>
    <cellStyle name="Normal 120 2 3 3 5" xfId="7171"/>
    <cellStyle name="Normal 120 2 3 3 5 2" xfId="19566"/>
    <cellStyle name="Normal 120 2 3 3 6" xfId="13373"/>
    <cellStyle name="Normal 120 2 3 3 7" xfId="52639"/>
    <cellStyle name="Normal 120 2 3 4" xfId="1441"/>
    <cellStyle name="Normal 120 2 3 4 2" xfId="4566"/>
    <cellStyle name="Normal 120 2 3 4 2 2" xfId="10769"/>
    <cellStyle name="Normal 120 2 3 4 2 3" xfId="16971"/>
    <cellStyle name="Normal 120 2 3 4 2 4" xfId="55853"/>
    <cellStyle name="Normal 120 2 3 4 3" xfId="7669"/>
    <cellStyle name="Normal 120 2 3 4 4" xfId="13871"/>
    <cellStyle name="Normal 120 2 3 4 5" xfId="52971"/>
    <cellStyle name="Normal 120 2 3 5" xfId="3025"/>
    <cellStyle name="Normal 120 2 3 5 2" xfId="6137"/>
    <cellStyle name="Normal 120 2 3 5 2 2" xfId="12340"/>
    <cellStyle name="Normal 120 2 3 5 2 3" xfId="18542"/>
    <cellStyle name="Normal 120 2 3 5 2 4" xfId="57368"/>
    <cellStyle name="Normal 120 2 3 5 3" xfId="9240"/>
    <cellStyle name="Normal 120 2 3 5 4" xfId="15442"/>
    <cellStyle name="Normal 120 2 3 5 5" xfId="54479"/>
    <cellStyle name="Normal 120 2 3 6" xfId="4065"/>
    <cellStyle name="Normal 120 2 3 6 2" xfId="10269"/>
    <cellStyle name="Normal 120 2 3 6 3" xfId="16471"/>
    <cellStyle name="Normal 120 2 3 6 4" xfId="55432"/>
    <cellStyle name="Normal 120 2 3 7" xfId="7168"/>
    <cellStyle name="Normal 120 2 3 7 2" xfId="19042"/>
    <cellStyle name="Normal 120 2 3 8" xfId="13370"/>
    <cellStyle name="Normal 120 2 3 9" xfId="52088"/>
    <cellStyle name="Normal 120 2 4" xfId="843"/>
    <cellStyle name="Normal 120 2 4 2" xfId="844"/>
    <cellStyle name="Normal 120 2 4 2 2" xfId="2094"/>
    <cellStyle name="Normal 120 2 4 2 2 2" xfId="5219"/>
    <cellStyle name="Normal 120 2 4 2 2 2 2" xfId="11422"/>
    <cellStyle name="Normal 120 2 4 2 2 2 3" xfId="17624"/>
    <cellStyle name="Normal 120 2 4 2 2 2 4" xfId="56468"/>
    <cellStyle name="Normal 120 2 4 2 2 3" xfId="8322"/>
    <cellStyle name="Normal 120 2 4 2 2 4" xfId="14524"/>
    <cellStyle name="Normal 120 2 4 2 2 5" xfId="53572"/>
    <cellStyle name="Normal 120 2 4 2 3" xfId="3030"/>
    <cellStyle name="Normal 120 2 4 2 3 2" xfId="6142"/>
    <cellStyle name="Normal 120 2 4 2 3 2 2" xfId="12345"/>
    <cellStyle name="Normal 120 2 4 2 3 2 3" xfId="18547"/>
    <cellStyle name="Normal 120 2 4 2 3 2 4" xfId="57373"/>
    <cellStyle name="Normal 120 2 4 2 3 3" xfId="9245"/>
    <cellStyle name="Normal 120 2 4 2 3 4" xfId="15447"/>
    <cellStyle name="Normal 120 2 4 2 3 5" xfId="54484"/>
    <cellStyle name="Normal 120 2 4 2 4" xfId="4070"/>
    <cellStyle name="Normal 120 2 4 2 4 2" xfId="10274"/>
    <cellStyle name="Normal 120 2 4 2 4 3" xfId="16476"/>
    <cellStyle name="Normal 120 2 4 2 4 4" xfId="55437"/>
    <cellStyle name="Normal 120 2 4 2 5" xfId="7173"/>
    <cellStyle name="Normal 120 2 4 2 5 2" xfId="19695"/>
    <cellStyle name="Normal 120 2 4 2 6" xfId="13375"/>
    <cellStyle name="Normal 120 2 4 2 7" xfId="52641"/>
    <cellStyle name="Normal 120 2 4 3" xfId="1570"/>
    <cellStyle name="Normal 120 2 4 3 2" xfId="4695"/>
    <cellStyle name="Normal 120 2 4 3 2 2" xfId="10898"/>
    <cellStyle name="Normal 120 2 4 3 2 3" xfId="17100"/>
    <cellStyle name="Normal 120 2 4 3 2 4" xfId="55974"/>
    <cellStyle name="Normal 120 2 4 3 3" xfId="7798"/>
    <cellStyle name="Normal 120 2 4 3 4" xfId="14000"/>
    <cellStyle name="Normal 120 2 4 3 5" xfId="53087"/>
    <cellStyle name="Normal 120 2 4 4" xfId="3029"/>
    <cellStyle name="Normal 120 2 4 4 2" xfId="6141"/>
    <cellStyle name="Normal 120 2 4 4 2 2" xfId="12344"/>
    <cellStyle name="Normal 120 2 4 4 2 3" xfId="18546"/>
    <cellStyle name="Normal 120 2 4 4 2 4" xfId="57372"/>
    <cellStyle name="Normal 120 2 4 4 3" xfId="9244"/>
    <cellStyle name="Normal 120 2 4 4 4" xfId="15446"/>
    <cellStyle name="Normal 120 2 4 4 5" xfId="54483"/>
    <cellStyle name="Normal 120 2 4 5" xfId="4069"/>
    <cellStyle name="Normal 120 2 4 5 2" xfId="10273"/>
    <cellStyle name="Normal 120 2 4 5 3" xfId="16475"/>
    <cellStyle name="Normal 120 2 4 5 4" xfId="55436"/>
    <cellStyle name="Normal 120 2 4 6" xfId="7172"/>
    <cellStyle name="Normal 120 2 4 6 2" xfId="19171"/>
    <cellStyle name="Normal 120 2 4 7" xfId="13374"/>
    <cellStyle name="Normal 120 2 4 8" xfId="52640"/>
    <cellStyle name="Normal 120 2 5" xfId="845"/>
    <cellStyle name="Normal 120 2 5 2" xfId="1824"/>
    <cellStyle name="Normal 120 2 5 2 2" xfId="4949"/>
    <cellStyle name="Normal 120 2 5 2 2 2" xfId="11152"/>
    <cellStyle name="Normal 120 2 5 2 2 3" xfId="17354"/>
    <cellStyle name="Normal 120 2 5 2 2 4" xfId="56214"/>
    <cellStyle name="Normal 120 2 5 2 3" xfId="8052"/>
    <cellStyle name="Normal 120 2 5 2 4" xfId="14254"/>
    <cellStyle name="Normal 120 2 5 2 5" xfId="53320"/>
    <cellStyle name="Normal 120 2 5 3" xfId="3031"/>
    <cellStyle name="Normal 120 2 5 3 2" xfId="6143"/>
    <cellStyle name="Normal 120 2 5 3 2 2" xfId="12346"/>
    <cellStyle name="Normal 120 2 5 3 2 3" xfId="18548"/>
    <cellStyle name="Normal 120 2 5 3 2 4" xfId="57374"/>
    <cellStyle name="Normal 120 2 5 3 3" xfId="9246"/>
    <cellStyle name="Normal 120 2 5 3 4" xfId="15448"/>
    <cellStyle name="Normal 120 2 5 3 5" xfId="54485"/>
    <cellStyle name="Normal 120 2 5 4" xfId="4071"/>
    <cellStyle name="Normal 120 2 5 4 2" xfId="10275"/>
    <cellStyle name="Normal 120 2 5 4 3" xfId="16477"/>
    <cellStyle name="Normal 120 2 5 4 4" xfId="55438"/>
    <cellStyle name="Normal 120 2 5 5" xfId="7174"/>
    <cellStyle name="Normal 120 2 5 5 2" xfId="19425"/>
    <cellStyle name="Normal 120 2 5 6" xfId="13376"/>
    <cellStyle name="Normal 120 2 5 7" xfId="52642"/>
    <cellStyle name="Normal 120 2 6" xfId="1299"/>
    <cellStyle name="Normal 120 2 6 2" xfId="4424"/>
    <cellStyle name="Normal 120 2 6 2 2" xfId="10627"/>
    <cellStyle name="Normal 120 2 6 2 3" xfId="16829"/>
    <cellStyle name="Normal 120 2 6 2 4" xfId="55717"/>
    <cellStyle name="Normal 120 2 6 3" xfId="7527"/>
    <cellStyle name="Normal 120 2 6 4" xfId="13729"/>
    <cellStyle name="Normal 120 2 6 5" xfId="52846"/>
    <cellStyle name="Normal 120 2 7" xfId="3016"/>
    <cellStyle name="Normal 120 2 7 2" xfId="6128"/>
    <cellStyle name="Normal 120 2 7 2 2" xfId="12331"/>
    <cellStyle name="Normal 120 2 7 2 3" xfId="18533"/>
    <cellStyle name="Normal 120 2 7 2 4" xfId="57359"/>
    <cellStyle name="Normal 120 2 7 3" xfId="9231"/>
    <cellStyle name="Normal 120 2 7 4" xfId="15433"/>
    <cellStyle name="Normal 120 2 7 5" xfId="54470"/>
    <cellStyle name="Normal 120 2 8" xfId="4056"/>
    <cellStyle name="Normal 120 2 8 2" xfId="10260"/>
    <cellStyle name="Normal 120 2 8 3" xfId="16462"/>
    <cellStyle name="Normal 120 2 8 4" xfId="55423"/>
    <cellStyle name="Normal 120 2 9" xfId="7159"/>
    <cellStyle name="Normal 120 2 9 2" xfId="18900"/>
    <cellStyle name="Normal 120 3" xfId="846"/>
    <cellStyle name="Normal 120 3 10" xfId="31132"/>
    <cellStyle name="Normal 120 3 2" xfId="847"/>
    <cellStyle name="Normal 120 3 2 2" xfId="848"/>
    <cellStyle name="Normal 120 3 2 2 2" xfId="849"/>
    <cellStyle name="Normal 120 3 2 2 2 2" xfId="2250"/>
    <cellStyle name="Normal 120 3 2 2 2 2 2" xfId="5375"/>
    <cellStyle name="Normal 120 3 2 2 2 2 2 2" xfId="11578"/>
    <cellStyle name="Normal 120 3 2 2 2 2 2 3" xfId="17780"/>
    <cellStyle name="Normal 120 3 2 2 2 2 2 4" xfId="56614"/>
    <cellStyle name="Normal 120 3 2 2 2 2 3" xfId="8478"/>
    <cellStyle name="Normal 120 3 2 2 2 2 4" xfId="14680"/>
    <cellStyle name="Normal 120 3 2 2 2 2 5" xfId="53718"/>
    <cellStyle name="Normal 120 3 2 2 2 3" xfId="3035"/>
    <cellStyle name="Normal 120 3 2 2 2 3 2" xfId="6147"/>
    <cellStyle name="Normal 120 3 2 2 2 3 2 2" xfId="12350"/>
    <cellStyle name="Normal 120 3 2 2 2 3 2 3" xfId="18552"/>
    <cellStyle name="Normal 120 3 2 2 2 3 2 4" xfId="57378"/>
    <cellStyle name="Normal 120 3 2 2 2 3 3" xfId="9250"/>
    <cellStyle name="Normal 120 3 2 2 2 3 4" xfId="15452"/>
    <cellStyle name="Normal 120 3 2 2 2 3 5" xfId="54489"/>
    <cellStyle name="Normal 120 3 2 2 2 4" xfId="4075"/>
    <cellStyle name="Normal 120 3 2 2 2 4 2" xfId="10279"/>
    <cellStyle name="Normal 120 3 2 2 2 4 3" xfId="16481"/>
    <cellStyle name="Normal 120 3 2 2 2 4 4" xfId="55442"/>
    <cellStyle name="Normal 120 3 2 2 2 5" xfId="7178"/>
    <cellStyle name="Normal 120 3 2 2 2 5 2" xfId="19851"/>
    <cellStyle name="Normal 120 3 2 2 2 6" xfId="13380"/>
    <cellStyle name="Normal 120 3 2 2 2 7" xfId="52644"/>
    <cellStyle name="Normal 120 3 2 2 3" xfId="1726"/>
    <cellStyle name="Normal 120 3 2 2 3 2" xfId="4851"/>
    <cellStyle name="Normal 120 3 2 2 3 2 2" xfId="11054"/>
    <cellStyle name="Normal 120 3 2 2 3 2 3" xfId="17256"/>
    <cellStyle name="Normal 120 3 2 2 3 2 4" xfId="56123"/>
    <cellStyle name="Normal 120 3 2 2 3 3" xfId="7954"/>
    <cellStyle name="Normal 120 3 2 2 3 4" xfId="14156"/>
    <cellStyle name="Normal 120 3 2 2 3 5" xfId="53233"/>
    <cellStyle name="Normal 120 3 2 2 4" xfId="3034"/>
    <cellStyle name="Normal 120 3 2 2 4 2" xfId="6146"/>
    <cellStyle name="Normal 120 3 2 2 4 2 2" xfId="12349"/>
    <cellStyle name="Normal 120 3 2 2 4 2 3" xfId="18551"/>
    <cellStyle name="Normal 120 3 2 2 4 2 4" xfId="57377"/>
    <cellStyle name="Normal 120 3 2 2 4 3" xfId="9249"/>
    <cellStyle name="Normal 120 3 2 2 4 4" xfId="15451"/>
    <cellStyle name="Normal 120 3 2 2 4 5" xfId="54488"/>
    <cellStyle name="Normal 120 3 2 2 5" xfId="4074"/>
    <cellStyle name="Normal 120 3 2 2 5 2" xfId="10278"/>
    <cellStyle name="Normal 120 3 2 2 5 3" xfId="16480"/>
    <cellStyle name="Normal 120 3 2 2 5 4" xfId="55441"/>
    <cellStyle name="Normal 120 3 2 2 6" xfId="7177"/>
    <cellStyle name="Normal 120 3 2 2 6 2" xfId="19327"/>
    <cellStyle name="Normal 120 3 2 2 7" xfId="13379"/>
    <cellStyle name="Normal 120 3 2 2 8" xfId="52643"/>
    <cellStyle name="Normal 120 3 2 3" xfId="850"/>
    <cellStyle name="Normal 120 3 2 3 2" xfId="2005"/>
    <cellStyle name="Normal 120 3 2 3 2 2" xfId="5130"/>
    <cellStyle name="Normal 120 3 2 3 2 2 2" xfId="11333"/>
    <cellStyle name="Normal 120 3 2 3 2 2 3" xfId="17535"/>
    <cellStyle name="Normal 120 3 2 3 2 2 4" xfId="56387"/>
    <cellStyle name="Normal 120 3 2 3 2 3" xfId="8233"/>
    <cellStyle name="Normal 120 3 2 3 2 4" xfId="14435"/>
    <cellStyle name="Normal 120 3 2 3 2 5" xfId="53492"/>
    <cellStyle name="Normal 120 3 2 3 3" xfId="3036"/>
    <cellStyle name="Normal 120 3 2 3 3 2" xfId="6148"/>
    <cellStyle name="Normal 120 3 2 3 3 2 2" xfId="12351"/>
    <cellStyle name="Normal 120 3 2 3 3 2 3" xfId="18553"/>
    <cellStyle name="Normal 120 3 2 3 3 2 4" xfId="57379"/>
    <cellStyle name="Normal 120 3 2 3 3 3" xfId="9251"/>
    <cellStyle name="Normal 120 3 2 3 3 4" xfId="15453"/>
    <cellStyle name="Normal 120 3 2 3 3 5" xfId="54490"/>
    <cellStyle name="Normal 120 3 2 3 4" xfId="4076"/>
    <cellStyle name="Normal 120 3 2 3 4 2" xfId="10280"/>
    <cellStyle name="Normal 120 3 2 3 4 3" xfId="16482"/>
    <cellStyle name="Normal 120 3 2 3 4 4" xfId="55443"/>
    <cellStyle name="Normal 120 3 2 3 5" xfId="7179"/>
    <cellStyle name="Normal 120 3 2 3 5 2" xfId="19606"/>
    <cellStyle name="Normal 120 3 2 3 6" xfId="13381"/>
    <cellStyle name="Normal 120 3 2 3 7" xfId="52645"/>
    <cellStyle name="Normal 120 3 2 4" xfId="1481"/>
    <cellStyle name="Normal 120 3 2 4 2" xfId="4606"/>
    <cellStyle name="Normal 120 3 2 4 2 2" xfId="10809"/>
    <cellStyle name="Normal 120 3 2 4 2 3" xfId="17011"/>
    <cellStyle name="Normal 120 3 2 4 2 4" xfId="55891"/>
    <cellStyle name="Normal 120 3 2 4 3" xfId="7709"/>
    <cellStyle name="Normal 120 3 2 4 4" xfId="13911"/>
    <cellStyle name="Normal 120 3 2 4 5" xfId="53008"/>
    <cellStyle name="Normal 120 3 2 5" xfId="3033"/>
    <cellStyle name="Normal 120 3 2 5 2" xfId="6145"/>
    <cellStyle name="Normal 120 3 2 5 2 2" xfId="12348"/>
    <cellStyle name="Normal 120 3 2 5 2 3" xfId="18550"/>
    <cellStyle name="Normal 120 3 2 5 2 4" xfId="57376"/>
    <cellStyle name="Normal 120 3 2 5 3" xfId="9248"/>
    <cellStyle name="Normal 120 3 2 5 4" xfId="15450"/>
    <cellStyle name="Normal 120 3 2 5 5" xfId="54487"/>
    <cellStyle name="Normal 120 3 2 6" xfId="4073"/>
    <cellStyle name="Normal 120 3 2 6 2" xfId="10277"/>
    <cellStyle name="Normal 120 3 2 6 3" xfId="16479"/>
    <cellStyle name="Normal 120 3 2 6 4" xfId="55440"/>
    <cellStyle name="Normal 120 3 2 7" xfId="7176"/>
    <cellStyle name="Normal 120 3 2 7 2" xfId="19082"/>
    <cellStyle name="Normal 120 3 2 8" xfId="13378"/>
    <cellStyle name="Normal 120 3 2 9" xfId="52126"/>
    <cellStyle name="Normal 120 3 3" xfId="851"/>
    <cellStyle name="Normal 120 3 3 2" xfId="852"/>
    <cellStyle name="Normal 120 3 3 2 2" xfId="2122"/>
    <cellStyle name="Normal 120 3 3 2 2 2" xfId="5247"/>
    <cellStyle name="Normal 120 3 3 2 2 2 2" xfId="11450"/>
    <cellStyle name="Normal 120 3 3 2 2 2 3" xfId="17652"/>
    <cellStyle name="Normal 120 3 3 2 2 2 4" xfId="56495"/>
    <cellStyle name="Normal 120 3 3 2 2 3" xfId="8350"/>
    <cellStyle name="Normal 120 3 3 2 2 4" xfId="14552"/>
    <cellStyle name="Normal 120 3 3 2 2 5" xfId="53599"/>
    <cellStyle name="Normal 120 3 3 2 3" xfId="3038"/>
    <cellStyle name="Normal 120 3 3 2 3 2" xfId="6150"/>
    <cellStyle name="Normal 120 3 3 2 3 2 2" xfId="12353"/>
    <cellStyle name="Normal 120 3 3 2 3 2 3" xfId="18555"/>
    <cellStyle name="Normal 120 3 3 2 3 2 4" xfId="57381"/>
    <cellStyle name="Normal 120 3 3 2 3 3" xfId="9253"/>
    <cellStyle name="Normal 120 3 3 2 3 4" xfId="15455"/>
    <cellStyle name="Normal 120 3 3 2 3 5" xfId="54492"/>
    <cellStyle name="Normal 120 3 3 2 4" xfId="4078"/>
    <cellStyle name="Normal 120 3 3 2 4 2" xfId="10282"/>
    <cellStyle name="Normal 120 3 3 2 4 3" xfId="16484"/>
    <cellStyle name="Normal 120 3 3 2 4 4" xfId="55445"/>
    <cellStyle name="Normal 120 3 3 2 5" xfId="7181"/>
    <cellStyle name="Normal 120 3 3 2 5 2" xfId="19723"/>
    <cellStyle name="Normal 120 3 3 2 6" xfId="13383"/>
    <cellStyle name="Normal 120 3 3 2 7" xfId="52647"/>
    <cellStyle name="Normal 120 3 3 3" xfId="1598"/>
    <cellStyle name="Normal 120 3 3 3 2" xfId="4723"/>
    <cellStyle name="Normal 120 3 3 3 2 2" xfId="10926"/>
    <cellStyle name="Normal 120 3 3 3 2 3" xfId="17128"/>
    <cellStyle name="Normal 120 3 3 3 2 4" xfId="56001"/>
    <cellStyle name="Normal 120 3 3 3 3" xfId="7826"/>
    <cellStyle name="Normal 120 3 3 3 4" xfId="14028"/>
    <cellStyle name="Normal 120 3 3 3 5" xfId="53114"/>
    <cellStyle name="Normal 120 3 3 4" xfId="3037"/>
    <cellStyle name="Normal 120 3 3 4 2" xfId="6149"/>
    <cellStyle name="Normal 120 3 3 4 2 2" xfId="12352"/>
    <cellStyle name="Normal 120 3 3 4 2 3" xfId="18554"/>
    <cellStyle name="Normal 120 3 3 4 2 4" xfId="57380"/>
    <cellStyle name="Normal 120 3 3 4 3" xfId="9252"/>
    <cellStyle name="Normal 120 3 3 4 4" xfId="15454"/>
    <cellStyle name="Normal 120 3 3 4 5" xfId="54491"/>
    <cellStyle name="Normal 120 3 3 5" xfId="4077"/>
    <cellStyle name="Normal 120 3 3 5 2" xfId="10281"/>
    <cellStyle name="Normal 120 3 3 5 3" xfId="16483"/>
    <cellStyle name="Normal 120 3 3 5 4" xfId="55444"/>
    <cellStyle name="Normal 120 3 3 6" xfId="7180"/>
    <cellStyle name="Normal 120 3 3 6 2" xfId="19199"/>
    <cellStyle name="Normal 120 3 3 7" xfId="13382"/>
    <cellStyle name="Normal 120 3 3 8" xfId="52646"/>
    <cellStyle name="Normal 120 3 4" xfId="853"/>
    <cellStyle name="Normal 120 3 4 2" xfId="1863"/>
    <cellStyle name="Normal 120 3 4 2 2" xfId="4988"/>
    <cellStyle name="Normal 120 3 4 2 2 2" xfId="11191"/>
    <cellStyle name="Normal 120 3 4 2 2 3" xfId="17393"/>
    <cellStyle name="Normal 120 3 4 2 2 4" xfId="56252"/>
    <cellStyle name="Normal 120 3 4 2 3" xfId="8091"/>
    <cellStyle name="Normal 120 3 4 2 4" xfId="14293"/>
    <cellStyle name="Normal 120 3 4 2 5" xfId="53358"/>
    <cellStyle name="Normal 120 3 4 3" xfId="3039"/>
    <cellStyle name="Normal 120 3 4 3 2" xfId="6151"/>
    <cellStyle name="Normal 120 3 4 3 2 2" xfId="12354"/>
    <cellStyle name="Normal 120 3 4 3 2 3" xfId="18556"/>
    <cellStyle name="Normal 120 3 4 3 2 4" xfId="57382"/>
    <cellStyle name="Normal 120 3 4 3 3" xfId="9254"/>
    <cellStyle name="Normal 120 3 4 3 4" xfId="15456"/>
    <cellStyle name="Normal 120 3 4 3 5" xfId="54493"/>
    <cellStyle name="Normal 120 3 4 4" xfId="4079"/>
    <cellStyle name="Normal 120 3 4 4 2" xfId="10283"/>
    <cellStyle name="Normal 120 3 4 4 3" xfId="16485"/>
    <cellStyle name="Normal 120 3 4 4 4" xfId="55446"/>
    <cellStyle name="Normal 120 3 4 5" xfId="7182"/>
    <cellStyle name="Normal 120 3 4 5 2" xfId="19464"/>
    <cellStyle name="Normal 120 3 4 6" xfId="13384"/>
    <cellStyle name="Normal 120 3 4 7" xfId="52648"/>
    <cellStyle name="Normal 120 3 5" xfId="1339"/>
    <cellStyle name="Normal 120 3 5 2" xfId="4464"/>
    <cellStyle name="Normal 120 3 5 2 2" xfId="10667"/>
    <cellStyle name="Normal 120 3 5 2 3" xfId="16869"/>
    <cellStyle name="Normal 120 3 5 2 4" xfId="55755"/>
    <cellStyle name="Normal 120 3 5 3" xfId="7567"/>
    <cellStyle name="Normal 120 3 5 4" xfId="13769"/>
    <cellStyle name="Normal 120 3 5 5" xfId="52883"/>
    <cellStyle name="Normal 120 3 6" xfId="3032"/>
    <cellStyle name="Normal 120 3 6 2" xfId="6144"/>
    <cellStyle name="Normal 120 3 6 2 2" xfId="12347"/>
    <cellStyle name="Normal 120 3 6 2 3" xfId="18549"/>
    <cellStyle name="Normal 120 3 6 2 4" xfId="57375"/>
    <cellStyle name="Normal 120 3 6 3" xfId="9247"/>
    <cellStyle name="Normal 120 3 6 4" xfId="15449"/>
    <cellStyle name="Normal 120 3 6 5" xfId="54486"/>
    <cellStyle name="Normal 120 3 7" xfId="4072"/>
    <cellStyle name="Normal 120 3 7 2" xfId="10276"/>
    <cellStyle name="Normal 120 3 7 3" xfId="16478"/>
    <cellStyle name="Normal 120 3 7 4" xfId="55439"/>
    <cellStyle name="Normal 120 3 8" xfId="7175"/>
    <cellStyle name="Normal 120 3 8 2" xfId="18940"/>
    <cellStyle name="Normal 120 3 9" xfId="13377"/>
    <cellStyle name="Normal 120 4" xfId="854"/>
    <cellStyle name="Normal 120 4 2" xfId="855"/>
    <cellStyle name="Normal 120 4 2 2" xfId="856"/>
    <cellStyle name="Normal 120 4 2 2 2" xfId="2187"/>
    <cellStyle name="Normal 120 4 2 2 2 2" xfId="5312"/>
    <cellStyle name="Normal 120 4 2 2 2 2 2" xfId="11515"/>
    <cellStyle name="Normal 120 4 2 2 2 2 3" xfId="17717"/>
    <cellStyle name="Normal 120 4 2 2 2 2 4" xfId="56554"/>
    <cellStyle name="Normal 120 4 2 2 2 3" xfId="8415"/>
    <cellStyle name="Normal 120 4 2 2 2 4" xfId="14617"/>
    <cellStyle name="Normal 120 4 2 2 2 5" xfId="53658"/>
    <cellStyle name="Normal 120 4 2 2 3" xfId="3042"/>
    <cellStyle name="Normal 120 4 2 2 3 2" xfId="6154"/>
    <cellStyle name="Normal 120 4 2 2 3 2 2" xfId="12357"/>
    <cellStyle name="Normal 120 4 2 2 3 2 3" xfId="18559"/>
    <cellStyle name="Normal 120 4 2 2 3 2 4" xfId="57385"/>
    <cellStyle name="Normal 120 4 2 2 3 3" xfId="9257"/>
    <cellStyle name="Normal 120 4 2 2 3 4" xfId="15459"/>
    <cellStyle name="Normal 120 4 2 2 3 5" xfId="54496"/>
    <cellStyle name="Normal 120 4 2 2 4" xfId="4082"/>
    <cellStyle name="Normal 120 4 2 2 4 2" xfId="10286"/>
    <cellStyle name="Normal 120 4 2 2 4 3" xfId="16488"/>
    <cellStyle name="Normal 120 4 2 2 4 4" xfId="55449"/>
    <cellStyle name="Normal 120 4 2 2 5" xfId="7185"/>
    <cellStyle name="Normal 120 4 2 2 5 2" xfId="19788"/>
    <cellStyle name="Normal 120 4 2 2 6" xfId="13387"/>
    <cellStyle name="Normal 120 4 2 2 7" xfId="52650"/>
    <cellStyle name="Normal 120 4 2 3" xfId="1663"/>
    <cellStyle name="Normal 120 4 2 3 2" xfId="4788"/>
    <cellStyle name="Normal 120 4 2 3 2 2" xfId="10991"/>
    <cellStyle name="Normal 120 4 2 3 2 3" xfId="17193"/>
    <cellStyle name="Normal 120 4 2 3 2 4" xfId="56063"/>
    <cellStyle name="Normal 120 4 2 3 3" xfId="7891"/>
    <cellStyle name="Normal 120 4 2 3 4" xfId="14093"/>
    <cellStyle name="Normal 120 4 2 3 5" xfId="53173"/>
    <cellStyle name="Normal 120 4 2 4" xfId="3041"/>
    <cellStyle name="Normal 120 4 2 4 2" xfId="6153"/>
    <cellStyle name="Normal 120 4 2 4 2 2" xfId="12356"/>
    <cellStyle name="Normal 120 4 2 4 2 3" xfId="18558"/>
    <cellStyle name="Normal 120 4 2 4 2 4" xfId="57384"/>
    <cellStyle name="Normal 120 4 2 4 3" xfId="9256"/>
    <cellStyle name="Normal 120 4 2 4 4" xfId="15458"/>
    <cellStyle name="Normal 120 4 2 4 5" xfId="54495"/>
    <cellStyle name="Normal 120 4 2 5" xfId="4081"/>
    <cellStyle name="Normal 120 4 2 5 2" xfId="10285"/>
    <cellStyle name="Normal 120 4 2 5 3" xfId="16487"/>
    <cellStyle name="Normal 120 4 2 5 4" xfId="55448"/>
    <cellStyle name="Normal 120 4 2 6" xfId="7184"/>
    <cellStyle name="Normal 120 4 2 6 2" xfId="19264"/>
    <cellStyle name="Normal 120 4 2 7" xfId="13386"/>
    <cellStyle name="Normal 120 4 2 8" xfId="52649"/>
    <cellStyle name="Normal 120 4 3" xfId="857"/>
    <cellStyle name="Normal 120 4 3 2" xfId="1942"/>
    <cellStyle name="Normal 120 4 3 2 2" xfId="5067"/>
    <cellStyle name="Normal 120 4 3 2 2 2" xfId="11270"/>
    <cellStyle name="Normal 120 4 3 2 2 3" xfId="17472"/>
    <cellStyle name="Normal 120 4 3 2 2 4" xfId="56327"/>
    <cellStyle name="Normal 120 4 3 2 3" xfId="8170"/>
    <cellStyle name="Normal 120 4 3 2 4" xfId="14372"/>
    <cellStyle name="Normal 120 4 3 2 5" xfId="53433"/>
    <cellStyle name="Normal 120 4 3 3" xfId="3043"/>
    <cellStyle name="Normal 120 4 3 3 2" xfId="6155"/>
    <cellStyle name="Normal 120 4 3 3 2 2" xfId="12358"/>
    <cellStyle name="Normal 120 4 3 3 2 3" xfId="18560"/>
    <cellStyle name="Normal 120 4 3 3 2 4" xfId="57386"/>
    <cellStyle name="Normal 120 4 3 3 3" xfId="9258"/>
    <cellStyle name="Normal 120 4 3 3 4" xfId="15460"/>
    <cellStyle name="Normal 120 4 3 3 5" xfId="54497"/>
    <cellStyle name="Normal 120 4 3 4" xfId="4083"/>
    <cellStyle name="Normal 120 4 3 4 2" xfId="10287"/>
    <cellStyle name="Normal 120 4 3 4 3" xfId="16489"/>
    <cellStyle name="Normal 120 4 3 4 4" xfId="55450"/>
    <cellStyle name="Normal 120 4 3 5" xfId="7186"/>
    <cellStyle name="Normal 120 4 3 5 2" xfId="19543"/>
    <cellStyle name="Normal 120 4 3 6" xfId="13388"/>
    <cellStyle name="Normal 120 4 3 7" xfId="52651"/>
    <cellStyle name="Normal 120 4 4" xfId="1418"/>
    <cellStyle name="Normal 120 4 4 2" xfId="4543"/>
    <cellStyle name="Normal 120 4 4 2 2" xfId="10746"/>
    <cellStyle name="Normal 120 4 4 2 3" xfId="16948"/>
    <cellStyle name="Normal 120 4 4 2 4" xfId="55831"/>
    <cellStyle name="Normal 120 4 4 3" xfId="7646"/>
    <cellStyle name="Normal 120 4 4 4" xfId="13848"/>
    <cellStyle name="Normal 120 4 4 5" xfId="52949"/>
    <cellStyle name="Normal 120 4 5" xfId="3040"/>
    <cellStyle name="Normal 120 4 5 2" xfId="6152"/>
    <cellStyle name="Normal 120 4 5 2 2" xfId="12355"/>
    <cellStyle name="Normal 120 4 5 2 3" xfId="18557"/>
    <cellStyle name="Normal 120 4 5 2 4" xfId="57383"/>
    <cellStyle name="Normal 120 4 5 3" xfId="9255"/>
    <cellStyle name="Normal 120 4 5 4" xfId="15457"/>
    <cellStyle name="Normal 120 4 5 5" xfId="54494"/>
    <cellStyle name="Normal 120 4 6" xfId="4080"/>
    <cellStyle name="Normal 120 4 6 2" xfId="10284"/>
    <cellStyle name="Normal 120 4 6 3" xfId="16486"/>
    <cellStyle name="Normal 120 4 6 4" xfId="55447"/>
    <cellStyle name="Normal 120 4 7" xfId="7183"/>
    <cellStyle name="Normal 120 4 7 2" xfId="19019"/>
    <cellStyle name="Normal 120 4 8" xfId="13385"/>
    <cellStyle name="Normal 120 4 9" xfId="31133"/>
    <cellStyle name="Normal 120 5" xfId="858"/>
    <cellStyle name="Normal 120 5 2" xfId="859"/>
    <cellStyle name="Normal 120 5 2 2" xfId="2083"/>
    <cellStyle name="Normal 120 5 2 2 2" xfId="5208"/>
    <cellStyle name="Normal 120 5 2 2 2 2" xfId="11411"/>
    <cellStyle name="Normal 120 5 2 2 2 3" xfId="17613"/>
    <cellStyle name="Normal 120 5 2 2 2 4" xfId="56458"/>
    <cellStyle name="Normal 120 5 2 2 3" xfId="8311"/>
    <cellStyle name="Normal 120 5 2 2 4" xfId="14513"/>
    <cellStyle name="Normal 120 5 2 2 5" xfId="53562"/>
    <cellStyle name="Normal 120 5 2 3" xfId="3045"/>
    <cellStyle name="Normal 120 5 2 3 2" xfId="6157"/>
    <cellStyle name="Normal 120 5 2 3 2 2" xfId="12360"/>
    <cellStyle name="Normal 120 5 2 3 2 3" xfId="18562"/>
    <cellStyle name="Normal 120 5 2 3 2 4" xfId="57388"/>
    <cellStyle name="Normal 120 5 2 3 3" xfId="9260"/>
    <cellStyle name="Normal 120 5 2 3 4" xfId="15462"/>
    <cellStyle name="Normal 120 5 2 3 5" xfId="54499"/>
    <cellStyle name="Normal 120 5 2 4" xfId="4085"/>
    <cellStyle name="Normal 120 5 2 4 2" xfId="10289"/>
    <cellStyle name="Normal 120 5 2 4 3" xfId="16491"/>
    <cellStyle name="Normal 120 5 2 4 4" xfId="55452"/>
    <cellStyle name="Normal 120 5 2 5" xfId="7188"/>
    <cellStyle name="Normal 120 5 2 5 2" xfId="19684"/>
    <cellStyle name="Normal 120 5 2 6" xfId="13390"/>
    <cellStyle name="Normal 120 5 2 7" xfId="52653"/>
    <cellStyle name="Normal 120 5 3" xfId="1559"/>
    <cellStyle name="Normal 120 5 3 2" xfId="4684"/>
    <cellStyle name="Normal 120 5 3 2 2" xfId="10887"/>
    <cellStyle name="Normal 120 5 3 2 3" xfId="17089"/>
    <cellStyle name="Normal 120 5 3 2 4" xfId="55963"/>
    <cellStyle name="Normal 120 5 3 3" xfId="7787"/>
    <cellStyle name="Normal 120 5 3 4" xfId="13989"/>
    <cellStyle name="Normal 120 5 3 5" xfId="53077"/>
    <cellStyle name="Normal 120 5 4" xfId="3044"/>
    <cellStyle name="Normal 120 5 4 2" xfId="6156"/>
    <cellStyle name="Normal 120 5 4 2 2" xfId="12359"/>
    <cellStyle name="Normal 120 5 4 2 3" xfId="18561"/>
    <cellStyle name="Normal 120 5 4 2 4" xfId="57387"/>
    <cellStyle name="Normal 120 5 4 3" xfId="9259"/>
    <cellStyle name="Normal 120 5 4 4" xfId="15461"/>
    <cellStyle name="Normal 120 5 4 5" xfId="54498"/>
    <cellStyle name="Normal 120 5 5" xfId="4084"/>
    <cellStyle name="Normal 120 5 5 2" xfId="10288"/>
    <cellStyle name="Normal 120 5 5 3" xfId="16490"/>
    <cellStyle name="Normal 120 5 5 4" xfId="55451"/>
    <cellStyle name="Normal 120 5 6" xfId="7187"/>
    <cellStyle name="Normal 120 5 6 2" xfId="19160"/>
    <cellStyle name="Normal 120 5 7" xfId="13389"/>
    <cellStyle name="Normal 120 5 8" xfId="52652"/>
    <cellStyle name="Normal 120 6" xfId="860"/>
    <cellStyle name="Normal 120 6 2" xfId="1813"/>
    <cellStyle name="Normal 120 6 2 2" xfId="4938"/>
    <cellStyle name="Normal 120 6 2 2 2" xfId="11141"/>
    <cellStyle name="Normal 120 6 2 2 3" xfId="17343"/>
    <cellStyle name="Normal 120 6 2 2 4" xfId="56205"/>
    <cellStyle name="Normal 120 6 2 3" xfId="8041"/>
    <cellStyle name="Normal 120 6 2 4" xfId="14243"/>
    <cellStyle name="Normal 120 6 2 5" xfId="53311"/>
    <cellStyle name="Normal 120 6 3" xfId="3046"/>
    <cellStyle name="Normal 120 6 3 2" xfId="6158"/>
    <cellStyle name="Normal 120 6 3 2 2" xfId="12361"/>
    <cellStyle name="Normal 120 6 3 2 3" xfId="18563"/>
    <cellStyle name="Normal 120 6 3 2 4" xfId="57389"/>
    <cellStyle name="Normal 120 6 3 3" xfId="9261"/>
    <cellStyle name="Normal 120 6 3 4" xfId="15463"/>
    <cellStyle name="Normal 120 6 3 5" xfId="54500"/>
    <cellStyle name="Normal 120 6 4" xfId="4086"/>
    <cellStyle name="Normal 120 6 4 2" xfId="10290"/>
    <cellStyle name="Normal 120 6 4 3" xfId="16492"/>
    <cellStyle name="Normal 120 6 4 4" xfId="55453"/>
    <cellStyle name="Normal 120 6 5" xfId="7189"/>
    <cellStyle name="Normal 120 6 5 2" xfId="19414"/>
    <cellStyle name="Normal 120 6 6" xfId="13391"/>
    <cellStyle name="Normal 120 6 7" xfId="52654"/>
    <cellStyle name="Normal 120 7" xfId="1271"/>
    <cellStyle name="Normal 120 7 2" xfId="4396"/>
    <cellStyle name="Normal 120 7 2 2" xfId="10599"/>
    <cellStyle name="Normal 120 7 2 3" xfId="16801"/>
    <cellStyle name="Normal 120 7 2 4" xfId="55692"/>
    <cellStyle name="Normal 120 7 3" xfId="7499"/>
    <cellStyle name="Normal 120 7 4" xfId="13701"/>
    <cellStyle name="Normal 120 7 5" xfId="52823"/>
    <cellStyle name="Normal 120 8" xfId="3015"/>
    <cellStyle name="Normal 120 8 2" xfId="6127"/>
    <cellStyle name="Normal 120 8 2 2" xfId="12330"/>
    <cellStyle name="Normal 120 8 2 3" xfId="18532"/>
    <cellStyle name="Normal 120 8 2 4" xfId="57358"/>
    <cellStyle name="Normal 120 8 3" xfId="9230"/>
    <cellStyle name="Normal 120 8 4" xfId="15432"/>
    <cellStyle name="Normal 120 8 5" xfId="54469"/>
    <cellStyle name="Normal 120 9" xfId="4055"/>
    <cellStyle name="Normal 120 9 2" xfId="10259"/>
    <cellStyle name="Normal 120 9 3" xfId="16461"/>
    <cellStyle name="Normal 120 9 4" xfId="55422"/>
    <cellStyle name="Normal 121" xfId="31134"/>
    <cellStyle name="Normal 121 2" xfId="31135"/>
    <cellStyle name="Normal 121 2 2" xfId="31136"/>
    <cellStyle name="Normal 121 3" xfId="31137"/>
    <cellStyle name="Normal 122" xfId="31138"/>
    <cellStyle name="Normal 122 2" xfId="31139"/>
    <cellStyle name="Normal 122 2 2" xfId="31140"/>
    <cellStyle name="Normal 122 3" xfId="31141"/>
    <cellStyle name="Normal 123" xfId="31142"/>
    <cellStyle name="Normal 123 2" xfId="31143"/>
    <cellStyle name="Normal 123 2 2" xfId="31144"/>
    <cellStyle name="Normal 123 3" xfId="31145"/>
    <cellStyle name="Normal 124" xfId="19959"/>
    <cellStyle name="Normal 124 2" xfId="31147"/>
    <cellStyle name="Normal 124 2 2" xfId="31148"/>
    <cellStyle name="Normal 124 3" xfId="31149"/>
    <cellStyle name="Normal 124 4" xfId="31150"/>
    <cellStyle name="Normal 124 5" xfId="31146"/>
    <cellStyle name="Normal 125" xfId="31151"/>
    <cellStyle name="Normal 125 2" xfId="31152"/>
    <cellStyle name="Normal 125 2 2" xfId="31153"/>
    <cellStyle name="Normal 125 3" xfId="31154"/>
    <cellStyle name="Normal 126" xfId="31155"/>
    <cellStyle name="Normal 126 2" xfId="31156"/>
    <cellStyle name="Normal 126 2 2" xfId="31157"/>
    <cellStyle name="Normal 126 3" xfId="31158"/>
    <cellStyle name="Normal 127" xfId="31159"/>
    <cellStyle name="Normal 127 2" xfId="47570"/>
    <cellStyle name="Normal 128" xfId="31160"/>
    <cellStyle name="Normal 128 2" xfId="31161"/>
    <cellStyle name="Normal 128 2 2" xfId="31162"/>
    <cellStyle name="Normal 128 3" xfId="31163"/>
    <cellStyle name="Normal 129" xfId="31164"/>
    <cellStyle name="Normal 129 2" xfId="31165"/>
    <cellStyle name="Normal 129 2 2" xfId="31166"/>
    <cellStyle name="Normal 129 3" xfId="31167"/>
    <cellStyle name="Normal 13" xfId="861"/>
    <cellStyle name="Normal 13 2" xfId="862"/>
    <cellStyle name="Normal 13 2 2" xfId="31170"/>
    <cellStyle name="Normal 13 2 3" xfId="31169"/>
    <cellStyle name="Normal 13 2 4" xfId="47572"/>
    <cellStyle name="Normal 13 3" xfId="863"/>
    <cellStyle name="Normal 13 3 2" xfId="31172"/>
    <cellStyle name="Normal 13 3 2 2" xfId="31173"/>
    <cellStyle name="Normal 13 3 3" xfId="31174"/>
    <cellStyle name="Normal 13 3 4" xfId="52023"/>
    <cellStyle name="Normal 13 3 5" xfId="31171"/>
    <cellStyle name="Normal 13 4" xfId="31175"/>
    <cellStyle name="Normal 13 4 2" xfId="47573"/>
    <cellStyle name="Normal 13 5" xfId="47571"/>
    <cellStyle name="Normal 13 6" xfId="31168"/>
    <cellStyle name="Normal 13_Plan by Lob" xfId="31176"/>
    <cellStyle name="Normal 130" xfId="31177"/>
    <cellStyle name="Normal 130 2" xfId="31178"/>
    <cellStyle name="Normal 130 2 2" xfId="31179"/>
    <cellStyle name="Normal 130 3" xfId="31180"/>
    <cellStyle name="Normal 131" xfId="31181"/>
    <cellStyle name="Normal 131 2" xfId="31182"/>
    <cellStyle name="Normal 131 2 2" xfId="31183"/>
    <cellStyle name="Normal 131 3" xfId="31184"/>
    <cellStyle name="Normal 132" xfId="31185"/>
    <cellStyle name="Normal 132 2" xfId="31186"/>
    <cellStyle name="Normal 132 2 2" xfId="31187"/>
    <cellStyle name="Normal 132 3" xfId="31188"/>
    <cellStyle name="Normal 133" xfId="31189"/>
    <cellStyle name="Normal 133 2" xfId="31190"/>
    <cellStyle name="Normal 133 2 2" xfId="31191"/>
    <cellStyle name="Normal 133 3" xfId="31192"/>
    <cellStyle name="Normal 134" xfId="31193"/>
    <cellStyle name="Normal 134 2" xfId="31194"/>
    <cellStyle name="Normal 134 2 2" xfId="31195"/>
    <cellStyle name="Normal 134 3" xfId="31196"/>
    <cellStyle name="Normal 135" xfId="31197"/>
    <cellStyle name="Normal 135 2" xfId="31198"/>
    <cellStyle name="Normal 135 2 2" xfId="31199"/>
    <cellStyle name="Normal 135 3" xfId="31200"/>
    <cellStyle name="Normal 136" xfId="31201"/>
    <cellStyle name="Normal 136 2" xfId="31202"/>
    <cellStyle name="Normal 136 2 2" xfId="31203"/>
    <cellStyle name="Normal 136 3" xfId="31204"/>
    <cellStyle name="Normal 137" xfId="31205"/>
    <cellStyle name="Normal 137 2" xfId="47574"/>
    <cellStyle name="Normal 138" xfId="31206"/>
    <cellStyle name="Normal 138 2" xfId="47575"/>
    <cellStyle name="Normal 139" xfId="31207"/>
    <cellStyle name="Normal 139 2" xfId="31208"/>
    <cellStyle name="Normal 139 2 2" xfId="31209"/>
    <cellStyle name="Normal 139 3" xfId="31210"/>
    <cellStyle name="Normal 14" xfId="864"/>
    <cellStyle name="Normal 14 10" xfId="31212"/>
    <cellStyle name="Normal 14 10 2" xfId="31213"/>
    <cellStyle name="Normal 14 10 2 2" xfId="31214"/>
    <cellStyle name="Normal 14 10 3" xfId="31215"/>
    <cellStyle name="Normal 14 11" xfId="31216"/>
    <cellStyle name="Normal 14 11 2" xfId="31217"/>
    <cellStyle name="Normal 14 12" xfId="31218"/>
    <cellStyle name="Normal 14 13" xfId="31219"/>
    <cellStyle name="Normal 14 14" xfId="47576"/>
    <cellStyle name="Normal 14 15" xfId="31211"/>
    <cellStyle name="Normal 14 2" xfId="865"/>
    <cellStyle name="Normal 14 2 2" xfId="2043"/>
    <cellStyle name="Normal 14 2 2 2" xfId="5168"/>
    <cellStyle name="Normal 14 2 2 2 2" xfId="11371"/>
    <cellStyle name="Normal 14 2 2 2 2 2" xfId="56420"/>
    <cellStyle name="Normal 14 2 2 2 3" xfId="17573"/>
    <cellStyle name="Normal 14 2 2 2 4" xfId="47578"/>
    <cellStyle name="Normal 14 2 2 3" xfId="8271"/>
    <cellStyle name="Normal 14 2 2 4" xfId="14473"/>
    <cellStyle name="Normal 14 2 2 5" xfId="31221"/>
    <cellStyle name="Normal 14 2 3" xfId="3048"/>
    <cellStyle name="Normal 14 2 3 2" xfId="6160"/>
    <cellStyle name="Normal 14 2 3 2 2" xfId="12363"/>
    <cellStyle name="Normal 14 2 3 2 2 2" xfId="57391"/>
    <cellStyle name="Normal 14 2 3 2 3" xfId="18565"/>
    <cellStyle name="Normal 14 2 3 2 4" xfId="47579"/>
    <cellStyle name="Normal 14 2 3 3" xfId="9263"/>
    <cellStyle name="Normal 14 2 3 4" xfId="15465"/>
    <cellStyle name="Normal 14 2 3 5" xfId="31222"/>
    <cellStyle name="Normal 14 2 4" xfId="4088"/>
    <cellStyle name="Normal 14 2 4 2" xfId="10292"/>
    <cellStyle name="Normal 14 2 4 2 2" xfId="47580"/>
    <cellStyle name="Normal 14 2 4 3" xfId="16494"/>
    <cellStyle name="Normal 14 2 4 4" xfId="31223"/>
    <cellStyle name="Normal 14 2 5" xfId="7191"/>
    <cellStyle name="Normal 14 2 5 2" xfId="19644"/>
    <cellStyle name="Normal 14 2 5 2 2" xfId="47581"/>
    <cellStyle name="Normal 14 2 5 3" xfId="31224"/>
    <cellStyle name="Normal 14 2 6" xfId="13393"/>
    <cellStyle name="Normal 14 2 6 2" xfId="47577"/>
    <cellStyle name="Normal 14 2 7" xfId="31220"/>
    <cellStyle name="Normal 14 2_IAS" xfId="31225"/>
    <cellStyle name="Normal 14 3" xfId="1519"/>
    <cellStyle name="Normal 14 3 2" xfId="4644"/>
    <cellStyle name="Normal 14 3 2 2" xfId="10847"/>
    <cellStyle name="Normal 14 3 2 2 2" xfId="31229"/>
    <cellStyle name="Normal 14 3 2 2 3" xfId="31228"/>
    <cellStyle name="Normal 14 3 2 3" xfId="17049"/>
    <cellStyle name="Normal 14 3 2 3 2" xfId="31230"/>
    <cellStyle name="Normal 14 3 2 4" xfId="31227"/>
    <cellStyle name="Normal 14 3 3" xfId="7747"/>
    <cellStyle name="Normal 14 3 3 2" xfId="47582"/>
    <cellStyle name="Normal 14 3 4" xfId="13949"/>
    <cellStyle name="Normal 14 3 5" xfId="31226"/>
    <cellStyle name="Normal 14 4" xfId="3047"/>
    <cellStyle name="Normal 14 4 2" xfId="6159"/>
    <cellStyle name="Normal 14 4 2 2" xfId="12362"/>
    <cellStyle name="Normal 14 4 2 2 2" xfId="57390"/>
    <cellStyle name="Normal 14 4 2 3" xfId="18564"/>
    <cellStyle name="Normal 14 4 2 4" xfId="47583"/>
    <cellStyle name="Normal 14 4 3" xfId="9262"/>
    <cellStyle name="Normal 14 4 4" xfId="15464"/>
    <cellStyle name="Normal 14 4 5" xfId="31231"/>
    <cellStyle name="Normal 14 5" xfId="4087"/>
    <cellStyle name="Normal 14 5 2" xfId="10291"/>
    <cellStyle name="Normal 14 5 2 2" xfId="47584"/>
    <cellStyle name="Normal 14 5 3" xfId="16493"/>
    <cellStyle name="Normal 14 5 4" xfId="31232"/>
    <cellStyle name="Normal 14 6" xfId="7190"/>
    <cellStyle name="Normal 14 6 2" xfId="19120"/>
    <cellStyle name="Normal 14 6 2 2" xfId="47585"/>
    <cellStyle name="Normal 14 6 3" xfId="31233"/>
    <cellStyle name="Normal 14 7" xfId="13392"/>
    <cellStyle name="Normal 14 7 2" xfId="31235"/>
    <cellStyle name="Normal 14 7 2 2" xfId="31236"/>
    <cellStyle name="Normal 14 7 3" xfId="31237"/>
    <cellStyle name="Normal 14 7 4" xfId="31234"/>
    <cellStyle name="Normal 14 8" xfId="31238"/>
    <cellStyle name="Normal 14 8 2" xfId="31239"/>
    <cellStyle name="Normal 14 8 2 2" xfId="31240"/>
    <cellStyle name="Normal 14 8 3" xfId="31241"/>
    <cellStyle name="Normal 14 9" xfId="31242"/>
    <cellStyle name="Normal 14 9 2" xfId="31243"/>
    <cellStyle name="Normal 14 9 2 2" xfId="31244"/>
    <cellStyle name="Normal 14 9 3" xfId="31245"/>
    <cellStyle name="Normal 14_AGF" xfId="31246"/>
    <cellStyle name="Normal 140" xfId="31247"/>
    <cellStyle name="Normal 140 2" xfId="47586"/>
    <cellStyle name="Normal 141" xfId="31248"/>
    <cellStyle name="Normal 141 2" xfId="47587"/>
    <cellStyle name="Normal 142" xfId="31249"/>
    <cellStyle name="Normal 142 2" xfId="31250"/>
    <cellStyle name="Normal 142 2 2" xfId="31251"/>
    <cellStyle name="Normal 142 3" xfId="31252"/>
    <cellStyle name="Normal 143" xfId="31253"/>
    <cellStyle name="Normal 143 2" xfId="31254"/>
    <cellStyle name="Normal 143 2 2" xfId="31255"/>
    <cellStyle name="Normal 143 3" xfId="31256"/>
    <cellStyle name="Normal 144" xfId="31257"/>
    <cellStyle name="Normal 144 2" xfId="31258"/>
    <cellStyle name="Normal 144 2 2" xfId="31259"/>
    <cellStyle name="Normal 144 3" xfId="31260"/>
    <cellStyle name="Normal 145" xfId="31261"/>
    <cellStyle name="Normal 145 2" xfId="31262"/>
    <cellStyle name="Normal 145 2 2" xfId="31263"/>
    <cellStyle name="Normal 145 3" xfId="31264"/>
    <cellStyle name="Normal 146" xfId="31265"/>
    <cellStyle name="Normal 146 2" xfId="31266"/>
    <cellStyle name="Normal 146 2 2" xfId="31267"/>
    <cellStyle name="Normal 146 3" xfId="31268"/>
    <cellStyle name="Normal 147" xfId="31269"/>
    <cellStyle name="Normal 147 2" xfId="31270"/>
    <cellStyle name="Normal 147 2 2" xfId="47589"/>
    <cellStyle name="Normal 147 3" xfId="47588"/>
    <cellStyle name="Normal 148" xfId="31271"/>
    <cellStyle name="Normal 148 2" xfId="31272"/>
    <cellStyle name="Normal 148 2 2" xfId="31273"/>
    <cellStyle name="Normal 148 3" xfId="31274"/>
    <cellStyle name="Normal 149" xfId="31275"/>
    <cellStyle name="Normal 149 2" xfId="31276"/>
    <cellStyle name="Normal 149 2 2" xfId="31277"/>
    <cellStyle name="Normal 149 3" xfId="31278"/>
    <cellStyle name="Normal 15" xfId="866"/>
    <cellStyle name="Normal 15 10" xfId="31280"/>
    <cellStyle name="Normal 15 10 2" xfId="31281"/>
    <cellStyle name="Normal 15 10 2 2" xfId="31282"/>
    <cellStyle name="Normal 15 10 3" xfId="47590"/>
    <cellStyle name="Normal 15 11" xfId="31283"/>
    <cellStyle name="Normal 15 11 2" xfId="31284"/>
    <cellStyle name="Normal 15 11 2 2" xfId="31285"/>
    <cellStyle name="Normal 15 11 3" xfId="31286"/>
    <cellStyle name="Normal 15 12" xfId="31287"/>
    <cellStyle name="Normal 15 12 2" xfId="31288"/>
    <cellStyle name="Normal 15 12 2 2" xfId="31289"/>
    <cellStyle name="Normal 15 12 3" xfId="31290"/>
    <cellStyle name="Normal 15 13" xfId="31291"/>
    <cellStyle name="Normal 15 13 2" xfId="31292"/>
    <cellStyle name="Normal 15 13 2 2" xfId="31293"/>
    <cellStyle name="Normal 15 13 3" xfId="31294"/>
    <cellStyle name="Normal 15 14" xfId="31295"/>
    <cellStyle name="Normal 15 14 2" xfId="31296"/>
    <cellStyle name="Normal 15 14 2 2" xfId="31297"/>
    <cellStyle name="Normal 15 14 3" xfId="31298"/>
    <cellStyle name="Normal 15 15" xfId="31299"/>
    <cellStyle name="Normal 15 15 2" xfId="31300"/>
    <cellStyle name="Normal 15 16" xfId="31301"/>
    <cellStyle name="Normal 15 16 2" xfId="31302"/>
    <cellStyle name="Normal 15 17" xfId="31303"/>
    <cellStyle name="Normal 15 18" xfId="31304"/>
    <cellStyle name="Normal 15 19" xfId="52655"/>
    <cellStyle name="Normal 15 2" xfId="31305"/>
    <cellStyle name="Normal 15 2 10" xfId="31306"/>
    <cellStyle name="Normal 15 2 10 2" xfId="47591"/>
    <cellStyle name="Normal 15 2 11" xfId="31307"/>
    <cellStyle name="Normal 15 2 11 2" xfId="31308"/>
    <cellStyle name="Normal 15 2 11 2 2" xfId="31309"/>
    <cellStyle name="Normal 15 2 11 3" xfId="31310"/>
    <cellStyle name="Normal 15 2 12" xfId="31311"/>
    <cellStyle name="Normal 15 2 12 2" xfId="31312"/>
    <cellStyle name="Normal 15 2 12 2 2" xfId="31313"/>
    <cellStyle name="Normal 15 2 12 3" xfId="31314"/>
    <cellStyle name="Normal 15 2 13" xfId="31315"/>
    <cellStyle name="Normal 15 2 13 2" xfId="31316"/>
    <cellStyle name="Normal 15 2 13 2 2" xfId="31317"/>
    <cellStyle name="Normal 15 2 13 3" xfId="31318"/>
    <cellStyle name="Normal 15 2 14" xfId="31319"/>
    <cellStyle name="Normal 15 2 14 2" xfId="31320"/>
    <cellStyle name="Normal 15 2 14 2 2" xfId="31321"/>
    <cellStyle name="Normal 15 2 14 3" xfId="31322"/>
    <cellStyle name="Normal 15 2 15" xfId="31323"/>
    <cellStyle name="Normal 15 2 15 2" xfId="31324"/>
    <cellStyle name="Normal 15 2 16" xfId="31325"/>
    <cellStyle name="Normal 15 2 16 2" xfId="31326"/>
    <cellStyle name="Normal 15 2 17" xfId="31327"/>
    <cellStyle name="Normal 15 2 18" xfId="31328"/>
    <cellStyle name="Normal 15 2 2" xfId="31329"/>
    <cellStyle name="Normal 15 2 2 10" xfId="31330"/>
    <cellStyle name="Normal 15 2 2 10 2" xfId="31331"/>
    <cellStyle name="Normal 15 2 2 10 2 2" xfId="31332"/>
    <cellStyle name="Normal 15 2 2 10 3" xfId="31333"/>
    <cellStyle name="Normal 15 2 2 11" xfId="31334"/>
    <cellStyle name="Normal 15 2 2 11 2" xfId="31335"/>
    <cellStyle name="Normal 15 2 2 12" xfId="31336"/>
    <cellStyle name="Normal 15 2 2 12 2" xfId="31337"/>
    <cellStyle name="Normal 15 2 2 13" xfId="31338"/>
    <cellStyle name="Normal 15 2 2 14" xfId="31339"/>
    <cellStyle name="Normal 15 2 2 2" xfId="31340"/>
    <cellStyle name="Normal 15 2 2 2 2" xfId="31341"/>
    <cellStyle name="Normal 15 2 2 2 2 2" xfId="31342"/>
    <cellStyle name="Normal 15 2 2 2 2 2 2" xfId="31343"/>
    <cellStyle name="Normal 15 2 2 2 2 2 2 2" xfId="31344"/>
    <cellStyle name="Normal 15 2 2 2 2 2 2 2 2" xfId="31345"/>
    <cellStyle name="Normal 15 2 2 2 2 2 2 3" xfId="31346"/>
    <cellStyle name="Normal 15 2 2 2 2 2 2 3 2" xfId="31347"/>
    <cellStyle name="Normal 15 2 2 2 2 2 2 4" xfId="31348"/>
    <cellStyle name="Normal 15 2 2 2 2 2 3" xfId="31349"/>
    <cellStyle name="Normal 15 2 2 2 2 2 3 2" xfId="47592"/>
    <cellStyle name="Normal 15 2 2 2 2 2 4" xfId="31350"/>
    <cellStyle name="Normal 15 2 2 2 2 2 4 2" xfId="31351"/>
    <cellStyle name="Normal 15 2 2 2 2 2 5" xfId="31352"/>
    <cellStyle name="Normal 15 2 2 2 2 2_IAS" xfId="31353"/>
    <cellStyle name="Normal 15 2 2 2 2 3" xfId="31354"/>
    <cellStyle name="Normal 15 2 2 2 2 3 2" xfId="31355"/>
    <cellStyle name="Normal 15 2 2 2 2 3 2 2" xfId="31356"/>
    <cellStyle name="Normal 15 2 2 2 2 3 3" xfId="31357"/>
    <cellStyle name="Normal 15 2 2 2 2 3 3 2" xfId="31358"/>
    <cellStyle name="Normal 15 2 2 2 2 3 4" xfId="31359"/>
    <cellStyle name="Normal 15 2 2 2 2 4" xfId="31360"/>
    <cellStyle name="Normal 15 2 2 2 2 4 2" xfId="47593"/>
    <cellStyle name="Normal 15 2 2 2 2 5" xfId="31361"/>
    <cellStyle name="Normal 15 2 2 2 2 5 2" xfId="31362"/>
    <cellStyle name="Normal 15 2 2 2 2 6" xfId="31363"/>
    <cellStyle name="Normal 15 2 2 2 2_IAS" xfId="31364"/>
    <cellStyle name="Normal 15 2 2 2 3" xfId="31365"/>
    <cellStyle name="Normal 15 2 2 2 3 2" xfId="31366"/>
    <cellStyle name="Normal 15 2 2 2 3 2 2" xfId="31367"/>
    <cellStyle name="Normal 15 2 2 2 3 2 2 2" xfId="31368"/>
    <cellStyle name="Normal 15 2 2 2 3 2 3" xfId="31369"/>
    <cellStyle name="Normal 15 2 2 2 3 2 3 2" xfId="31370"/>
    <cellStyle name="Normal 15 2 2 2 3 2 4" xfId="31371"/>
    <cellStyle name="Normal 15 2 2 2 3 3" xfId="31372"/>
    <cellStyle name="Normal 15 2 2 2 3 3 2" xfId="47594"/>
    <cellStyle name="Normal 15 2 2 2 3 4" xfId="31373"/>
    <cellStyle name="Normal 15 2 2 2 3 4 2" xfId="31374"/>
    <cellStyle name="Normal 15 2 2 2 3 5" xfId="31375"/>
    <cellStyle name="Normal 15 2 2 2 3_IAS" xfId="31376"/>
    <cellStyle name="Normal 15 2 2 2 4" xfId="31377"/>
    <cellStyle name="Normal 15 2 2 2 4 2" xfId="31378"/>
    <cellStyle name="Normal 15 2 2 2 4 2 2" xfId="31379"/>
    <cellStyle name="Normal 15 2 2 2 4 3" xfId="31380"/>
    <cellStyle name="Normal 15 2 2 2 4 3 2" xfId="31381"/>
    <cellStyle name="Normal 15 2 2 2 4 4" xfId="31382"/>
    <cellStyle name="Normal 15 2 2 2 5" xfId="31383"/>
    <cellStyle name="Normal 15 2 2 2 5 2" xfId="47595"/>
    <cellStyle name="Normal 15 2 2 2 6" xfId="31384"/>
    <cellStyle name="Normal 15 2 2 2 6 2" xfId="31385"/>
    <cellStyle name="Normal 15 2 2 2 7" xfId="31386"/>
    <cellStyle name="Normal 15 2 2 2_IAS" xfId="31387"/>
    <cellStyle name="Normal 15 2 2 3" xfId="31388"/>
    <cellStyle name="Normal 15 2 2 3 2" xfId="31389"/>
    <cellStyle name="Normal 15 2 2 3 2 2" xfId="31390"/>
    <cellStyle name="Normal 15 2 2 3 2 2 2" xfId="31391"/>
    <cellStyle name="Normal 15 2 2 3 2 2 2 2" xfId="31392"/>
    <cellStyle name="Normal 15 2 2 3 2 2 2 2 2" xfId="31393"/>
    <cellStyle name="Normal 15 2 2 3 2 2 2 3" xfId="31394"/>
    <cellStyle name="Normal 15 2 2 3 2 2 2 3 2" xfId="31395"/>
    <cellStyle name="Normal 15 2 2 3 2 2 2 4" xfId="31396"/>
    <cellStyle name="Normal 15 2 2 3 2 2 3" xfId="31397"/>
    <cellStyle name="Normal 15 2 2 3 2 2 3 2" xfId="47596"/>
    <cellStyle name="Normal 15 2 2 3 2 2 4" xfId="31398"/>
    <cellStyle name="Normal 15 2 2 3 2 2 4 2" xfId="31399"/>
    <cellStyle name="Normal 15 2 2 3 2 2 5" xfId="31400"/>
    <cellStyle name="Normal 15 2 2 3 2 2_IAS" xfId="31401"/>
    <cellStyle name="Normal 15 2 2 3 2 3" xfId="31402"/>
    <cellStyle name="Normal 15 2 2 3 2 3 2" xfId="31403"/>
    <cellStyle name="Normal 15 2 2 3 2 3 2 2" xfId="31404"/>
    <cellStyle name="Normal 15 2 2 3 2 3 3" xfId="31405"/>
    <cellStyle name="Normal 15 2 2 3 2 3 3 2" xfId="31406"/>
    <cellStyle name="Normal 15 2 2 3 2 3 4" xfId="31407"/>
    <cellStyle name="Normal 15 2 2 3 2 4" xfId="31408"/>
    <cellStyle name="Normal 15 2 2 3 2 4 2" xfId="47597"/>
    <cellStyle name="Normal 15 2 2 3 2 5" xfId="31409"/>
    <cellStyle name="Normal 15 2 2 3 2 5 2" xfId="31410"/>
    <cellStyle name="Normal 15 2 2 3 2 6" xfId="31411"/>
    <cellStyle name="Normal 15 2 2 3 2_IAS" xfId="31412"/>
    <cellStyle name="Normal 15 2 2 3 3" xfId="31413"/>
    <cellStyle name="Normal 15 2 2 3 3 2" xfId="31414"/>
    <cellStyle name="Normal 15 2 2 3 3 2 2" xfId="31415"/>
    <cellStyle name="Normal 15 2 2 3 3 2 2 2" xfId="31416"/>
    <cellStyle name="Normal 15 2 2 3 3 2 3" xfId="31417"/>
    <cellStyle name="Normal 15 2 2 3 3 2 3 2" xfId="31418"/>
    <cellStyle name="Normal 15 2 2 3 3 2 4" xfId="31419"/>
    <cellStyle name="Normal 15 2 2 3 3 3" xfId="31420"/>
    <cellStyle name="Normal 15 2 2 3 3 3 2" xfId="47598"/>
    <cellStyle name="Normal 15 2 2 3 3 4" xfId="31421"/>
    <cellStyle name="Normal 15 2 2 3 3 4 2" xfId="31422"/>
    <cellStyle name="Normal 15 2 2 3 3 5" xfId="31423"/>
    <cellStyle name="Normal 15 2 2 3 3_IAS" xfId="31424"/>
    <cellStyle name="Normal 15 2 2 3 4" xfId="31425"/>
    <cellStyle name="Normal 15 2 2 3 4 2" xfId="31426"/>
    <cellStyle name="Normal 15 2 2 3 4 2 2" xfId="31427"/>
    <cellStyle name="Normal 15 2 2 3 4 3" xfId="31428"/>
    <cellStyle name="Normal 15 2 2 3 4 3 2" xfId="31429"/>
    <cellStyle name="Normal 15 2 2 3 4 4" xfId="31430"/>
    <cellStyle name="Normal 15 2 2 3 5" xfId="31431"/>
    <cellStyle name="Normal 15 2 2 3 5 2" xfId="47599"/>
    <cellStyle name="Normal 15 2 2 3 6" xfId="31432"/>
    <cellStyle name="Normal 15 2 2 3 6 2" xfId="31433"/>
    <cellStyle name="Normal 15 2 2 3 7" xfId="31434"/>
    <cellStyle name="Normal 15 2 2 3_IAS" xfId="31435"/>
    <cellStyle name="Normal 15 2 2 4" xfId="31436"/>
    <cellStyle name="Normal 15 2 2 4 2" xfId="47600"/>
    <cellStyle name="Normal 15 2 2 5" xfId="31437"/>
    <cellStyle name="Normal 15 2 2 5 2" xfId="31438"/>
    <cellStyle name="Normal 15 2 2 5 2 2" xfId="31439"/>
    <cellStyle name="Normal 15 2 2 5 2 2 2" xfId="31440"/>
    <cellStyle name="Normal 15 2 2 5 2 2 2 2" xfId="31441"/>
    <cellStyle name="Normal 15 2 2 5 2 2 3" xfId="31442"/>
    <cellStyle name="Normal 15 2 2 5 2 2 3 2" xfId="31443"/>
    <cellStyle name="Normal 15 2 2 5 2 2 4" xfId="31444"/>
    <cellStyle name="Normal 15 2 2 5 2 3" xfId="31445"/>
    <cellStyle name="Normal 15 2 2 5 2 3 2" xfId="47601"/>
    <cellStyle name="Normal 15 2 2 5 2 4" xfId="31446"/>
    <cellStyle name="Normal 15 2 2 5 2 4 2" xfId="31447"/>
    <cellStyle name="Normal 15 2 2 5 2 5" xfId="31448"/>
    <cellStyle name="Normal 15 2 2 5 2_IAS" xfId="31449"/>
    <cellStyle name="Normal 15 2 2 5 3" xfId="31450"/>
    <cellStyle name="Normal 15 2 2 5 3 2" xfId="31451"/>
    <cellStyle name="Normal 15 2 2 5 3 2 2" xfId="31452"/>
    <cellStyle name="Normal 15 2 2 5 3 3" xfId="31453"/>
    <cellStyle name="Normal 15 2 2 5 3 3 2" xfId="31454"/>
    <cellStyle name="Normal 15 2 2 5 3 4" xfId="31455"/>
    <cellStyle name="Normal 15 2 2 5 4" xfId="31456"/>
    <cellStyle name="Normal 15 2 2 5 4 2" xfId="47602"/>
    <cellStyle name="Normal 15 2 2 5 5" xfId="31457"/>
    <cellStyle name="Normal 15 2 2 5 5 2" xfId="31458"/>
    <cellStyle name="Normal 15 2 2 5 6" xfId="31459"/>
    <cellStyle name="Normal 15 2 2 5_IAS" xfId="31460"/>
    <cellStyle name="Normal 15 2 2 6" xfId="31461"/>
    <cellStyle name="Normal 15 2 2 6 2" xfId="31462"/>
    <cellStyle name="Normal 15 2 2 6 2 2" xfId="31463"/>
    <cellStyle name="Normal 15 2 2 6 2 2 2" xfId="31464"/>
    <cellStyle name="Normal 15 2 2 6 2 3" xfId="31465"/>
    <cellStyle name="Normal 15 2 2 6 2 3 2" xfId="31466"/>
    <cellStyle name="Normal 15 2 2 6 2 4" xfId="31467"/>
    <cellStyle name="Normal 15 2 2 6 3" xfId="31468"/>
    <cellStyle name="Normal 15 2 2 6 3 2" xfId="47603"/>
    <cellStyle name="Normal 15 2 2 6 4" xfId="31469"/>
    <cellStyle name="Normal 15 2 2 6 4 2" xfId="31470"/>
    <cellStyle name="Normal 15 2 2 6 5" xfId="31471"/>
    <cellStyle name="Normal 15 2 2 6_IAS" xfId="31472"/>
    <cellStyle name="Normal 15 2 2 7" xfId="31473"/>
    <cellStyle name="Normal 15 2 2 7 2" xfId="31474"/>
    <cellStyle name="Normal 15 2 2 7 2 2" xfId="31475"/>
    <cellStyle name="Normal 15 2 2 7 3" xfId="31476"/>
    <cellStyle name="Normal 15 2 2 7 3 2" xfId="31477"/>
    <cellStyle name="Normal 15 2 2 7 4" xfId="31478"/>
    <cellStyle name="Normal 15 2 2 8" xfId="31479"/>
    <cellStyle name="Normal 15 2 2 8 2" xfId="31480"/>
    <cellStyle name="Normal 15 2 2 8 2 2" xfId="31481"/>
    <cellStyle name="Normal 15 2 2 8 3" xfId="31482"/>
    <cellStyle name="Normal 15 2 2 9" xfId="31483"/>
    <cellStyle name="Normal 15 2 2 9 2" xfId="31484"/>
    <cellStyle name="Normal 15 2 2 9 2 2" xfId="31485"/>
    <cellStyle name="Normal 15 2 2 9 3" xfId="31486"/>
    <cellStyle name="Normal 15 2 2_IAS" xfId="31487"/>
    <cellStyle name="Normal 15 2 3" xfId="31488"/>
    <cellStyle name="Normal 15 2 3 2" xfId="31489"/>
    <cellStyle name="Normal 15 2 3 2 2" xfId="31490"/>
    <cellStyle name="Normal 15 2 3 2 2 2" xfId="31491"/>
    <cellStyle name="Normal 15 2 3 2 2 2 2" xfId="31492"/>
    <cellStyle name="Normal 15 2 3 2 2 2 2 2" xfId="31493"/>
    <cellStyle name="Normal 15 2 3 2 2 2 3" xfId="31494"/>
    <cellStyle name="Normal 15 2 3 2 2 2 3 2" xfId="31495"/>
    <cellStyle name="Normal 15 2 3 2 2 2 4" xfId="31496"/>
    <cellStyle name="Normal 15 2 3 2 2 3" xfId="31497"/>
    <cellStyle name="Normal 15 2 3 2 2 3 2" xfId="47604"/>
    <cellStyle name="Normal 15 2 3 2 2 4" xfId="31498"/>
    <cellStyle name="Normal 15 2 3 2 2 4 2" xfId="31499"/>
    <cellStyle name="Normal 15 2 3 2 2 5" xfId="31500"/>
    <cellStyle name="Normal 15 2 3 2 2_IAS" xfId="31501"/>
    <cellStyle name="Normal 15 2 3 2 3" xfId="31502"/>
    <cellStyle name="Normal 15 2 3 2 3 2" xfId="31503"/>
    <cellStyle name="Normal 15 2 3 2 3 2 2" xfId="31504"/>
    <cellStyle name="Normal 15 2 3 2 3 3" xfId="31505"/>
    <cellStyle name="Normal 15 2 3 2 3 3 2" xfId="31506"/>
    <cellStyle name="Normal 15 2 3 2 3 4" xfId="31507"/>
    <cellStyle name="Normal 15 2 3 2 4" xfId="31508"/>
    <cellStyle name="Normal 15 2 3 2 4 2" xfId="47605"/>
    <cellStyle name="Normal 15 2 3 2 5" xfId="31509"/>
    <cellStyle name="Normal 15 2 3 2 5 2" xfId="31510"/>
    <cellStyle name="Normal 15 2 3 2 6" xfId="31511"/>
    <cellStyle name="Normal 15 2 3 2_IAS" xfId="31512"/>
    <cellStyle name="Normal 15 2 3 3" xfId="31513"/>
    <cellStyle name="Normal 15 2 3 3 2" xfId="31514"/>
    <cellStyle name="Normal 15 2 3 3 2 2" xfId="31515"/>
    <cellStyle name="Normal 15 2 3 3 2 2 2" xfId="31516"/>
    <cellStyle name="Normal 15 2 3 3 2 3" xfId="31517"/>
    <cellStyle name="Normal 15 2 3 3 2 3 2" xfId="31518"/>
    <cellStyle name="Normal 15 2 3 3 2 4" xfId="31519"/>
    <cellStyle name="Normal 15 2 3 3 3" xfId="31520"/>
    <cellStyle name="Normal 15 2 3 3 3 2" xfId="47606"/>
    <cellStyle name="Normal 15 2 3 3 4" xfId="31521"/>
    <cellStyle name="Normal 15 2 3 3 4 2" xfId="31522"/>
    <cellStyle name="Normal 15 2 3 3 5" xfId="31523"/>
    <cellStyle name="Normal 15 2 3 3_IAS" xfId="31524"/>
    <cellStyle name="Normal 15 2 3 4" xfId="31525"/>
    <cellStyle name="Normal 15 2 3 4 2" xfId="31526"/>
    <cellStyle name="Normal 15 2 3 4 2 2" xfId="31527"/>
    <cellStyle name="Normal 15 2 3 4 3" xfId="31528"/>
    <cellStyle name="Normal 15 2 3 4 3 2" xfId="31529"/>
    <cellStyle name="Normal 15 2 3 4 4" xfId="31530"/>
    <cellStyle name="Normal 15 2 3 5" xfId="31531"/>
    <cellStyle name="Normal 15 2 3 5 2" xfId="47607"/>
    <cellStyle name="Normal 15 2 3 6" xfId="31532"/>
    <cellStyle name="Normal 15 2 3 6 2" xfId="31533"/>
    <cellStyle name="Normal 15 2 3 7" xfId="31534"/>
    <cellStyle name="Normal 15 2 3_IAS" xfId="31535"/>
    <cellStyle name="Normal 15 2 4" xfId="31536"/>
    <cellStyle name="Normal 15 2 4 2" xfId="31537"/>
    <cellStyle name="Normal 15 2 4 2 2" xfId="31538"/>
    <cellStyle name="Normal 15 2 4 2 2 2" xfId="31539"/>
    <cellStyle name="Normal 15 2 4 2 2 2 2" xfId="31540"/>
    <cellStyle name="Normal 15 2 4 2 2 2 2 2" xfId="31541"/>
    <cellStyle name="Normal 15 2 4 2 2 2 3" xfId="31542"/>
    <cellStyle name="Normal 15 2 4 2 2 2 3 2" xfId="31543"/>
    <cellStyle name="Normal 15 2 4 2 2 2 4" xfId="31544"/>
    <cellStyle name="Normal 15 2 4 2 2 3" xfId="31545"/>
    <cellStyle name="Normal 15 2 4 2 2 3 2" xfId="47608"/>
    <cellStyle name="Normal 15 2 4 2 2 4" xfId="31546"/>
    <cellStyle name="Normal 15 2 4 2 2 4 2" xfId="31547"/>
    <cellStyle name="Normal 15 2 4 2 2 5" xfId="31548"/>
    <cellStyle name="Normal 15 2 4 2 2_IAS" xfId="31549"/>
    <cellStyle name="Normal 15 2 4 2 3" xfId="31550"/>
    <cellStyle name="Normal 15 2 4 2 3 2" xfId="31551"/>
    <cellStyle name="Normal 15 2 4 2 3 2 2" xfId="31552"/>
    <cellStyle name="Normal 15 2 4 2 3 3" xfId="31553"/>
    <cellStyle name="Normal 15 2 4 2 3 3 2" xfId="31554"/>
    <cellStyle name="Normal 15 2 4 2 3 4" xfId="31555"/>
    <cellStyle name="Normal 15 2 4 2 4" xfId="31556"/>
    <cellStyle name="Normal 15 2 4 2 4 2" xfId="47609"/>
    <cellStyle name="Normal 15 2 4 2 5" xfId="31557"/>
    <cellStyle name="Normal 15 2 4 2 5 2" xfId="31558"/>
    <cellStyle name="Normal 15 2 4 2 6" xfId="31559"/>
    <cellStyle name="Normal 15 2 4 2_IAS" xfId="31560"/>
    <cellStyle name="Normal 15 2 4 3" xfId="31561"/>
    <cellStyle name="Normal 15 2 4 3 2" xfId="31562"/>
    <cellStyle name="Normal 15 2 4 3 2 2" xfId="31563"/>
    <cellStyle name="Normal 15 2 4 3 2 2 2" xfId="31564"/>
    <cellStyle name="Normal 15 2 4 3 2 3" xfId="31565"/>
    <cellStyle name="Normal 15 2 4 3 2 3 2" xfId="31566"/>
    <cellStyle name="Normal 15 2 4 3 2 4" xfId="31567"/>
    <cellStyle name="Normal 15 2 4 3 3" xfId="31568"/>
    <cellStyle name="Normal 15 2 4 3 3 2" xfId="47610"/>
    <cellStyle name="Normal 15 2 4 3 4" xfId="31569"/>
    <cellStyle name="Normal 15 2 4 3 4 2" xfId="31570"/>
    <cellStyle name="Normal 15 2 4 3 5" xfId="31571"/>
    <cellStyle name="Normal 15 2 4 3_IAS" xfId="31572"/>
    <cellStyle name="Normal 15 2 4 4" xfId="31573"/>
    <cellStyle name="Normal 15 2 4 4 2" xfId="31574"/>
    <cellStyle name="Normal 15 2 4 4 2 2" xfId="31575"/>
    <cellStyle name="Normal 15 2 4 4 3" xfId="31576"/>
    <cellStyle name="Normal 15 2 4 4 3 2" xfId="31577"/>
    <cellStyle name="Normal 15 2 4 4 4" xfId="31578"/>
    <cellStyle name="Normal 15 2 4 5" xfId="31579"/>
    <cellStyle name="Normal 15 2 4 5 2" xfId="47611"/>
    <cellStyle name="Normal 15 2 4 6" xfId="31580"/>
    <cellStyle name="Normal 15 2 4 6 2" xfId="31581"/>
    <cellStyle name="Normal 15 2 4 7" xfId="31582"/>
    <cellStyle name="Normal 15 2 4_IAS" xfId="31583"/>
    <cellStyle name="Normal 15 2 5" xfId="31584"/>
    <cellStyle name="Normal 15 2 5 2" xfId="47612"/>
    <cellStyle name="Normal 15 2 6" xfId="31585"/>
    <cellStyle name="Normal 15 2 6 2" xfId="31586"/>
    <cellStyle name="Normal 15 2 6 2 2" xfId="31587"/>
    <cellStyle name="Normal 15 2 6 2 2 2" xfId="31588"/>
    <cellStyle name="Normal 15 2 6 2 2 2 2" xfId="31589"/>
    <cellStyle name="Normal 15 2 6 2 2 3" xfId="31590"/>
    <cellStyle name="Normal 15 2 6 2 2 3 2" xfId="31591"/>
    <cellStyle name="Normal 15 2 6 2 2 4" xfId="31592"/>
    <cellStyle name="Normal 15 2 6 2 3" xfId="31593"/>
    <cellStyle name="Normal 15 2 6 2 3 2" xfId="47613"/>
    <cellStyle name="Normal 15 2 6 2 4" xfId="31594"/>
    <cellStyle name="Normal 15 2 6 2 4 2" xfId="31595"/>
    <cellStyle name="Normal 15 2 6 2 5" xfId="31596"/>
    <cellStyle name="Normal 15 2 6 2_IAS" xfId="31597"/>
    <cellStyle name="Normal 15 2 6 3" xfId="31598"/>
    <cellStyle name="Normal 15 2 6 3 2" xfId="31599"/>
    <cellStyle name="Normal 15 2 6 3 2 2" xfId="31600"/>
    <cellStyle name="Normal 15 2 6 3 3" xfId="31601"/>
    <cellStyle name="Normal 15 2 6 3 3 2" xfId="31602"/>
    <cellStyle name="Normal 15 2 6 3 4" xfId="31603"/>
    <cellStyle name="Normal 15 2 6 4" xfId="31604"/>
    <cellStyle name="Normal 15 2 6 4 2" xfId="47614"/>
    <cellStyle name="Normal 15 2 6 5" xfId="31605"/>
    <cellStyle name="Normal 15 2 6 5 2" xfId="31606"/>
    <cellStyle name="Normal 15 2 6 6" xfId="31607"/>
    <cellStyle name="Normal 15 2 6_IAS" xfId="31608"/>
    <cellStyle name="Normal 15 2 7" xfId="31609"/>
    <cellStyle name="Normal 15 2 7 2" xfId="31610"/>
    <cellStyle name="Normal 15 2 7 2 2" xfId="31611"/>
    <cellStyle name="Normal 15 2 7 2 2 2" xfId="31612"/>
    <cellStyle name="Normal 15 2 7 2 3" xfId="31613"/>
    <cellStyle name="Normal 15 2 7 2 3 2" xfId="31614"/>
    <cellStyle name="Normal 15 2 7 2 4" xfId="31615"/>
    <cellStyle name="Normal 15 2 7 3" xfId="31616"/>
    <cellStyle name="Normal 15 2 7 3 2" xfId="47615"/>
    <cellStyle name="Normal 15 2 7 4" xfId="31617"/>
    <cellStyle name="Normal 15 2 7 4 2" xfId="31618"/>
    <cellStyle name="Normal 15 2 7 5" xfId="31619"/>
    <cellStyle name="Normal 15 2 7_IAS" xfId="31620"/>
    <cellStyle name="Normal 15 2 8" xfId="31621"/>
    <cellStyle name="Normal 15 2 8 2" xfId="31622"/>
    <cellStyle name="Normal 15 2 8 2 2" xfId="31623"/>
    <cellStyle name="Normal 15 2 8 3" xfId="47616"/>
    <cellStyle name="Normal 15 2 9" xfId="31624"/>
    <cellStyle name="Normal 15 2 9 2" xfId="47617"/>
    <cellStyle name="Normal 15 2_AGF" xfId="31625"/>
    <cellStyle name="Normal 15 20" xfId="31279"/>
    <cellStyle name="Normal 15 3" xfId="31626"/>
    <cellStyle name="Normal 15 3 2" xfId="31627"/>
    <cellStyle name="Normal 15 3 2 10" xfId="31628"/>
    <cellStyle name="Normal 15 3 2 10 2" xfId="31629"/>
    <cellStyle name="Normal 15 3 2 10 2 2" xfId="31630"/>
    <cellStyle name="Normal 15 3 2 10 3" xfId="31631"/>
    <cellStyle name="Normal 15 3 2 11" xfId="31632"/>
    <cellStyle name="Normal 15 3 2 11 2" xfId="31633"/>
    <cellStyle name="Normal 15 3 2 12" xfId="31634"/>
    <cellStyle name="Normal 15 3 2 12 2" xfId="31635"/>
    <cellStyle name="Normal 15 3 2 13" xfId="31636"/>
    <cellStyle name="Normal 15 3 2 14" xfId="31637"/>
    <cellStyle name="Normal 15 3 2 2" xfId="31638"/>
    <cellStyle name="Normal 15 3 2 2 2" xfId="31639"/>
    <cellStyle name="Normal 15 3 2 2 2 2" xfId="31640"/>
    <cellStyle name="Normal 15 3 2 2 2 2 2" xfId="31641"/>
    <cellStyle name="Normal 15 3 2 2 2 2 2 2" xfId="31642"/>
    <cellStyle name="Normal 15 3 2 2 2 2 2 2 2" xfId="31643"/>
    <cellStyle name="Normal 15 3 2 2 2 2 2 3" xfId="31644"/>
    <cellStyle name="Normal 15 3 2 2 2 2 2 3 2" xfId="31645"/>
    <cellStyle name="Normal 15 3 2 2 2 2 2 4" xfId="31646"/>
    <cellStyle name="Normal 15 3 2 2 2 2 3" xfId="31647"/>
    <cellStyle name="Normal 15 3 2 2 2 2 3 2" xfId="47619"/>
    <cellStyle name="Normal 15 3 2 2 2 2 4" xfId="31648"/>
    <cellStyle name="Normal 15 3 2 2 2 2 4 2" xfId="31649"/>
    <cellStyle name="Normal 15 3 2 2 2 2 5" xfId="31650"/>
    <cellStyle name="Normal 15 3 2 2 2 2_IAS" xfId="31651"/>
    <cellStyle name="Normal 15 3 2 2 2 3" xfId="31652"/>
    <cellStyle name="Normal 15 3 2 2 2 3 2" xfId="31653"/>
    <cellStyle name="Normal 15 3 2 2 2 3 2 2" xfId="31654"/>
    <cellStyle name="Normal 15 3 2 2 2 3 3" xfId="31655"/>
    <cellStyle name="Normal 15 3 2 2 2 3 3 2" xfId="31656"/>
    <cellStyle name="Normal 15 3 2 2 2 3 4" xfId="31657"/>
    <cellStyle name="Normal 15 3 2 2 2 4" xfId="31658"/>
    <cellStyle name="Normal 15 3 2 2 2 4 2" xfId="47620"/>
    <cellStyle name="Normal 15 3 2 2 2 5" xfId="31659"/>
    <cellStyle name="Normal 15 3 2 2 2 5 2" xfId="31660"/>
    <cellStyle name="Normal 15 3 2 2 2 6" xfId="31661"/>
    <cellStyle name="Normal 15 3 2 2 2_IAS" xfId="31662"/>
    <cellStyle name="Normal 15 3 2 2 3" xfId="31663"/>
    <cellStyle name="Normal 15 3 2 2 3 2" xfId="31664"/>
    <cellStyle name="Normal 15 3 2 2 3 2 2" xfId="31665"/>
    <cellStyle name="Normal 15 3 2 2 3 2 2 2" xfId="31666"/>
    <cellStyle name="Normal 15 3 2 2 3 2 3" xfId="31667"/>
    <cellStyle name="Normal 15 3 2 2 3 2 3 2" xfId="31668"/>
    <cellStyle name="Normal 15 3 2 2 3 2 4" xfId="31669"/>
    <cellStyle name="Normal 15 3 2 2 3 3" xfId="31670"/>
    <cellStyle name="Normal 15 3 2 2 3 3 2" xfId="47621"/>
    <cellStyle name="Normal 15 3 2 2 3 4" xfId="31671"/>
    <cellStyle name="Normal 15 3 2 2 3 4 2" xfId="31672"/>
    <cellStyle name="Normal 15 3 2 2 3 5" xfId="31673"/>
    <cellStyle name="Normal 15 3 2 2 3_IAS" xfId="31674"/>
    <cellStyle name="Normal 15 3 2 2 4" xfId="31675"/>
    <cellStyle name="Normal 15 3 2 2 4 2" xfId="31676"/>
    <cellStyle name="Normal 15 3 2 2 4 2 2" xfId="31677"/>
    <cellStyle name="Normal 15 3 2 2 4 3" xfId="31678"/>
    <cellStyle name="Normal 15 3 2 2 4 3 2" xfId="31679"/>
    <cellStyle name="Normal 15 3 2 2 4 4" xfId="31680"/>
    <cellStyle name="Normal 15 3 2 2 5" xfId="31681"/>
    <cellStyle name="Normal 15 3 2 2 5 2" xfId="47622"/>
    <cellStyle name="Normal 15 3 2 2 6" xfId="31682"/>
    <cellStyle name="Normal 15 3 2 2 6 2" xfId="31683"/>
    <cellStyle name="Normal 15 3 2 2 7" xfId="31684"/>
    <cellStyle name="Normal 15 3 2 2_IAS" xfId="31685"/>
    <cellStyle name="Normal 15 3 2 3" xfId="31686"/>
    <cellStyle name="Normal 15 3 2 3 2" xfId="31687"/>
    <cellStyle name="Normal 15 3 2 3 2 2" xfId="31688"/>
    <cellStyle name="Normal 15 3 2 3 2 2 2" xfId="31689"/>
    <cellStyle name="Normal 15 3 2 3 2 2 2 2" xfId="31690"/>
    <cellStyle name="Normal 15 3 2 3 2 2 2 2 2" xfId="31691"/>
    <cellStyle name="Normal 15 3 2 3 2 2 2 3" xfId="31692"/>
    <cellStyle name="Normal 15 3 2 3 2 2 2 3 2" xfId="31693"/>
    <cellStyle name="Normal 15 3 2 3 2 2 2 4" xfId="31694"/>
    <cellStyle name="Normal 15 3 2 3 2 2 3" xfId="31695"/>
    <cellStyle name="Normal 15 3 2 3 2 2 3 2" xfId="47623"/>
    <cellStyle name="Normal 15 3 2 3 2 2 4" xfId="31696"/>
    <cellStyle name="Normal 15 3 2 3 2 2 4 2" xfId="31697"/>
    <cellStyle name="Normal 15 3 2 3 2 2 5" xfId="31698"/>
    <cellStyle name="Normal 15 3 2 3 2 2_IAS" xfId="31699"/>
    <cellStyle name="Normal 15 3 2 3 2 3" xfId="31700"/>
    <cellStyle name="Normal 15 3 2 3 2 3 2" xfId="31701"/>
    <cellStyle name="Normal 15 3 2 3 2 3 2 2" xfId="31702"/>
    <cellStyle name="Normal 15 3 2 3 2 3 3" xfId="31703"/>
    <cellStyle name="Normal 15 3 2 3 2 3 3 2" xfId="31704"/>
    <cellStyle name="Normal 15 3 2 3 2 3 4" xfId="31705"/>
    <cellStyle name="Normal 15 3 2 3 2 4" xfId="31706"/>
    <cellStyle name="Normal 15 3 2 3 2 4 2" xfId="47624"/>
    <cellStyle name="Normal 15 3 2 3 2 5" xfId="31707"/>
    <cellStyle name="Normal 15 3 2 3 2 5 2" xfId="31708"/>
    <cellStyle name="Normal 15 3 2 3 2 6" xfId="31709"/>
    <cellStyle name="Normal 15 3 2 3 2_IAS" xfId="31710"/>
    <cellStyle name="Normal 15 3 2 3 3" xfId="31711"/>
    <cellStyle name="Normal 15 3 2 3 3 2" xfId="31712"/>
    <cellStyle name="Normal 15 3 2 3 3 2 2" xfId="31713"/>
    <cellStyle name="Normal 15 3 2 3 3 2 2 2" xfId="31714"/>
    <cellStyle name="Normal 15 3 2 3 3 2 3" xfId="31715"/>
    <cellStyle name="Normal 15 3 2 3 3 2 3 2" xfId="31716"/>
    <cellStyle name="Normal 15 3 2 3 3 2 4" xfId="31717"/>
    <cellStyle name="Normal 15 3 2 3 3 3" xfId="31718"/>
    <cellStyle name="Normal 15 3 2 3 3 3 2" xfId="47625"/>
    <cellStyle name="Normal 15 3 2 3 3 4" xfId="31719"/>
    <cellStyle name="Normal 15 3 2 3 3 4 2" xfId="31720"/>
    <cellStyle name="Normal 15 3 2 3 3 5" xfId="31721"/>
    <cellStyle name="Normal 15 3 2 3 3_IAS" xfId="31722"/>
    <cellStyle name="Normal 15 3 2 3 4" xfId="31723"/>
    <cellStyle name="Normal 15 3 2 3 4 2" xfId="31724"/>
    <cellStyle name="Normal 15 3 2 3 4 2 2" xfId="31725"/>
    <cellStyle name="Normal 15 3 2 3 4 3" xfId="31726"/>
    <cellStyle name="Normal 15 3 2 3 4 3 2" xfId="31727"/>
    <cellStyle name="Normal 15 3 2 3 4 4" xfId="31728"/>
    <cellStyle name="Normal 15 3 2 3 5" xfId="31729"/>
    <cellStyle name="Normal 15 3 2 3 5 2" xfId="47626"/>
    <cellStyle name="Normal 15 3 2 3 6" xfId="31730"/>
    <cellStyle name="Normal 15 3 2 3 6 2" xfId="31731"/>
    <cellStyle name="Normal 15 3 2 3 7" xfId="31732"/>
    <cellStyle name="Normal 15 3 2 3_IAS" xfId="31733"/>
    <cellStyle name="Normal 15 3 2 4" xfId="31734"/>
    <cellStyle name="Normal 15 3 2 4 2" xfId="47627"/>
    <cellStyle name="Normal 15 3 2 5" xfId="31735"/>
    <cellStyle name="Normal 15 3 2 5 2" xfId="31736"/>
    <cellStyle name="Normal 15 3 2 5 2 2" xfId="31737"/>
    <cellStyle name="Normal 15 3 2 5 2 2 2" xfId="31738"/>
    <cellStyle name="Normal 15 3 2 5 2 2 2 2" xfId="31739"/>
    <cellStyle name="Normal 15 3 2 5 2 2 3" xfId="31740"/>
    <cellStyle name="Normal 15 3 2 5 2 2 3 2" xfId="31741"/>
    <cellStyle name="Normal 15 3 2 5 2 2 4" xfId="31742"/>
    <cellStyle name="Normal 15 3 2 5 2 3" xfId="31743"/>
    <cellStyle name="Normal 15 3 2 5 2 3 2" xfId="47628"/>
    <cellStyle name="Normal 15 3 2 5 2 4" xfId="31744"/>
    <cellStyle name="Normal 15 3 2 5 2 4 2" xfId="31745"/>
    <cellStyle name="Normal 15 3 2 5 2 5" xfId="31746"/>
    <cellStyle name="Normal 15 3 2 5 2_IAS" xfId="31747"/>
    <cellStyle name="Normal 15 3 2 5 3" xfId="31748"/>
    <cellStyle name="Normal 15 3 2 5 3 2" xfId="31749"/>
    <cellStyle name="Normal 15 3 2 5 3 2 2" xfId="31750"/>
    <cellStyle name="Normal 15 3 2 5 3 3" xfId="31751"/>
    <cellStyle name="Normal 15 3 2 5 3 3 2" xfId="31752"/>
    <cellStyle name="Normal 15 3 2 5 3 4" xfId="31753"/>
    <cellStyle name="Normal 15 3 2 5 4" xfId="31754"/>
    <cellStyle name="Normal 15 3 2 5 4 2" xfId="47629"/>
    <cellStyle name="Normal 15 3 2 5 5" xfId="31755"/>
    <cellStyle name="Normal 15 3 2 5 5 2" xfId="31756"/>
    <cellStyle name="Normal 15 3 2 5 6" xfId="31757"/>
    <cellStyle name="Normal 15 3 2 5_IAS" xfId="31758"/>
    <cellStyle name="Normal 15 3 2 6" xfId="31759"/>
    <cellStyle name="Normal 15 3 2 6 2" xfId="31760"/>
    <cellStyle name="Normal 15 3 2 6 2 2" xfId="31761"/>
    <cellStyle name="Normal 15 3 2 6 2 2 2" xfId="31762"/>
    <cellStyle name="Normal 15 3 2 6 2 3" xfId="31763"/>
    <cellStyle name="Normal 15 3 2 6 2 3 2" xfId="31764"/>
    <cellStyle name="Normal 15 3 2 6 2 4" xfId="31765"/>
    <cellStyle name="Normal 15 3 2 6 3" xfId="31766"/>
    <cellStyle name="Normal 15 3 2 6 3 2" xfId="47630"/>
    <cellStyle name="Normal 15 3 2 6 4" xfId="31767"/>
    <cellStyle name="Normal 15 3 2 6 4 2" xfId="31768"/>
    <cellStyle name="Normal 15 3 2 6 5" xfId="31769"/>
    <cellStyle name="Normal 15 3 2 6_IAS" xfId="31770"/>
    <cellStyle name="Normal 15 3 2 7" xfId="31771"/>
    <cellStyle name="Normal 15 3 2 7 2" xfId="31772"/>
    <cellStyle name="Normal 15 3 2 7 2 2" xfId="31773"/>
    <cellStyle name="Normal 15 3 2 7 3" xfId="31774"/>
    <cellStyle name="Normal 15 3 2 7 3 2" xfId="31775"/>
    <cellStyle name="Normal 15 3 2 7 4" xfId="31776"/>
    <cellStyle name="Normal 15 3 2 8" xfId="31777"/>
    <cellStyle name="Normal 15 3 2 8 2" xfId="31778"/>
    <cellStyle name="Normal 15 3 2 8 2 2" xfId="31779"/>
    <cellStyle name="Normal 15 3 2 8 3" xfId="31780"/>
    <cellStyle name="Normal 15 3 2 9" xfId="31781"/>
    <cellStyle name="Normal 15 3 2 9 2" xfId="31782"/>
    <cellStyle name="Normal 15 3 2 9 2 2" xfId="31783"/>
    <cellStyle name="Normal 15 3 2 9 3" xfId="31784"/>
    <cellStyle name="Normal 15 3 2_IAS" xfId="31785"/>
    <cellStyle name="Normal 15 3 3" xfId="47618"/>
    <cellStyle name="Normal 15 3 4" xfId="51792"/>
    <cellStyle name="Normal 15 3 5" xfId="40985"/>
    <cellStyle name="Normal 15 3 6" xfId="51791"/>
    <cellStyle name="Normal 15 3 7" xfId="40984"/>
    <cellStyle name="Normal 15 4" xfId="31786"/>
    <cellStyle name="Normal 15 4 10" xfId="31787"/>
    <cellStyle name="Normal 15 4 10 2" xfId="31788"/>
    <cellStyle name="Normal 15 4 10 2 2" xfId="31789"/>
    <cellStyle name="Normal 15 4 10 3" xfId="31790"/>
    <cellStyle name="Normal 15 4 11" xfId="31791"/>
    <cellStyle name="Normal 15 4 11 2" xfId="31792"/>
    <cellStyle name="Normal 15 4 12" xfId="31793"/>
    <cellStyle name="Normal 15 4 12 2" xfId="31794"/>
    <cellStyle name="Normal 15 4 13" xfId="31795"/>
    <cellStyle name="Normal 15 4 14" xfId="31796"/>
    <cellStyle name="Normal 15 4 2" xfId="31797"/>
    <cellStyle name="Normal 15 4 2 2" xfId="31798"/>
    <cellStyle name="Normal 15 4 2 2 2" xfId="31799"/>
    <cellStyle name="Normal 15 4 2 2 2 2" xfId="31800"/>
    <cellStyle name="Normal 15 4 2 2 2 2 2" xfId="31801"/>
    <cellStyle name="Normal 15 4 2 2 2 2 2 2" xfId="31802"/>
    <cellStyle name="Normal 15 4 2 2 2 2 3" xfId="31803"/>
    <cellStyle name="Normal 15 4 2 2 2 2 3 2" xfId="31804"/>
    <cellStyle name="Normal 15 4 2 2 2 2 4" xfId="31805"/>
    <cellStyle name="Normal 15 4 2 2 2 3" xfId="31806"/>
    <cellStyle name="Normal 15 4 2 2 2 3 2" xfId="47631"/>
    <cellStyle name="Normal 15 4 2 2 2 4" xfId="31807"/>
    <cellStyle name="Normal 15 4 2 2 2 4 2" xfId="31808"/>
    <cellStyle name="Normal 15 4 2 2 2 5" xfId="31809"/>
    <cellStyle name="Normal 15 4 2 2 2_IAS" xfId="31810"/>
    <cellStyle name="Normal 15 4 2 2 3" xfId="31811"/>
    <cellStyle name="Normal 15 4 2 2 3 2" xfId="31812"/>
    <cellStyle name="Normal 15 4 2 2 3 2 2" xfId="31813"/>
    <cellStyle name="Normal 15 4 2 2 3 3" xfId="31814"/>
    <cellStyle name="Normal 15 4 2 2 3 3 2" xfId="31815"/>
    <cellStyle name="Normal 15 4 2 2 3 4" xfId="31816"/>
    <cellStyle name="Normal 15 4 2 2 4" xfId="31817"/>
    <cellStyle name="Normal 15 4 2 2 4 2" xfId="47632"/>
    <cellStyle name="Normal 15 4 2 2 5" xfId="31818"/>
    <cellStyle name="Normal 15 4 2 2 5 2" xfId="31819"/>
    <cellStyle name="Normal 15 4 2 2 6" xfId="31820"/>
    <cellStyle name="Normal 15 4 2 2_IAS" xfId="31821"/>
    <cellStyle name="Normal 15 4 2 3" xfId="31822"/>
    <cellStyle name="Normal 15 4 2 3 2" xfId="31823"/>
    <cellStyle name="Normal 15 4 2 3 2 2" xfId="31824"/>
    <cellStyle name="Normal 15 4 2 3 2 2 2" xfId="31825"/>
    <cellStyle name="Normal 15 4 2 3 2 3" xfId="31826"/>
    <cellStyle name="Normal 15 4 2 3 2 3 2" xfId="31827"/>
    <cellStyle name="Normal 15 4 2 3 2 4" xfId="31828"/>
    <cellStyle name="Normal 15 4 2 3 3" xfId="31829"/>
    <cellStyle name="Normal 15 4 2 3 3 2" xfId="47633"/>
    <cellStyle name="Normal 15 4 2 3 4" xfId="31830"/>
    <cellStyle name="Normal 15 4 2 3 4 2" xfId="31831"/>
    <cellStyle name="Normal 15 4 2 3 5" xfId="31832"/>
    <cellStyle name="Normal 15 4 2 3_IAS" xfId="31833"/>
    <cellStyle name="Normal 15 4 2 4" xfId="31834"/>
    <cellStyle name="Normal 15 4 2 4 2" xfId="31835"/>
    <cellStyle name="Normal 15 4 2 4 2 2" xfId="31836"/>
    <cellStyle name="Normal 15 4 2 4 3" xfId="31837"/>
    <cellStyle name="Normal 15 4 2 4 3 2" xfId="31838"/>
    <cellStyle name="Normal 15 4 2 4 4" xfId="31839"/>
    <cellStyle name="Normal 15 4 2 5" xfId="31840"/>
    <cellStyle name="Normal 15 4 2 5 2" xfId="47634"/>
    <cellStyle name="Normal 15 4 2 6" xfId="31841"/>
    <cellStyle name="Normal 15 4 2 6 2" xfId="31842"/>
    <cellStyle name="Normal 15 4 2 7" xfId="31843"/>
    <cellStyle name="Normal 15 4 2_IAS" xfId="31844"/>
    <cellStyle name="Normal 15 4 3" xfId="31845"/>
    <cellStyle name="Normal 15 4 3 2" xfId="31846"/>
    <cellStyle name="Normal 15 4 3 2 2" xfId="31847"/>
    <cellStyle name="Normal 15 4 3 2 2 2" xfId="31848"/>
    <cellStyle name="Normal 15 4 3 2 2 2 2" xfId="31849"/>
    <cellStyle name="Normal 15 4 3 2 2 2 2 2" xfId="31850"/>
    <cellStyle name="Normal 15 4 3 2 2 2 3" xfId="31851"/>
    <cellStyle name="Normal 15 4 3 2 2 2 3 2" xfId="31852"/>
    <cellStyle name="Normal 15 4 3 2 2 2 4" xfId="31853"/>
    <cellStyle name="Normal 15 4 3 2 2 3" xfId="31854"/>
    <cellStyle name="Normal 15 4 3 2 2 3 2" xfId="47635"/>
    <cellStyle name="Normal 15 4 3 2 2 4" xfId="31855"/>
    <cellStyle name="Normal 15 4 3 2 2 4 2" xfId="31856"/>
    <cellStyle name="Normal 15 4 3 2 2 5" xfId="31857"/>
    <cellStyle name="Normal 15 4 3 2 2_IAS" xfId="31858"/>
    <cellStyle name="Normal 15 4 3 2 3" xfId="31859"/>
    <cellStyle name="Normal 15 4 3 2 3 2" xfId="31860"/>
    <cellStyle name="Normal 15 4 3 2 3 2 2" xfId="31861"/>
    <cellStyle name="Normal 15 4 3 2 3 3" xfId="31862"/>
    <cellStyle name="Normal 15 4 3 2 3 3 2" xfId="31863"/>
    <cellStyle name="Normal 15 4 3 2 3 4" xfId="31864"/>
    <cellStyle name="Normal 15 4 3 2 4" xfId="31865"/>
    <cellStyle name="Normal 15 4 3 2 4 2" xfId="47636"/>
    <cellStyle name="Normal 15 4 3 2 5" xfId="31866"/>
    <cellStyle name="Normal 15 4 3 2 5 2" xfId="31867"/>
    <cellStyle name="Normal 15 4 3 2 6" xfId="31868"/>
    <cellStyle name="Normal 15 4 3 2_IAS" xfId="31869"/>
    <cellStyle name="Normal 15 4 3 3" xfId="31870"/>
    <cellStyle name="Normal 15 4 3 3 2" xfId="31871"/>
    <cellStyle name="Normal 15 4 3 3 2 2" xfId="31872"/>
    <cellStyle name="Normal 15 4 3 3 2 2 2" xfId="31873"/>
    <cellStyle name="Normal 15 4 3 3 2 3" xfId="31874"/>
    <cellStyle name="Normal 15 4 3 3 2 3 2" xfId="31875"/>
    <cellStyle name="Normal 15 4 3 3 2 4" xfId="31876"/>
    <cellStyle name="Normal 15 4 3 3 3" xfId="31877"/>
    <cellStyle name="Normal 15 4 3 3 3 2" xfId="47637"/>
    <cellStyle name="Normal 15 4 3 3 4" xfId="31878"/>
    <cellStyle name="Normal 15 4 3 3 4 2" xfId="31879"/>
    <cellStyle name="Normal 15 4 3 3 5" xfId="31880"/>
    <cellStyle name="Normal 15 4 3 3_IAS" xfId="31881"/>
    <cellStyle name="Normal 15 4 3 4" xfId="31882"/>
    <cellStyle name="Normal 15 4 3 4 2" xfId="31883"/>
    <cellStyle name="Normal 15 4 3 4 2 2" xfId="31884"/>
    <cellStyle name="Normal 15 4 3 4 3" xfId="31885"/>
    <cellStyle name="Normal 15 4 3 4 3 2" xfId="31886"/>
    <cellStyle name="Normal 15 4 3 4 4" xfId="31887"/>
    <cellStyle name="Normal 15 4 3 5" xfId="31888"/>
    <cellStyle name="Normal 15 4 3 5 2" xfId="47638"/>
    <cellStyle name="Normal 15 4 3 6" xfId="31889"/>
    <cellStyle name="Normal 15 4 3 6 2" xfId="31890"/>
    <cellStyle name="Normal 15 4 3 7" xfId="31891"/>
    <cellStyle name="Normal 15 4 3_IAS" xfId="31892"/>
    <cellStyle name="Normal 15 4 4" xfId="31893"/>
    <cellStyle name="Normal 15 4 4 2" xfId="47639"/>
    <cellStyle name="Normal 15 4 5" xfId="31894"/>
    <cellStyle name="Normal 15 4 5 2" xfId="31895"/>
    <cellStyle name="Normal 15 4 5 2 2" xfId="31896"/>
    <cellStyle name="Normal 15 4 5 2 2 2" xfId="31897"/>
    <cellStyle name="Normal 15 4 5 2 2 2 2" xfId="31898"/>
    <cellStyle name="Normal 15 4 5 2 2 3" xfId="31899"/>
    <cellStyle name="Normal 15 4 5 2 2 3 2" xfId="31900"/>
    <cellStyle name="Normal 15 4 5 2 2 4" xfId="31901"/>
    <cellStyle name="Normal 15 4 5 2 3" xfId="31902"/>
    <cellStyle name="Normal 15 4 5 2 3 2" xfId="47640"/>
    <cellStyle name="Normal 15 4 5 2 4" xfId="31903"/>
    <cellStyle name="Normal 15 4 5 2 4 2" xfId="31904"/>
    <cellStyle name="Normal 15 4 5 2 5" xfId="31905"/>
    <cellStyle name="Normal 15 4 5 2_IAS" xfId="31906"/>
    <cellStyle name="Normal 15 4 5 3" xfId="31907"/>
    <cellStyle name="Normal 15 4 5 3 2" xfId="31908"/>
    <cellStyle name="Normal 15 4 5 3 2 2" xfId="31909"/>
    <cellStyle name="Normal 15 4 5 3 3" xfId="31910"/>
    <cellStyle name="Normal 15 4 5 3 3 2" xfId="31911"/>
    <cellStyle name="Normal 15 4 5 3 4" xfId="31912"/>
    <cellStyle name="Normal 15 4 5 4" xfId="31913"/>
    <cellStyle name="Normal 15 4 5 4 2" xfId="47641"/>
    <cellStyle name="Normal 15 4 5 5" xfId="31914"/>
    <cellStyle name="Normal 15 4 5 5 2" xfId="31915"/>
    <cellStyle name="Normal 15 4 5 6" xfId="31916"/>
    <cellStyle name="Normal 15 4 5_IAS" xfId="31917"/>
    <cellStyle name="Normal 15 4 6" xfId="31918"/>
    <cellStyle name="Normal 15 4 6 2" xfId="31919"/>
    <cellStyle name="Normal 15 4 6 2 2" xfId="31920"/>
    <cellStyle name="Normal 15 4 6 2 2 2" xfId="31921"/>
    <cellStyle name="Normal 15 4 6 2 3" xfId="31922"/>
    <cellStyle name="Normal 15 4 6 2 3 2" xfId="31923"/>
    <cellStyle name="Normal 15 4 6 2 4" xfId="31924"/>
    <cellStyle name="Normal 15 4 6 3" xfId="31925"/>
    <cellStyle name="Normal 15 4 6 3 2" xfId="47642"/>
    <cellStyle name="Normal 15 4 6 4" xfId="31926"/>
    <cellStyle name="Normal 15 4 6 4 2" xfId="31927"/>
    <cellStyle name="Normal 15 4 6 5" xfId="31928"/>
    <cellStyle name="Normal 15 4 6_IAS" xfId="31929"/>
    <cellStyle name="Normal 15 4 7" xfId="31930"/>
    <cellStyle name="Normal 15 4 7 2" xfId="31931"/>
    <cellStyle name="Normal 15 4 7 2 2" xfId="31932"/>
    <cellStyle name="Normal 15 4 7 3" xfId="31933"/>
    <cellStyle name="Normal 15 4 7 3 2" xfId="31934"/>
    <cellStyle name="Normal 15 4 7 4" xfId="31935"/>
    <cellStyle name="Normal 15 4 8" xfId="31936"/>
    <cellStyle name="Normal 15 4 8 2" xfId="31937"/>
    <cellStyle name="Normal 15 4 8 2 2" xfId="31938"/>
    <cellStyle name="Normal 15 4 8 3" xfId="31939"/>
    <cellStyle name="Normal 15 4 9" xfId="31940"/>
    <cellStyle name="Normal 15 4 9 2" xfId="31941"/>
    <cellStyle name="Normal 15 4 9 2 2" xfId="31942"/>
    <cellStyle name="Normal 15 4 9 3" xfId="31943"/>
    <cellStyle name="Normal 15 4_IAS" xfId="31944"/>
    <cellStyle name="Normal 15 5" xfId="31945"/>
    <cellStyle name="Normal 15 5 2" xfId="31946"/>
    <cellStyle name="Normal 15 5 2 2" xfId="31947"/>
    <cellStyle name="Normal 15 5 2 2 2" xfId="31948"/>
    <cellStyle name="Normal 15 5 2 2 2 2" xfId="31949"/>
    <cellStyle name="Normal 15 5 2 2 2 2 2" xfId="31950"/>
    <cellStyle name="Normal 15 5 2 2 2 3" xfId="31951"/>
    <cellStyle name="Normal 15 5 2 2 2 3 2" xfId="31952"/>
    <cellStyle name="Normal 15 5 2 2 2 4" xfId="31953"/>
    <cellStyle name="Normal 15 5 2 2 3" xfId="31954"/>
    <cellStyle name="Normal 15 5 2 2 3 2" xfId="47643"/>
    <cellStyle name="Normal 15 5 2 2 4" xfId="31955"/>
    <cellStyle name="Normal 15 5 2 2 4 2" xfId="31956"/>
    <cellStyle name="Normal 15 5 2 2 5" xfId="31957"/>
    <cellStyle name="Normal 15 5 2 2_IAS" xfId="31958"/>
    <cellStyle name="Normal 15 5 2 3" xfId="31959"/>
    <cellStyle name="Normal 15 5 2 3 2" xfId="31960"/>
    <cellStyle name="Normal 15 5 2 3 2 2" xfId="31961"/>
    <cellStyle name="Normal 15 5 2 3 3" xfId="31962"/>
    <cellStyle name="Normal 15 5 2 3 3 2" xfId="31963"/>
    <cellStyle name="Normal 15 5 2 3 4" xfId="31964"/>
    <cellStyle name="Normal 15 5 2 4" xfId="31965"/>
    <cellStyle name="Normal 15 5 2 4 2" xfId="47644"/>
    <cellStyle name="Normal 15 5 2 5" xfId="31966"/>
    <cellStyle name="Normal 15 5 2 5 2" xfId="31967"/>
    <cellStyle name="Normal 15 5 2 6" xfId="31968"/>
    <cellStyle name="Normal 15 5 2_IAS" xfId="31969"/>
    <cellStyle name="Normal 15 5 3" xfId="31970"/>
    <cellStyle name="Normal 15 5 3 2" xfId="31971"/>
    <cellStyle name="Normal 15 5 3 2 2" xfId="31972"/>
    <cellStyle name="Normal 15 5 3 2 2 2" xfId="31973"/>
    <cellStyle name="Normal 15 5 3 2 3" xfId="31974"/>
    <cellStyle name="Normal 15 5 3 2 3 2" xfId="31975"/>
    <cellStyle name="Normal 15 5 3 2 4" xfId="31976"/>
    <cellStyle name="Normal 15 5 3 3" xfId="31977"/>
    <cellStyle name="Normal 15 5 3 3 2" xfId="47645"/>
    <cellStyle name="Normal 15 5 3 4" xfId="31978"/>
    <cellStyle name="Normal 15 5 3 4 2" xfId="31979"/>
    <cellStyle name="Normal 15 5 3 5" xfId="31980"/>
    <cellStyle name="Normal 15 5 3_IAS" xfId="31981"/>
    <cellStyle name="Normal 15 5 4" xfId="31982"/>
    <cellStyle name="Normal 15 5 4 2" xfId="31983"/>
    <cellStyle name="Normal 15 5 4 2 2" xfId="31984"/>
    <cellStyle name="Normal 15 5 4 3" xfId="31985"/>
    <cellStyle name="Normal 15 5 4 3 2" xfId="31986"/>
    <cellStyle name="Normal 15 5 4 4" xfId="31987"/>
    <cellStyle name="Normal 15 5 5" xfId="31988"/>
    <cellStyle name="Normal 15 5 5 2" xfId="47646"/>
    <cellStyle name="Normal 15 5 6" xfId="31989"/>
    <cellStyle name="Normal 15 5 6 2" xfId="31990"/>
    <cellStyle name="Normal 15 5 7" xfId="31991"/>
    <cellStyle name="Normal 15 5_IAS" xfId="31992"/>
    <cellStyle name="Normal 15 6" xfId="31993"/>
    <cellStyle name="Normal 15 6 2" xfId="31994"/>
    <cellStyle name="Normal 15 6 2 2" xfId="31995"/>
    <cellStyle name="Normal 15 6 2 2 2" xfId="31996"/>
    <cellStyle name="Normal 15 6 2 2 2 2" xfId="31997"/>
    <cellStyle name="Normal 15 6 2 2 2 2 2" xfId="31998"/>
    <cellStyle name="Normal 15 6 2 2 2 3" xfId="31999"/>
    <cellStyle name="Normal 15 6 2 2 2 3 2" xfId="32000"/>
    <cellStyle name="Normal 15 6 2 2 2 4" xfId="32001"/>
    <cellStyle name="Normal 15 6 2 2 3" xfId="32002"/>
    <cellStyle name="Normal 15 6 2 2 3 2" xfId="47647"/>
    <cellStyle name="Normal 15 6 2 2 4" xfId="32003"/>
    <cellStyle name="Normal 15 6 2 2 4 2" xfId="32004"/>
    <cellStyle name="Normal 15 6 2 2 5" xfId="32005"/>
    <cellStyle name="Normal 15 6 2 2_IAS" xfId="32006"/>
    <cellStyle name="Normal 15 6 2 3" xfId="32007"/>
    <cellStyle name="Normal 15 6 2 3 2" xfId="32008"/>
    <cellStyle name="Normal 15 6 2 3 2 2" xfId="32009"/>
    <cellStyle name="Normal 15 6 2 3 3" xfId="32010"/>
    <cellStyle name="Normal 15 6 2 3 3 2" xfId="32011"/>
    <cellStyle name="Normal 15 6 2 3 4" xfId="32012"/>
    <cellStyle name="Normal 15 6 2 4" xfId="32013"/>
    <cellStyle name="Normal 15 6 2 4 2" xfId="47648"/>
    <cellStyle name="Normal 15 6 2 5" xfId="32014"/>
    <cellStyle name="Normal 15 6 2 5 2" xfId="32015"/>
    <cellStyle name="Normal 15 6 2 6" xfId="32016"/>
    <cellStyle name="Normal 15 6 2_IAS" xfId="32017"/>
    <cellStyle name="Normal 15 6 3" xfId="32018"/>
    <cellStyle name="Normal 15 6 3 2" xfId="32019"/>
    <cellStyle name="Normal 15 6 3 2 2" xfId="32020"/>
    <cellStyle name="Normal 15 6 3 2 2 2" xfId="32021"/>
    <cellStyle name="Normal 15 6 3 2 3" xfId="32022"/>
    <cellStyle name="Normal 15 6 3 2 3 2" xfId="32023"/>
    <cellStyle name="Normal 15 6 3 2 4" xfId="32024"/>
    <cellStyle name="Normal 15 6 3 3" xfId="32025"/>
    <cellStyle name="Normal 15 6 3 3 2" xfId="47649"/>
    <cellStyle name="Normal 15 6 3 4" xfId="32026"/>
    <cellStyle name="Normal 15 6 3 4 2" xfId="32027"/>
    <cellStyle name="Normal 15 6 3 5" xfId="32028"/>
    <cellStyle name="Normal 15 6 3_IAS" xfId="32029"/>
    <cellStyle name="Normal 15 6 4" xfId="32030"/>
    <cellStyle name="Normal 15 6 4 2" xfId="32031"/>
    <cellStyle name="Normal 15 6 4 2 2" xfId="32032"/>
    <cellStyle name="Normal 15 6 4 3" xfId="32033"/>
    <cellStyle name="Normal 15 6 4 3 2" xfId="32034"/>
    <cellStyle name="Normal 15 6 4 4" xfId="32035"/>
    <cellStyle name="Normal 15 6 5" xfId="32036"/>
    <cellStyle name="Normal 15 6 5 2" xfId="47650"/>
    <cellStyle name="Normal 15 6 6" xfId="32037"/>
    <cellStyle name="Normal 15 6 6 2" xfId="32038"/>
    <cellStyle name="Normal 15 6 7" xfId="32039"/>
    <cellStyle name="Normal 15 6_IAS" xfId="32040"/>
    <cellStyle name="Normal 15 7" xfId="32041"/>
    <cellStyle name="Normal 15 7 2" xfId="47651"/>
    <cellStyle name="Normal 15 8" xfId="32042"/>
    <cellStyle name="Normal 15 8 2" xfId="32043"/>
    <cellStyle name="Normal 15 8 2 2" xfId="32044"/>
    <cellStyle name="Normal 15 8 2 2 2" xfId="32045"/>
    <cellStyle name="Normal 15 8 2 2 2 2" xfId="32046"/>
    <cellStyle name="Normal 15 8 2 2 3" xfId="32047"/>
    <cellStyle name="Normal 15 8 2 2 3 2" xfId="32048"/>
    <cellStyle name="Normal 15 8 2 2 4" xfId="32049"/>
    <cellStyle name="Normal 15 8 2 3" xfId="32050"/>
    <cellStyle name="Normal 15 8 2 3 2" xfId="47652"/>
    <cellStyle name="Normal 15 8 2 4" xfId="32051"/>
    <cellStyle name="Normal 15 8 2 4 2" xfId="32052"/>
    <cellStyle name="Normal 15 8 2 5" xfId="32053"/>
    <cellStyle name="Normal 15 8 2_IAS" xfId="32054"/>
    <cellStyle name="Normal 15 8 3" xfId="32055"/>
    <cellStyle name="Normal 15 8 3 2" xfId="32056"/>
    <cellStyle name="Normal 15 8 3 2 2" xfId="32057"/>
    <cellStyle name="Normal 15 8 3 3" xfId="32058"/>
    <cellStyle name="Normal 15 8 3 3 2" xfId="32059"/>
    <cellStyle name="Normal 15 8 3 4" xfId="32060"/>
    <cellStyle name="Normal 15 8 4" xfId="32061"/>
    <cellStyle name="Normal 15 8 4 2" xfId="47653"/>
    <cellStyle name="Normal 15 8 5" xfId="32062"/>
    <cellStyle name="Normal 15 8 5 2" xfId="32063"/>
    <cellStyle name="Normal 15 8 6" xfId="32064"/>
    <cellStyle name="Normal 15 8_IAS" xfId="32065"/>
    <cellStyle name="Normal 15 9" xfId="32066"/>
    <cellStyle name="Normal 15 9 2" xfId="32067"/>
    <cellStyle name="Normal 15 9 2 2" xfId="32068"/>
    <cellStyle name="Normal 15 9 2 2 2" xfId="32069"/>
    <cellStyle name="Normal 15 9 2 3" xfId="32070"/>
    <cellStyle name="Normal 15 9 2 3 2" xfId="32071"/>
    <cellStyle name="Normal 15 9 2 4" xfId="32072"/>
    <cellStyle name="Normal 15 9 3" xfId="32073"/>
    <cellStyle name="Normal 15 9 3 2" xfId="47656"/>
    <cellStyle name="Normal 15 9 4" xfId="32074"/>
    <cellStyle name="Normal 15 9 4 2" xfId="32075"/>
    <cellStyle name="Normal 15 9 5" xfId="32076"/>
    <cellStyle name="Normal 15 9_IAS" xfId="32077"/>
    <cellStyle name="Normal 15_AGF" xfId="32078"/>
    <cellStyle name="Normal 150" xfId="32079"/>
    <cellStyle name="Normal 150 2" xfId="32080"/>
    <cellStyle name="Normal 150 2 2" xfId="32081"/>
    <cellStyle name="Normal 150 3" xfId="32082"/>
    <cellStyle name="Normal 151" xfId="32083"/>
    <cellStyle name="Normal 151 2" xfId="32084"/>
    <cellStyle name="Normal 151 2 2" xfId="32085"/>
    <cellStyle name="Normal 151 3" xfId="32086"/>
    <cellStyle name="Normal 152" xfId="32087"/>
    <cellStyle name="Normal 152 2" xfId="32088"/>
    <cellStyle name="Normal 152 2 2" xfId="47658"/>
    <cellStyle name="Normal 152 3" xfId="47657"/>
    <cellStyle name="Normal 153" xfId="32089"/>
    <cellStyle name="Normal 153 2" xfId="32090"/>
    <cellStyle name="Normal 153 2 2" xfId="32091"/>
    <cellStyle name="Normal 153 3" xfId="32092"/>
    <cellStyle name="Normal 154" xfId="32093"/>
    <cellStyle name="Normal 154 2" xfId="32094"/>
    <cellStyle name="Normal 154 2 2" xfId="32095"/>
    <cellStyle name="Normal 154 3" xfId="32096"/>
    <cellStyle name="Normal 155" xfId="32097"/>
    <cellStyle name="Normal 155 2" xfId="32098"/>
    <cellStyle name="Normal 155 2 2" xfId="32099"/>
    <cellStyle name="Normal 155 3" xfId="32100"/>
    <cellStyle name="Normal 156" xfId="32101"/>
    <cellStyle name="Normal 156 2" xfId="32102"/>
    <cellStyle name="Normal 156 2 2" xfId="32103"/>
    <cellStyle name="Normal 156 3" xfId="32104"/>
    <cellStyle name="Normal 157" xfId="32105"/>
    <cellStyle name="Normal 157 2" xfId="32106"/>
    <cellStyle name="Normal 157 2 2" xfId="47660"/>
    <cellStyle name="Normal 157 3" xfId="47659"/>
    <cellStyle name="Normal 158" xfId="32107"/>
    <cellStyle name="Normal 158 2" xfId="32108"/>
    <cellStyle name="Normal 158 2 2" xfId="32109"/>
    <cellStyle name="Normal 158 3" xfId="32110"/>
    <cellStyle name="Normal 159" xfId="32111"/>
    <cellStyle name="Normal 159 2" xfId="32112"/>
    <cellStyle name="Normal 159 2 2" xfId="32113"/>
    <cellStyle name="Normal 159 3" xfId="32114"/>
    <cellStyle name="Normal 16" xfId="867"/>
    <cellStyle name="Normal 16 10" xfId="32116"/>
    <cellStyle name="Normal 16 10 2" xfId="47662"/>
    <cellStyle name="Normal 16 11" xfId="32117"/>
    <cellStyle name="Normal 16 11 2" xfId="47663"/>
    <cellStyle name="Normal 16 12" xfId="32118"/>
    <cellStyle name="Normal 16 12 2" xfId="32119"/>
    <cellStyle name="Normal 16 12 2 2" xfId="32120"/>
    <cellStyle name="Normal 16 12 3" xfId="32121"/>
    <cellStyle name="Normal 16 13" xfId="32122"/>
    <cellStyle name="Normal 16 13 2" xfId="32123"/>
    <cellStyle name="Normal 16 13 2 2" xfId="32124"/>
    <cellStyle name="Normal 16 13 3" xfId="32125"/>
    <cellStyle name="Normal 16 14" xfId="32126"/>
    <cellStyle name="Normal 16 14 2" xfId="32127"/>
    <cellStyle name="Normal 16 14 2 2" xfId="32128"/>
    <cellStyle name="Normal 16 14 3" xfId="32129"/>
    <cellStyle name="Normal 16 15" xfId="32130"/>
    <cellStyle name="Normal 16 15 2" xfId="32131"/>
    <cellStyle name="Normal 16 16" xfId="32132"/>
    <cellStyle name="Normal 16 17" xfId="47661"/>
    <cellStyle name="Normal 16 18" xfId="32115"/>
    <cellStyle name="Normal 16 2" xfId="868"/>
    <cellStyle name="Normal 16 2 10" xfId="32134"/>
    <cellStyle name="Normal 16 2 10 2" xfId="47664"/>
    <cellStyle name="Normal 16 2 11" xfId="32135"/>
    <cellStyle name="Normal 16 2 11 2" xfId="32136"/>
    <cellStyle name="Normal 16 2 11 2 2" xfId="32137"/>
    <cellStyle name="Normal 16 2 11 3" xfId="32138"/>
    <cellStyle name="Normal 16 2 12" xfId="32139"/>
    <cellStyle name="Normal 16 2 12 2" xfId="32140"/>
    <cellStyle name="Normal 16 2 12 2 2" xfId="32141"/>
    <cellStyle name="Normal 16 2 12 3" xfId="32142"/>
    <cellStyle name="Normal 16 2 13" xfId="32143"/>
    <cellStyle name="Normal 16 2 13 2" xfId="32144"/>
    <cellStyle name="Normal 16 2 13 2 2" xfId="32145"/>
    <cellStyle name="Normal 16 2 13 3" xfId="32146"/>
    <cellStyle name="Normal 16 2 14" xfId="32147"/>
    <cellStyle name="Normal 16 2 14 2" xfId="32148"/>
    <cellStyle name="Normal 16 2 14 2 2" xfId="32149"/>
    <cellStyle name="Normal 16 2 14 3" xfId="32150"/>
    <cellStyle name="Normal 16 2 15" xfId="32151"/>
    <cellStyle name="Normal 16 2 15 2" xfId="32152"/>
    <cellStyle name="Normal 16 2 16" xfId="32153"/>
    <cellStyle name="Normal 16 2 16 2" xfId="32154"/>
    <cellStyle name="Normal 16 2 17" xfId="32155"/>
    <cellStyle name="Normal 16 2 18" xfId="32156"/>
    <cellStyle name="Normal 16 2 19" xfId="52656"/>
    <cellStyle name="Normal 16 2 2" xfId="32157"/>
    <cellStyle name="Normal 16 2 2 10" xfId="32158"/>
    <cellStyle name="Normal 16 2 2 10 2" xfId="32159"/>
    <cellStyle name="Normal 16 2 2 10 2 2" xfId="32160"/>
    <cellStyle name="Normal 16 2 2 10 3" xfId="32161"/>
    <cellStyle name="Normal 16 2 2 11" xfId="32162"/>
    <cellStyle name="Normal 16 2 2 11 2" xfId="32163"/>
    <cellStyle name="Normal 16 2 2 12" xfId="32164"/>
    <cellStyle name="Normal 16 2 2 12 2" xfId="32165"/>
    <cellStyle name="Normal 16 2 2 13" xfId="32166"/>
    <cellStyle name="Normal 16 2 2 14" xfId="32167"/>
    <cellStyle name="Normal 16 2 2 2" xfId="32168"/>
    <cellStyle name="Normal 16 2 2 2 2" xfId="32169"/>
    <cellStyle name="Normal 16 2 2 2 2 2" xfId="32170"/>
    <cellStyle name="Normal 16 2 2 2 2 2 2" xfId="32171"/>
    <cellStyle name="Normal 16 2 2 2 2 2 2 2" xfId="32172"/>
    <cellStyle name="Normal 16 2 2 2 2 2 2 2 2" xfId="32173"/>
    <cellStyle name="Normal 16 2 2 2 2 2 2 3" xfId="32174"/>
    <cellStyle name="Normal 16 2 2 2 2 2 2 3 2" xfId="32175"/>
    <cellStyle name="Normal 16 2 2 2 2 2 2 4" xfId="32176"/>
    <cellStyle name="Normal 16 2 2 2 2 2 3" xfId="32177"/>
    <cellStyle name="Normal 16 2 2 2 2 2 3 2" xfId="47665"/>
    <cellStyle name="Normal 16 2 2 2 2 2 4" xfId="32178"/>
    <cellStyle name="Normal 16 2 2 2 2 2 4 2" xfId="32179"/>
    <cellStyle name="Normal 16 2 2 2 2 2 5" xfId="32180"/>
    <cellStyle name="Normal 16 2 2 2 2 2_IAS" xfId="32181"/>
    <cellStyle name="Normal 16 2 2 2 2 3" xfId="32182"/>
    <cellStyle name="Normal 16 2 2 2 2 3 2" xfId="32183"/>
    <cellStyle name="Normal 16 2 2 2 2 3 2 2" xfId="32184"/>
    <cellStyle name="Normal 16 2 2 2 2 3 3" xfId="32185"/>
    <cellStyle name="Normal 16 2 2 2 2 3 3 2" xfId="32186"/>
    <cellStyle name="Normal 16 2 2 2 2 3 4" xfId="32187"/>
    <cellStyle name="Normal 16 2 2 2 2 4" xfId="32188"/>
    <cellStyle name="Normal 16 2 2 2 2 4 2" xfId="47666"/>
    <cellStyle name="Normal 16 2 2 2 2 5" xfId="32189"/>
    <cellStyle name="Normal 16 2 2 2 2 5 2" xfId="32190"/>
    <cellStyle name="Normal 16 2 2 2 2 6" xfId="32191"/>
    <cellStyle name="Normal 16 2 2 2 2_IAS" xfId="32192"/>
    <cellStyle name="Normal 16 2 2 2 3" xfId="32193"/>
    <cellStyle name="Normal 16 2 2 2 3 2" xfId="32194"/>
    <cellStyle name="Normal 16 2 2 2 3 2 2" xfId="32195"/>
    <cellStyle name="Normal 16 2 2 2 3 2 2 2" xfId="32196"/>
    <cellStyle name="Normal 16 2 2 2 3 2 3" xfId="32197"/>
    <cellStyle name="Normal 16 2 2 2 3 2 3 2" xfId="32198"/>
    <cellStyle name="Normal 16 2 2 2 3 2 4" xfId="32199"/>
    <cellStyle name="Normal 16 2 2 2 3 3" xfId="32200"/>
    <cellStyle name="Normal 16 2 2 2 3 3 2" xfId="47667"/>
    <cellStyle name="Normal 16 2 2 2 3 4" xfId="32201"/>
    <cellStyle name="Normal 16 2 2 2 3 4 2" xfId="32202"/>
    <cellStyle name="Normal 16 2 2 2 3 5" xfId="32203"/>
    <cellStyle name="Normal 16 2 2 2 3_IAS" xfId="32204"/>
    <cellStyle name="Normal 16 2 2 2 4" xfId="32205"/>
    <cellStyle name="Normal 16 2 2 2 4 2" xfId="32206"/>
    <cellStyle name="Normal 16 2 2 2 4 2 2" xfId="32207"/>
    <cellStyle name="Normal 16 2 2 2 4 3" xfId="32208"/>
    <cellStyle name="Normal 16 2 2 2 4 3 2" xfId="32209"/>
    <cellStyle name="Normal 16 2 2 2 4 4" xfId="32210"/>
    <cellStyle name="Normal 16 2 2 2 5" xfId="32211"/>
    <cellStyle name="Normal 16 2 2 2 5 2" xfId="47668"/>
    <cellStyle name="Normal 16 2 2 2 6" xfId="32212"/>
    <cellStyle name="Normal 16 2 2 2 6 2" xfId="32213"/>
    <cellStyle name="Normal 16 2 2 2 7" xfId="32214"/>
    <cellStyle name="Normal 16 2 2 2_IAS" xfId="32215"/>
    <cellStyle name="Normal 16 2 2 3" xfId="32216"/>
    <cellStyle name="Normal 16 2 2 3 2" xfId="32217"/>
    <cellStyle name="Normal 16 2 2 3 2 2" xfId="32218"/>
    <cellStyle name="Normal 16 2 2 3 2 2 2" xfId="32219"/>
    <cellStyle name="Normal 16 2 2 3 2 2 2 2" xfId="32220"/>
    <cellStyle name="Normal 16 2 2 3 2 2 2 2 2" xfId="32221"/>
    <cellStyle name="Normal 16 2 2 3 2 2 2 3" xfId="32222"/>
    <cellStyle name="Normal 16 2 2 3 2 2 2 3 2" xfId="32223"/>
    <cellStyle name="Normal 16 2 2 3 2 2 2 4" xfId="32224"/>
    <cellStyle name="Normal 16 2 2 3 2 2 3" xfId="32225"/>
    <cellStyle name="Normal 16 2 2 3 2 2 3 2" xfId="47669"/>
    <cellStyle name="Normal 16 2 2 3 2 2 4" xfId="32226"/>
    <cellStyle name="Normal 16 2 2 3 2 2 4 2" xfId="32227"/>
    <cellStyle name="Normal 16 2 2 3 2 2 5" xfId="32228"/>
    <cellStyle name="Normal 16 2 2 3 2 2_IAS" xfId="32229"/>
    <cellStyle name="Normal 16 2 2 3 2 3" xfId="32230"/>
    <cellStyle name="Normal 16 2 2 3 2 3 2" xfId="32231"/>
    <cellStyle name="Normal 16 2 2 3 2 3 2 2" xfId="32232"/>
    <cellStyle name="Normal 16 2 2 3 2 3 3" xfId="32233"/>
    <cellStyle name="Normal 16 2 2 3 2 3 3 2" xfId="32234"/>
    <cellStyle name="Normal 16 2 2 3 2 3 4" xfId="32235"/>
    <cellStyle name="Normal 16 2 2 3 2 4" xfId="32236"/>
    <cellStyle name="Normal 16 2 2 3 2 4 2" xfId="47670"/>
    <cellStyle name="Normal 16 2 2 3 2 5" xfId="32237"/>
    <cellStyle name="Normal 16 2 2 3 2 5 2" xfId="32238"/>
    <cellStyle name="Normal 16 2 2 3 2 6" xfId="32239"/>
    <cellStyle name="Normal 16 2 2 3 2_IAS" xfId="32240"/>
    <cellStyle name="Normal 16 2 2 3 3" xfId="32241"/>
    <cellStyle name="Normal 16 2 2 3 3 2" xfId="32242"/>
    <cellStyle name="Normal 16 2 2 3 3 2 2" xfId="32243"/>
    <cellStyle name="Normal 16 2 2 3 3 2 2 2" xfId="32244"/>
    <cellStyle name="Normal 16 2 2 3 3 2 3" xfId="32245"/>
    <cellStyle name="Normal 16 2 2 3 3 2 3 2" xfId="32246"/>
    <cellStyle name="Normal 16 2 2 3 3 2 4" xfId="32247"/>
    <cellStyle name="Normal 16 2 2 3 3 3" xfId="32248"/>
    <cellStyle name="Normal 16 2 2 3 3 3 2" xfId="47671"/>
    <cellStyle name="Normal 16 2 2 3 3 4" xfId="32249"/>
    <cellStyle name="Normal 16 2 2 3 3 4 2" xfId="32250"/>
    <cellStyle name="Normal 16 2 2 3 3 5" xfId="32251"/>
    <cellStyle name="Normal 16 2 2 3 3_IAS" xfId="32252"/>
    <cellStyle name="Normal 16 2 2 3 4" xfId="32253"/>
    <cellStyle name="Normal 16 2 2 3 4 2" xfId="32254"/>
    <cellStyle name="Normal 16 2 2 3 4 2 2" xfId="32255"/>
    <cellStyle name="Normal 16 2 2 3 4 3" xfId="32256"/>
    <cellStyle name="Normal 16 2 2 3 4 3 2" xfId="32257"/>
    <cellStyle name="Normal 16 2 2 3 4 4" xfId="32258"/>
    <cellStyle name="Normal 16 2 2 3 5" xfId="32259"/>
    <cellStyle name="Normal 16 2 2 3 5 2" xfId="47672"/>
    <cellStyle name="Normal 16 2 2 3 6" xfId="32260"/>
    <cellStyle name="Normal 16 2 2 3 6 2" xfId="32261"/>
    <cellStyle name="Normal 16 2 2 3 7" xfId="32262"/>
    <cellStyle name="Normal 16 2 2 3_IAS" xfId="32263"/>
    <cellStyle name="Normal 16 2 2 4" xfId="32264"/>
    <cellStyle name="Normal 16 2 2 4 2" xfId="47673"/>
    <cellStyle name="Normal 16 2 2 5" xfId="32265"/>
    <cellStyle name="Normal 16 2 2 5 2" xfId="32266"/>
    <cellStyle name="Normal 16 2 2 5 2 2" xfId="32267"/>
    <cellStyle name="Normal 16 2 2 5 2 2 2" xfId="32268"/>
    <cellStyle name="Normal 16 2 2 5 2 2 2 2" xfId="32269"/>
    <cellStyle name="Normal 16 2 2 5 2 2 3" xfId="32270"/>
    <cellStyle name="Normal 16 2 2 5 2 2 3 2" xfId="32271"/>
    <cellStyle name="Normal 16 2 2 5 2 2 4" xfId="32272"/>
    <cellStyle name="Normal 16 2 2 5 2 3" xfId="32273"/>
    <cellStyle name="Normal 16 2 2 5 2 3 2" xfId="47674"/>
    <cellStyle name="Normal 16 2 2 5 2 4" xfId="32274"/>
    <cellStyle name="Normal 16 2 2 5 2 4 2" xfId="32275"/>
    <cellStyle name="Normal 16 2 2 5 2 5" xfId="32276"/>
    <cellStyle name="Normal 16 2 2 5 2_IAS" xfId="32277"/>
    <cellStyle name="Normal 16 2 2 5 3" xfId="32278"/>
    <cellStyle name="Normal 16 2 2 5 3 2" xfId="32279"/>
    <cellStyle name="Normal 16 2 2 5 3 2 2" xfId="32280"/>
    <cellStyle name="Normal 16 2 2 5 3 3" xfId="32281"/>
    <cellStyle name="Normal 16 2 2 5 3 3 2" xfId="32282"/>
    <cellStyle name="Normal 16 2 2 5 3 4" xfId="32283"/>
    <cellStyle name="Normal 16 2 2 5 4" xfId="32284"/>
    <cellStyle name="Normal 16 2 2 5 4 2" xfId="47675"/>
    <cellStyle name="Normal 16 2 2 5 5" xfId="32285"/>
    <cellStyle name="Normal 16 2 2 5 5 2" xfId="32286"/>
    <cellStyle name="Normal 16 2 2 5 6" xfId="32287"/>
    <cellStyle name="Normal 16 2 2 5_IAS" xfId="32288"/>
    <cellStyle name="Normal 16 2 2 6" xfId="32289"/>
    <cellStyle name="Normal 16 2 2 6 2" xfId="32290"/>
    <cellStyle name="Normal 16 2 2 6 2 2" xfId="32291"/>
    <cellStyle name="Normal 16 2 2 6 2 2 2" xfId="32292"/>
    <cellStyle name="Normal 16 2 2 6 2 3" xfId="32293"/>
    <cellStyle name="Normal 16 2 2 6 2 3 2" xfId="32294"/>
    <cellStyle name="Normal 16 2 2 6 2 4" xfId="32295"/>
    <cellStyle name="Normal 16 2 2 6 3" xfId="32296"/>
    <cellStyle name="Normal 16 2 2 6 3 2" xfId="47676"/>
    <cellStyle name="Normal 16 2 2 6 4" xfId="32297"/>
    <cellStyle name="Normal 16 2 2 6 4 2" xfId="32298"/>
    <cellStyle name="Normal 16 2 2 6 5" xfId="32299"/>
    <cellStyle name="Normal 16 2 2 6_IAS" xfId="32300"/>
    <cellStyle name="Normal 16 2 2 7" xfId="32301"/>
    <cellStyle name="Normal 16 2 2 7 2" xfId="32302"/>
    <cellStyle name="Normal 16 2 2 7 2 2" xfId="32303"/>
    <cellStyle name="Normal 16 2 2 7 3" xfId="32304"/>
    <cellStyle name="Normal 16 2 2 7 3 2" xfId="32305"/>
    <cellStyle name="Normal 16 2 2 7 4" xfId="32306"/>
    <cellStyle name="Normal 16 2 2 8" xfId="32307"/>
    <cellStyle name="Normal 16 2 2 8 2" xfId="32308"/>
    <cellStyle name="Normal 16 2 2 8 2 2" xfId="32309"/>
    <cellStyle name="Normal 16 2 2 8 3" xfId="32310"/>
    <cellStyle name="Normal 16 2 2 9" xfId="32311"/>
    <cellStyle name="Normal 16 2 2 9 2" xfId="32312"/>
    <cellStyle name="Normal 16 2 2 9 2 2" xfId="32313"/>
    <cellStyle name="Normal 16 2 2 9 3" xfId="32314"/>
    <cellStyle name="Normal 16 2 2_IAS" xfId="32315"/>
    <cellStyle name="Normal 16 2 20" xfId="32133"/>
    <cellStyle name="Normal 16 2 3" xfId="32316"/>
    <cellStyle name="Normal 16 2 3 2" xfId="32317"/>
    <cellStyle name="Normal 16 2 3 2 2" xfId="32318"/>
    <cellStyle name="Normal 16 2 3 2 2 2" xfId="32319"/>
    <cellStyle name="Normal 16 2 3 2 2 2 2" xfId="32320"/>
    <cellStyle name="Normal 16 2 3 2 2 2 2 2" xfId="32321"/>
    <cellStyle name="Normal 16 2 3 2 2 2 3" xfId="32322"/>
    <cellStyle name="Normal 16 2 3 2 2 2 3 2" xfId="32323"/>
    <cellStyle name="Normal 16 2 3 2 2 2 4" xfId="32324"/>
    <cellStyle name="Normal 16 2 3 2 2 3" xfId="32325"/>
    <cellStyle name="Normal 16 2 3 2 2 3 2" xfId="47677"/>
    <cellStyle name="Normal 16 2 3 2 2 4" xfId="32326"/>
    <cellStyle name="Normal 16 2 3 2 2 4 2" xfId="32327"/>
    <cellStyle name="Normal 16 2 3 2 2 5" xfId="32328"/>
    <cellStyle name="Normal 16 2 3 2 2_IAS" xfId="32329"/>
    <cellStyle name="Normal 16 2 3 2 3" xfId="32330"/>
    <cellStyle name="Normal 16 2 3 2 3 2" xfId="32331"/>
    <cellStyle name="Normal 16 2 3 2 3 2 2" xfId="32332"/>
    <cellStyle name="Normal 16 2 3 2 3 3" xfId="32333"/>
    <cellStyle name="Normal 16 2 3 2 3 3 2" xfId="32334"/>
    <cellStyle name="Normal 16 2 3 2 3 4" xfId="32335"/>
    <cellStyle name="Normal 16 2 3 2 4" xfId="32336"/>
    <cellStyle name="Normal 16 2 3 2 4 2" xfId="47678"/>
    <cellStyle name="Normal 16 2 3 2 5" xfId="32337"/>
    <cellStyle name="Normal 16 2 3 2 5 2" xfId="32338"/>
    <cellStyle name="Normal 16 2 3 2 6" xfId="32339"/>
    <cellStyle name="Normal 16 2 3 2_IAS" xfId="32340"/>
    <cellStyle name="Normal 16 2 3 3" xfId="32341"/>
    <cellStyle name="Normal 16 2 3 3 2" xfId="32342"/>
    <cellStyle name="Normal 16 2 3 3 2 2" xfId="32343"/>
    <cellStyle name="Normal 16 2 3 3 2 2 2" xfId="32344"/>
    <cellStyle name="Normal 16 2 3 3 2 3" xfId="32345"/>
    <cellStyle name="Normal 16 2 3 3 2 3 2" xfId="32346"/>
    <cellStyle name="Normal 16 2 3 3 2 4" xfId="32347"/>
    <cellStyle name="Normal 16 2 3 3 3" xfId="32348"/>
    <cellStyle name="Normal 16 2 3 3 3 2" xfId="47679"/>
    <cellStyle name="Normal 16 2 3 3 4" xfId="32349"/>
    <cellStyle name="Normal 16 2 3 3 4 2" xfId="32350"/>
    <cellStyle name="Normal 16 2 3 3 5" xfId="32351"/>
    <cellStyle name="Normal 16 2 3 3_IAS" xfId="32352"/>
    <cellStyle name="Normal 16 2 3 4" xfId="32353"/>
    <cellStyle name="Normal 16 2 3 4 2" xfId="32354"/>
    <cellStyle name="Normal 16 2 3 4 2 2" xfId="32355"/>
    <cellStyle name="Normal 16 2 3 4 3" xfId="32356"/>
    <cellStyle name="Normal 16 2 3 4 3 2" xfId="32357"/>
    <cellStyle name="Normal 16 2 3 4 4" xfId="32358"/>
    <cellStyle name="Normal 16 2 3 5" xfId="32359"/>
    <cellStyle name="Normal 16 2 3 5 2" xfId="47680"/>
    <cellStyle name="Normal 16 2 3 6" xfId="32360"/>
    <cellStyle name="Normal 16 2 3 6 2" xfId="32361"/>
    <cellStyle name="Normal 16 2 3 7" xfId="32362"/>
    <cellStyle name="Normal 16 2 3_IAS" xfId="32363"/>
    <cellStyle name="Normal 16 2 4" xfId="32364"/>
    <cellStyle name="Normal 16 2 4 2" xfId="32365"/>
    <cellStyle name="Normal 16 2 4 2 2" xfId="32366"/>
    <cellStyle name="Normal 16 2 4 2 2 2" xfId="32367"/>
    <cellStyle name="Normal 16 2 4 2 2 2 2" xfId="32368"/>
    <cellStyle name="Normal 16 2 4 2 2 2 2 2" xfId="32369"/>
    <cellStyle name="Normal 16 2 4 2 2 2 3" xfId="32370"/>
    <cellStyle name="Normal 16 2 4 2 2 2 3 2" xfId="32371"/>
    <cellStyle name="Normal 16 2 4 2 2 2 4" xfId="32372"/>
    <cellStyle name="Normal 16 2 4 2 2 3" xfId="32373"/>
    <cellStyle name="Normal 16 2 4 2 2 3 2" xfId="47681"/>
    <cellStyle name="Normal 16 2 4 2 2 4" xfId="32374"/>
    <cellStyle name="Normal 16 2 4 2 2 4 2" xfId="32375"/>
    <cellStyle name="Normal 16 2 4 2 2 5" xfId="32376"/>
    <cellStyle name="Normal 16 2 4 2 2_IAS" xfId="32377"/>
    <cellStyle name="Normal 16 2 4 2 3" xfId="32378"/>
    <cellStyle name="Normal 16 2 4 2 3 2" xfId="32379"/>
    <cellStyle name="Normal 16 2 4 2 3 2 2" xfId="32380"/>
    <cellStyle name="Normal 16 2 4 2 3 3" xfId="32381"/>
    <cellStyle name="Normal 16 2 4 2 3 3 2" xfId="32382"/>
    <cellStyle name="Normal 16 2 4 2 3 4" xfId="32383"/>
    <cellStyle name="Normal 16 2 4 2 4" xfId="32384"/>
    <cellStyle name="Normal 16 2 4 2 4 2" xfId="47682"/>
    <cellStyle name="Normal 16 2 4 2 5" xfId="32385"/>
    <cellStyle name="Normal 16 2 4 2 5 2" xfId="32386"/>
    <cellStyle name="Normal 16 2 4 2 6" xfId="32387"/>
    <cellStyle name="Normal 16 2 4 2_IAS" xfId="32388"/>
    <cellStyle name="Normal 16 2 4 3" xfId="32389"/>
    <cellStyle name="Normal 16 2 4 3 2" xfId="32390"/>
    <cellStyle name="Normal 16 2 4 3 2 2" xfId="32391"/>
    <cellStyle name="Normal 16 2 4 3 2 2 2" xfId="32392"/>
    <cellStyle name="Normal 16 2 4 3 2 3" xfId="32393"/>
    <cellStyle name="Normal 16 2 4 3 2 3 2" xfId="32394"/>
    <cellStyle name="Normal 16 2 4 3 2 4" xfId="32395"/>
    <cellStyle name="Normal 16 2 4 3 3" xfId="32396"/>
    <cellStyle name="Normal 16 2 4 3 3 2" xfId="47683"/>
    <cellStyle name="Normal 16 2 4 3 4" xfId="32397"/>
    <cellStyle name="Normal 16 2 4 3 4 2" xfId="32398"/>
    <cellStyle name="Normal 16 2 4 3 5" xfId="32399"/>
    <cellStyle name="Normal 16 2 4 3_IAS" xfId="32400"/>
    <cellStyle name="Normal 16 2 4 4" xfId="32401"/>
    <cellStyle name="Normal 16 2 4 4 2" xfId="32402"/>
    <cellStyle name="Normal 16 2 4 4 2 2" xfId="32403"/>
    <cellStyle name="Normal 16 2 4 4 3" xfId="32404"/>
    <cellStyle name="Normal 16 2 4 4 3 2" xfId="32405"/>
    <cellStyle name="Normal 16 2 4 4 4" xfId="32406"/>
    <cellStyle name="Normal 16 2 4 5" xfId="32407"/>
    <cellStyle name="Normal 16 2 4 5 2" xfId="47684"/>
    <cellStyle name="Normal 16 2 4 6" xfId="32408"/>
    <cellStyle name="Normal 16 2 4 6 2" xfId="32409"/>
    <cellStyle name="Normal 16 2 4 7" xfId="32410"/>
    <cellStyle name="Normal 16 2 4_IAS" xfId="32411"/>
    <cellStyle name="Normal 16 2 5" xfId="32412"/>
    <cellStyle name="Normal 16 2 5 2" xfId="47685"/>
    <cellStyle name="Normal 16 2 6" xfId="32413"/>
    <cellStyle name="Normal 16 2 6 2" xfId="32414"/>
    <cellStyle name="Normal 16 2 6 2 2" xfId="32415"/>
    <cellStyle name="Normal 16 2 6 2 2 2" xfId="32416"/>
    <cellStyle name="Normal 16 2 6 2 2 2 2" xfId="32417"/>
    <cellStyle name="Normal 16 2 6 2 2 3" xfId="32418"/>
    <cellStyle name="Normal 16 2 6 2 2 3 2" xfId="32419"/>
    <cellStyle name="Normal 16 2 6 2 2 4" xfId="32420"/>
    <cellStyle name="Normal 16 2 6 2 3" xfId="32421"/>
    <cellStyle name="Normal 16 2 6 2 3 2" xfId="47686"/>
    <cellStyle name="Normal 16 2 6 2 4" xfId="32422"/>
    <cellStyle name="Normal 16 2 6 2 4 2" xfId="32423"/>
    <cellStyle name="Normal 16 2 6 2 5" xfId="32424"/>
    <cellStyle name="Normal 16 2 6 2_IAS" xfId="32425"/>
    <cellStyle name="Normal 16 2 6 3" xfId="32426"/>
    <cellStyle name="Normal 16 2 6 3 2" xfId="32427"/>
    <cellStyle name="Normal 16 2 6 3 2 2" xfId="32428"/>
    <cellStyle name="Normal 16 2 6 3 3" xfId="32429"/>
    <cellStyle name="Normal 16 2 6 3 3 2" xfId="32430"/>
    <cellStyle name="Normal 16 2 6 3 4" xfId="32431"/>
    <cellStyle name="Normal 16 2 6 4" xfId="32432"/>
    <cellStyle name="Normal 16 2 6 4 2" xfId="47687"/>
    <cellStyle name="Normal 16 2 6 5" xfId="32433"/>
    <cellStyle name="Normal 16 2 6 5 2" xfId="32434"/>
    <cellStyle name="Normal 16 2 6 6" xfId="32435"/>
    <cellStyle name="Normal 16 2 6_IAS" xfId="32436"/>
    <cellStyle name="Normal 16 2 7" xfId="32437"/>
    <cellStyle name="Normal 16 2 7 2" xfId="32438"/>
    <cellStyle name="Normal 16 2 7 2 2" xfId="32439"/>
    <cellStyle name="Normal 16 2 7 2 2 2" xfId="32440"/>
    <cellStyle name="Normal 16 2 7 2 3" xfId="32441"/>
    <cellStyle name="Normal 16 2 7 2 3 2" xfId="32442"/>
    <cellStyle name="Normal 16 2 7 2 4" xfId="32443"/>
    <cellStyle name="Normal 16 2 7 3" xfId="32444"/>
    <cellStyle name="Normal 16 2 7 3 2" xfId="47688"/>
    <cellStyle name="Normal 16 2 7 4" xfId="32445"/>
    <cellStyle name="Normal 16 2 7 4 2" xfId="32446"/>
    <cellStyle name="Normal 16 2 7 5" xfId="32447"/>
    <cellStyle name="Normal 16 2 7_IAS" xfId="32448"/>
    <cellStyle name="Normal 16 2 8" xfId="32449"/>
    <cellStyle name="Normal 16 2 8 2" xfId="32450"/>
    <cellStyle name="Normal 16 2 8 2 2" xfId="32451"/>
    <cellStyle name="Normal 16 2 8 3" xfId="47689"/>
    <cellStyle name="Normal 16 2 9" xfId="32452"/>
    <cellStyle name="Normal 16 2 9 2" xfId="47690"/>
    <cellStyle name="Normal 16 2_AGF" xfId="32453"/>
    <cellStyle name="Normal 16 3" xfId="869"/>
    <cellStyle name="Normal 16 3 10" xfId="57663"/>
    <cellStyle name="Normal 16 3 11" xfId="32454"/>
    <cellStyle name="Normal 16 3 2" xfId="32455"/>
    <cellStyle name="Normal 16 3 2 10" xfId="32456"/>
    <cellStyle name="Normal 16 3 2 10 2" xfId="32457"/>
    <cellStyle name="Normal 16 3 2 10 2 2" xfId="32458"/>
    <cellStyle name="Normal 16 3 2 10 3" xfId="32459"/>
    <cellStyle name="Normal 16 3 2 11" xfId="32460"/>
    <cellStyle name="Normal 16 3 2 11 2" xfId="32461"/>
    <cellStyle name="Normal 16 3 2 12" xfId="32462"/>
    <cellStyle name="Normal 16 3 2 12 2" xfId="32463"/>
    <cellStyle name="Normal 16 3 2 13" xfId="32464"/>
    <cellStyle name="Normal 16 3 2 14" xfId="32465"/>
    <cellStyle name="Normal 16 3 2 2" xfId="32466"/>
    <cellStyle name="Normal 16 3 2 2 2" xfId="32467"/>
    <cellStyle name="Normal 16 3 2 2 2 2" xfId="32468"/>
    <cellStyle name="Normal 16 3 2 2 2 2 2" xfId="32469"/>
    <cellStyle name="Normal 16 3 2 2 2 2 2 2" xfId="32470"/>
    <cellStyle name="Normal 16 3 2 2 2 2 2 2 2" xfId="32471"/>
    <cellStyle name="Normal 16 3 2 2 2 2 2 3" xfId="32472"/>
    <cellStyle name="Normal 16 3 2 2 2 2 2 3 2" xfId="32473"/>
    <cellStyle name="Normal 16 3 2 2 2 2 2 4" xfId="32474"/>
    <cellStyle name="Normal 16 3 2 2 2 2 3" xfId="32475"/>
    <cellStyle name="Normal 16 3 2 2 2 2 3 2" xfId="47692"/>
    <cellStyle name="Normal 16 3 2 2 2 2 4" xfId="32476"/>
    <cellStyle name="Normal 16 3 2 2 2 2 4 2" xfId="32477"/>
    <cellStyle name="Normal 16 3 2 2 2 2 5" xfId="32478"/>
    <cellStyle name="Normal 16 3 2 2 2 2_IAS" xfId="32479"/>
    <cellStyle name="Normal 16 3 2 2 2 3" xfId="32480"/>
    <cellStyle name="Normal 16 3 2 2 2 3 2" xfId="32481"/>
    <cellStyle name="Normal 16 3 2 2 2 3 2 2" xfId="32482"/>
    <cellStyle name="Normal 16 3 2 2 2 3 3" xfId="32483"/>
    <cellStyle name="Normal 16 3 2 2 2 3 3 2" xfId="32484"/>
    <cellStyle name="Normal 16 3 2 2 2 3 4" xfId="32485"/>
    <cellStyle name="Normal 16 3 2 2 2 4" xfId="32486"/>
    <cellStyle name="Normal 16 3 2 2 2 4 2" xfId="47693"/>
    <cellStyle name="Normal 16 3 2 2 2 5" xfId="32487"/>
    <cellStyle name="Normal 16 3 2 2 2 5 2" xfId="32488"/>
    <cellStyle name="Normal 16 3 2 2 2 6" xfId="32489"/>
    <cellStyle name="Normal 16 3 2 2 2_IAS" xfId="32490"/>
    <cellStyle name="Normal 16 3 2 2 3" xfId="32491"/>
    <cellStyle name="Normal 16 3 2 2 3 2" xfId="32492"/>
    <cellStyle name="Normal 16 3 2 2 3 2 2" xfId="32493"/>
    <cellStyle name="Normal 16 3 2 2 3 2 2 2" xfId="32494"/>
    <cellStyle name="Normal 16 3 2 2 3 2 3" xfId="32495"/>
    <cellStyle name="Normal 16 3 2 2 3 2 3 2" xfId="32496"/>
    <cellStyle name="Normal 16 3 2 2 3 2 4" xfId="32497"/>
    <cellStyle name="Normal 16 3 2 2 3 3" xfId="32498"/>
    <cellStyle name="Normal 16 3 2 2 3 3 2" xfId="47694"/>
    <cellStyle name="Normal 16 3 2 2 3 4" xfId="32499"/>
    <cellStyle name="Normal 16 3 2 2 3 4 2" xfId="32500"/>
    <cellStyle name="Normal 16 3 2 2 3 5" xfId="32501"/>
    <cellStyle name="Normal 16 3 2 2 3_IAS" xfId="32502"/>
    <cellStyle name="Normal 16 3 2 2 4" xfId="32503"/>
    <cellStyle name="Normal 16 3 2 2 4 2" xfId="32504"/>
    <cellStyle name="Normal 16 3 2 2 4 2 2" xfId="32505"/>
    <cellStyle name="Normal 16 3 2 2 4 3" xfId="32506"/>
    <cellStyle name="Normal 16 3 2 2 4 3 2" xfId="32507"/>
    <cellStyle name="Normal 16 3 2 2 4 4" xfId="32508"/>
    <cellStyle name="Normal 16 3 2 2 5" xfId="32509"/>
    <cellStyle name="Normal 16 3 2 2 5 2" xfId="47695"/>
    <cellStyle name="Normal 16 3 2 2 6" xfId="32510"/>
    <cellStyle name="Normal 16 3 2 2 6 2" xfId="32511"/>
    <cellStyle name="Normal 16 3 2 2 7" xfId="32512"/>
    <cellStyle name="Normal 16 3 2 2_IAS" xfId="32513"/>
    <cellStyle name="Normal 16 3 2 3" xfId="32514"/>
    <cellStyle name="Normal 16 3 2 3 2" xfId="32515"/>
    <cellStyle name="Normal 16 3 2 3 2 2" xfId="32516"/>
    <cellStyle name="Normal 16 3 2 3 2 2 2" xfId="32517"/>
    <cellStyle name="Normal 16 3 2 3 2 2 2 2" xfId="32518"/>
    <cellStyle name="Normal 16 3 2 3 2 2 2 2 2" xfId="32519"/>
    <cellStyle name="Normal 16 3 2 3 2 2 2 3" xfId="32520"/>
    <cellStyle name="Normal 16 3 2 3 2 2 2 3 2" xfId="32521"/>
    <cellStyle name="Normal 16 3 2 3 2 2 2 4" xfId="32522"/>
    <cellStyle name="Normal 16 3 2 3 2 2 3" xfId="32523"/>
    <cellStyle name="Normal 16 3 2 3 2 2 3 2" xfId="47696"/>
    <cellStyle name="Normal 16 3 2 3 2 2 4" xfId="32524"/>
    <cellStyle name="Normal 16 3 2 3 2 2 4 2" xfId="32525"/>
    <cellStyle name="Normal 16 3 2 3 2 2 5" xfId="32526"/>
    <cellStyle name="Normal 16 3 2 3 2 2_IAS" xfId="32527"/>
    <cellStyle name="Normal 16 3 2 3 2 3" xfId="32528"/>
    <cellStyle name="Normal 16 3 2 3 2 3 2" xfId="32529"/>
    <cellStyle name="Normal 16 3 2 3 2 3 2 2" xfId="32530"/>
    <cellStyle name="Normal 16 3 2 3 2 3 3" xfId="32531"/>
    <cellStyle name="Normal 16 3 2 3 2 3 3 2" xfId="32532"/>
    <cellStyle name="Normal 16 3 2 3 2 3 4" xfId="32533"/>
    <cellStyle name="Normal 16 3 2 3 2 4" xfId="32534"/>
    <cellStyle name="Normal 16 3 2 3 2 4 2" xfId="47697"/>
    <cellStyle name="Normal 16 3 2 3 2 5" xfId="32535"/>
    <cellStyle name="Normal 16 3 2 3 2 5 2" xfId="32536"/>
    <cellStyle name="Normal 16 3 2 3 2 6" xfId="32537"/>
    <cellStyle name="Normal 16 3 2 3 2_IAS" xfId="32538"/>
    <cellStyle name="Normal 16 3 2 3 3" xfId="32539"/>
    <cellStyle name="Normal 16 3 2 3 3 2" xfId="32540"/>
    <cellStyle name="Normal 16 3 2 3 3 2 2" xfId="32541"/>
    <cellStyle name="Normal 16 3 2 3 3 2 2 2" xfId="32542"/>
    <cellStyle name="Normal 16 3 2 3 3 2 3" xfId="32543"/>
    <cellStyle name="Normal 16 3 2 3 3 2 3 2" xfId="32544"/>
    <cellStyle name="Normal 16 3 2 3 3 2 4" xfId="32545"/>
    <cellStyle name="Normal 16 3 2 3 3 3" xfId="32546"/>
    <cellStyle name="Normal 16 3 2 3 3 3 2" xfId="47698"/>
    <cellStyle name="Normal 16 3 2 3 3 4" xfId="32547"/>
    <cellStyle name="Normal 16 3 2 3 3 4 2" xfId="32548"/>
    <cellStyle name="Normal 16 3 2 3 3 5" xfId="32549"/>
    <cellStyle name="Normal 16 3 2 3 3_IAS" xfId="32550"/>
    <cellStyle name="Normal 16 3 2 3 4" xfId="32551"/>
    <cellStyle name="Normal 16 3 2 3 4 2" xfId="32552"/>
    <cellStyle name="Normal 16 3 2 3 4 2 2" xfId="32553"/>
    <cellStyle name="Normal 16 3 2 3 4 3" xfId="32554"/>
    <cellStyle name="Normal 16 3 2 3 4 3 2" xfId="32555"/>
    <cellStyle name="Normal 16 3 2 3 4 4" xfId="32556"/>
    <cellStyle name="Normal 16 3 2 3 5" xfId="32557"/>
    <cellStyle name="Normal 16 3 2 3 5 2" xfId="47699"/>
    <cellStyle name="Normal 16 3 2 3 6" xfId="32558"/>
    <cellStyle name="Normal 16 3 2 3 6 2" xfId="32559"/>
    <cellStyle name="Normal 16 3 2 3 7" xfId="32560"/>
    <cellStyle name="Normal 16 3 2 3_IAS" xfId="32561"/>
    <cellStyle name="Normal 16 3 2 4" xfId="32562"/>
    <cellStyle name="Normal 16 3 2 4 2" xfId="47700"/>
    <cellStyle name="Normal 16 3 2 5" xfId="32563"/>
    <cellStyle name="Normal 16 3 2 5 2" xfId="32564"/>
    <cellStyle name="Normal 16 3 2 5 2 2" xfId="32565"/>
    <cellStyle name="Normal 16 3 2 5 2 2 2" xfId="32566"/>
    <cellStyle name="Normal 16 3 2 5 2 2 2 2" xfId="32567"/>
    <cellStyle name="Normal 16 3 2 5 2 2 3" xfId="32568"/>
    <cellStyle name="Normal 16 3 2 5 2 2 3 2" xfId="32569"/>
    <cellStyle name="Normal 16 3 2 5 2 2 4" xfId="32570"/>
    <cellStyle name="Normal 16 3 2 5 2 3" xfId="32571"/>
    <cellStyle name="Normal 16 3 2 5 2 3 2" xfId="47701"/>
    <cellStyle name="Normal 16 3 2 5 2 4" xfId="32572"/>
    <cellStyle name="Normal 16 3 2 5 2 4 2" xfId="32573"/>
    <cellStyle name="Normal 16 3 2 5 2 5" xfId="32574"/>
    <cellStyle name="Normal 16 3 2 5 2_IAS" xfId="32575"/>
    <cellStyle name="Normal 16 3 2 5 3" xfId="32576"/>
    <cellStyle name="Normal 16 3 2 5 3 2" xfId="32577"/>
    <cellStyle name="Normal 16 3 2 5 3 2 2" xfId="32578"/>
    <cellStyle name="Normal 16 3 2 5 3 3" xfId="32579"/>
    <cellStyle name="Normal 16 3 2 5 3 3 2" xfId="32580"/>
    <cellStyle name="Normal 16 3 2 5 3 4" xfId="32581"/>
    <cellStyle name="Normal 16 3 2 5 4" xfId="32582"/>
    <cellStyle name="Normal 16 3 2 5 4 2" xfId="47702"/>
    <cellStyle name="Normal 16 3 2 5 5" xfId="32583"/>
    <cellStyle name="Normal 16 3 2 5 5 2" xfId="32584"/>
    <cellStyle name="Normal 16 3 2 5 6" xfId="32585"/>
    <cellStyle name="Normal 16 3 2 5_IAS" xfId="32586"/>
    <cellStyle name="Normal 16 3 2 6" xfId="32587"/>
    <cellStyle name="Normal 16 3 2 6 2" xfId="32588"/>
    <cellStyle name="Normal 16 3 2 6 2 2" xfId="32589"/>
    <cellStyle name="Normal 16 3 2 6 2 2 2" xfId="32590"/>
    <cellStyle name="Normal 16 3 2 6 2 3" xfId="32591"/>
    <cellStyle name="Normal 16 3 2 6 2 3 2" xfId="32592"/>
    <cellStyle name="Normal 16 3 2 6 2 4" xfId="32593"/>
    <cellStyle name="Normal 16 3 2 6 3" xfId="32594"/>
    <cellStyle name="Normal 16 3 2 6 3 2" xfId="47703"/>
    <cellStyle name="Normal 16 3 2 6 4" xfId="32595"/>
    <cellStyle name="Normal 16 3 2 6 4 2" xfId="32596"/>
    <cellStyle name="Normal 16 3 2 6 5" xfId="32597"/>
    <cellStyle name="Normal 16 3 2 6_IAS" xfId="32598"/>
    <cellStyle name="Normal 16 3 2 7" xfId="32599"/>
    <cellStyle name="Normal 16 3 2 7 2" xfId="32600"/>
    <cellStyle name="Normal 16 3 2 7 2 2" xfId="32601"/>
    <cellStyle name="Normal 16 3 2 7 3" xfId="32602"/>
    <cellStyle name="Normal 16 3 2 7 3 2" xfId="32603"/>
    <cellStyle name="Normal 16 3 2 7 4" xfId="32604"/>
    <cellStyle name="Normal 16 3 2 8" xfId="32605"/>
    <cellStyle name="Normal 16 3 2 8 2" xfId="32606"/>
    <cellStyle name="Normal 16 3 2 8 2 2" xfId="32607"/>
    <cellStyle name="Normal 16 3 2 8 3" xfId="32608"/>
    <cellStyle name="Normal 16 3 2 9" xfId="32609"/>
    <cellStyle name="Normal 16 3 2 9 2" xfId="32610"/>
    <cellStyle name="Normal 16 3 2 9 2 2" xfId="32611"/>
    <cellStyle name="Normal 16 3 2 9 3" xfId="32612"/>
    <cellStyle name="Normal 16 3 2_IAS" xfId="32613"/>
    <cellStyle name="Normal 16 3 3" xfId="47691"/>
    <cellStyle name="Normal 16 3 4" xfId="51793"/>
    <cellStyle name="Normal 16 3 5" xfId="40986"/>
    <cellStyle name="Normal 16 3 6" xfId="51794"/>
    <cellStyle name="Normal 16 3 7" xfId="40987"/>
    <cellStyle name="Normal 16 3 8" xfId="52657"/>
    <cellStyle name="Normal 16 3 9" xfId="57643"/>
    <cellStyle name="Normal 16 4" xfId="870"/>
    <cellStyle name="Normal 16 4 10" xfId="32615"/>
    <cellStyle name="Normal 16 4 10 2" xfId="32616"/>
    <cellStyle name="Normal 16 4 10 2 2" xfId="32617"/>
    <cellStyle name="Normal 16 4 10 3" xfId="32618"/>
    <cellStyle name="Normal 16 4 11" xfId="32619"/>
    <cellStyle name="Normal 16 4 11 2" xfId="32620"/>
    <cellStyle name="Normal 16 4 12" xfId="32621"/>
    <cellStyle name="Normal 16 4 12 2" xfId="32622"/>
    <cellStyle name="Normal 16 4 13" xfId="32623"/>
    <cellStyle name="Normal 16 4 14" xfId="32624"/>
    <cellStyle name="Normal 16 4 15" xfId="32614"/>
    <cellStyle name="Normal 16 4 2" xfId="1772"/>
    <cellStyle name="Normal 16 4 2 2" xfId="4897"/>
    <cellStyle name="Normal 16 4 2 2 2" xfId="11100"/>
    <cellStyle name="Normal 16 4 2 2 2 2" xfId="32628"/>
    <cellStyle name="Normal 16 4 2 2 2 2 2" xfId="32629"/>
    <cellStyle name="Normal 16 4 2 2 2 2 2 2" xfId="32630"/>
    <cellStyle name="Normal 16 4 2 2 2 2 3" xfId="32631"/>
    <cellStyle name="Normal 16 4 2 2 2 2 3 2" xfId="32632"/>
    <cellStyle name="Normal 16 4 2 2 2 2 4" xfId="32633"/>
    <cellStyle name="Normal 16 4 2 2 2 3" xfId="32634"/>
    <cellStyle name="Normal 16 4 2 2 2 3 2" xfId="47704"/>
    <cellStyle name="Normal 16 4 2 2 2 4" xfId="32635"/>
    <cellStyle name="Normal 16 4 2 2 2 4 2" xfId="32636"/>
    <cellStyle name="Normal 16 4 2 2 2 5" xfId="32637"/>
    <cellStyle name="Normal 16 4 2 2 2 6" xfId="32627"/>
    <cellStyle name="Normal 16 4 2 2 2_IAS" xfId="32638"/>
    <cellStyle name="Normal 16 4 2 2 3" xfId="17302"/>
    <cellStyle name="Normal 16 4 2 2 3 2" xfId="32640"/>
    <cellStyle name="Normal 16 4 2 2 3 2 2" xfId="32641"/>
    <cellStyle name="Normal 16 4 2 2 3 3" xfId="32642"/>
    <cellStyle name="Normal 16 4 2 2 3 3 2" xfId="32643"/>
    <cellStyle name="Normal 16 4 2 2 3 4" xfId="32644"/>
    <cellStyle name="Normal 16 4 2 2 3 5" xfId="32639"/>
    <cellStyle name="Normal 16 4 2 2 4" xfId="32645"/>
    <cellStyle name="Normal 16 4 2 2 4 2" xfId="47705"/>
    <cellStyle name="Normal 16 4 2 2 5" xfId="32646"/>
    <cellStyle name="Normal 16 4 2 2 5 2" xfId="32647"/>
    <cellStyle name="Normal 16 4 2 2 6" xfId="32648"/>
    <cellStyle name="Normal 16 4 2 2 7" xfId="32626"/>
    <cellStyle name="Normal 16 4 2 2_IAS" xfId="32649"/>
    <cellStyle name="Normal 16 4 2 3" xfId="8000"/>
    <cellStyle name="Normal 16 4 2 3 2" xfId="32651"/>
    <cellStyle name="Normal 16 4 2 3 2 2" xfId="32652"/>
    <cellStyle name="Normal 16 4 2 3 2 2 2" xfId="32653"/>
    <cellStyle name="Normal 16 4 2 3 2 3" xfId="32654"/>
    <cellStyle name="Normal 16 4 2 3 2 3 2" xfId="32655"/>
    <cellStyle name="Normal 16 4 2 3 2 4" xfId="32656"/>
    <cellStyle name="Normal 16 4 2 3 3" xfId="32657"/>
    <cellStyle name="Normal 16 4 2 3 3 2" xfId="47706"/>
    <cellStyle name="Normal 16 4 2 3 4" xfId="32658"/>
    <cellStyle name="Normal 16 4 2 3 4 2" xfId="32659"/>
    <cellStyle name="Normal 16 4 2 3 5" xfId="32660"/>
    <cellStyle name="Normal 16 4 2 3 6" xfId="32650"/>
    <cellStyle name="Normal 16 4 2 3_IAS" xfId="32661"/>
    <cellStyle name="Normal 16 4 2 4" xfId="14202"/>
    <cellStyle name="Normal 16 4 2 4 2" xfId="32663"/>
    <cellStyle name="Normal 16 4 2 4 2 2" xfId="32664"/>
    <cellStyle name="Normal 16 4 2 4 3" xfId="32665"/>
    <cellStyle name="Normal 16 4 2 4 3 2" xfId="32666"/>
    <cellStyle name="Normal 16 4 2 4 4" xfId="32667"/>
    <cellStyle name="Normal 16 4 2 4 5" xfId="32662"/>
    <cellStyle name="Normal 16 4 2 5" xfId="32668"/>
    <cellStyle name="Normal 16 4 2 5 2" xfId="47707"/>
    <cellStyle name="Normal 16 4 2 6" xfId="32669"/>
    <cellStyle name="Normal 16 4 2 6 2" xfId="32670"/>
    <cellStyle name="Normal 16 4 2 7" xfId="32671"/>
    <cellStyle name="Normal 16 4 2 8" xfId="32625"/>
    <cellStyle name="Normal 16 4 2_IAS" xfId="32672"/>
    <cellStyle name="Normal 16 4 3" xfId="3049"/>
    <cellStyle name="Normal 16 4 3 2" xfId="6161"/>
    <cellStyle name="Normal 16 4 3 2 2" xfId="12364"/>
    <cellStyle name="Normal 16 4 3 2 2 2" xfId="32676"/>
    <cellStyle name="Normal 16 4 3 2 2 2 2" xfId="32677"/>
    <cellStyle name="Normal 16 4 3 2 2 2 2 2" xfId="32678"/>
    <cellStyle name="Normal 16 4 3 2 2 2 3" xfId="32679"/>
    <cellStyle name="Normal 16 4 3 2 2 2 3 2" xfId="32680"/>
    <cellStyle name="Normal 16 4 3 2 2 2 4" xfId="32681"/>
    <cellStyle name="Normal 16 4 3 2 2 3" xfId="32682"/>
    <cellStyle name="Normal 16 4 3 2 2 3 2" xfId="47708"/>
    <cellStyle name="Normal 16 4 3 2 2 4" xfId="32683"/>
    <cellStyle name="Normal 16 4 3 2 2 4 2" xfId="32684"/>
    <cellStyle name="Normal 16 4 3 2 2 5" xfId="32685"/>
    <cellStyle name="Normal 16 4 3 2 2 6" xfId="32675"/>
    <cellStyle name="Normal 16 4 3 2 2_IAS" xfId="32686"/>
    <cellStyle name="Normal 16 4 3 2 3" xfId="18566"/>
    <cellStyle name="Normal 16 4 3 2 3 2" xfId="32688"/>
    <cellStyle name="Normal 16 4 3 2 3 2 2" xfId="32689"/>
    <cellStyle name="Normal 16 4 3 2 3 3" xfId="32690"/>
    <cellStyle name="Normal 16 4 3 2 3 3 2" xfId="32691"/>
    <cellStyle name="Normal 16 4 3 2 3 4" xfId="32692"/>
    <cellStyle name="Normal 16 4 3 2 3 5" xfId="32687"/>
    <cellStyle name="Normal 16 4 3 2 4" xfId="32693"/>
    <cellStyle name="Normal 16 4 3 2 4 2" xfId="47709"/>
    <cellStyle name="Normal 16 4 3 2 5" xfId="32694"/>
    <cellStyle name="Normal 16 4 3 2 5 2" xfId="32695"/>
    <cellStyle name="Normal 16 4 3 2 6" xfId="32696"/>
    <cellStyle name="Normal 16 4 3 2 7" xfId="32674"/>
    <cellStyle name="Normal 16 4 3 2_IAS" xfId="32697"/>
    <cellStyle name="Normal 16 4 3 3" xfId="9264"/>
    <cellStyle name="Normal 16 4 3 3 2" xfId="32699"/>
    <cellStyle name="Normal 16 4 3 3 2 2" xfId="32700"/>
    <cellStyle name="Normal 16 4 3 3 2 2 2" xfId="32701"/>
    <cellStyle name="Normal 16 4 3 3 2 3" xfId="32702"/>
    <cellStyle name="Normal 16 4 3 3 2 3 2" xfId="32703"/>
    <cellStyle name="Normal 16 4 3 3 2 4" xfId="32704"/>
    <cellStyle name="Normal 16 4 3 3 3" xfId="32705"/>
    <cellStyle name="Normal 16 4 3 3 3 2" xfId="47710"/>
    <cellStyle name="Normal 16 4 3 3 4" xfId="32706"/>
    <cellStyle name="Normal 16 4 3 3 4 2" xfId="32707"/>
    <cellStyle name="Normal 16 4 3 3 5" xfId="32708"/>
    <cellStyle name="Normal 16 4 3 3 6" xfId="32698"/>
    <cellStyle name="Normal 16 4 3 3_IAS" xfId="32709"/>
    <cellStyle name="Normal 16 4 3 4" xfId="15466"/>
    <cellStyle name="Normal 16 4 3 4 2" xfId="32711"/>
    <cellStyle name="Normal 16 4 3 4 2 2" xfId="32712"/>
    <cellStyle name="Normal 16 4 3 4 3" xfId="32713"/>
    <cellStyle name="Normal 16 4 3 4 3 2" xfId="32714"/>
    <cellStyle name="Normal 16 4 3 4 4" xfId="32715"/>
    <cellStyle name="Normal 16 4 3 4 5" xfId="32710"/>
    <cellStyle name="Normal 16 4 3 5" xfId="32716"/>
    <cellStyle name="Normal 16 4 3 5 2" xfId="47711"/>
    <cellStyle name="Normal 16 4 3 6" xfId="32717"/>
    <cellStyle name="Normal 16 4 3 6 2" xfId="32718"/>
    <cellStyle name="Normal 16 4 3 7" xfId="32719"/>
    <cellStyle name="Normal 16 4 3 8" xfId="32673"/>
    <cellStyle name="Normal 16 4 3_IAS" xfId="32720"/>
    <cellStyle name="Normal 16 4 4" xfId="4089"/>
    <cellStyle name="Normal 16 4 4 2" xfId="10293"/>
    <cellStyle name="Normal 16 4 4 2 2" xfId="47712"/>
    <cellStyle name="Normal 16 4 4 3" xfId="16495"/>
    <cellStyle name="Normal 16 4 4 4" xfId="32721"/>
    <cellStyle name="Normal 16 4 5" xfId="7192"/>
    <cellStyle name="Normal 16 4 5 2" xfId="19373"/>
    <cellStyle name="Normal 16 4 5 2 2" xfId="32724"/>
    <cellStyle name="Normal 16 4 5 2 2 2" xfId="32725"/>
    <cellStyle name="Normal 16 4 5 2 2 2 2" xfId="32726"/>
    <cellStyle name="Normal 16 4 5 2 2 3" xfId="32727"/>
    <cellStyle name="Normal 16 4 5 2 2 3 2" xfId="32728"/>
    <cellStyle name="Normal 16 4 5 2 2 4" xfId="32729"/>
    <cellStyle name="Normal 16 4 5 2 3" xfId="32730"/>
    <cellStyle name="Normal 16 4 5 2 3 2" xfId="47713"/>
    <cellStyle name="Normal 16 4 5 2 4" xfId="32731"/>
    <cellStyle name="Normal 16 4 5 2 4 2" xfId="32732"/>
    <cellStyle name="Normal 16 4 5 2 5" xfId="32733"/>
    <cellStyle name="Normal 16 4 5 2 6" xfId="32723"/>
    <cellStyle name="Normal 16 4 5 2_IAS" xfId="32734"/>
    <cellStyle name="Normal 16 4 5 3" xfId="32735"/>
    <cellStyle name="Normal 16 4 5 3 2" xfId="32736"/>
    <cellStyle name="Normal 16 4 5 3 2 2" xfId="32737"/>
    <cellStyle name="Normal 16 4 5 3 3" xfId="32738"/>
    <cellStyle name="Normal 16 4 5 3 3 2" xfId="32739"/>
    <cellStyle name="Normal 16 4 5 3 4" xfId="32740"/>
    <cellStyle name="Normal 16 4 5 4" xfId="32741"/>
    <cellStyle name="Normal 16 4 5 4 2" xfId="47714"/>
    <cellStyle name="Normal 16 4 5 5" xfId="32742"/>
    <cellStyle name="Normal 16 4 5 5 2" xfId="32743"/>
    <cellStyle name="Normal 16 4 5 6" xfId="32744"/>
    <cellStyle name="Normal 16 4 5 7" xfId="32722"/>
    <cellStyle name="Normal 16 4 5_IAS" xfId="32745"/>
    <cellStyle name="Normal 16 4 6" xfId="13394"/>
    <cellStyle name="Normal 16 4 6 2" xfId="32747"/>
    <cellStyle name="Normal 16 4 6 2 2" xfId="32748"/>
    <cellStyle name="Normal 16 4 6 2 2 2" xfId="32749"/>
    <cellStyle name="Normal 16 4 6 2 3" xfId="32750"/>
    <cellStyle name="Normal 16 4 6 2 3 2" xfId="32751"/>
    <cellStyle name="Normal 16 4 6 2 4" xfId="32752"/>
    <cellStyle name="Normal 16 4 6 3" xfId="32753"/>
    <cellStyle name="Normal 16 4 6 3 2" xfId="47715"/>
    <cellStyle name="Normal 16 4 6 4" xfId="32754"/>
    <cellStyle name="Normal 16 4 6 4 2" xfId="32755"/>
    <cellStyle name="Normal 16 4 6 5" xfId="32756"/>
    <cellStyle name="Normal 16 4 6 6" xfId="32746"/>
    <cellStyle name="Normal 16 4 6_IAS" xfId="32757"/>
    <cellStyle name="Normal 16 4 7" xfId="32758"/>
    <cellStyle name="Normal 16 4 7 2" xfId="32759"/>
    <cellStyle name="Normal 16 4 7 2 2" xfId="32760"/>
    <cellStyle name="Normal 16 4 7 3" xfId="32761"/>
    <cellStyle name="Normal 16 4 7 3 2" xfId="32762"/>
    <cellStyle name="Normal 16 4 7 4" xfId="32763"/>
    <cellStyle name="Normal 16 4 8" xfId="32764"/>
    <cellStyle name="Normal 16 4 8 2" xfId="32765"/>
    <cellStyle name="Normal 16 4 8 2 2" xfId="32766"/>
    <cellStyle name="Normal 16 4 8 3" xfId="32767"/>
    <cellStyle name="Normal 16 4 9" xfId="32768"/>
    <cellStyle name="Normal 16 4 9 2" xfId="32769"/>
    <cellStyle name="Normal 16 4 9 2 2" xfId="32770"/>
    <cellStyle name="Normal 16 4 9 3" xfId="32771"/>
    <cellStyle name="Normal 16 4_IAS" xfId="32772"/>
    <cellStyle name="Normal 16 5" xfId="32773"/>
    <cellStyle name="Normal 16 5 2" xfId="47716"/>
    <cellStyle name="Normal 16 6" xfId="32774"/>
    <cellStyle name="Normal 16 6 2" xfId="47717"/>
    <cellStyle name="Normal 16 7" xfId="32775"/>
    <cellStyle name="Normal 16 7 2" xfId="47718"/>
    <cellStyle name="Normal 16 8" xfId="32776"/>
    <cellStyle name="Normal 16 8 2" xfId="47719"/>
    <cellStyle name="Normal 16 9" xfId="32777"/>
    <cellStyle name="Normal 16 9 2" xfId="47720"/>
    <cellStyle name="Normal 16_AGF" xfId="32778"/>
    <cellStyle name="Normal 160" xfId="32779"/>
    <cellStyle name="Normal 160 2" xfId="47721"/>
    <cellStyle name="Normal 161" xfId="32780"/>
    <cellStyle name="Normal 161 2" xfId="32781"/>
    <cellStyle name="Normal 161 2 2" xfId="32782"/>
    <cellStyle name="Normal 161 3" xfId="32783"/>
    <cellStyle name="Normal 162" xfId="32784"/>
    <cellStyle name="Normal 162 2" xfId="32785"/>
    <cellStyle name="Normal 162 2 2" xfId="32786"/>
    <cellStyle name="Normal 162 3" xfId="32787"/>
    <cellStyle name="Normal 163" xfId="32788"/>
    <cellStyle name="Normal 163 2" xfId="47722"/>
    <cellStyle name="Normal 164" xfId="32789"/>
    <cellStyle name="Normal 164 2" xfId="32790"/>
    <cellStyle name="Normal 164 2 2" xfId="32791"/>
    <cellStyle name="Normal 164 2 2 2" xfId="32792"/>
    <cellStyle name="Normal 164 2 3" xfId="32793"/>
    <cellStyle name="Normal 164 3" xfId="32794"/>
    <cellStyle name="Normal 164 3 2" xfId="32795"/>
    <cellStyle name="Normal 164 4" xfId="32796"/>
    <cellStyle name="Normal 165" xfId="32797"/>
    <cellStyle name="Normal 165 2" xfId="47723"/>
    <cellStyle name="Normal 166" xfId="32798"/>
    <cellStyle name="Normal 166 2" xfId="47724"/>
    <cellStyle name="Normal 167" xfId="32799"/>
    <cellStyle name="Normal 167 2" xfId="47725"/>
    <cellStyle name="Normal 168" xfId="32800"/>
    <cellStyle name="Normal 168 2" xfId="47726"/>
    <cellStyle name="Normal 169" xfId="32801"/>
    <cellStyle name="Normal 169 2" xfId="47727"/>
    <cellStyle name="Normal 17" xfId="871"/>
    <cellStyle name="Normal 17 10" xfId="4090"/>
    <cellStyle name="Normal 17 10 2" xfId="10294"/>
    <cellStyle name="Normal 17 10 3" xfId="16496"/>
    <cellStyle name="Normal 17 10 4" xfId="55454"/>
    <cellStyle name="Normal 17 11" xfId="7193"/>
    <cellStyle name="Normal 17 11 2" xfId="18873"/>
    <cellStyle name="Normal 17 12" xfId="13395"/>
    <cellStyle name="Normal 17 13" xfId="19960"/>
    <cellStyle name="Normal 17 2" xfId="872"/>
    <cellStyle name="Normal 17 2 10" xfId="13396"/>
    <cellStyle name="Normal 17 2 11" xfId="32802"/>
    <cellStyle name="Normal 17 2 2" xfId="873"/>
    <cellStyle name="Normal 17 2 2 10" xfId="32803"/>
    <cellStyle name="Normal 17 2 2 2" xfId="874"/>
    <cellStyle name="Normal 17 2 2 2 2" xfId="875"/>
    <cellStyle name="Normal 17 2 2 2 2 2" xfId="876"/>
    <cellStyle name="Normal 17 2 2 2 2 2 2" xfId="2279"/>
    <cellStyle name="Normal 17 2 2 2 2 2 2 2" xfId="5404"/>
    <cellStyle name="Normal 17 2 2 2 2 2 2 2 2" xfId="11607"/>
    <cellStyle name="Normal 17 2 2 2 2 2 2 2 3" xfId="17809"/>
    <cellStyle name="Normal 17 2 2 2 2 2 2 2 4" xfId="56640"/>
    <cellStyle name="Normal 17 2 2 2 2 2 2 3" xfId="8507"/>
    <cellStyle name="Normal 17 2 2 2 2 2 2 4" xfId="14709"/>
    <cellStyle name="Normal 17 2 2 2 2 2 2 5" xfId="53744"/>
    <cellStyle name="Normal 17 2 2 2 2 2 3" xfId="3055"/>
    <cellStyle name="Normal 17 2 2 2 2 2 3 2" xfId="6167"/>
    <cellStyle name="Normal 17 2 2 2 2 2 3 2 2" xfId="12370"/>
    <cellStyle name="Normal 17 2 2 2 2 2 3 2 3" xfId="18572"/>
    <cellStyle name="Normal 17 2 2 2 2 2 3 2 4" xfId="57397"/>
    <cellStyle name="Normal 17 2 2 2 2 2 3 3" xfId="9270"/>
    <cellStyle name="Normal 17 2 2 2 2 2 3 4" xfId="15472"/>
    <cellStyle name="Normal 17 2 2 2 2 2 3 5" xfId="54506"/>
    <cellStyle name="Normal 17 2 2 2 2 2 4" xfId="4095"/>
    <cellStyle name="Normal 17 2 2 2 2 2 4 2" xfId="10299"/>
    <cellStyle name="Normal 17 2 2 2 2 2 4 3" xfId="16501"/>
    <cellStyle name="Normal 17 2 2 2 2 2 4 4" xfId="55459"/>
    <cellStyle name="Normal 17 2 2 2 2 2 5" xfId="7198"/>
    <cellStyle name="Normal 17 2 2 2 2 2 5 2" xfId="19880"/>
    <cellStyle name="Normal 17 2 2 2 2 2 6" xfId="13400"/>
    <cellStyle name="Normal 17 2 2 2 2 2 7" xfId="52658"/>
    <cellStyle name="Normal 17 2 2 2 2 3" xfId="1755"/>
    <cellStyle name="Normal 17 2 2 2 2 3 2" xfId="4880"/>
    <cellStyle name="Normal 17 2 2 2 2 3 2 2" xfId="11083"/>
    <cellStyle name="Normal 17 2 2 2 2 3 2 3" xfId="17285"/>
    <cellStyle name="Normal 17 2 2 2 2 3 2 4" xfId="56151"/>
    <cellStyle name="Normal 17 2 2 2 2 3 3" xfId="7983"/>
    <cellStyle name="Normal 17 2 2 2 2 3 4" xfId="14185"/>
    <cellStyle name="Normal 17 2 2 2 2 3 5" xfId="53259"/>
    <cellStyle name="Normal 17 2 2 2 2 4" xfId="3054"/>
    <cellStyle name="Normal 17 2 2 2 2 4 2" xfId="6166"/>
    <cellStyle name="Normal 17 2 2 2 2 4 2 2" xfId="12369"/>
    <cellStyle name="Normal 17 2 2 2 2 4 2 3" xfId="18571"/>
    <cellStyle name="Normal 17 2 2 2 2 4 2 4" xfId="57396"/>
    <cellStyle name="Normal 17 2 2 2 2 4 3" xfId="9269"/>
    <cellStyle name="Normal 17 2 2 2 2 4 4" xfId="15471"/>
    <cellStyle name="Normal 17 2 2 2 2 4 5" xfId="54505"/>
    <cellStyle name="Normal 17 2 2 2 2 5" xfId="4094"/>
    <cellStyle name="Normal 17 2 2 2 2 5 2" xfId="10298"/>
    <cellStyle name="Normal 17 2 2 2 2 5 3" xfId="16500"/>
    <cellStyle name="Normal 17 2 2 2 2 5 4" xfId="55458"/>
    <cellStyle name="Normal 17 2 2 2 2 6" xfId="7197"/>
    <cellStyle name="Normal 17 2 2 2 2 6 2" xfId="19356"/>
    <cellStyle name="Normal 17 2 2 2 2 7" xfId="13399"/>
    <cellStyle name="Normal 17 2 2 2 2 8" xfId="52152"/>
    <cellStyle name="Normal 17 2 2 2 3" xfId="877"/>
    <cellStyle name="Normal 17 2 2 2 3 2" xfId="2034"/>
    <cellStyle name="Normal 17 2 2 2 3 2 2" xfId="5159"/>
    <cellStyle name="Normal 17 2 2 2 3 2 2 2" xfId="11362"/>
    <cellStyle name="Normal 17 2 2 2 3 2 2 3" xfId="17564"/>
    <cellStyle name="Normal 17 2 2 2 3 2 2 4" xfId="56413"/>
    <cellStyle name="Normal 17 2 2 2 3 2 3" xfId="8262"/>
    <cellStyle name="Normal 17 2 2 2 3 2 4" xfId="14464"/>
    <cellStyle name="Normal 17 2 2 2 3 2 5" xfId="53518"/>
    <cellStyle name="Normal 17 2 2 2 3 3" xfId="3056"/>
    <cellStyle name="Normal 17 2 2 2 3 3 2" xfId="6168"/>
    <cellStyle name="Normal 17 2 2 2 3 3 2 2" xfId="12371"/>
    <cellStyle name="Normal 17 2 2 2 3 3 2 3" xfId="18573"/>
    <cellStyle name="Normal 17 2 2 2 3 3 2 4" xfId="57398"/>
    <cellStyle name="Normal 17 2 2 2 3 3 3" xfId="9271"/>
    <cellStyle name="Normal 17 2 2 2 3 3 4" xfId="15473"/>
    <cellStyle name="Normal 17 2 2 2 3 3 5" xfId="54507"/>
    <cellStyle name="Normal 17 2 2 2 3 4" xfId="4096"/>
    <cellStyle name="Normal 17 2 2 2 3 4 2" xfId="10300"/>
    <cellStyle name="Normal 17 2 2 2 3 4 3" xfId="16502"/>
    <cellStyle name="Normal 17 2 2 2 3 4 4" xfId="55460"/>
    <cellStyle name="Normal 17 2 2 2 3 5" xfId="7199"/>
    <cellStyle name="Normal 17 2 2 2 3 5 2" xfId="19635"/>
    <cellStyle name="Normal 17 2 2 2 3 6" xfId="13401"/>
    <cellStyle name="Normal 17 2 2 2 3 7" xfId="52659"/>
    <cellStyle name="Normal 17 2 2 2 4" xfId="1510"/>
    <cellStyle name="Normal 17 2 2 2 4 2" xfId="4635"/>
    <cellStyle name="Normal 17 2 2 2 4 2 2" xfId="10838"/>
    <cellStyle name="Normal 17 2 2 2 4 2 3" xfId="17040"/>
    <cellStyle name="Normal 17 2 2 2 4 2 4" xfId="55918"/>
    <cellStyle name="Normal 17 2 2 2 4 3" xfId="7738"/>
    <cellStyle name="Normal 17 2 2 2 4 4" xfId="13940"/>
    <cellStyle name="Normal 17 2 2 2 4 5" xfId="53034"/>
    <cellStyle name="Normal 17 2 2 2 5" xfId="3053"/>
    <cellStyle name="Normal 17 2 2 2 5 2" xfId="6165"/>
    <cellStyle name="Normal 17 2 2 2 5 2 2" xfId="12368"/>
    <cellStyle name="Normal 17 2 2 2 5 2 3" xfId="18570"/>
    <cellStyle name="Normal 17 2 2 2 5 2 4" xfId="57395"/>
    <cellStyle name="Normal 17 2 2 2 5 3" xfId="9268"/>
    <cellStyle name="Normal 17 2 2 2 5 4" xfId="15470"/>
    <cellStyle name="Normal 17 2 2 2 5 5" xfId="54504"/>
    <cellStyle name="Normal 17 2 2 2 6" xfId="4093"/>
    <cellStyle name="Normal 17 2 2 2 6 2" xfId="10297"/>
    <cellStyle name="Normal 17 2 2 2 6 3" xfId="16499"/>
    <cellStyle name="Normal 17 2 2 2 6 4" xfId="55457"/>
    <cellStyle name="Normal 17 2 2 2 7" xfId="7196"/>
    <cellStyle name="Normal 17 2 2 2 7 2" xfId="19111"/>
    <cellStyle name="Normal 17 2 2 2 8" xfId="13398"/>
    <cellStyle name="Normal 17 2 2 2 9" xfId="47730"/>
    <cellStyle name="Normal 17 2 2 3" xfId="878"/>
    <cellStyle name="Normal 17 2 2 3 2" xfId="879"/>
    <cellStyle name="Normal 17 2 2 3 2 2" xfId="2151"/>
    <cellStyle name="Normal 17 2 2 3 2 2 2" xfId="5276"/>
    <cellStyle name="Normal 17 2 2 3 2 2 2 2" xfId="11479"/>
    <cellStyle name="Normal 17 2 2 3 2 2 2 3" xfId="17681"/>
    <cellStyle name="Normal 17 2 2 3 2 2 2 4" xfId="56521"/>
    <cellStyle name="Normal 17 2 2 3 2 2 3" xfId="8379"/>
    <cellStyle name="Normal 17 2 2 3 2 2 4" xfId="14581"/>
    <cellStyle name="Normal 17 2 2 3 2 2 5" xfId="53625"/>
    <cellStyle name="Normal 17 2 2 3 2 3" xfId="3058"/>
    <cellStyle name="Normal 17 2 2 3 2 3 2" xfId="6170"/>
    <cellStyle name="Normal 17 2 2 3 2 3 2 2" xfId="12373"/>
    <cellStyle name="Normal 17 2 2 3 2 3 2 3" xfId="18575"/>
    <cellStyle name="Normal 17 2 2 3 2 3 2 4" xfId="57400"/>
    <cellStyle name="Normal 17 2 2 3 2 3 3" xfId="9273"/>
    <cellStyle name="Normal 17 2 2 3 2 3 4" xfId="15475"/>
    <cellStyle name="Normal 17 2 2 3 2 3 5" xfId="54509"/>
    <cellStyle name="Normal 17 2 2 3 2 4" xfId="4098"/>
    <cellStyle name="Normal 17 2 2 3 2 4 2" xfId="10302"/>
    <cellStyle name="Normal 17 2 2 3 2 4 3" xfId="16504"/>
    <cellStyle name="Normal 17 2 2 3 2 4 4" xfId="55462"/>
    <cellStyle name="Normal 17 2 2 3 2 5" xfId="7201"/>
    <cellStyle name="Normal 17 2 2 3 2 5 2" xfId="19752"/>
    <cellStyle name="Normal 17 2 2 3 2 6" xfId="13403"/>
    <cellStyle name="Normal 17 2 2 3 2 7" xfId="52661"/>
    <cellStyle name="Normal 17 2 2 3 3" xfId="1627"/>
    <cellStyle name="Normal 17 2 2 3 3 2" xfId="4752"/>
    <cellStyle name="Normal 17 2 2 3 3 2 2" xfId="10955"/>
    <cellStyle name="Normal 17 2 2 3 3 2 3" xfId="17157"/>
    <cellStyle name="Normal 17 2 2 3 3 2 4" xfId="56029"/>
    <cellStyle name="Normal 17 2 2 3 3 3" xfId="7855"/>
    <cellStyle name="Normal 17 2 2 3 3 4" xfId="14057"/>
    <cellStyle name="Normal 17 2 2 3 3 5" xfId="53140"/>
    <cellStyle name="Normal 17 2 2 3 4" xfId="3057"/>
    <cellStyle name="Normal 17 2 2 3 4 2" xfId="6169"/>
    <cellStyle name="Normal 17 2 2 3 4 2 2" xfId="12372"/>
    <cellStyle name="Normal 17 2 2 3 4 2 3" xfId="18574"/>
    <cellStyle name="Normal 17 2 2 3 4 2 4" xfId="57399"/>
    <cellStyle name="Normal 17 2 2 3 4 3" xfId="9272"/>
    <cellStyle name="Normal 17 2 2 3 4 4" xfId="15474"/>
    <cellStyle name="Normal 17 2 2 3 4 5" xfId="54508"/>
    <cellStyle name="Normal 17 2 2 3 5" xfId="4097"/>
    <cellStyle name="Normal 17 2 2 3 5 2" xfId="10301"/>
    <cellStyle name="Normal 17 2 2 3 5 3" xfId="16503"/>
    <cellStyle name="Normal 17 2 2 3 5 4" xfId="55461"/>
    <cellStyle name="Normal 17 2 2 3 6" xfId="7200"/>
    <cellStyle name="Normal 17 2 2 3 6 2" xfId="19228"/>
    <cellStyle name="Normal 17 2 2 3 7" xfId="13402"/>
    <cellStyle name="Normal 17 2 2 3 8" xfId="52660"/>
    <cellStyle name="Normal 17 2 2 4" xfId="880"/>
    <cellStyle name="Normal 17 2 2 4 2" xfId="1892"/>
    <cellStyle name="Normal 17 2 2 4 2 2" xfId="5017"/>
    <cellStyle name="Normal 17 2 2 4 2 2 2" xfId="11220"/>
    <cellStyle name="Normal 17 2 2 4 2 2 3" xfId="17422"/>
    <cellStyle name="Normal 17 2 2 4 2 2 4" xfId="56279"/>
    <cellStyle name="Normal 17 2 2 4 2 3" xfId="8120"/>
    <cellStyle name="Normal 17 2 2 4 2 4" xfId="14322"/>
    <cellStyle name="Normal 17 2 2 4 2 5" xfId="53385"/>
    <cellStyle name="Normal 17 2 2 4 3" xfId="3059"/>
    <cellStyle name="Normal 17 2 2 4 3 2" xfId="6171"/>
    <cellStyle name="Normal 17 2 2 4 3 2 2" xfId="12374"/>
    <cellStyle name="Normal 17 2 2 4 3 2 3" xfId="18576"/>
    <cellStyle name="Normal 17 2 2 4 3 2 4" xfId="57401"/>
    <cellStyle name="Normal 17 2 2 4 3 3" xfId="9274"/>
    <cellStyle name="Normal 17 2 2 4 3 4" xfId="15476"/>
    <cellStyle name="Normal 17 2 2 4 3 5" xfId="54510"/>
    <cellStyle name="Normal 17 2 2 4 4" xfId="4099"/>
    <cellStyle name="Normal 17 2 2 4 4 2" xfId="10303"/>
    <cellStyle name="Normal 17 2 2 4 4 3" xfId="16505"/>
    <cellStyle name="Normal 17 2 2 4 4 4" xfId="55463"/>
    <cellStyle name="Normal 17 2 2 4 5" xfId="7202"/>
    <cellStyle name="Normal 17 2 2 4 5 2" xfId="19493"/>
    <cellStyle name="Normal 17 2 2 4 6" xfId="13404"/>
    <cellStyle name="Normal 17 2 2 4 7" xfId="52662"/>
    <cellStyle name="Normal 17 2 2 5" xfId="1368"/>
    <cellStyle name="Normal 17 2 2 5 2" xfId="4493"/>
    <cellStyle name="Normal 17 2 2 5 2 2" xfId="10696"/>
    <cellStyle name="Normal 17 2 2 5 2 3" xfId="16898"/>
    <cellStyle name="Normal 17 2 2 5 2 4" xfId="55783"/>
    <cellStyle name="Normal 17 2 2 5 3" xfId="7596"/>
    <cellStyle name="Normal 17 2 2 5 4" xfId="13798"/>
    <cellStyle name="Normal 17 2 2 5 5" xfId="52908"/>
    <cellStyle name="Normal 17 2 2 6" xfId="3052"/>
    <cellStyle name="Normal 17 2 2 6 2" xfId="6164"/>
    <cellStyle name="Normal 17 2 2 6 2 2" xfId="12367"/>
    <cellStyle name="Normal 17 2 2 6 2 3" xfId="18569"/>
    <cellStyle name="Normal 17 2 2 6 2 4" xfId="57394"/>
    <cellStyle name="Normal 17 2 2 6 3" xfId="9267"/>
    <cellStyle name="Normal 17 2 2 6 4" xfId="15469"/>
    <cellStyle name="Normal 17 2 2 6 5" xfId="54503"/>
    <cellStyle name="Normal 17 2 2 7" xfId="4092"/>
    <cellStyle name="Normal 17 2 2 7 2" xfId="10296"/>
    <cellStyle name="Normal 17 2 2 7 3" xfId="16498"/>
    <cellStyle name="Normal 17 2 2 7 4" xfId="55456"/>
    <cellStyle name="Normal 17 2 2 8" xfId="7195"/>
    <cellStyle name="Normal 17 2 2 8 2" xfId="18969"/>
    <cellStyle name="Normal 17 2 2 9" xfId="13397"/>
    <cellStyle name="Normal 17 2 3" xfId="881"/>
    <cellStyle name="Normal 17 2 3 2" xfId="882"/>
    <cellStyle name="Normal 17 2 3 2 2" xfId="883"/>
    <cellStyle name="Normal 17 2 3 2 2 2" xfId="2211"/>
    <cellStyle name="Normal 17 2 3 2 2 2 2" xfId="5336"/>
    <cellStyle name="Normal 17 2 3 2 2 2 2 2" xfId="11539"/>
    <cellStyle name="Normal 17 2 3 2 2 2 2 3" xfId="17741"/>
    <cellStyle name="Normal 17 2 3 2 2 2 2 4" xfId="56577"/>
    <cellStyle name="Normal 17 2 3 2 2 2 3" xfId="8439"/>
    <cellStyle name="Normal 17 2 3 2 2 2 4" xfId="14641"/>
    <cellStyle name="Normal 17 2 3 2 2 2 5" xfId="53681"/>
    <cellStyle name="Normal 17 2 3 2 2 3" xfId="3062"/>
    <cellStyle name="Normal 17 2 3 2 2 3 2" xfId="6174"/>
    <cellStyle name="Normal 17 2 3 2 2 3 2 2" xfId="12377"/>
    <cellStyle name="Normal 17 2 3 2 2 3 2 3" xfId="18579"/>
    <cellStyle name="Normal 17 2 3 2 2 3 2 4" xfId="57404"/>
    <cellStyle name="Normal 17 2 3 2 2 3 3" xfId="9277"/>
    <cellStyle name="Normal 17 2 3 2 2 3 4" xfId="15479"/>
    <cellStyle name="Normal 17 2 3 2 2 3 5" xfId="54513"/>
    <cellStyle name="Normal 17 2 3 2 2 4" xfId="4102"/>
    <cellStyle name="Normal 17 2 3 2 2 4 2" xfId="10306"/>
    <cellStyle name="Normal 17 2 3 2 2 4 3" xfId="16508"/>
    <cellStyle name="Normal 17 2 3 2 2 4 4" xfId="55466"/>
    <cellStyle name="Normal 17 2 3 2 2 5" xfId="7205"/>
    <cellStyle name="Normal 17 2 3 2 2 5 2" xfId="19812"/>
    <cellStyle name="Normal 17 2 3 2 2 6" xfId="13407"/>
    <cellStyle name="Normal 17 2 3 2 2 7" xfId="52664"/>
    <cellStyle name="Normal 17 2 3 2 3" xfId="1687"/>
    <cellStyle name="Normal 17 2 3 2 3 2" xfId="4812"/>
    <cellStyle name="Normal 17 2 3 2 3 2 2" xfId="11015"/>
    <cellStyle name="Normal 17 2 3 2 3 2 3" xfId="17217"/>
    <cellStyle name="Normal 17 2 3 2 3 2 4" xfId="56086"/>
    <cellStyle name="Normal 17 2 3 2 3 3" xfId="7915"/>
    <cellStyle name="Normal 17 2 3 2 3 4" xfId="14117"/>
    <cellStyle name="Normal 17 2 3 2 3 5" xfId="53196"/>
    <cellStyle name="Normal 17 2 3 2 4" xfId="3061"/>
    <cellStyle name="Normal 17 2 3 2 4 2" xfId="6173"/>
    <cellStyle name="Normal 17 2 3 2 4 2 2" xfId="12376"/>
    <cellStyle name="Normal 17 2 3 2 4 2 3" xfId="18578"/>
    <cellStyle name="Normal 17 2 3 2 4 2 4" xfId="57403"/>
    <cellStyle name="Normal 17 2 3 2 4 3" xfId="9276"/>
    <cellStyle name="Normal 17 2 3 2 4 4" xfId="15478"/>
    <cellStyle name="Normal 17 2 3 2 4 5" xfId="54512"/>
    <cellStyle name="Normal 17 2 3 2 5" xfId="4101"/>
    <cellStyle name="Normal 17 2 3 2 5 2" xfId="10305"/>
    <cellStyle name="Normal 17 2 3 2 5 3" xfId="16507"/>
    <cellStyle name="Normal 17 2 3 2 5 4" xfId="55465"/>
    <cellStyle name="Normal 17 2 3 2 6" xfId="7204"/>
    <cellStyle name="Normal 17 2 3 2 6 2" xfId="19288"/>
    <cellStyle name="Normal 17 2 3 2 6 3" xfId="52663"/>
    <cellStyle name="Normal 17 2 3 2 7" xfId="13406"/>
    <cellStyle name="Normal 17 2 3 2 8" xfId="47731"/>
    <cellStyle name="Normal 17 2 3 3" xfId="884"/>
    <cellStyle name="Normal 17 2 3 3 2" xfId="1966"/>
    <cellStyle name="Normal 17 2 3 3 2 2" xfId="5091"/>
    <cellStyle name="Normal 17 2 3 3 2 2 2" xfId="11294"/>
    <cellStyle name="Normal 17 2 3 3 2 2 3" xfId="17496"/>
    <cellStyle name="Normal 17 2 3 3 2 2 4" xfId="56350"/>
    <cellStyle name="Normal 17 2 3 3 2 3" xfId="8194"/>
    <cellStyle name="Normal 17 2 3 3 2 4" xfId="14396"/>
    <cellStyle name="Normal 17 2 3 3 2 5" xfId="53456"/>
    <cellStyle name="Normal 17 2 3 3 3" xfId="3063"/>
    <cellStyle name="Normal 17 2 3 3 3 2" xfId="6175"/>
    <cellStyle name="Normal 17 2 3 3 3 2 2" xfId="12378"/>
    <cellStyle name="Normal 17 2 3 3 3 2 3" xfId="18580"/>
    <cellStyle name="Normal 17 2 3 3 3 2 4" xfId="57405"/>
    <cellStyle name="Normal 17 2 3 3 3 3" xfId="9278"/>
    <cellStyle name="Normal 17 2 3 3 3 4" xfId="15480"/>
    <cellStyle name="Normal 17 2 3 3 3 5" xfId="54514"/>
    <cellStyle name="Normal 17 2 3 3 4" xfId="4103"/>
    <cellStyle name="Normal 17 2 3 3 4 2" xfId="10307"/>
    <cellStyle name="Normal 17 2 3 3 4 3" xfId="16509"/>
    <cellStyle name="Normal 17 2 3 3 4 4" xfId="55467"/>
    <cellStyle name="Normal 17 2 3 3 5" xfId="7206"/>
    <cellStyle name="Normal 17 2 3 3 5 2" xfId="19567"/>
    <cellStyle name="Normal 17 2 3 3 6" xfId="13408"/>
    <cellStyle name="Normal 17 2 3 3 7" xfId="52665"/>
    <cellStyle name="Normal 17 2 3 4" xfId="1442"/>
    <cellStyle name="Normal 17 2 3 4 2" xfId="4567"/>
    <cellStyle name="Normal 17 2 3 4 2 2" xfId="10770"/>
    <cellStyle name="Normal 17 2 3 4 2 3" xfId="16972"/>
    <cellStyle name="Normal 17 2 3 4 2 4" xfId="55854"/>
    <cellStyle name="Normal 17 2 3 4 3" xfId="7670"/>
    <cellStyle name="Normal 17 2 3 4 4" xfId="13872"/>
    <cellStyle name="Normal 17 2 3 4 5" xfId="52972"/>
    <cellStyle name="Normal 17 2 3 5" xfId="3060"/>
    <cellStyle name="Normal 17 2 3 5 2" xfId="6172"/>
    <cellStyle name="Normal 17 2 3 5 2 2" xfId="12375"/>
    <cellStyle name="Normal 17 2 3 5 2 3" xfId="18577"/>
    <cellStyle name="Normal 17 2 3 5 2 4" xfId="57402"/>
    <cellStyle name="Normal 17 2 3 5 3" xfId="9275"/>
    <cellStyle name="Normal 17 2 3 5 4" xfId="15477"/>
    <cellStyle name="Normal 17 2 3 5 5" xfId="54511"/>
    <cellStyle name="Normal 17 2 3 6" xfId="4100"/>
    <cellStyle name="Normal 17 2 3 6 2" xfId="10304"/>
    <cellStyle name="Normal 17 2 3 6 3" xfId="16506"/>
    <cellStyle name="Normal 17 2 3 6 4" xfId="55464"/>
    <cellStyle name="Normal 17 2 3 7" xfId="7203"/>
    <cellStyle name="Normal 17 2 3 7 2" xfId="19043"/>
    <cellStyle name="Normal 17 2 3 8" xfId="13405"/>
    <cellStyle name="Normal 17 2 3 9" xfId="32804"/>
    <cellStyle name="Normal 17 2 4" xfId="885"/>
    <cellStyle name="Normal 17 2 4 2" xfId="886"/>
    <cellStyle name="Normal 17 2 4 2 2" xfId="2095"/>
    <cellStyle name="Normal 17 2 4 2 2 2" xfId="5220"/>
    <cellStyle name="Normal 17 2 4 2 2 2 2" xfId="11423"/>
    <cellStyle name="Normal 17 2 4 2 2 2 3" xfId="17625"/>
    <cellStyle name="Normal 17 2 4 2 2 2 4" xfId="56469"/>
    <cellStyle name="Normal 17 2 4 2 2 3" xfId="8323"/>
    <cellStyle name="Normal 17 2 4 2 2 4" xfId="14525"/>
    <cellStyle name="Normal 17 2 4 2 2 5" xfId="53573"/>
    <cellStyle name="Normal 17 2 4 2 3" xfId="3065"/>
    <cellStyle name="Normal 17 2 4 2 3 2" xfId="6177"/>
    <cellStyle name="Normal 17 2 4 2 3 2 2" xfId="12380"/>
    <cellStyle name="Normal 17 2 4 2 3 2 3" xfId="18582"/>
    <cellStyle name="Normal 17 2 4 2 3 2 4" xfId="57407"/>
    <cellStyle name="Normal 17 2 4 2 3 3" xfId="9280"/>
    <cellStyle name="Normal 17 2 4 2 3 4" xfId="15482"/>
    <cellStyle name="Normal 17 2 4 2 3 5" xfId="54516"/>
    <cellStyle name="Normal 17 2 4 2 4" xfId="4105"/>
    <cellStyle name="Normal 17 2 4 2 4 2" xfId="10309"/>
    <cellStyle name="Normal 17 2 4 2 4 3" xfId="16511"/>
    <cellStyle name="Normal 17 2 4 2 4 4" xfId="55469"/>
    <cellStyle name="Normal 17 2 4 2 5" xfId="7208"/>
    <cellStyle name="Normal 17 2 4 2 5 2" xfId="19696"/>
    <cellStyle name="Normal 17 2 4 2 6" xfId="13410"/>
    <cellStyle name="Normal 17 2 4 2 7" xfId="52667"/>
    <cellStyle name="Normal 17 2 4 3" xfId="1571"/>
    <cellStyle name="Normal 17 2 4 3 2" xfId="4696"/>
    <cellStyle name="Normal 17 2 4 3 2 2" xfId="10899"/>
    <cellStyle name="Normal 17 2 4 3 2 3" xfId="17101"/>
    <cellStyle name="Normal 17 2 4 3 2 4" xfId="55975"/>
    <cellStyle name="Normal 17 2 4 3 3" xfId="7799"/>
    <cellStyle name="Normal 17 2 4 3 4" xfId="14001"/>
    <cellStyle name="Normal 17 2 4 3 5" xfId="53088"/>
    <cellStyle name="Normal 17 2 4 4" xfId="3064"/>
    <cellStyle name="Normal 17 2 4 4 2" xfId="6176"/>
    <cellStyle name="Normal 17 2 4 4 2 2" xfId="12379"/>
    <cellStyle name="Normal 17 2 4 4 2 3" xfId="18581"/>
    <cellStyle name="Normal 17 2 4 4 2 4" xfId="57406"/>
    <cellStyle name="Normal 17 2 4 4 3" xfId="9279"/>
    <cellStyle name="Normal 17 2 4 4 4" xfId="15481"/>
    <cellStyle name="Normal 17 2 4 4 5" xfId="54515"/>
    <cellStyle name="Normal 17 2 4 5" xfId="4104"/>
    <cellStyle name="Normal 17 2 4 5 2" xfId="10308"/>
    <cellStyle name="Normal 17 2 4 5 3" xfId="16510"/>
    <cellStyle name="Normal 17 2 4 5 4" xfId="55468"/>
    <cellStyle name="Normal 17 2 4 6" xfId="7207"/>
    <cellStyle name="Normal 17 2 4 6 2" xfId="19172"/>
    <cellStyle name="Normal 17 2 4 6 3" xfId="52666"/>
    <cellStyle name="Normal 17 2 4 7" xfId="13409"/>
    <cellStyle name="Normal 17 2 4 8" xfId="47729"/>
    <cellStyle name="Normal 17 2 5" xfId="887"/>
    <cellStyle name="Normal 17 2 5 2" xfId="1825"/>
    <cellStyle name="Normal 17 2 5 2 2" xfId="4950"/>
    <cellStyle name="Normal 17 2 5 2 2 2" xfId="11153"/>
    <cellStyle name="Normal 17 2 5 2 2 3" xfId="17355"/>
    <cellStyle name="Normal 17 2 5 2 2 4" xfId="56215"/>
    <cellStyle name="Normal 17 2 5 2 3" xfId="8053"/>
    <cellStyle name="Normal 17 2 5 2 4" xfId="14255"/>
    <cellStyle name="Normal 17 2 5 2 5" xfId="53321"/>
    <cellStyle name="Normal 17 2 5 3" xfId="3066"/>
    <cellStyle name="Normal 17 2 5 3 2" xfId="6178"/>
    <cellStyle name="Normal 17 2 5 3 2 2" xfId="12381"/>
    <cellStyle name="Normal 17 2 5 3 2 3" xfId="18583"/>
    <cellStyle name="Normal 17 2 5 3 2 4" xfId="57408"/>
    <cellStyle name="Normal 17 2 5 3 3" xfId="9281"/>
    <cellStyle name="Normal 17 2 5 3 4" xfId="15483"/>
    <cellStyle name="Normal 17 2 5 3 5" xfId="54517"/>
    <cellStyle name="Normal 17 2 5 4" xfId="4106"/>
    <cellStyle name="Normal 17 2 5 4 2" xfId="10310"/>
    <cellStyle name="Normal 17 2 5 4 3" xfId="16512"/>
    <cellStyle name="Normal 17 2 5 4 4" xfId="55470"/>
    <cellStyle name="Normal 17 2 5 5" xfId="7209"/>
    <cellStyle name="Normal 17 2 5 5 2" xfId="19426"/>
    <cellStyle name="Normal 17 2 5 6" xfId="13411"/>
    <cellStyle name="Normal 17 2 5 7" xfId="52668"/>
    <cellStyle name="Normal 17 2 6" xfId="1300"/>
    <cellStyle name="Normal 17 2 6 2" xfId="4425"/>
    <cellStyle name="Normal 17 2 6 2 2" xfId="10628"/>
    <cellStyle name="Normal 17 2 6 2 3" xfId="16830"/>
    <cellStyle name="Normal 17 2 6 2 4" xfId="55718"/>
    <cellStyle name="Normal 17 2 6 3" xfId="7528"/>
    <cellStyle name="Normal 17 2 6 4" xfId="13730"/>
    <cellStyle name="Normal 17 2 6 5" xfId="52847"/>
    <cellStyle name="Normal 17 2 7" xfId="3051"/>
    <cellStyle name="Normal 17 2 7 2" xfId="6163"/>
    <cellStyle name="Normal 17 2 7 2 2" xfId="12366"/>
    <cellStyle name="Normal 17 2 7 2 3" xfId="18568"/>
    <cellStyle name="Normal 17 2 7 2 4" xfId="57393"/>
    <cellStyle name="Normal 17 2 7 3" xfId="9266"/>
    <cellStyle name="Normal 17 2 7 4" xfId="15468"/>
    <cellStyle name="Normal 17 2 7 5" xfId="54502"/>
    <cellStyle name="Normal 17 2 8" xfId="4091"/>
    <cellStyle name="Normal 17 2 8 2" xfId="10295"/>
    <cellStyle name="Normal 17 2 8 3" xfId="16497"/>
    <cellStyle name="Normal 17 2 8 4" xfId="55455"/>
    <cellStyle name="Normal 17 2 9" xfId="7194"/>
    <cellStyle name="Normal 17 2 9 2" xfId="18901"/>
    <cellStyle name="Normal 17 2_Plan by Lob" xfId="32805"/>
    <cellStyle name="Normal 17 3" xfId="888"/>
    <cellStyle name="Normal 17 3 10" xfId="7210"/>
    <cellStyle name="Normal 17 3 10 2" xfId="18874"/>
    <cellStyle name="Normal 17 3 10 2 2" xfId="32808"/>
    <cellStyle name="Normal 17 3 10 2 3" xfId="32807"/>
    <cellStyle name="Normal 17 3 10 3" xfId="32809"/>
    <cellStyle name="Normal 17 3 10 4" xfId="32806"/>
    <cellStyle name="Normal 17 3 11" xfId="13412"/>
    <cellStyle name="Normal 17 3 11 2" xfId="32811"/>
    <cellStyle name="Normal 17 3 11 2 2" xfId="32812"/>
    <cellStyle name="Normal 17 3 11 3" xfId="32813"/>
    <cellStyle name="Normal 17 3 11 4" xfId="32810"/>
    <cellStyle name="Normal 17 3 12" xfId="32814"/>
    <cellStyle name="Normal 17 3 12 2" xfId="32815"/>
    <cellStyle name="Normal 17 3 13" xfId="32816"/>
    <cellStyle name="Normal 17 3 13 2" xfId="32817"/>
    <cellStyle name="Normal 17 3 14" xfId="32818"/>
    <cellStyle name="Normal 17 3 15" xfId="32819"/>
    <cellStyle name="Normal 17 3 16" xfId="32820"/>
    <cellStyle name="Normal 17 3 17" xfId="19961"/>
    <cellStyle name="Normal 17 3 2" xfId="889"/>
    <cellStyle name="Normal 17 3 2 10" xfId="13413"/>
    <cellStyle name="Normal 17 3 2 10 2" xfId="32823"/>
    <cellStyle name="Normal 17 3 2 10 2 2" xfId="32824"/>
    <cellStyle name="Normal 17 3 2 10 3" xfId="32825"/>
    <cellStyle name="Normal 17 3 2 10 4" xfId="32822"/>
    <cellStyle name="Normal 17 3 2 11" xfId="32826"/>
    <cellStyle name="Normal 17 3 2 11 2" xfId="32827"/>
    <cellStyle name="Normal 17 3 2 12" xfId="32828"/>
    <cellStyle name="Normal 17 3 2 12 2" xfId="32829"/>
    <cellStyle name="Normal 17 3 2 13" xfId="32830"/>
    <cellStyle name="Normal 17 3 2 14" xfId="32831"/>
    <cellStyle name="Normal 17 3 2 15" xfId="32821"/>
    <cellStyle name="Normal 17 3 2 2" xfId="890"/>
    <cellStyle name="Normal 17 3 2 2 10" xfId="32832"/>
    <cellStyle name="Normal 17 3 2 2 2" xfId="891"/>
    <cellStyle name="Normal 17 3 2 2 2 2" xfId="892"/>
    <cellStyle name="Normal 17 3 2 2 2 2 2" xfId="893"/>
    <cellStyle name="Normal 17 3 2 2 2 2 2 2" xfId="2280"/>
    <cellStyle name="Normal 17 3 2 2 2 2 2 2 2" xfId="5405"/>
    <cellStyle name="Normal 17 3 2 2 2 2 2 2 2 2" xfId="11608"/>
    <cellStyle name="Normal 17 3 2 2 2 2 2 2 2 3" xfId="17810"/>
    <cellStyle name="Normal 17 3 2 2 2 2 2 2 2 4" xfId="32837"/>
    <cellStyle name="Normal 17 3 2 2 2 2 2 2 3" xfId="8508"/>
    <cellStyle name="Normal 17 3 2 2 2 2 2 2 4" xfId="14710"/>
    <cellStyle name="Normal 17 3 2 2 2 2 2 2 5" xfId="32836"/>
    <cellStyle name="Normal 17 3 2 2 2 2 2 3" xfId="3072"/>
    <cellStyle name="Normal 17 3 2 2 2 2 2 3 2" xfId="6184"/>
    <cellStyle name="Normal 17 3 2 2 2 2 2 3 2 2" xfId="12387"/>
    <cellStyle name="Normal 17 3 2 2 2 2 2 3 2 3" xfId="18589"/>
    <cellStyle name="Normal 17 3 2 2 2 2 2 3 2 4" xfId="32839"/>
    <cellStyle name="Normal 17 3 2 2 2 2 2 3 3" xfId="9287"/>
    <cellStyle name="Normal 17 3 2 2 2 2 2 3 4" xfId="15489"/>
    <cellStyle name="Normal 17 3 2 2 2 2 2 3 5" xfId="32838"/>
    <cellStyle name="Normal 17 3 2 2 2 2 2 4" xfId="4112"/>
    <cellStyle name="Normal 17 3 2 2 2 2 2 4 2" xfId="10316"/>
    <cellStyle name="Normal 17 3 2 2 2 2 2 4 3" xfId="16518"/>
    <cellStyle name="Normal 17 3 2 2 2 2 2 4 4" xfId="32840"/>
    <cellStyle name="Normal 17 3 2 2 2 2 2 5" xfId="7215"/>
    <cellStyle name="Normal 17 3 2 2 2 2 2 5 2" xfId="19881"/>
    <cellStyle name="Normal 17 3 2 2 2 2 2 6" xfId="13417"/>
    <cellStyle name="Normal 17 3 2 2 2 2 2 7" xfId="32835"/>
    <cellStyle name="Normal 17 3 2 2 2 2 3" xfId="1756"/>
    <cellStyle name="Normal 17 3 2 2 2 2 3 2" xfId="4881"/>
    <cellStyle name="Normal 17 3 2 2 2 2 3 2 2" xfId="11084"/>
    <cellStyle name="Normal 17 3 2 2 2 2 3 2 2 2" xfId="56152"/>
    <cellStyle name="Normal 17 3 2 2 2 2 3 2 3" xfId="17286"/>
    <cellStyle name="Normal 17 3 2 2 2 2 3 2 4" xfId="47732"/>
    <cellStyle name="Normal 17 3 2 2 2 2 3 3" xfId="7984"/>
    <cellStyle name="Normal 17 3 2 2 2 2 3 4" xfId="14186"/>
    <cellStyle name="Normal 17 3 2 2 2 2 3 5" xfId="32841"/>
    <cellStyle name="Normal 17 3 2 2 2 2 4" xfId="3071"/>
    <cellStyle name="Normal 17 3 2 2 2 2 4 2" xfId="6183"/>
    <cellStyle name="Normal 17 3 2 2 2 2 4 2 2" xfId="12386"/>
    <cellStyle name="Normal 17 3 2 2 2 2 4 2 3" xfId="18588"/>
    <cellStyle name="Normal 17 3 2 2 2 2 4 2 4" xfId="32843"/>
    <cellStyle name="Normal 17 3 2 2 2 2 4 3" xfId="9286"/>
    <cellStyle name="Normal 17 3 2 2 2 2 4 4" xfId="15488"/>
    <cellStyle name="Normal 17 3 2 2 2 2 4 5" xfId="32842"/>
    <cellStyle name="Normal 17 3 2 2 2 2 5" xfId="4111"/>
    <cellStyle name="Normal 17 3 2 2 2 2 5 2" xfId="10315"/>
    <cellStyle name="Normal 17 3 2 2 2 2 5 3" xfId="16517"/>
    <cellStyle name="Normal 17 3 2 2 2 2 5 4" xfId="32844"/>
    <cellStyle name="Normal 17 3 2 2 2 2 6" xfId="7214"/>
    <cellStyle name="Normal 17 3 2 2 2 2 6 2" xfId="19357"/>
    <cellStyle name="Normal 17 3 2 2 2 2 7" xfId="13416"/>
    <cellStyle name="Normal 17 3 2 2 2 2 8" xfId="32834"/>
    <cellStyle name="Normal 17 3 2 2 2 2_IAS" xfId="32845"/>
    <cellStyle name="Normal 17 3 2 2 2 3" xfId="894"/>
    <cellStyle name="Normal 17 3 2 2 2 3 2" xfId="2035"/>
    <cellStyle name="Normal 17 3 2 2 2 3 2 2" xfId="5160"/>
    <cellStyle name="Normal 17 3 2 2 2 3 2 2 2" xfId="11363"/>
    <cellStyle name="Normal 17 3 2 2 2 3 2 2 3" xfId="17565"/>
    <cellStyle name="Normal 17 3 2 2 2 3 2 2 4" xfId="32848"/>
    <cellStyle name="Normal 17 3 2 2 2 3 2 3" xfId="8263"/>
    <cellStyle name="Normal 17 3 2 2 2 3 2 4" xfId="14465"/>
    <cellStyle name="Normal 17 3 2 2 2 3 2 5" xfId="32847"/>
    <cellStyle name="Normal 17 3 2 2 2 3 3" xfId="3073"/>
    <cellStyle name="Normal 17 3 2 2 2 3 3 2" xfId="6185"/>
    <cellStyle name="Normal 17 3 2 2 2 3 3 2 2" xfId="12388"/>
    <cellStyle name="Normal 17 3 2 2 2 3 3 2 3" xfId="18590"/>
    <cellStyle name="Normal 17 3 2 2 2 3 3 2 4" xfId="32850"/>
    <cellStyle name="Normal 17 3 2 2 2 3 3 3" xfId="9288"/>
    <cellStyle name="Normal 17 3 2 2 2 3 3 4" xfId="15490"/>
    <cellStyle name="Normal 17 3 2 2 2 3 3 5" xfId="32849"/>
    <cellStyle name="Normal 17 3 2 2 2 3 4" xfId="4113"/>
    <cellStyle name="Normal 17 3 2 2 2 3 4 2" xfId="10317"/>
    <cellStyle name="Normal 17 3 2 2 2 3 4 3" xfId="16519"/>
    <cellStyle name="Normal 17 3 2 2 2 3 4 4" xfId="32851"/>
    <cellStyle name="Normal 17 3 2 2 2 3 5" xfId="7216"/>
    <cellStyle name="Normal 17 3 2 2 2 3 5 2" xfId="19636"/>
    <cellStyle name="Normal 17 3 2 2 2 3 6" xfId="13418"/>
    <cellStyle name="Normal 17 3 2 2 2 3 7" xfId="32846"/>
    <cellStyle name="Normal 17 3 2 2 2 4" xfId="1511"/>
    <cellStyle name="Normal 17 3 2 2 2 4 2" xfId="4636"/>
    <cellStyle name="Normal 17 3 2 2 2 4 2 2" xfId="10839"/>
    <cellStyle name="Normal 17 3 2 2 2 4 2 2 2" xfId="55919"/>
    <cellStyle name="Normal 17 3 2 2 2 4 2 3" xfId="17041"/>
    <cellStyle name="Normal 17 3 2 2 2 4 2 4" xfId="47733"/>
    <cellStyle name="Normal 17 3 2 2 2 4 3" xfId="7739"/>
    <cellStyle name="Normal 17 3 2 2 2 4 4" xfId="13941"/>
    <cellStyle name="Normal 17 3 2 2 2 4 5" xfId="32852"/>
    <cellStyle name="Normal 17 3 2 2 2 5" xfId="3070"/>
    <cellStyle name="Normal 17 3 2 2 2 5 2" xfId="6182"/>
    <cellStyle name="Normal 17 3 2 2 2 5 2 2" xfId="12385"/>
    <cellStyle name="Normal 17 3 2 2 2 5 2 3" xfId="18587"/>
    <cellStyle name="Normal 17 3 2 2 2 5 2 4" xfId="32854"/>
    <cellStyle name="Normal 17 3 2 2 2 5 3" xfId="9285"/>
    <cellStyle name="Normal 17 3 2 2 2 5 4" xfId="15487"/>
    <cellStyle name="Normal 17 3 2 2 2 5 5" xfId="32853"/>
    <cellStyle name="Normal 17 3 2 2 2 6" xfId="4110"/>
    <cellStyle name="Normal 17 3 2 2 2 6 2" xfId="10314"/>
    <cellStyle name="Normal 17 3 2 2 2 6 3" xfId="16516"/>
    <cellStyle name="Normal 17 3 2 2 2 6 4" xfId="32855"/>
    <cellStyle name="Normal 17 3 2 2 2 7" xfId="7213"/>
    <cellStyle name="Normal 17 3 2 2 2 7 2" xfId="19112"/>
    <cellStyle name="Normal 17 3 2 2 2 8" xfId="13415"/>
    <cellStyle name="Normal 17 3 2 2 2 9" xfId="32833"/>
    <cellStyle name="Normal 17 3 2 2 2_IAS" xfId="32856"/>
    <cellStyle name="Normal 17 3 2 2 3" xfId="895"/>
    <cellStyle name="Normal 17 3 2 2 3 2" xfId="896"/>
    <cellStyle name="Normal 17 3 2 2 3 2 2" xfId="2152"/>
    <cellStyle name="Normal 17 3 2 2 3 2 2 2" xfId="5277"/>
    <cellStyle name="Normal 17 3 2 2 3 2 2 2 2" xfId="11480"/>
    <cellStyle name="Normal 17 3 2 2 3 2 2 2 3" xfId="17682"/>
    <cellStyle name="Normal 17 3 2 2 3 2 2 2 4" xfId="32860"/>
    <cellStyle name="Normal 17 3 2 2 3 2 2 3" xfId="8380"/>
    <cellStyle name="Normal 17 3 2 2 3 2 2 4" xfId="14582"/>
    <cellStyle name="Normal 17 3 2 2 3 2 2 5" xfId="32859"/>
    <cellStyle name="Normal 17 3 2 2 3 2 3" xfId="3075"/>
    <cellStyle name="Normal 17 3 2 2 3 2 3 2" xfId="6187"/>
    <cellStyle name="Normal 17 3 2 2 3 2 3 2 2" xfId="12390"/>
    <cellStyle name="Normal 17 3 2 2 3 2 3 2 3" xfId="18592"/>
    <cellStyle name="Normal 17 3 2 2 3 2 3 2 4" xfId="32862"/>
    <cellStyle name="Normal 17 3 2 2 3 2 3 3" xfId="9290"/>
    <cellStyle name="Normal 17 3 2 2 3 2 3 4" xfId="15492"/>
    <cellStyle name="Normal 17 3 2 2 3 2 3 5" xfId="32861"/>
    <cellStyle name="Normal 17 3 2 2 3 2 4" xfId="4115"/>
    <cellStyle name="Normal 17 3 2 2 3 2 4 2" xfId="10319"/>
    <cellStyle name="Normal 17 3 2 2 3 2 4 3" xfId="16521"/>
    <cellStyle name="Normal 17 3 2 2 3 2 4 4" xfId="32863"/>
    <cellStyle name="Normal 17 3 2 2 3 2 5" xfId="7218"/>
    <cellStyle name="Normal 17 3 2 2 3 2 5 2" xfId="19753"/>
    <cellStyle name="Normal 17 3 2 2 3 2 6" xfId="13420"/>
    <cellStyle name="Normal 17 3 2 2 3 2 7" xfId="32858"/>
    <cellStyle name="Normal 17 3 2 2 3 3" xfId="1628"/>
    <cellStyle name="Normal 17 3 2 2 3 3 2" xfId="4753"/>
    <cellStyle name="Normal 17 3 2 2 3 3 2 2" xfId="10956"/>
    <cellStyle name="Normal 17 3 2 2 3 3 2 2 2" xfId="56030"/>
    <cellStyle name="Normal 17 3 2 2 3 3 2 3" xfId="17158"/>
    <cellStyle name="Normal 17 3 2 2 3 3 2 4" xfId="47734"/>
    <cellStyle name="Normal 17 3 2 2 3 3 3" xfId="7856"/>
    <cellStyle name="Normal 17 3 2 2 3 3 4" xfId="14058"/>
    <cellStyle name="Normal 17 3 2 2 3 3 5" xfId="32864"/>
    <cellStyle name="Normal 17 3 2 2 3 4" xfId="3074"/>
    <cellStyle name="Normal 17 3 2 2 3 4 2" xfId="6186"/>
    <cellStyle name="Normal 17 3 2 2 3 4 2 2" xfId="12389"/>
    <cellStyle name="Normal 17 3 2 2 3 4 2 3" xfId="18591"/>
    <cellStyle name="Normal 17 3 2 2 3 4 2 4" xfId="32866"/>
    <cellStyle name="Normal 17 3 2 2 3 4 3" xfId="9289"/>
    <cellStyle name="Normal 17 3 2 2 3 4 4" xfId="15491"/>
    <cellStyle name="Normal 17 3 2 2 3 4 5" xfId="32865"/>
    <cellStyle name="Normal 17 3 2 2 3 5" xfId="4114"/>
    <cellStyle name="Normal 17 3 2 2 3 5 2" xfId="10318"/>
    <cellStyle name="Normal 17 3 2 2 3 5 3" xfId="16520"/>
    <cellStyle name="Normal 17 3 2 2 3 5 4" xfId="32867"/>
    <cellStyle name="Normal 17 3 2 2 3 6" xfId="7217"/>
    <cellStyle name="Normal 17 3 2 2 3 6 2" xfId="19229"/>
    <cellStyle name="Normal 17 3 2 2 3 7" xfId="13419"/>
    <cellStyle name="Normal 17 3 2 2 3 8" xfId="32857"/>
    <cellStyle name="Normal 17 3 2 2 3_IAS" xfId="32868"/>
    <cellStyle name="Normal 17 3 2 2 4" xfId="897"/>
    <cellStyle name="Normal 17 3 2 2 4 2" xfId="1893"/>
    <cellStyle name="Normal 17 3 2 2 4 2 2" xfId="5018"/>
    <cellStyle name="Normal 17 3 2 2 4 2 2 2" xfId="11221"/>
    <cellStyle name="Normal 17 3 2 2 4 2 2 3" xfId="17423"/>
    <cellStyle name="Normal 17 3 2 2 4 2 2 4" xfId="32871"/>
    <cellStyle name="Normal 17 3 2 2 4 2 3" xfId="8121"/>
    <cellStyle name="Normal 17 3 2 2 4 2 4" xfId="14323"/>
    <cellStyle name="Normal 17 3 2 2 4 2 5" xfId="32870"/>
    <cellStyle name="Normal 17 3 2 2 4 3" xfId="3076"/>
    <cellStyle name="Normal 17 3 2 2 4 3 2" xfId="6188"/>
    <cellStyle name="Normal 17 3 2 2 4 3 2 2" xfId="12391"/>
    <cellStyle name="Normal 17 3 2 2 4 3 2 3" xfId="18593"/>
    <cellStyle name="Normal 17 3 2 2 4 3 2 4" xfId="32873"/>
    <cellStyle name="Normal 17 3 2 2 4 3 3" xfId="9291"/>
    <cellStyle name="Normal 17 3 2 2 4 3 4" xfId="15493"/>
    <cellStyle name="Normal 17 3 2 2 4 3 5" xfId="32872"/>
    <cellStyle name="Normal 17 3 2 2 4 4" xfId="4116"/>
    <cellStyle name="Normal 17 3 2 2 4 4 2" xfId="10320"/>
    <cellStyle name="Normal 17 3 2 2 4 4 3" xfId="16522"/>
    <cellStyle name="Normal 17 3 2 2 4 4 4" xfId="32874"/>
    <cellStyle name="Normal 17 3 2 2 4 5" xfId="7219"/>
    <cellStyle name="Normal 17 3 2 2 4 5 2" xfId="19494"/>
    <cellStyle name="Normal 17 3 2 2 4 6" xfId="13421"/>
    <cellStyle name="Normal 17 3 2 2 4 7" xfId="32869"/>
    <cellStyle name="Normal 17 3 2 2 5" xfId="1369"/>
    <cellStyle name="Normal 17 3 2 2 5 2" xfId="4494"/>
    <cellStyle name="Normal 17 3 2 2 5 2 2" xfId="10697"/>
    <cellStyle name="Normal 17 3 2 2 5 2 2 2" xfId="55784"/>
    <cellStyle name="Normal 17 3 2 2 5 2 3" xfId="16899"/>
    <cellStyle name="Normal 17 3 2 2 5 2 4" xfId="47735"/>
    <cellStyle name="Normal 17 3 2 2 5 3" xfId="7597"/>
    <cellStyle name="Normal 17 3 2 2 5 4" xfId="13799"/>
    <cellStyle name="Normal 17 3 2 2 5 5" xfId="32875"/>
    <cellStyle name="Normal 17 3 2 2 6" xfId="3069"/>
    <cellStyle name="Normal 17 3 2 2 6 2" xfId="6181"/>
    <cellStyle name="Normal 17 3 2 2 6 2 2" xfId="12384"/>
    <cellStyle name="Normal 17 3 2 2 6 2 3" xfId="18586"/>
    <cellStyle name="Normal 17 3 2 2 6 2 4" xfId="32877"/>
    <cellStyle name="Normal 17 3 2 2 6 3" xfId="9284"/>
    <cellStyle name="Normal 17 3 2 2 6 4" xfId="15486"/>
    <cellStyle name="Normal 17 3 2 2 6 5" xfId="32876"/>
    <cellStyle name="Normal 17 3 2 2 7" xfId="4109"/>
    <cellStyle name="Normal 17 3 2 2 7 2" xfId="10313"/>
    <cellStyle name="Normal 17 3 2 2 7 3" xfId="16515"/>
    <cellStyle name="Normal 17 3 2 2 7 4" xfId="32878"/>
    <cellStyle name="Normal 17 3 2 2 8" xfId="7212"/>
    <cellStyle name="Normal 17 3 2 2 8 2" xfId="18970"/>
    <cellStyle name="Normal 17 3 2 2 9" xfId="13414"/>
    <cellStyle name="Normal 17 3 2 2_IAS" xfId="32879"/>
    <cellStyle name="Normal 17 3 2 3" xfId="898"/>
    <cellStyle name="Normal 17 3 2 3 2" xfId="899"/>
    <cellStyle name="Normal 17 3 2 3 2 2" xfId="900"/>
    <cellStyle name="Normal 17 3 2 3 2 2 2" xfId="2212"/>
    <cellStyle name="Normal 17 3 2 3 2 2 2 2" xfId="5337"/>
    <cellStyle name="Normal 17 3 2 3 2 2 2 2 2" xfId="11540"/>
    <cellStyle name="Normal 17 3 2 3 2 2 2 2 2 2" xfId="32885"/>
    <cellStyle name="Normal 17 3 2 3 2 2 2 2 3" xfId="17742"/>
    <cellStyle name="Normal 17 3 2 3 2 2 2 2 4" xfId="32884"/>
    <cellStyle name="Normal 17 3 2 3 2 2 2 3" xfId="8440"/>
    <cellStyle name="Normal 17 3 2 3 2 2 2 3 2" xfId="32887"/>
    <cellStyle name="Normal 17 3 2 3 2 2 2 3 3" xfId="32886"/>
    <cellStyle name="Normal 17 3 2 3 2 2 2 4" xfId="14642"/>
    <cellStyle name="Normal 17 3 2 3 2 2 2 4 2" xfId="32888"/>
    <cellStyle name="Normal 17 3 2 3 2 2 2 5" xfId="32883"/>
    <cellStyle name="Normal 17 3 2 3 2 2 3" xfId="3079"/>
    <cellStyle name="Normal 17 3 2 3 2 2 3 2" xfId="6191"/>
    <cellStyle name="Normal 17 3 2 3 2 2 3 2 2" xfId="12394"/>
    <cellStyle name="Normal 17 3 2 3 2 2 3 2 2 2" xfId="57411"/>
    <cellStyle name="Normal 17 3 2 3 2 2 3 2 3" xfId="18596"/>
    <cellStyle name="Normal 17 3 2 3 2 2 3 2 4" xfId="47736"/>
    <cellStyle name="Normal 17 3 2 3 2 2 3 3" xfId="9294"/>
    <cellStyle name="Normal 17 3 2 3 2 2 3 4" xfId="15496"/>
    <cellStyle name="Normal 17 3 2 3 2 2 3 5" xfId="32889"/>
    <cellStyle name="Normal 17 3 2 3 2 2 4" xfId="4119"/>
    <cellStyle name="Normal 17 3 2 3 2 2 4 2" xfId="10323"/>
    <cellStyle name="Normal 17 3 2 3 2 2 4 2 2" xfId="32891"/>
    <cellStyle name="Normal 17 3 2 3 2 2 4 3" xfId="16525"/>
    <cellStyle name="Normal 17 3 2 3 2 2 4 4" xfId="32890"/>
    <cellStyle name="Normal 17 3 2 3 2 2 5" xfId="7222"/>
    <cellStyle name="Normal 17 3 2 3 2 2 5 2" xfId="19813"/>
    <cellStyle name="Normal 17 3 2 3 2 2 5 3" xfId="32892"/>
    <cellStyle name="Normal 17 3 2 3 2 2 6" xfId="13424"/>
    <cellStyle name="Normal 17 3 2 3 2 2 7" xfId="32882"/>
    <cellStyle name="Normal 17 3 2 3 2 2_IAS" xfId="32893"/>
    <cellStyle name="Normal 17 3 2 3 2 3" xfId="1688"/>
    <cellStyle name="Normal 17 3 2 3 2 3 2" xfId="4813"/>
    <cellStyle name="Normal 17 3 2 3 2 3 2 2" xfId="11016"/>
    <cellStyle name="Normal 17 3 2 3 2 3 2 2 2" xfId="32896"/>
    <cellStyle name="Normal 17 3 2 3 2 3 2 3" xfId="17218"/>
    <cellStyle name="Normal 17 3 2 3 2 3 2 4" xfId="32895"/>
    <cellStyle name="Normal 17 3 2 3 2 3 3" xfId="7916"/>
    <cellStyle name="Normal 17 3 2 3 2 3 3 2" xfId="32898"/>
    <cellStyle name="Normal 17 3 2 3 2 3 3 3" xfId="32897"/>
    <cellStyle name="Normal 17 3 2 3 2 3 4" xfId="14118"/>
    <cellStyle name="Normal 17 3 2 3 2 3 4 2" xfId="32899"/>
    <cellStyle name="Normal 17 3 2 3 2 3 5" xfId="32894"/>
    <cellStyle name="Normal 17 3 2 3 2 4" xfId="3078"/>
    <cellStyle name="Normal 17 3 2 3 2 4 2" xfId="6190"/>
    <cellStyle name="Normal 17 3 2 3 2 4 2 2" xfId="12393"/>
    <cellStyle name="Normal 17 3 2 3 2 4 2 2 2" xfId="57410"/>
    <cellStyle name="Normal 17 3 2 3 2 4 2 3" xfId="18595"/>
    <cellStyle name="Normal 17 3 2 3 2 4 2 4" xfId="47737"/>
    <cellStyle name="Normal 17 3 2 3 2 4 3" xfId="9293"/>
    <cellStyle name="Normal 17 3 2 3 2 4 4" xfId="15495"/>
    <cellStyle name="Normal 17 3 2 3 2 4 5" xfId="32900"/>
    <cellStyle name="Normal 17 3 2 3 2 5" xfId="4118"/>
    <cellStyle name="Normal 17 3 2 3 2 5 2" xfId="10322"/>
    <cellStyle name="Normal 17 3 2 3 2 5 2 2" xfId="32902"/>
    <cellStyle name="Normal 17 3 2 3 2 5 3" xfId="16524"/>
    <cellStyle name="Normal 17 3 2 3 2 5 4" xfId="32901"/>
    <cellStyle name="Normal 17 3 2 3 2 6" xfId="7221"/>
    <cellStyle name="Normal 17 3 2 3 2 6 2" xfId="19289"/>
    <cellStyle name="Normal 17 3 2 3 2 6 3" xfId="32903"/>
    <cellStyle name="Normal 17 3 2 3 2 7" xfId="13423"/>
    <cellStyle name="Normal 17 3 2 3 2 8" xfId="32881"/>
    <cellStyle name="Normal 17 3 2 3 2_IAS" xfId="32904"/>
    <cellStyle name="Normal 17 3 2 3 3" xfId="901"/>
    <cellStyle name="Normal 17 3 2 3 3 2" xfId="1967"/>
    <cellStyle name="Normal 17 3 2 3 3 2 2" xfId="5092"/>
    <cellStyle name="Normal 17 3 2 3 3 2 2 2" xfId="11295"/>
    <cellStyle name="Normal 17 3 2 3 3 2 2 2 2" xfId="32908"/>
    <cellStyle name="Normal 17 3 2 3 3 2 2 3" xfId="17497"/>
    <cellStyle name="Normal 17 3 2 3 3 2 2 4" xfId="32907"/>
    <cellStyle name="Normal 17 3 2 3 3 2 3" xfId="8195"/>
    <cellStyle name="Normal 17 3 2 3 3 2 3 2" xfId="32910"/>
    <cellStyle name="Normal 17 3 2 3 3 2 3 3" xfId="32909"/>
    <cellStyle name="Normal 17 3 2 3 3 2 4" xfId="14397"/>
    <cellStyle name="Normal 17 3 2 3 3 2 4 2" xfId="32911"/>
    <cellStyle name="Normal 17 3 2 3 3 2 5" xfId="32906"/>
    <cellStyle name="Normal 17 3 2 3 3 3" xfId="3080"/>
    <cellStyle name="Normal 17 3 2 3 3 3 2" xfId="6192"/>
    <cellStyle name="Normal 17 3 2 3 3 3 2 2" xfId="12395"/>
    <cellStyle name="Normal 17 3 2 3 3 3 2 2 2" xfId="57412"/>
    <cellStyle name="Normal 17 3 2 3 3 3 2 3" xfId="18597"/>
    <cellStyle name="Normal 17 3 2 3 3 3 2 4" xfId="47738"/>
    <cellStyle name="Normal 17 3 2 3 3 3 3" xfId="9295"/>
    <cellStyle name="Normal 17 3 2 3 3 3 4" xfId="15497"/>
    <cellStyle name="Normal 17 3 2 3 3 3 5" xfId="32912"/>
    <cellStyle name="Normal 17 3 2 3 3 4" xfId="4120"/>
    <cellStyle name="Normal 17 3 2 3 3 4 2" xfId="10324"/>
    <cellStyle name="Normal 17 3 2 3 3 4 2 2" xfId="32914"/>
    <cellStyle name="Normal 17 3 2 3 3 4 3" xfId="16526"/>
    <cellStyle name="Normal 17 3 2 3 3 4 4" xfId="32913"/>
    <cellStyle name="Normal 17 3 2 3 3 5" xfId="7223"/>
    <cellStyle name="Normal 17 3 2 3 3 5 2" xfId="19568"/>
    <cellStyle name="Normal 17 3 2 3 3 5 3" xfId="32915"/>
    <cellStyle name="Normal 17 3 2 3 3 6" xfId="13425"/>
    <cellStyle name="Normal 17 3 2 3 3 7" xfId="32905"/>
    <cellStyle name="Normal 17 3 2 3 3_IAS" xfId="32916"/>
    <cellStyle name="Normal 17 3 2 3 4" xfId="1443"/>
    <cellStyle name="Normal 17 3 2 3 4 2" xfId="4568"/>
    <cellStyle name="Normal 17 3 2 3 4 2 2" xfId="10771"/>
    <cellStyle name="Normal 17 3 2 3 4 2 2 2" xfId="32919"/>
    <cellStyle name="Normal 17 3 2 3 4 2 3" xfId="16973"/>
    <cellStyle name="Normal 17 3 2 3 4 2 4" xfId="32918"/>
    <cellStyle name="Normal 17 3 2 3 4 3" xfId="7671"/>
    <cellStyle name="Normal 17 3 2 3 4 3 2" xfId="32921"/>
    <cellStyle name="Normal 17 3 2 3 4 3 3" xfId="32920"/>
    <cellStyle name="Normal 17 3 2 3 4 4" xfId="13873"/>
    <cellStyle name="Normal 17 3 2 3 4 4 2" xfId="32922"/>
    <cellStyle name="Normal 17 3 2 3 4 5" xfId="32917"/>
    <cellStyle name="Normal 17 3 2 3 5" xfId="3077"/>
    <cellStyle name="Normal 17 3 2 3 5 2" xfId="6189"/>
    <cellStyle name="Normal 17 3 2 3 5 2 2" xfId="12392"/>
    <cellStyle name="Normal 17 3 2 3 5 2 2 2" xfId="57409"/>
    <cellStyle name="Normal 17 3 2 3 5 2 3" xfId="18594"/>
    <cellStyle name="Normal 17 3 2 3 5 2 4" xfId="47739"/>
    <cellStyle name="Normal 17 3 2 3 5 3" xfId="9292"/>
    <cellStyle name="Normal 17 3 2 3 5 4" xfId="15494"/>
    <cellStyle name="Normal 17 3 2 3 5 5" xfId="32923"/>
    <cellStyle name="Normal 17 3 2 3 6" xfId="4117"/>
    <cellStyle name="Normal 17 3 2 3 6 2" xfId="10321"/>
    <cellStyle name="Normal 17 3 2 3 6 2 2" xfId="32925"/>
    <cellStyle name="Normal 17 3 2 3 6 3" xfId="16523"/>
    <cellStyle name="Normal 17 3 2 3 6 4" xfId="32924"/>
    <cellStyle name="Normal 17 3 2 3 7" xfId="7220"/>
    <cellStyle name="Normal 17 3 2 3 7 2" xfId="19044"/>
    <cellStyle name="Normal 17 3 2 3 7 3" xfId="32926"/>
    <cellStyle name="Normal 17 3 2 3 8" xfId="13422"/>
    <cellStyle name="Normal 17 3 2 3 9" xfId="32880"/>
    <cellStyle name="Normal 17 3 2 3_IAS" xfId="32927"/>
    <cellStyle name="Normal 17 3 2 4" xfId="902"/>
    <cellStyle name="Normal 17 3 2 4 2" xfId="903"/>
    <cellStyle name="Normal 17 3 2 4 2 2" xfId="2096"/>
    <cellStyle name="Normal 17 3 2 4 2 2 2" xfId="5221"/>
    <cellStyle name="Normal 17 3 2 4 2 2 2 2" xfId="11424"/>
    <cellStyle name="Normal 17 3 2 4 2 2 2 3" xfId="17626"/>
    <cellStyle name="Normal 17 3 2 4 2 2 2 4" xfId="56470"/>
    <cellStyle name="Normal 17 3 2 4 2 2 3" xfId="8324"/>
    <cellStyle name="Normal 17 3 2 4 2 2 4" xfId="14526"/>
    <cellStyle name="Normal 17 3 2 4 2 2 5" xfId="53574"/>
    <cellStyle name="Normal 17 3 2 4 2 3" xfId="3082"/>
    <cellStyle name="Normal 17 3 2 4 2 3 2" xfId="6194"/>
    <cellStyle name="Normal 17 3 2 4 2 3 2 2" xfId="12397"/>
    <cellStyle name="Normal 17 3 2 4 2 3 2 3" xfId="18599"/>
    <cellStyle name="Normal 17 3 2 4 2 3 2 4" xfId="57414"/>
    <cellStyle name="Normal 17 3 2 4 2 3 3" xfId="9297"/>
    <cellStyle name="Normal 17 3 2 4 2 3 4" xfId="15499"/>
    <cellStyle name="Normal 17 3 2 4 2 3 5" xfId="54519"/>
    <cellStyle name="Normal 17 3 2 4 2 4" xfId="4122"/>
    <cellStyle name="Normal 17 3 2 4 2 4 2" xfId="10326"/>
    <cellStyle name="Normal 17 3 2 4 2 4 3" xfId="16528"/>
    <cellStyle name="Normal 17 3 2 4 2 4 4" xfId="55472"/>
    <cellStyle name="Normal 17 3 2 4 2 5" xfId="7225"/>
    <cellStyle name="Normal 17 3 2 4 2 5 2" xfId="19697"/>
    <cellStyle name="Normal 17 3 2 4 2 5 3" xfId="52669"/>
    <cellStyle name="Normal 17 3 2 4 2 6" xfId="13427"/>
    <cellStyle name="Normal 17 3 2 4 2 7" xfId="47740"/>
    <cellStyle name="Normal 17 3 2 4 3" xfId="1572"/>
    <cellStyle name="Normal 17 3 2 4 3 2" xfId="4697"/>
    <cellStyle name="Normal 17 3 2 4 3 2 2" xfId="10900"/>
    <cellStyle name="Normal 17 3 2 4 3 2 3" xfId="17102"/>
    <cellStyle name="Normal 17 3 2 4 3 2 4" xfId="55976"/>
    <cellStyle name="Normal 17 3 2 4 3 3" xfId="7800"/>
    <cellStyle name="Normal 17 3 2 4 3 4" xfId="14002"/>
    <cellStyle name="Normal 17 3 2 4 3 5" xfId="53089"/>
    <cellStyle name="Normal 17 3 2 4 4" xfId="3081"/>
    <cellStyle name="Normal 17 3 2 4 4 2" xfId="6193"/>
    <cellStyle name="Normal 17 3 2 4 4 2 2" xfId="12396"/>
    <cellStyle name="Normal 17 3 2 4 4 2 3" xfId="18598"/>
    <cellStyle name="Normal 17 3 2 4 4 2 4" xfId="57413"/>
    <cellStyle name="Normal 17 3 2 4 4 3" xfId="9296"/>
    <cellStyle name="Normal 17 3 2 4 4 4" xfId="15498"/>
    <cellStyle name="Normal 17 3 2 4 4 5" xfId="54518"/>
    <cellStyle name="Normal 17 3 2 4 5" xfId="4121"/>
    <cellStyle name="Normal 17 3 2 4 5 2" xfId="10325"/>
    <cellStyle name="Normal 17 3 2 4 5 3" xfId="16527"/>
    <cellStyle name="Normal 17 3 2 4 5 4" xfId="55471"/>
    <cellStyle name="Normal 17 3 2 4 6" xfId="7224"/>
    <cellStyle name="Normal 17 3 2 4 6 2" xfId="19173"/>
    <cellStyle name="Normal 17 3 2 4 7" xfId="13426"/>
    <cellStyle name="Normal 17 3 2 4 8" xfId="32928"/>
    <cellStyle name="Normal 17 3 2 5" xfId="904"/>
    <cellStyle name="Normal 17 3 2 5 2" xfId="1826"/>
    <cellStyle name="Normal 17 3 2 5 2 2" xfId="4951"/>
    <cellStyle name="Normal 17 3 2 5 2 2 2" xfId="11154"/>
    <cellStyle name="Normal 17 3 2 5 2 2 2 2" xfId="32933"/>
    <cellStyle name="Normal 17 3 2 5 2 2 2 3" xfId="32932"/>
    <cellStyle name="Normal 17 3 2 5 2 2 3" xfId="17356"/>
    <cellStyle name="Normal 17 3 2 5 2 2 3 2" xfId="32935"/>
    <cellStyle name="Normal 17 3 2 5 2 2 3 3" xfId="32934"/>
    <cellStyle name="Normal 17 3 2 5 2 2 4" xfId="32936"/>
    <cellStyle name="Normal 17 3 2 5 2 2 5" xfId="32931"/>
    <cellStyle name="Normal 17 3 2 5 2 3" xfId="8054"/>
    <cellStyle name="Normal 17 3 2 5 2 3 2" xfId="47741"/>
    <cellStyle name="Normal 17 3 2 5 2 3 3" xfId="32937"/>
    <cellStyle name="Normal 17 3 2 5 2 4" xfId="14256"/>
    <cellStyle name="Normal 17 3 2 5 2 4 2" xfId="32939"/>
    <cellStyle name="Normal 17 3 2 5 2 4 3" xfId="32938"/>
    <cellStyle name="Normal 17 3 2 5 2 5" xfId="32940"/>
    <cellStyle name="Normal 17 3 2 5 2 6" xfId="32930"/>
    <cellStyle name="Normal 17 3 2 5 2_IAS" xfId="32941"/>
    <cellStyle name="Normal 17 3 2 5 3" xfId="3083"/>
    <cellStyle name="Normal 17 3 2 5 3 2" xfId="6195"/>
    <cellStyle name="Normal 17 3 2 5 3 2 2" xfId="12398"/>
    <cellStyle name="Normal 17 3 2 5 3 2 2 2" xfId="32944"/>
    <cellStyle name="Normal 17 3 2 5 3 2 3" xfId="18600"/>
    <cellStyle name="Normal 17 3 2 5 3 2 4" xfId="32943"/>
    <cellStyle name="Normal 17 3 2 5 3 3" xfId="9298"/>
    <cellStyle name="Normal 17 3 2 5 3 3 2" xfId="32946"/>
    <cellStyle name="Normal 17 3 2 5 3 3 3" xfId="32945"/>
    <cellStyle name="Normal 17 3 2 5 3 4" xfId="15500"/>
    <cellStyle name="Normal 17 3 2 5 3 4 2" xfId="32947"/>
    <cellStyle name="Normal 17 3 2 5 3 5" xfId="32942"/>
    <cellStyle name="Normal 17 3 2 5 4" xfId="4123"/>
    <cellStyle name="Normal 17 3 2 5 4 2" xfId="10327"/>
    <cellStyle name="Normal 17 3 2 5 4 2 2" xfId="47742"/>
    <cellStyle name="Normal 17 3 2 5 4 3" xfId="16529"/>
    <cellStyle name="Normal 17 3 2 5 4 4" xfId="32948"/>
    <cellStyle name="Normal 17 3 2 5 5" xfId="7226"/>
    <cellStyle name="Normal 17 3 2 5 5 2" xfId="19427"/>
    <cellStyle name="Normal 17 3 2 5 5 2 2" xfId="32950"/>
    <cellStyle name="Normal 17 3 2 5 5 3" xfId="32949"/>
    <cellStyle name="Normal 17 3 2 5 6" xfId="13428"/>
    <cellStyle name="Normal 17 3 2 5 6 2" xfId="32951"/>
    <cellStyle name="Normal 17 3 2 5 7" xfId="32929"/>
    <cellStyle name="Normal 17 3 2 5_IAS" xfId="32952"/>
    <cellStyle name="Normal 17 3 2 6" xfId="1301"/>
    <cellStyle name="Normal 17 3 2 6 2" xfId="4426"/>
    <cellStyle name="Normal 17 3 2 6 2 2" xfId="10629"/>
    <cellStyle name="Normal 17 3 2 6 2 2 2" xfId="32956"/>
    <cellStyle name="Normal 17 3 2 6 2 2 3" xfId="32955"/>
    <cellStyle name="Normal 17 3 2 6 2 3" xfId="16831"/>
    <cellStyle name="Normal 17 3 2 6 2 3 2" xfId="32958"/>
    <cellStyle name="Normal 17 3 2 6 2 3 3" xfId="32957"/>
    <cellStyle name="Normal 17 3 2 6 2 4" xfId="32959"/>
    <cellStyle name="Normal 17 3 2 6 2 5" xfId="32954"/>
    <cellStyle name="Normal 17 3 2 6 3" xfId="7529"/>
    <cellStyle name="Normal 17 3 2 6 3 2" xfId="47743"/>
    <cellStyle name="Normal 17 3 2 6 3 3" xfId="32960"/>
    <cellStyle name="Normal 17 3 2 6 4" xfId="13731"/>
    <cellStyle name="Normal 17 3 2 6 4 2" xfId="32962"/>
    <cellStyle name="Normal 17 3 2 6 4 3" xfId="32961"/>
    <cellStyle name="Normal 17 3 2 6 5" xfId="32963"/>
    <cellStyle name="Normal 17 3 2 6 6" xfId="32953"/>
    <cellStyle name="Normal 17 3 2 6_IAS" xfId="32964"/>
    <cellStyle name="Normal 17 3 2 7" xfId="3068"/>
    <cellStyle name="Normal 17 3 2 7 2" xfId="6180"/>
    <cellStyle name="Normal 17 3 2 7 2 2" xfId="12383"/>
    <cellStyle name="Normal 17 3 2 7 2 2 2" xfId="32967"/>
    <cellStyle name="Normal 17 3 2 7 2 3" xfId="18585"/>
    <cellStyle name="Normal 17 3 2 7 2 4" xfId="32966"/>
    <cellStyle name="Normal 17 3 2 7 3" xfId="9283"/>
    <cellStyle name="Normal 17 3 2 7 3 2" xfId="32969"/>
    <cellStyle name="Normal 17 3 2 7 3 3" xfId="32968"/>
    <cellStyle name="Normal 17 3 2 7 4" xfId="15485"/>
    <cellStyle name="Normal 17 3 2 7 4 2" xfId="32970"/>
    <cellStyle name="Normal 17 3 2 7 5" xfId="32965"/>
    <cellStyle name="Normal 17 3 2 8" xfId="4108"/>
    <cellStyle name="Normal 17 3 2 8 2" xfId="10312"/>
    <cellStyle name="Normal 17 3 2 8 2 2" xfId="32973"/>
    <cellStyle name="Normal 17 3 2 8 2 3" xfId="32972"/>
    <cellStyle name="Normal 17 3 2 8 3" xfId="16514"/>
    <cellStyle name="Normal 17 3 2 8 3 2" xfId="32974"/>
    <cellStyle name="Normal 17 3 2 8 4" xfId="32971"/>
    <cellStyle name="Normal 17 3 2 9" xfId="7211"/>
    <cellStyle name="Normal 17 3 2 9 2" xfId="18902"/>
    <cellStyle name="Normal 17 3 2 9 2 2" xfId="32977"/>
    <cellStyle name="Normal 17 3 2 9 2 3" xfId="32976"/>
    <cellStyle name="Normal 17 3 2 9 3" xfId="32978"/>
    <cellStyle name="Normal 17 3 2 9 4" xfId="32975"/>
    <cellStyle name="Normal 17 3 2_IAS" xfId="32979"/>
    <cellStyle name="Normal 17 3 3" xfId="905"/>
    <cellStyle name="Normal 17 3 3 10" xfId="32980"/>
    <cellStyle name="Normal 17 3 3 2" xfId="906"/>
    <cellStyle name="Normal 17 3 3 2 2" xfId="907"/>
    <cellStyle name="Normal 17 3 3 2 2 2" xfId="908"/>
    <cellStyle name="Normal 17 3 3 2 2 2 2" xfId="2252"/>
    <cellStyle name="Normal 17 3 3 2 2 2 2 2" xfId="5377"/>
    <cellStyle name="Normal 17 3 3 2 2 2 2 2 2" xfId="11580"/>
    <cellStyle name="Normal 17 3 3 2 2 2 2 2 3" xfId="17782"/>
    <cellStyle name="Normal 17 3 3 2 2 2 2 2 4" xfId="32985"/>
    <cellStyle name="Normal 17 3 3 2 2 2 2 3" xfId="8480"/>
    <cellStyle name="Normal 17 3 3 2 2 2 2 4" xfId="14682"/>
    <cellStyle name="Normal 17 3 3 2 2 2 2 5" xfId="32984"/>
    <cellStyle name="Normal 17 3 3 2 2 2 3" xfId="3087"/>
    <cellStyle name="Normal 17 3 3 2 2 2 3 2" xfId="6199"/>
    <cellStyle name="Normal 17 3 3 2 2 2 3 2 2" xfId="12402"/>
    <cellStyle name="Normal 17 3 3 2 2 2 3 2 3" xfId="18604"/>
    <cellStyle name="Normal 17 3 3 2 2 2 3 2 4" xfId="32987"/>
    <cellStyle name="Normal 17 3 3 2 2 2 3 3" xfId="9302"/>
    <cellStyle name="Normal 17 3 3 2 2 2 3 4" xfId="15504"/>
    <cellStyle name="Normal 17 3 3 2 2 2 3 5" xfId="32986"/>
    <cellStyle name="Normal 17 3 3 2 2 2 4" xfId="4127"/>
    <cellStyle name="Normal 17 3 3 2 2 2 4 2" xfId="10331"/>
    <cellStyle name="Normal 17 3 3 2 2 2 4 3" xfId="16533"/>
    <cellStyle name="Normal 17 3 3 2 2 2 4 4" xfId="32988"/>
    <cellStyle name="Normal 17 3 3 2 2 2 5" xfId="7230"/>
    <cellStyle name="Normal 17 3 3 2 2 2 5 2" xfId="19853"/>
    <cellStyle name="Normal 17 3 3 2 2 2 6" xfId="13432"/>
    <cellStyle name="Normal 17 3 3 2 2 2 7" xfId="32983"/>
    <cellStyle name="Normal 17 3 3 2 2 3" xfId="1728"/>
    <cellStyle name="Normal 17 3 3 2 2 3 2" xfId="4853"/>
    <cellStyle name="Normal 17 3 3 2 2 3 2 2" xfId="11056"/>
    <cellStyle name="Normal 17 3 3 2 2 3 2 2 2" xfId="56125"/>
    <cellStyle name="Normal 17 3 3 2 2 3 2 3" xfId="17258"/>
    <cellStyle name="Normal 17 3 3 2 2 3 2 4" xfId="47744"/>
    <cellStyle name="Normal 17 3 3 2 2 3 3" xfId="7956"/>
    <cellStyle name="Normal 17 3 3 2 2 3 4" xfId="14158"/>
    <cellStyle name="Normal 17 3 3 2 2 3 5" xfId="32989"/>
    <cellStyle name="Normal 17 3 3 2 2 4" xfId="3086"/>
    <cellStyle name="Normal 17 3 3 2 2 4 2" xfId="6198"/>
    <cellStyle name="Normal 17 3 3 2 2 4 2 2" xfId="12401"/>
    <cellStyle name="Normal 17 3 3 2 2 4 2 3" xfId="18603"/>
    <cellStyle name="Normal 17 3 3 2 2 4 2 4" xfId="32991"/>
    <cellStyle name="Normal 17 3 3 2 2 4 3" xfId="9301"/>
    <cellStyle name="Normal 17 3 3 2 2 4 4" xfId="15503"/>
    <cellStyle name="Normal 17 3 3 2 2 4 5" xfId="32990"/>
    <cellStyle name="Normal 17 3 3 2 2 5" xfId="4126"/>
    <cellStyle name="Normal 17 3 3 2 2 5 2" xfId="10330"/>
    <cellStyle name="Normal 17 3 3 2 2 5 3" xfId="16532"/>
    <cellStyle name="Normal 17 3 3 2 2 5 4" xfId="32992"/>
    <cellStyle name="Normal 17 3 3 2 2 6" xfId="7229"/>
    <cellStyle name="Normal 17 3 3 2 2 6 2" xfId="19329"/>
    <cellStyle name="Normal 17 3 3 2 2 7" xfId="13431"/>
    <cellStyle name="Normal 17 3 3 2 2 8" xfId="32982"/>
    <cellStyle name="Normal 17 3 3 2 2_IAS" xfId="32993"/>
    <cellStyle name="Normal 17 3 3 2 3" xfId="909"/>
    <cellStyle name="Normal 17 3 3 2 3 2" xfId="2007"/>
    <cellStyle name="Normal 17 3 3 2 3 2 2" xfId="5132"/>
    <cellStyle name="Normal 17 3 3 2 3 2 2 2" xfId="11335"/>
    <cellStyle name="Normal 17 3 3 2 3 2 2 3" xfId="17537"/>
    <cellStyle name="Normal 17 3 3 2 3 2 2 4" xfId="32996"/>
    <cellStyle name="Normal 17 3 3 2 3 2 3" xfId="8235"/>
    <cellStyle name="Normal 17 3 3 2 3 2 4" xfId="14437"/>
    <cellStyle name="Normal 17 3 3 2 3 2 5" xfId="32995"/>
    <cellStyle name="Normal 17 3 3 2 3 3" xfId="3088"/>
    <cellStyle name="Normal 17 3 3 2 3 3 2" xfId="6200"/>
    <cellStyle name="Normal 17 3 3 2 3 3 2 2" xfId="12403"/>
    <cellStyle name="Normal 17 3 3 2 3 3 2 3" xfId="18605"/>
    <cellStyle name="Normal 17 3 3 2 3 3 2 4" xfId="32998"/>
    <cellStyle name="Normal 17 3 3 2 3 3 3" xfId="9303"/>
    <cellStyle name="Normal 17 3 3 2 3 3 4" xfId="15505"/>
    <cellStyle name="Normal 17 3 3 2 3 3 5" xfId="32997"/>
    <cellStyle name="Normal 17 3 3 2 3 4" xfId="4128"/>
    <cellStyle name="Normal 17 3 3 2 3 4 2" xfId="10332"/>
    <cellStyle name="Normal 17 3 3 2 3 4 3" xfId="16534"/>
    <cellStyle name="Normal 17 3 3 2 3 4 4" xfId="32999"/>
    <cellStyle name="Normal 17 3 3 2 3 5" xfId="7231"/>
    <cellStyle name="Normal 17 3 3 2 3 5 2" xfId="19608"/>
    <cellStyle name="Normal 17 3 3 2 3 6" xfId="13433"/>
    <cellStyle name="Normal 17 3 3 2 3 7" xfId="32994"/>
    <cellStyle name="Normal 17 3 3 2 4" xfId="1483"/>
    <cellStyle name="Normal 17 3 3 2 4 2" xfId="4608"/>
    <cellStyle name="Normal 17 3 3 2 4 2 2" xfId="10811"/>
    <cellStyle name="Normal 17 3 3 2 4 2 2 2" xfId="55893"/>
    <cellStyle name="Normal 17 3 3 2 4 2 3" xfId="17013"/>
    <cellStyle name="Normal 17 3 3 2 4 2 4" xfId="47745"/>
    <cellStyle name="Normal 17 3 3 2 4 3" xfId="7711"/>
    <cellStyle name="Normal 17 3 3 2 4 4" xfId="13913"/>
    <cellStyle name="Normal 17 3 3 2 4 5" xfId="33000"/>
    <cellStyle name="Normal 17 3 3 2 5" xfId="3085"/>
    <cellStyle name="Normal 17 3 3 2 5 2" xfId="6197"/>
    <cellStyle name="Normal 17 3 3 2 5 2 2" xfId="12400"/>
    <cellStyle name="Normal 17 3 3 2 5 2 3" xfId="18602"/>
    <cellStyle name="Normal 17 3 3 2 5 2 4" xfId="33002"/>
    <cellStyle name="Normal 17 3 3 2 5 3" xfId="9300"/>
    <cellStyle name="Normal 17 3 3 2 5 4" xfId="15502"/>
    <cellStyle name="Normal 17 3 3 2 5 5" xfId="33001"/>
    <cellStyle name="Normal 17 3 3 2 6" xfId="4125"/>
    <cellStyle name="Normal 17 3 3 2 6 2" xfId="10329"/>
    <cellStyle name="Normal 17 3 3 2 6 3" xfId="16531"/>
    <cellStyle name="Normal 17 3 3 2 6 4" xfId="33003"/>
    <cellStyle name="Normal 17 3 3 2 7" xfId="7228"/>
    <cellStyle name="Normal 17 3 3 2 7 2" xfId="19084"/>
    <cellStyle name="Normal 17 3 3 2 8" xfId="13430"/>
    <cellStyle name="Normal 17 3 3 2 9" xfId="32981"/>
    <cellStyle name="Normal 17 3 3 2_IAS" xfId="33004"/>
    <cellStyle name="Normal 17 3 3 3" xfId="910"/>
    <cellStyle name="Normal 17 3 3 3 2" xfId="911"/>
    <cellStyle name="Normal 17 3 3 3 2 2" xfId="2124"/>
    <cellStyle name="Normal 17 3 3 3 2 2 2" xfId="5249"/>
    <cellStyle name="Normal 17 3 3 3 2 2 2 2" xfId="11452"/>
    <cellStyle name="Normal 17 3 3 3 2 2 2 3" xfId="17654"/>
    <cellStyle name="Normal 17 3 3 3 2 2 2 4" xfId="33008"/>
    <cellStyle name="Normal 17 3 3 3 2 2 3" xfId="8352"/>
    <cellStyle name="Normal 17 3 3 3 2 2 4" xfId="14554"/>
    <cellStyle name="Normal 17 3 3 3 2 2 5" xfId="33007"/>
    <cellStyle name="Normal 17 3 3 3 2 3" xfId="3090"/>
    <cellStyle name="Normal 17 3 3 3 2 3 2" xfId="6202"/>
    <cellStyle name="Normal 17 3 3 3 2 3 2 2" xfId="12405"/>
    <cellStyle name="Normal 17 3 3 3 2 3 2 3" xfId="18607"/>
    <cellStyle name="Normal 17 3 3 3 2 3 2 4" xfId="33010"/>
    <cellStyle name="Normal 17 3 3 3 2 3 3" xfId="9305"/>
    <cellStyle name="Normal 17 3 3 3 2 3 4" xfId="15507"/>
    <cellStyle name="Normal 17 3 3 3 2 3 5" xfId="33009"/>
    <cellStyle name="Normal 17 3 3 3 2 4" xfId="4130"/>
    <cellStyle name="Normal 17 3 3 3 2 4 2" xfId="10334"/>
    <cellStyle name="Normal 17 3 3 3 2 4 3" xfId="16536"/>
    <cellStyle name="Normal 17 3 3 3 2 4 4" xfId="33011"/>
    <cellStyle name="Normal 17 3 3 3 2 5" xfId="7233"/>
    <cellStyle name="Normal 17 3 3 3 2 5 2" xfId="19725"/>
    <cellStyle name="Normal 17 3 3 3 2 6" xfId="13435"/>
    <cellStyle name="Normal 17 3 3 3 2 7" xfId="33006"/>
    <cellStyle name="Normal 17 3 3 3 3" xfId="1600"/>
    <cellStyle name="Normal 17 3 3 3 3 2" xfId="4725"/>
    <cellStyle name="Normal 17 3 3 3 3 2 2" xfId="10928"/>
    <cellStyle name="Normal 17 3 3 3 3 2 2 2" xfId="56003"/>
    <cellStyle name="Normal 17 3 3 3 3 2 3" xfId="17130"/>
    <cellStyle name="Normal 17 3 3 3 3 2 4" xfId="47747"/>
    <cellStyle name="Normal 17 3 3 3 3 3" xfId="7828"/>
    <cellStyle name="Normal 17 3 3 3 3 4" xfId="14030"/>
    <cellStyle name="Normal 17 3 3 3 3 5" xfId="33012"/>
    <cellStyle name="Normal 17 3 3 3 4" xfId="3089"/>
    <cellStyle name="Normal 17 3 3 3 4 2" xfId="6201"/>
    <cellStyle name="Normal 17 3 3 3 4 2 2" xfId="12404"/>
    <cellStyle name="Normal 17 3 3 3 4 2 3" xfId="18606"/>
    <cellStyle name="Normal 17 3 3 3 4 2 4" xfId="33014"/>
    <cellStyle name="Normal 17 3 3 3 4 3" xfId="9304"/>
    <cellStyle name="Normal 17 3 3 3 4 4" xfId="15506"/>
    <cellStyle name="Normal 17 3 3 3 4 5" xfId="33013"/>
    <cellStyle name="Normal 17 3 3 3 5" xfId="4129"/>
    <cellStyle name="Normal 17 3 3 3 5 2" xfId="10333"/>
    <cellStyle name="Normal 17 3 3 3 5 3" xfId="16535"/>
    <cellStyle name="Normal 17 3 3 3 5 4" xfId="33015"/>
    <cellStyle name="Normal 17 3 3 3 6" xfId="7232"/>
    <cellStyle name="Normal 17 3 3 3 6 2" xfId="19201"/>
    <cellStyle name="Normal 17 3 3 3 7" xfId="13434"/>
    <cellStyle name="Normal 17 3 3 3 8" xfId="33005"/>
    <cellStyle name="Normal 17 3 3 3_IAS" xfId="33016"/>
    <cellStyle name="Normal 17 3 3 4" xfId="912"/>
    <cellStyle name="Normal 17 3 3 4 2" xfId="1865"/>
    <cellStyle name="Normal 17 3 3 4 2 2" xfId="4990"/>
    <cellStyle name="Normal 17 3 3 4 2 2 2" xfId="11193"/>
    <cellStyle name="Normal 17 3 3 4 2 2 3" xfId="17395"/>
    <cellStyle name="Normal 17 3 3 4 2 2 4" xfId="33019"/>
    <cellStyle name="Normal 17 3 3 4 2 3" xfId="8093"/>
    <cellStyle name="Normal 17 3 3 4 2 4" xfId="14295"/>
    <cellStyle name="Normal 17 3 3 4 2 5" xfId="33018"/>
    <cellStyle name="Normal 17 3 3 4 3" xfId="3091"/>
    <cellStyle name="Normal 17 3 3 4 3 2" xfId="6203"/>
    <cellStyle name="Normal 17 3 3 4 3 2 2" xfId="12406"/>
    <cellStyle name="Normal 17 3 3 4 3 2 3" xfId="18608"/>
    <cellStyle name="Normal 17 3 3 4 3 2 4" xfId="33021"/>
    <cellStyle name="Normal 17 3 3 4 3 3" xfId="9306"/>
    <cellStyle name="Normal 17 3 3 4 3 4" xfId="15508"/>
    <cellStyle name="Normal 17 3 3 4 3 5" xfId="33020"/>
    <cellStyle name="Normal 17 3 3 4 4" xfId="4131"/>
    <cellStyle name="Normal 17 3 3 4 4 2" xfId="10335"/>
    <cellStyle name="Normal 17 3 3 4 4 3" xfId="16537"/>
    <cellStyle name="Normal 17 3 3 4 4 4" xfId="33022"/>
    <cellStyle name="Normal 17 3 3 4 5" xfId="7234"/>
    <cellStyle name="Normal 17 3 3 4 5 2" xfId="19466"/>
    <cellStyle name="Normal 17 3 3 4 6" xfId="13436"/>
    <cellStyle name="Normal 17 3 3 4 7" xfId="33017"/>
    <cellStyle name="Normal 17 3 3 5" xfId="1341"/>
    <cellStyle name="Normal 17 3 3 5 2" xfId="4466"/>
    <cellStyle name="Normal 17 3 3 5 2 2" xfId="10669"/>
    <cellStyle name="Normal 17 3 3 5 2 2 2" xfId="55757"/>
    <cellStyle name="Normal 17 3 3 5 2 3" xfId="16871"/>
    <cellStyle name="Normal 17 3 3 5 2 4" xfId="47749"/>
    <cellStyle name="Normal 17 3 3 5 3" xfId="7569"/>
    <cellStyle name="Normal 17 3 3 5 4" xfId="13771"/>
    <cellStyle name="Normal 17 3 3 5 5" xfId="33023"/>
    <cellStyle name="Normal 17 3 3 6" xfId="3084"/>
    <cellStyle name="Normal 17 3 3 6 2" xfId="6196"/>
    <cellStyle name="Normal 17 3 3 6 2 2" xfId="12399"/>
    <cellStyle name="Normal 17 3 3 6 2 3" xfId="18601"/>
    <cellStyle name="Normal 17 3 3 6 2 4" xfId="33025"/>
    <cellStyle name="Normal 17 3 3 6 3" xfId="9299"/>
    <cellStyle name="Normal 17 3 3 6 4" xfId="15501"/>
    <cellStyle name="Normal 17 3 3 6 5" xfId="33024"/>
    <cellStyle name="Normal 17 3 3 7" xfId="4124"/>
    <cellStyle name="Normal 17 3 3 7 2" xfId="10328"/>
    <cellStyle name="Normal 17 3 3 7 3" xfId="16530"/>
    <cellStyle name="Normal 17 3 3 7 4" xfId="33026"/>
    <cellStyle name="Normal 17 3 3 8" xfId="7227"/>
    <cellStyle name="Normal 17 3 3 8 2" xfId="18942"/>
    <cellStyle name="Normal 17 3 3 9" xfId="13429"/>
    <cellStyle name="Normal 17 3 3_IAS" xfId="33027"/>
    <cellStyle name="Normal 17 3 4" xfId="913"/>
    <cellStyle name="Normal 17 3 4 2" xfId="914"/>
    <cellStyle name="Normal 17 3 4 2 2" xfId="915"/>
    <cellStyle name="Normal 17 3 4 2 2 2" xfId="2189"/>
    <cellStyle name="Normal 17 3 4 2 2 2 2" xfId="5314"/>
    <cellStyle name="Normal 17 3 4 2 2 2 2 2" xfId="11517"/>
    <cellStyle name="Normal 17 3 4 2 2 2 2 2 2" xfId="33033"/>
    <cellStyle name="Normal 17 3 4 2 2 2 2 3" xfId="17719"/>
    <cellStyle name="Normal 17 3 4 2 2 2 2 4" xfId="33032"/>
    <cellStyle name="Normal 17 3 4 2 2 2 3" xfId="8417"/>
    <cellStyle name="Normal 17 3 4 2 2 2 3 2" xfId="33035"/>
    <cellStyle name="Normal 17 3 4 2 2 2 3 3" xfId="33034"/>
    <cellStyle name="Normal 17 3 4 2 2 2 4" xfId="14619"/>
    <cellStyle name="Normal 17 3 4 2 2 2 4 2" xfId="33036"/>
    <cellStyle name="Normal 17 3 4 2 2 2 5" xfId="33031"/>
    <cellStyle name="Normal 17 3 4 2 2 3" xfId="3094"/>
    <cellStyle name="Normal 17 3 4 2 2 3 2" xfId="6206"/>
    <cellStyle name="Normal 17 3 4 2 2 3 2 2" xfId="12409"/>
    <cellStyle name="Normal 17 3 4 2 2 3 2 2 2" xfId="57417"/>
    <cellStyle name="Normal 17 3 4 2 2 3 2 3" xfId="18611"/>
    <cellStyle name="Normal 17 3 4 2 2 3 2 4" xfId="47750"/>
    <cellStyle name="Normal 17 3 4 2 2 3 3" xfId="9309"/>
    <cellStyle name="Normal 17 3 4 2 2 3 4" xfId="15511"/>
    <cellStyle name="Normal 17 3 4 2 2 3 5" xfId="33037"/>
    <cellStyle name="Normal 17 3 4 2 2 4" xfId="4134"/>
    <cellStyle name="Normal 17 3 4 2 2 4 2" xfId="10338"/>
    <cellStyle name="Normal 17 3 4 2 2 4 2 2" xfId="33039"/>
    <cellStyle name="Normal 17 3 4 2 2 4 3" xfId="16540"/>
    <cellStyle name="Normal 17 3 4 2 2 4 4" xfId="33038"/>
    <cellStyle name="Normal 17 3 4 2 2 5" xfId="7237"/>
    <cellStyle name="Normal 17 3 4 2 2 5 2" xfId="19790"/>
    <cellStyle name="Normal 17 3 4 2 2 5 3" xfId="33040"/>
    <cellStyle name="Normal 17 3 4 2 2 6" xfId="13439"/>
    <cellStyle name="Normal 17 3 4 2 2 7" xfId="33030"/>
    <cellStyle name="Normal 17 3 4 2 2_IAS" xfId="33041"/>
    <cellStyle name="Normal 17 3 4 2 3" xfId="1665"/>
    <cellStyle name="Normal 17 3 4 2 3 2" xfId="4790"/>
    <cellStyle name="Normal 17 3 4 2 3 2 2" xfId="10993"/>
    <cellStyle name="Normal 17 3 4 2 3 2 2 2" xfId="33044"/>
    <cellStyle name="Normal 17 3 4 2 3 2 3" xfId="17195"/>
    <cellStyle name="Normal 17 3 4 2 3 2 4" xfId="33043"/>
    <cellStyle name="Normal 17 3 4 2 3 3" xfId="7893"/>
    <cellStyle name="Normal 17 3 4 2 3 3 2" xfId="33046"/>
    <cellStyle name="Normal 17 3 4 2 3 3 3" xfId="33045"/>
    <cellStyle name="Normal 17 3 4 2 3 4" xfId="14095"/>
    <cellStyle name="Normal 17 3 4 2 3 4 2" xfId="33047"/>
    <cellStyle name="Normal 17 3 4 2 3 5" xfId="33042"/>
    <cellStyle name="Normal 17 3 4 2 4" xfId="3093"/>
    <cellStyle name="Normal 17 3 4 2 4 2" xfId="6205"/>
    <cellStyle name="Normal 17 3 4 2 4 2 2" xfId="12408"/>
    <cellStyle name="Normal 17 3 4 2 4 2 2 2" xfId="57416"/>
    <cellStyle name="Normal 17 3 4 2 4 2 3" xfId="18610"/>
    <cellStyle name="Normal 17 3 4 2 4 2 4" xfId="47751"/>
    <cellStyle name="Normal 17 3 4 2 4 3" xfId="9308"/>
    <cellStyle name="Normal 17 3 4 2 4 4" xfId="15510"/>
    <cellStyle name="Normal 17 3 4 2 4 5" xfId="33048"/>
    <cellStyle name="Normal 17 3 4 2 5" xfId="4133"/>
    <cellStyle name="Normal 17 3 4 2 5 2" xfId="10337"/>
    <cellStyle name="Normal 17 3 4 2 5 2 2" xfId="33050"/>
    <cellStyle name="Normal 17 3 4 2 5 3" xfId="16539"/>
    <cellStyle name="Normal 17 3 4 2 5 4" xfId="33049"/>
    <cellStyle name="Normal 17 3 4 2 6" xfId="7236"/>
    <cellStyle name="Normal 17 3 4 2 6 2" xfId="19266"/>
    <cellStyle name="Normal 17 3 4 2 6 3" xfId="33051"/>
    <cellStyle name="Normal 17 3 4 2 7" xfId="13438"/>
    <cellStyle name="Normal 17 3 4 2 8" xfId="33029"/>
    <cellStyle name="Normal 17 3 4 2_IAS" xfId="33052"/>
    <cellStyle name="Normal 17 3 4 3" xfId="916"/>
    <cellStyle name="Normal 17 3 4 3 2" xfId="1944"/>
    <cellStyle name="Normal 17 3 4 3 2 2" xfId="5069"/>
    <cellStyle name="Normal 17 3 4 3 2 2 2" xfId="11272"/>
    <cellStyle name="Normal 17 3 4 3 2 2 2 2" xfId="33056"/>
    <cellStyle name="Normal 17 3 4 3 2 2 3" xfId="17474"/>
    <cellStyle name="Normal 17 3 4 3 2 2 4" xfId="33055"/>
    <cellStyle name="Normal 17 3 4 3 2 3" xfId="8172"/>
    <cellStyle name="Normal 17 3 4 3 2 3 2" xfId="33058"/>
    <cellStyle name="Normal 17 3 4 3 2 3 3" xfId="33057"/>
    <cellStyle name="Normal 17 3 4 3 2 4" xfId="14374"/>
    <cellStyle name="Normal 17 3 4 3 2 4 2" xfId="33059"/>
    <cellStyle name="Normal 17 3 4 3 2 5" xfId="33054"/>
    <cellStyle name="Normal 17 3 4 3 3" xfId="3095"/>
    <cellStyle name="Normal 17 3 4 3 3 2" xfId="6207"/>
    <cellStyle name="Normal 17 3 4 3 3 2 2" xfId="12410"/>
    <cellStyle name="Normal 17 3 4 3 3 2 2 2" xfId="57418"/>
    <cellStyle name="Normal 17 3 4 3 3 2 3" xfId="18612"/>
    <cellStyle name="Normal 17 3 4 3 3 2 4" xfId="47752"/>
    <cellStyle name="Normal 17 3 4 3 3 3" xfId="9310"/>
    <cellStyle name="Normal 17 3 4 3 3 4" xfId="15512"/>
    <cellStyle name="Normal 17 3 4 3 3 5" xfId="33060"/>
    <cellStyle name="Normal 17 3 4 3 4" xfId="4135"/>
    <cellStyle name="Normal 17 3 4 3 4 2" xfId="10339"/>
    <cellStyle name="Normal 17 3 4 3 4 2 2" xfId="33062"/>
    <cellStyle name="Normal 17 3 4 3 4 3" xfId="16541"/>
    <cellStyle name="Normal 17 3 4 3 4 4" xfId="33061"/>
    <cellStyle name="Normal 17 3 4 3 5" xfId="7238"/>
    <cellStyle name="Normal 17 3 4 3 5 2" xfId="19545"/>
    <cellStyle name="Normal 17 3 4 3 5 3" xfId="33063"/>
    <cellStyle name="Normal 17 3 4 3 6" xfId="13440"/>
    <cellStyle name="Normal 17 3 4 3 7" xfId="33053"/>
    <cellStyle name="Normal 17 3 4 3_IAS" xfId="33064"/>
    <cellStyle name="Normal 17 3 4 4" xfId="1420"/>
    <cellStyle name="Normal 17 3 4 4 2" xfId="4545"/>
    <cellStyle name="Normal 17 3 4 4 2 2" xfId="10748"/>
    <cellStyle name="Normal 17 3 4 4 2 2 2" xfId="33067"/>
    <cellStyle name="Normal 17 3 4 4 2 3" xfId="16950"/>
    <cellStyle name="Normal 17 3 4 4 2 4" xfId="33066"/>
    <cellStyle name="Normal 17 3 4 4 3" xfId="7648"/>
    <cellStyle name="Normal 17 3 4 4 3 2" xfId="33069"/>
    <cellStyle name="Normal 17 3 4 4 3 3" xfId="33068"/>
    <cellStyle name="Normal 17 3 4 4 4" xfId="13850"/>
    <cellStyle name="Normal 17 3 4 4 4 2" xfId="33070"/>
    <cellStyle name="Normal 17 3 4 4 5" xfId="33065"/>
    <cellStyle name="Normal 17 3 4 5" xfId="3092"/>
    <cellStyle name="Normal 17 3 4 5 2" xfId="6204"/>
    <cellStyle name="Normal 17 3 4 5 2 2" xfId="12407"/>
    <cellStyle name="Normal 17 3 4 5 2 2 2" xfId="57415"/>
    <cellStyle name="Normal 17 3 4 5 2 3" xfId="18609"/>
    <cellStyle name="Normal 17 3 4 5 2 4" xfId="47753"/>
    <cellStyle name="Normal 17 3 4 5 3" xfId="9307"/>
    <cellStyle name="Normal 17 3 4 5 4" xfId="15509"/>
    <cellStyle name="Normal 17 3 4 5 5" xfId="33071"/>
    <cellStyle name="Normal 17 3 4 6" xfId="4132"/>
    <cellStyle name="Normal 17 3 4 6 2" xfId="10336"/>
    <cellStyle name="Normal 17 3 4 6 2 2" xfId="33073"/>
    <cellStyle name="Normal 17 3 4 6 3" xfId="16538"/>
    <cellStyle name="Normal 17 3 4 6 4" xfId="33072"/>
    <cellStyle name="Normal 17 3 4 7" xfId="7235"/>
    <cellStyle name="Normal 17 3 4 7 2" xfId="19021"/>
    <cellStyle name="Normal 17 3 4 7 3" xfId="33074"/>
    <cellStyle name="Normal 17 3 4 8" xfId="13437"/>
    <cellStyle name="Normal 17 3 4 9" xfId="33028"/>
    <cellStyle name="Normal 17 3 4_IAS" xfId="33075"/>
    <cellStyle name="Normal 17 3 5" xfId="917"/>
    <cellStyle name="Normal 17 3 5 2" xfId="918"/>
    <cellStyle name="Normal 17 3 5 2 2" xfId="2085"/>
    <cellStyle name="Normal 17 3 5 2 2 2" xfId="5210"/>
    <cellStyle name="Normal 17 3 5 2 2 2 2" xfId="11413"/>
    <cellStyle name="Normal 17 3 5 2 2 2 3" xfId="17615"/>
    <cellStyle name="Normal 17 3 5 2 2 2 4" xfId="56460"/>
    <cellStyle name="Normal 17 3 5 2 2 3" xfId="8313"/>
    <cellStyle name="Normal 17 3 5 2 2 4" xfId="14515"/>
    <cellStyle name="Normal 17 3 5 2 2 5" xfId="53564"/>
    <cellStyle name="Normal 17 3 5 2 3" xfId="3097"/>
    <cellStyle name="Normal 17 3 5 2 3 2" xfId="6209"/>
    <cellStyle name="Normal 17 3 5 2 3 2 2" xfId="12412"/>
    <cellStyle name="Normal 17 3 5 2 3 2 3" xfId="18614"/>
    <cellStyle name="Normal 17 3 5 2 3 2 4" xfId="57420"/>
    <cellStyle name="Normal 17 3 5 2 3 3" xfId="9312"/>
    <cellStyle name="Normal 17 3 5 2 3 4" xfId="15514"/>
    <cellStyle name="Normal 17 3 5 2 3 5" xfId="54521"/>
    <cellStyle name="Normal 17 3 5 2 4" xfId="4137"/>
    <cellStyle name="Normal 17 3 5 2 4 2" xfId="10341"/>
    <cellStyle name="Normal 17 3 5 2 4 3" xfId="16543"/>
    <cellStyle name="Normal 17 3 5 2 4 4" xfId="55474"/>
    <cellStyle name="Normal 17 3 5 2 5" xfId="7240"/>
    <cellStyle name="Normal 17 3 5 2 5 2" xfId="19686"/>
    <cellStyle name="Normal 17 3 5 2 5 3" xfId="52670"/>
    <cellStyle name="Normal 17 3 5 2 6" xfId="13442"/>
    <cellStyle name="Normal 17 3 5 2 7" xfId="47754"/>
    <cellStyle name="Normal 17 3 5 3" xfId="1561"/>
    <cellStyle name="Normal 17 3 5 3 2" xfId="4686"/>
    <cellStyle name="Normal 17 3 5 3 2 2" xfId="10889"/>
    <cellStyle name="Normal 17 3 5 3 2 3" xfId="17091"/>
    <cellStyle name="Normal 17 3 5 3 2 4" xfId="55965"/>
    <cellStyle name="Normal 17 3 5 3 3" xfId="7789"/>
    <cellStyle name="Normal 17 3 5 3 4" xfId="13991"/>
    <cellStyle name="Normal 17 3 5 3 5" xfId="53079"/>
    <cellStyle name="Normal 17 3 5 4" xfId="3096"/>
    <cellStyle name="Normal 17 3 5 4 2" xfId="6208"/>
    <cellStyle name="Normal 17 3 5 4 2 2" xfId="12411"/>
    <cellStyle name="Normal 17 3 5 4 2 3" xfId="18613"/>
    <cellStyle name="Normal 17 3 5 4 2 4" xfId="57419"/>
    <cellStyle name="Normal 17 3 5 4 3" xfId="9311"/>
    <cellStyle name="Normal 17 3 5 4 4" xfId="15513"/>
    <cellStyle name="Normal 17 3 5 4 5" xfId="54520"/>
    <cellStyle name="Normal 17 3 5 5" xfId="4136"/>
    <cellStyle name="Normal 17 3 5 5 2" xfId="10340"/>
    <cellStyle name="Normal 17 3 5 5 3" xfId="16542"/>
    <cellStyle name="Normal 17 3 5 5 4" xfId="55473"/>
    <cellStyle name="Normal 17 3 5 6" xfId="7239"/>
    <cellStyle name="Normal 17 3 5 6 2" xfId="19162"/>
    <cellStyle name="Normal 17 3 5 7" xfId="13441"/>
    <cellStyle name="Normal 17 3 5 8" xfId="33076"/>
    <cellStyle name="Normal 17 3 6" xfId="919"/>
    <cellStyle name="Normal 17 3 6 2" xfId="1815"/>
    <cellStyle name="Normal 17 3 6 2 2" xfId="4940"/>
    <cellStyle name="Normal 17 3 6 2 2 2" xfId="11143"/>
    <cellStyle name="Normal 17 3 6 2 2 2 2" xfId="33081"/>
    <cellStyle name="Normal 17 3 6 2 2 2 3" xfId="33080"/>
    <cellStyle name="Normal 17 3 6 2 2 3" xfId="17345"/>
    <cellStyle name="Normal 17 3 6 2 2 3 2" xfId="33083"/>
    <cellStyle name="Normal 17 3 6 2 2 3 3" xfId="33082"/>
    <cellStyle name="Normal 17 3 6 2 2 4" xfId="33084"/>
    <cellStyle name="Normal 17 3 6 2 2 5" xfId="33079"/>
    <cellStyle name="Normal 17 3 6 2 3" xfId="8043"/>
    <cellStyle name="Normal 17 3 6 2 3 2" xfId="47755"/>
    <cellStyle name="Normal 17 3 6 2 3 3" xfId="33085"/>
    <cellStyle name="Normal 17 3 6 2 4" xfId="14245"/>
    <cellStyle name="Normal 17 3 6 2 4 2" xfId="33087"/>
    <cellStyle name="Normal 17 3 6 2 4 3" xfId="33086"/>
    <cellStyle name="Normal 17 3 6 2 5" xfId="33088"/>
    <cellStyle name="Normal 17 3 6 2 6" xfId="33078"/>
    <cellStyle name="Normal 17 3 6 2_IAS" xfId="33089"/>
    <cellStyle name="Normal 17 3 6 3" xfId="3098"/>
    <cellStyle name="Normal 17 3 6 3 2" xfId="6210"/>
    <cellStyle name="Normal 17 3 6 3 2 2" xfId="12413"/>
    <cellStyle name="Normal 17 3 6 3 2 2 2" xfId="33092"/>
    <cellStyle name="Normal 17 3 6 3 2 3" xfId="18615"/>
    <cellStyle name="Normal 17 3 6 3 2 4" xfId="33091"/>
    <cellStyle name="Normal 17 3 6 3 3" xfId="9313"/>
    <cellStyle name="Normal 17 3 6 3 3 2" xfId="33094"/>
    <cellStyle name="Normal 17 3 6 3 3 3" xfId="33093"/>
    <cellStyle name="Normal 17 3 6 3 4" xfId="15515"/>
    <cellStyle name="Normal 17 3 6 3 4 2" xfId="33095"/>
    <cellStyle name="Normal 17 3 6 3 5" xfId="33090"/>
    <cellStyle name="Normal 17 3 6 4" xfId="4138"/>
    <cellStyle name="Normal 17 3 6 4 2" xfId="10342"/>
    <cellStyle name="Normal 17 3 6 4 2 2" xfId="47756"/>
    <cellStyle name="Normal 17 3 6 4 3" xfId="16544"/>
    <cellStyle name="Normal 17 3 6 4 4" xfId="33096"/>
    <cellStyle name="Normal 17 3 6 5" xfId="7241"/>
    <cellStyle name="Normal 17 3 6 5 2" xfId="19416"/>
    <cellStyle name="Normal 17 3 6 5 2 2" xfId="33098"/>
    <cellStyle name="Normal 17 3 6 5 3" xfId="33097"/>
    <cellStyle name="Normal 17 3 6 6" xfId="13443"/>
    <cellStyle name="Normal 17 3 6 6 2" xfId="33099"/>
    <cellStyle name="Normal 17 3 6 7" xfId="33077"/>
    <cellStyle name="Normal 17 3 6_IAS" xfId="33100"/>
    <cellStyle name="Normal 17 3 7" xfId="1273"/>
    <cellStyle name="Normal 17 3 7 2" xfId="4398"/>
    <cellStyle name="Normal 17 3 7 2 2" xfId="10601"/>
    <cellStyle name="Normal 17 3 7 2 2 2" xfId="33104"/>
    <cellStyle name="Normal 17 3 7 2 2 3" xfId="33103"/>
    <cellStyle name="Normal 17 3 7 2 3" xfId="16803"/>
    <cellStyle name="Normal 17 3 7 2 3 2" xfId="33106"/>
    <cellStyle name="Normal 17 3 7 2 3 3" xfId="33105"/>
    <cellStyle name="Normal 17 3 7 2 4" xfId="33107"/>
    <cellStyle name="Normal 17 3 7 2 5" xfId="33102"/>
    <cellStyle name="Normal 17 3 7 3" xfId="7501"/>
    <cellStyle name="Normal 17 3 7 3 2" xfId="47757"/>
    <cellStyle name="Normal 17 3 7 3 3" xfId="33108"/>
    <cellStyle name="Normal 17 3 7 4" xfId="13703"/>
    <cellStyle name="Normal 17 3 7 4 2" xfId="33110"/>
    <cellStyle name="Normal 17 3 7 4 3" xfId="33109"/>
    <cellStyle name="Normal 17 3 7 5" xfId="33111"/>
    <cellStyle name="Normal 17 3 7 6" xfId="33101"/>
    <cellStyle name="Normal 17 3 7_IAS" xfId="33112"/>
    <cellStyle name="Normal 17 3 8" xfId="3067"/>
    <cellStyle name="Normal 17 3 8 2" xfId="6179"/>
    <cellStyle name="Normal 17 3 8 2 2" xfId="12382"/>
    <cellStyle name="Normal 17 3 8 2 2 2" xfId="33115"/>
    <cellStyle name="Normal 17 3 8 2 3" xfId="18584"/>
    <cellStyle name="Normal 17 3 8 2 4" xfId="33114"/>
    <cellStyle name="Normal 17 3 8 3" xfId="9282"/>
    <cellStyle name="Normal 17 3 8 3 2" xfId="33117"/>
    <cellStyle name="Normal 17 3 8 3 3" xfId="33116"/>
    <cellStyle name="Normal 17 3 8 4" xfId="15484"/>
    <cellStyle name="Normal 17 3 8 4 2" xfId="33118"/>
    <cellStyle name="Normal 17 3 8 5" xfId="33113"/>
    <cellStyle name="Normal 17 3 9" xfId="4107"/>
    <cellStyle name="Normal 17 3 9 2" xfId="10311"/>
    <cellStyle name="Normal 17 3 9 2 2" xfId="33121"/>
    <cellStyle name="Normal 17 3 9 2 3" xfId="33120"/>
    <cellStyle name="Normal 17 3 9 3" xfId="16513"/>
    <cellStyle name="Normal 17 3 9 3 2" xfId="33122"/>
    <cellStyle name="Normal 17 3 9 4" xfId="33119"/>
    <cellStyle name="Normal 17 3_AGF" xfId="33123"/>
    <cellStyle name="Normal 17 4" xfId="920"/>
    <cellStyle name="Normal 17 4 10" xfId="33124"/>
    <cellStyle name="Normal 17 4 2" xfId="921"/>
    <cellStyle name="Normal 17 4 2 2" xfId="922"/>
    <cellStyle name="Normal 17 4 2 2 2" xfId="923"/>
    <cellStyle name="Normal 17 4 2 2 2 2" xfId="2251"/>
    <cellStyle name="Normal 17 4 2 2 2 2 2" xfId="5376"/>
    <cellStyle name="Normal 17 4 2 2 2 2 2 2" xfId="11579"/>
    <cellStyle name="Normal 17 4 2 2 2 2 2 3" xfId="17781"/>
    <cellStyle name="Normal 17 4 2 2 2 2 2 4" xfId="56615"/>
    <cellStyle name="Normal 17 4 2 2 2 2 3" xfId="8479"/>
    <cellStyle name="Normal 17 4 2 2 2 2 4" xfId="14681"/>
    <cellStyle name="Normal 17 4 2 2 2 2 5" xfId="53719"/>
    <cellStyle name="Normal 17 4 2 2 2 3" xfId="3102"/>
    <cellStyle name="Normal 17 4 2 2 2 3 2" xfId="6214"/>
    <cellStyle name="Normal 17 4 2 2 2 3 2 2" xfId="12417"/>
    <cellStyle name="Normal 17 4 2 2 2 3 2 3" xfId="18619"/>
    <cellStyle name="Normal 17 4 2 2 2 3 2 4" xfId="57424"/>
    <cellStyle name="Normal 17 4 2 2 2 3 3" xfId="9317"/>
    <cellStyle name="Normal 17 4 2 2 2 3 4" xfId="15519"/>
    <cellStyle name="Normal 17 4 2 2 2 3 5" xfId="54525"/>
    <cellStyle name="Normal 17 4 2 2 2 4" xfId="4142"/>
    <cellStyle name="Normal 17 4 2 2 2 4 2" xfId="10346"/>
    <cellStyle name="Normal 17 4 2 2 2 4 3" xfId="16548"/>
    <cellStyle name="Normal 17 4 2 2 2 4 4" xfId="55478"/>
    <cellStyle name="Normal 17 4 2 2 2 5" xfId="7245"/>
    <cellStyle name="Normal 17 4 2 2 2 5 2" xfId="19852"/>
    <cellStyle name="Normal 17 4 2 2 2 6" xfId="13447"/>
    <cellStyle name="Normal 17 4 2 2 2 7" xfId="52671"/>
    <cellStyle name="Normal 17 4 2 2 3" xfId="1727"/>
    <cellStyle name="Normal 17 4 2 2 3 2" xfId="4852"/>
    <cellStyle name="Normal 17 4 2 2 3 2 2" xfId="11055"/>
    <cellStyle name="Normal 17 4 2 2 3 2 3" xfId="17257"/>
    <cellStyle name="Normal 17 4 2 2 3 2 4" xfId="56124"/>
    <cellStyle name="Normal 17 4 2 2 3 3" xfId="7955"/>
    <cellStyle name="Normal 17 4 2 2 3 4" xfId="14157"/>
    <cellStyle name="Normal 17 4 2 2 3 5" xfId="53234"/>
    <cellStyle name="Normal 17 4 2 2 4" xfId="3101"/>
    <cellStyle name="Normal 17 4 2 2 4 2" xfId="6213"/>
    <cellStyle name="Normal 17 4 2 2 4 2 2" xfId="12416"/>
    <cellStyle name="Normal 17 4 2 2 4 2 3" xfId="18618"/>
    <cellStyle name="Normal 17 4 2 2 4 2 4" xfId="57423"/>
    <cellStyle name="Normal 17 4 2 2 4 3" xfId="9316"/>
    <cellStyle name="Normal 17 4 2 2 4 4" xfId="15518"/>
    <cellStyle name="Normal 17 4 2 2 4 5" xfId="54524"/>
    <cellStyle name="Normal 17 4 2 2 5" xfId="4141"/>
    <cellStyle name="Normal 17 4 2 2 5 2" xfId="10345"/>
    <cellStyle name="Normal 17 4 2 2 5 3" xfId="16547"/>
    <cellStyle name="Normal 17 4 2 2 5 4" xfId="55477"/>
    <cellStyle name="Normal 17 4 2 2 6" xfId="7244"/>
    <cellStyle name="Normal 17 4 2 2 6 2" xfId="19328"/>
    <cellStyle name="Normal 17 4 2 2 7" xfId="13446"/>
    <cellStyle name="Normal 17 4 2 2 8" xfId="52127"/>
    <cellStyle name="Normal 17 4 2 3" xfId="924"/>
    <cellStyle name="Normal 17 4 2 3 2" xfId="2006"/>
    <cellStyle name="Normal 17 4 2 3 2 2" xfId="5131"/>
    <cellStyle name="Normal 17 4 2 3 2 2 2" xfId="11334"/>
    <cellStyle name="Normal 17 4 2 3 2 2 3" xfId="17536"/>
    <cellStyle name="Normal 17 4 2 3 2 2 4" xfId="56388"/>
    <cellStyle name="Normal 17 4 2 3 2 3" xfId="8234"/>
    <cellStyle name="Normal 17 4 2 3 2 4" xfId="14436"/>
    <cellStyle name="Normal 17 4 2 3 2 5" xfId="53493"/>
    <cellStyle name="Normal 17 4 2 3 3" xfId="3103"/>
    <cellStyle name="Normal 17 4 2 3 3 2" xfId="6215"/>
    <cellStyle name="Normal 17 4 2 3 3 2 2" xfId="12418"/>
    <cellStyle name="Normal 17 4 2 3 3 2 3" xfId="18620"/>
    <cellStyle name="Normal 17 4 2 3 3 2 4" xfId="57425"/>
    <cellStyle name="Normal 17 4 2 3 3 3" xfId="9318"/>
    <cellStyle name="Normal 17 4 2 3 3 4" xfId="15520"/>
    <cellStyle name="Normal 17 4 2 3 3 5" xfId="54526"/>
    <cellStyle name="Normal 17 4 2 3 4" xfId="4143"/>
    <cellStyle name="Normal 17 4 2 3 4 2" xfId="10347"/>
    <cellStyle name="Normal 17 4 2 3 4 3" xfId="16549"/>
    <cellStyle name="Normal 17 4 2 3 4 4" xfId="55479"/>
    <cellStyle name="Normal 17 4 2 3 5" xfId="7246"/>
    <cellStyle name="Normal 17 4 2 3 5 2" xfId="19607"/>
    <cellStyle name="Normal 17 4 2 3 6" xfId="13448"/>
    <cellStyle name="Normal 17 4 2 3 7" xfId="52672"/>
    <cellStyle name="Normal 17 4 2 4" xfId="1482"/>
    <cellStyle name="Normal 17 4 2 4 2" xfId="4607"/>
    <cellStyle name="Normal 17 4 2 4 2 2" xfId="10810"/>
    <cellStyle name="Normal 17 4 2 4 2 3" xfId="17012"/>
    <cellStyle name="Normal 17 4 2 4 2 4" xfId="55892"/>
    <cellStyle name="Normal 17 4 2 4 3" xfId="7710"/>
    <cellStyle name="Normal 17 4 2 4 4" xfId="13912"/>
    <cellStyle name="Normal 17 4 2 4 5" xfId="53009"/>
    <cellStyle name="Normal 17 4 2 5" xfId="3100"/>
    <cellStyle name="Normal 17 4 2 5 2" xfId="6212"/>
    <cellStyle name="Normal 17 4 2 5 2 2" xfId="12415"/>
    <cellStyle name="Normal 17 4 2 5 2 3" xfId="18617"/>
    <cellStyle name="Normal 17 4 2 5 2 4" xfId="57422"/>
    <cellStyle name="Normal 17 4 2 5 3" xfId="9315"/>
    <cellStyle name="Normal 17 4 2 5 4" xfId="15517"/>
    <cellStyle name="Normal 17 4 2 5 5" xfId="54523"/>
    <cellStyle name="Normal 17 4 2 6" xfId="4140"/>
    <cellStyle name="Normal 17 4 2 6 2" xfId="10344"/>
    <cellStyle name="Normal 17 4 2 6 3" xfId="16546"/>
    <cellStyle name="Normal 17 4 2 6 4" xfId="55476"/>
    <cellStyle name="Normal 17 4 2 7" xfId="7243"/>
    <cellStyle name="Normal 17 4 2 7 2" xfId="19083"/>
    <cellStyle name="Normal 17 4 2 8" xfId="13445"/>
    <cellStyle name="Normal 17 4 2 9" xfId="47758"/>
    <cellStyle name="Normal 17 4 3" xfId="925"/>
    <cellStyle name="Normal 17 4 3 2" xfId="926"/>
    <cellStyle name="Normal 17 4 3 2 2" xfId="2123"/>
    <cellStyle name="Normal 17 4 3 2 2 2" xfId="5248"/>
    <cellStyle name="Normal 17 4 3 2 2 2 2" xfId="11451"/>
    <cellStyle name="Normal 17 4 3 2 2 2 3" xfId="17653"/>
    <cellStyle name="Normal 17 4 3 2 2 2 4" xfId="56496"/>
    <cellStyle name="Normal 17 4 3 2 2 3" xfId="8351"/>
    <cellStyle name="Normal 17 4 3 2 2 4" xfId="14553"/>
    <cellStyle name="Normal 17 4 3 2 2 5" xfId="53600"/>
    <cellStyle name="Normal 17 4 3 2 3" xfId="3105"/>
    <cellStyle name="Normal 17 4 3 2 3 2" xfId="6217"/>
    <cellStyle name="Normal 17 4 3 2 3 2 2" xfId="12420"/>
    <cellStyle name="Normal 17 4 3 2 3 2 3" xfId="18622"/>
    <cellStyle name="Normal 17 4 3 2 3 2 4" xfId="57427"/>
    <cellStyle name="Normal 17 4 3 2 3 3" xfId="9320"/>
    <cellStyle name="Normal 17 4 3 2 3 4" xfId="15522"/>
    <cellStyle name="Normal 17 4 3 2 3 5" xfId="54528"/>
    <cellStyle name="Normal 17 4 3 2 4" xfId="4145"/>
    <cellStyle name="Normal 17 4 3 2 4 2" xfId="10349"/>
    <cellStyle name="Normal 17 4 3 2 4 3" xfId="16551"/>
    <cellStyle name="Normal 17 4 3 2 4 4" xfId="55481"/>
    <cellStyle name="Normal 17 4 3 2 5" xfId="7248"/>
    <cellStyle name="Normal 17 4 3 2 5 2" xfId="19724"/>
    <cellStyle name="Normal 17 4 3 2 6" xfId="13450"/>
    <cellStyle name="Normal 17 4 3 2 7" xfId="52674"/>
    <cellStyle name="Normal 17 4 3 3" xfId="1599"/>
    <cellStyle name="Normal 17 4 3 3 2" xfId="4724"/>
    <cellStyle name="Normal 17 4 3 3 2 2" xfId="10927"/>
    <cellStyle name="Normal 17 4 3 3 2 3" xfId="17129"/>
    <cellStyle name="Normal 17 4 3 3 2 4" xfId="56002"/>
    <cellStyle name="Normal 17 4 3 3 3" xfId="7827"/>
    <cellStyle name="Normal 17 4 3 3 4" xfId="14029"/>
    <cellStyle name="Normal 17 4 3 3 5" xfId="53115"/>
    <cellStyle name="Normal 17 4 3 4" xfId="3104"/>
    <cellStyle name="Normal 17 4 3 4 2" xfId="6216"/>
    <cellStyle name="Normal 17 4 3 4 2 2" xfId="12419"/>
    <cellStyle name="Normal 17 4 3 4 2 3" xfId="18621"/>
    <cellStyle name="Normal 17 4 3 4 2 4" xfId="57426"/>
    <cellStyle name="Normal 17 4 3 4 3" xfId="9319"/>
    <cellStyle name="Normal 17 4 3 4 4" xfId="15521"/>
    <cellStyle name="Normal 17 4 3 4 5" xfId="54527"/>
    <cellStyle name="Normal 17 4 3 5" xfId="4144"/>
    <cellStyle name="Normal 17 4 3 5 2" xfId="10348"/>
    <cellStyle name="Normal 17 4 3 5 3" xfId="16550"/>
    <cellStyle name="Normal 17 4 3 5 4" xfId="55480"/>
    <cellStyle name="Normal 17 4 3 6" xfId="7247"/>
    <cellStyle name="Normal 17 4 3 6 2" xfId="19200"/>
    <cellStyle name="Normal 17 4 3 7" xfId="13449"/>
    <cellStyle name="Normal 17 4 3 8" xfId="52673"/>
    <cellStyle name="Normal 17 4 4" xfId="927"/>
    <cellStyle name="Normal 17 4 4 2" xfId="1864"/>
    <cellStyle name="Normal 17 4 4 2 2" xfId="4989"/>
    <cellStyle name="Normal 17 4 4 2 2 2" xfId="11192"/>
    <cellStyle name="Normal 17 4 4 2 2 3" xfId="17394"/>
    <cellStyle name="Normal 17 4 4 2 2 4" xfId="56253"/>
    <cellStyle name="Normal 17 4 4 2 3" xfId="8092"/>
    <cellStyle name="Normal 17 4 4 2 4" xfId="14294"/>
    <cellStyle name="Normal 17 4 4 2 5" xfId="53359"/>
    <cellStyle name="Normal 17 4 4 3" xfId="3106"/>
    <cellStyle name="Normal 17 4 4 3 2" xfId="6218"/>
    <cellStyle name="Normal 17 4 4 3 2 2" xfId="12421"/>
    <cellStyle name="Normal 17 4 4 3 2 3" xfId="18623"/>
    <cellStyle name="Normal 17 4 4 3 2 4" xfId="57428"/>
    <cellStyle name="Normal 17 4 4 3 3" xfId="9321"/>
    <cellStyle name="Normal 17 4 4 3 4" xfId="15523"/>
    <cellStyle name="Normal 17 4 4 3 5" xfId="54529"/>
    <cellStyle name="Normal 17 4 4 4" xfId="4146"/>
    <cellStyle name="Normal 17 4 4 4 2" xfId="10350"/>
    <cellStyle name="Normal 17 4 4 4 3" xfId="16552"/>
    <cellStyle name="Normal 17 4 4 4 4" xfId="55482"/>
    <cellStyle name="Normal 17 4 4 5" xfId="7249"/>
    <cellStyle name="Normal 17 4 4 5 2" xfId="19465"/>
    <cellStyle name="Normal 17 4 4 6" xfId="13451"/>
    <cellStyle name="Normal 17 4 4 7" xfId="52675"/>
    <cellStyle name="Normal 17 4 5" xfId="1340"/>
    <cellStyle name="Normal 17 4 5 2" xfId="4465"/>
    <cellStyle name="Normal 17 4 5 2 2" xfId="10668"/>
    <cellStyle name="Normal 17 4 5 2 3" xfId="16870"/>
    <cellStyle name="Normal 17 4 5 2 4" xfId="55756"/>
    <cellStyle name="Normal 17 4 5 3" xfId="7568"/>
    <cellStyle name="Normal 17 4 5 4" xfId="13770"/>
    <cellStyle name="Normal 17 4 5 5" xfId="52884"/>
    <cellStyle name="Normal 17 4 6" xfId="3099"/>
    <cellStyle name="Normal 17 4 6 2" xfId="6211"/>
    <cellStyle name="Normal 17 4 6 2 2" xfId="12414"/>
    <cellStyle name="Normal 17 4 6 2 3" xfId="18616"/>
    <cellStyle name="Normal 17 4 6 2 4" xfId="57421"/>
    <cellStyle name="Normal 17 4 6 3" xfId="9314"/>
    <cellStyle name="Normal 17 4 6 4" xfId="15516"/>
    <cellStyle name="Normal 17 4 6 5" xfId="54522"/>
    <cellStyle name="Normal 17 4 7" xfId="4139"/>
    <cellStyle name="Normal 17 4 7 2" xfId="10343"/>
    <cellStyle name="Normal 17 4 7 3" xfId="16545"/>
    <cellStyle name="Normal 17 4 7 4" xfId="55475"/>
    <cellStyle name="Normal 17 4 8" xfId="7242"/>
    <cellStyle name="Normal 17 4 8 2" xfId="18941"/>
    <cellStyle name="Normal 17 4 9" xfId="13444"/>
    <cellStyle name="Normal 17 5" xfId="928"/>
    <cellStyle name="Normal 17 5 2" xfId="929"/>
    <cellStyle name="Normal 17 5 2 2" xfId="930"/>
    <cellStyle name="Normal 17 5 2 2 2" xfId="2188"/>
    <cellStyle name="Normal 17 5 2 2 2 2" xfId="5313"/>
    <cellStyle name="Normal 17 5 2 2 2 2 2" xfId="11516"/>
    <cellStyle name="Normal 17 5 2 2 2 2 3" xfId="17718"/>
    <cellStyle name="Normal 17 5 2 2 2 2 4" xfId="56555"/>
    <cellStyle name="Normal 17 5 2 2 2 3" xfId="8416"/>
    <cellStyle name="Normal 17 5 2 2 2 4" xfId="14618"/>
    <cellStyle name="Normal 17 5 2 2 2 5" xfId="53659"/>
    <cellStyle name="Normal 17 5 2 2 3" xfId="3109"/>
    <cellStyle name="Normal 17 5 2 2 3 2" xfId="6221"/>
    <cellStyle name="Normal 17 5 2 2 3 2 2" xfId="12424"/>
    <cellStyle name="Normal 17 5 2 2 3 2 3" xfId="18626"/>
    <cellStyle name="Normal 17 5 2 2 3 2 4" xfId="57431"/>
    <cellStyle name="Normal 17 5 2 2 3 3" xfId="9324"/>
    <cellStyle name="Normal 17 5 2 2 3 4" xfId="15526"/>
    <cellStyle name="Normal 17 5 2 2 3 5" xfId="54532"/>
    <cellStyle name="Normal 17 5 2 2 4" xfId="4149"/>
    <cellStyle name="Normal 17 5 2 2 4 2" xfId="10353"/>
    <cellStyle name="Normal 17 5 2 2 4 3" xfId="16555"/>
    <cellStyle name="Normal 17 5 2 2 4 4" xfId="55485"/>
    <cellStyle name="Normal 17 5 2 2 5" xfId="7252"/>
    <cellStyle name="Normal 17 5 2 2 5 2" xfId="19789"/>
    <cellStyle name="Normal 17 5 2 2 6" xfId="13454"/>
    <cellStyle name="Normal 17 5 2 2 7" xfId="52677"/>
    <cellStyle name="Normal 17 5 2 3" xfId="1664"/>
    <cellStyle name="Normal 17 5 2 3 2" xfId="4789"/>
    <cellStyle name="Normal 17 5 2 3 2 2" xfId="10992"/>
    <cellStyle name="Normal 17 5 2 3 2 3" xfId="17194"/>
    <cellStyle name="Normal 17 5 2 3 2 4" xfId="56064"/>
    <cellStyle name="Normal 17 5 2 3 3" xfId="7892"/>
    <cellStyle name="Normal 17 5 2 3 4" xfId="14094"/>
    <cellStyle name="Normal 17 5 2 3 5" xfId="53174"/>
    <cellStyle name="Normal 17 5 2 4" xfId="3108"/>
    <cellStyle name="Normal 17 5 2 4 2" xfId="6220"/>
    <cellStyle name="Normal 17 5 2 4 2 2" xfId="12423"/>
    <cellStyle name="Normal 17 5 2 4 2 3" xfId="18625"/>
    <cellStyle name="Normal 17 5 2 4 2 4" xfId="57430"/>
    <cellStyle name="Normal 17 5 2 4 3" xfId="9323"/>
    <cellStyle name="Normal 17 5 2 4 4" xfId="15525"/>
    <cellStyle name="Normal 17 5 2 4 5" xfId="54531"/>
    <cellStyle name="Normal 17 5 2 5" xfId="4148"/>
    <cellStyle name="Normal 17 5 2 5 2" xfId="10352"/>
    <cellStyle name="Normal 17 5 2 5 3" xfId="16554"/>
    <cellStyle name="Normal 17 5 2 5 4" xfId="55484"/>
    <cellStyle name="Normal 17 5 2 6" xfId="7251"/>
    <cellStyle name="Normal 17 5 2 6 2" xfId="19265"/>
    <cellStyle name="Normal 17 5 2 7" xfId="13453"/>
    <cellStyle name="Normal 17 5 2 8" xfId="52676"/>
    <cellStyle name="Normal 17 5 3" xfId="931"/>
    <cellStyle name="Normal 17 5 3 2" xfId="1943"/>
    <cellStyle name="Normal 17 5 3 2 2" xfId="5068"/>
    <cellStyle name="Normal 17 5 3 2 2 2" xfId="11271"/>
    <cellStyle name="Normal 17 5 3 2 2 3" xfId="17473"/>
    <cellStyle name="Normal 17 5 3 2 2 4" xfId="56328"/>
    <cellStyle name="Normal 17 5 3 2 3" xfId="8171"/>
    <cellStyle name="Normal 17 5 3 2 4" xfId="14373"/>
    <cellStyle name="Normal 17 5 3 2 5" xfId="53434"/>
    <cellStyle name="Normal 17 5 3 3" xfId="3110"/>
    <cellStyle name="Normal 17 5 3 3 2" xfId="6222"/>
    <cellStyle name="Normal 17 5 3 3 2 2" xfId="12425"/>
    <cellStyle name="Normal 17 5 3 3 2 3" xfId="18627"/>
    <cellStyle name="Normal 17 5 3 3 2 4" xfId="57432"/>
    <cellStyle name="Normal 17 5 3 3 3" xfId="9325"/>
    <cellStyle name="Normal 17 5 3 3 4" xfId="15527"/>
    <cellStyle name="Normal 17 5 3 3 5" xfId="54533"/>
    <cellStyle name="Normal 17 5 3 4" xfId="4150"/>
    <cellStyle name="Normal 17 5 3 4 2" xfId="10354"/>
    <cellStyle name="Normal 17 5 3 4 3" xfId="16556"/>
    <cellStyle name="Normal 17 5 3 4 4" xfId="55486"/>
    <cellStyle name="Normal 17 5 3 5" xfId="7253"/>
    <cellStyle name="Normal 17 5 3 5 2" xfId="19544"/>
    <cellStyle name="Normal 17 5 3 6" xfId="13455"/>
    <cellStyle name="Normal 17 5 3 7" xfId="52678"/>
    <cellStyle name="Normal 17 5 4" xfId="1419"/>
    <cellStyle name="Normal 17 5 4 2" xfId="4544"/>
    <cellStyle name="Normal 17 5 4 2 2" xfId="10747"/>
    <cellStyle name="Normal 17 5 4 2 3" xfId="16949"/>
    <cellStyle name="Normal 17 5 4 2 4" xfId="55832"/>
    <cellStyle name="Normal 17 5 4 3" xfId="7647"/>
    <cellStyle name="Normal 17 5 4 4" xfId="13849"/>
    <cellStyle name="Normal 17 5 4 5" xfId="52950"/>
    <cellStyle name="Normal 17 5 5" xfId="3107"/>
    <cellStyle name="Normal 17 5 5 2" xfId="6219"/>
    <cellStyle name="Normal 17 5 5 2 2" xfId="12422"/>
    <cellStyle name="Normal 17 5 5 2 3" xfId="18624"/>
    <cellStyle name="Normal 17 5 5 2 4" xfId="57429"/>
    <cellStyle name="Normal 17 5 5 3" xfId="9322"/>
    <cellStyle name="Normal 17 5 5 4" xfId="15524"/>
    <cellStyle name="Normal 17 5 5 5" xfId="54530"/>
    <cellStyle name="Normal 17 5 6" xfId="4147"/>
    <cellStyle name="Normal 17 5 6 2" xfId="10351"/>
    <cellStyle name="Normal 17 5 6 3" xfId="16553"/>
    <cellStyle name="Normal 17 5 6 4" xfId="55483"/>
    <cellStyle name="Normal 17 5 7" xfId="7250"/>
    <cellStyle name="Normal 17 5 7 2" xfId="19020"/>
    <cellStyle name="Normal 17 5 8" xfId="13452"/>
    <cellStyle name="Normal 17 5 9" xfId="33125"/>
    <cellStyle name="Normal 17 6" xfId="932"/>
    <cellStyle name="Normal 17 6 2" xfId="933"/>
    <cellStyle name="Normal 17 6 2 2" xfId="2084"/>
    <cellStyle name="Normal 17 6 2 2 2" xfId="5209"/>
    <cellStyle name="Normal 17 6 2 2 2 2" xfId="11412"/>
    <cellStyle name="Normal 17 6 2 2 2 3" xfId="17614"/>
    <cellStyle name="Normal 17 6 2 2 2 4" xfId="56459"/>
    <cellStyle name="Normal 17 6 2 2 3" xfId="8312"/>
    <cellStyle name="Normal 17 6 2 2 4" xfId="14514"/>
    <cellStyle name="Normal 17 6 2 2 5" xfId="53563"/>
    <cellStyle name="Normal 17 6 2 3" xfId="3112"/>
    <cellStyle name="Normal 17 6 2 3 2" xfId="6224"/>
    <cellStyle name="Normal 17 6 2 3 2 2" xfId="12427"/>
    <cellStyle name="Normal 17 6 2 3 2 3" xfId="18629"/>
    <cellStyle name="Normal 17 6 2 3 2 4" xfId="57434"/>
    <cellStyle name="Normal 17 6 2 3 3" xfId="9327"/>
    <cellStyle name="Normal 17 6 2 3 4" xfId="15529"/>
    <cellStyle name="Normal 17 6 2 3 5" xfId="54535"/>
    <cellStyle name="Normal 17 6 2 4" xfId="4152"/>
    <cellStyle name="Normal 17 6 2 4 2" xfId="10356"/>
    <cellStyle name="Normal 17 6 2 4 3" xfId="16558"/>
    <cellStyle name="Normal 17 6 2 4 4" xfId="55488"/>
    <cellStyle name="Normal 17 6 2 5" xfId="7255"/>
    <cellStyle name="Normal 17 6 2 5 2" xfId="19685"/>
    <cellStyle name="Normal 17 6 2 6" xfId="13457"/>
    <cellStyle name="Normal 17 6 2 7" xfId="52680"/>
    <cellStyle name="Normal 17 6 3" xfId="1560"/>
    <cellStyle name="Normal 17 6 3 2" xfId="4685"/>
    <cellStyle name="Normal 17 6 3 2 2" xfId="10888"/>
    <cellStyle name="Normal 17 6 3 2 3" xfId="17090"/>
    <cellStyle name="Normal 17 6 3 2 4" xfId="55964"/>
    <cellStyle name="Normal 17 6 3 3" xfId="7788"/>
    <cellStyle name="Normal 17 6 3 4" xfId="13990"/>
    <cellStyle name="Normal 17 6 3 5" xfId="53078"/>
    <cellStyle name="Normal 17 6 4" xfId="3111"/>
    <cellStyle name="Normal 17 6 4 2" xfId="6223"/>
    <cellStyle name="Normal 17 6 4 2 2" xfId="12426"/>
    <cellStyle name="Normal 17 6 4 2 3" xfId="18628"/>
    <cellStyle name="Normal 17 6 4 2 4" xfId="57433"/>
    <cellStyle name="Normal 17 6 4 3" xfId="9326"/>
    <cellStyle name="Normal 17 6 4 4" xfId="15528"/>
    <cellStyle name="Normal 17 6 4 5" xfId="54534"/>
    <cellStyle name="Normal 17 6 5" xfId="4151"/>
    <cellStyle name="Normal 17 6 5 2" xfId="10355"/>
    <cellStyle name="Normal 17 6 5 3" xfId="16557"/>
    <cellStyle name="Normal 17 6 5 4" xfId="55487"/>
    <cellStyle name="Normal 17 6 6" xfId="7254"/>
    <cellStyle name="Normal 17 6 6 2" xfId="19161"/>
    <cellStyle name="Normal 17 6 6 3" xfId="52679"/>
    <cellStyle name="Normal 17 6 7" xfId="13456"/>
    <cellStyle name="Normal 17 6 8" xfId="47728"/>
    <cellStyle name="Normal 17 7" xfId="934"/>
    <cellStyle name="Normal 17 7 2" xfId="1814"/>
    <cellStyle name="Normal 17 7 2 2" xfId="4939"/>
    <cellStyle name="Normal 17 7 2 2 2" xfId="11142"/>
    <cellStyle name="Normal 17 7 2 2 3" xfId="17344"/>
    <cellStyle name="Normal 17 7 2 2 4" xfId="56206"/>
    <cellStyle name="Normal 17 7 2 3" xfId="8042"/>
    <cellStyle name="Normal 17 7 2 4" xfId="14244"/>
    <cellStyle name="Normal 17 7 2 5" xfId="53312"/>
    <cellStyle name="Normal 17 7 3" xfId="3113"/>
    <cellStyle name="Normal 17 7 3 2" xfId="6225"/>
    <cellStyle name="Normal 17 7 3 2 2" xfId="12428"/>
    <cellStyle name="Normal 17 7 3 2 3" xfId="18630"/>
    <cellStyle name="Normal 17 7 3 2 4" xfId="57435"/>
    <cellStyle name="Normal 17 7 3 3" xfId="9328"/>
    <cellStyle name="Normal 17 7 3 4" xfId="15530"/>
    <cellStyle name="Normal 17 7 3 5" xfId="54536"/>
    <cellStyle name="Normal 17 7 4" xfId="4153"/>
    <cellStyle name="Normal 17 7 4 2" xfId="10357"/>
    <cellStyle name="Normal 17 7 4 3" xfId="16559"/>
    <cellStyle name="Normal 17 7 4 4" xfId="55489"/>
    <cellStyle name="Normal 17 7 5" xfId="7256"/>
    <cellStyle name="Normal 17 7 5 2" xfId="19415"/>
    <cellStyle name="Normal 17 7 6" xfId="13458"/>
    <cellStyle name="Normal 17 7 7" xfId="52681"/>
    <cellStyle name="Normal 17 8" xfId="1272"/>
    <cellStyle name="Normal 17 8 2" xfId="4397"/>
    <cellStyle name="Normal 17 8 2 2" xfId="10600"/>
    <cellStyle name="Normal 17 8 2 3" xfId="16802"/>
    <cellStyle name="Normal 17 8 2 4" xfId="55693"/>
    <cellStyle name="Normal 17 8 3" xfId="7500"/>
    <cellStyle name="Normal 17 8 4" xfId="13702"/>
    <cellStyle name="Normal 17 8 5" xfId="52824"/>
    <cellStyle name="Normal 17 9" xfId="3050"/>
    <cellStyle name="Normal 17 9 2" xfId="6162"/>
    <cellStyle name="Normal 17 9 2 2" xfId="12365"/>
    <cellStyle name="Normal 17 9 2 3" xfId="18567"/>
    <cellStyle name="Normal 17 9 2 4" xfId="57392"/>
    <cellStyle name="Normal 17 9 3" xfId="9265"/>
    <cellStyle name="Normal 17 9 4" xfId="15467"/>
    <cellStyle name="Normal 17 9 5" xfId="54501"/>
    <cellStyle name="Normal 17_IAS" xfId="33126"/>
    <cellStyle name="Normal 170" xfId="33127"/>
    <cellStyle name="Normal 170 2" xfId="47759"/>
    <cellStyle name="Normal 171" xfId="33128"/>
    <cellStyle name="Normal 171 2" xfId="47760"/>
    <cellStyle name="Normal 172" xfId="33129"/>
    <cellStyle name="Normal 172 2" xfId="47761"/>
    <cellStyle name="Normal 173" xfId="33130"/>
    <cellStyle name="Normal 173 2" xfId="47762"/>
    <cellStyle name="Normal 174" xfId="33131"/>
    <cellStyle name="Normal 174 2" xfId="47763"/>
    <cellStyle name="Normal 175" xfId="33132"/>
    <cellStyle name="Normal 175 2" xfId="47764"/>
    <cellStyle name="Normal 176" xfId="33133"/>
    <cellStyle name="Normal 176 2" xfId="47765"/>
    <cellStyle name="Normal 177" xfId="33134"/>
    <cellStyle name="Normal 177 2" xfId="47766"/>
    <cellStyle name="Normal 178" xfId="33135"/>
    <cellStyle name="Normal 178 2" xfId="47767"/>
    <cellStyle name="Normal 179" xfId="33136"/>
    <cellStyle name="Normal 179 2" xfId="47768"/>
    <cellStyle name="Normal 18" xfId="1250"/>
    <cellStyle name="Normal 18 10" xfId="57700"/>
    <cellStyle name="Normal 18 11" xfId="33137"/>
    <cellStyle name="Normal 18 2" xfId="33138"/>
    <cellStyle name="Normal 18 2 2" xfId="33139"/>
    <cellStyle name="Normal 18 2 2 2" xfId="47771"/>
    <cellStyle name="Normal 18 2 3" xfId="33140"/>
    <cellStyle name="Normal 18 2 3 2" xfId="47772"/>
    <cellStyle name="Normal 18 2 4" xfId="47770"/>
    <cellStyle name="Normal 18 2_Plan by Lob" xfId="33141"/>
    <cellStyle name="Normal 18 3" xfId="33142"/>
    <cellStyle name="Normal 18 3 10" xfId="33143"/>
    <cellStyle name="Normal 18 3 10 2" xfId="33144"/>
    <cellStyle name="Normal 18 3 10 2 2" xfId="33145"/>
    <cellStyle name="Normal 18 3 10 3" xfId="33146"/>
    <cellStyle name="Normal 18 3 11" xfId="33147"/>
    <cellStyle name="Normal 18 3 11 2" xfId="33148"/>
    <cellStyle name="Normal 18 3 11 2 2" xfId="33149"/>
    <cellStyle name="Normal 18 3 11 3" xfId="33150"/>
    <cellStyle name="Normal 18 3 12" xfId="33151"/>
    <cellStyle name="Normal 18 3 12 2" xfId="33152"/>
    <cellStyle name="Normal 18 3 13" xfId="33153"/>
    <cellStyle name="Normal 18 3 13 2" xfId="33154"/>
    <cellStyle name="Normal 18 3 14" xfId="33155"/>
    <cellStyle name="Normal 18 3 15" xfId="33156"/>
    <cellStyle name="Normal 18 3 2" xfId="33157"/>
    <cellStyle name="Normal 18 3 2 10" xfId="33158"/>
    <cellStyle name="Normal 18 3 2 10 2" xfId="33159"/>
    <cellStyle name="Normal 18 3 2 10 2 2" xfId="33160"/>
    <cellStyle name="Normal 18 3 2 10 3" xfId="33161"/>
    <cellStyle name="Normal 18 3 2 11" xfId="33162"/>
    <cellStyle name="Normal 18 3 2 11 2" xfId="33163"/>
    <cellStyle name="Normal 18 3 2 12" xfId="33164"/>
    <cellStyle name="Normal 18 3 2 12 2" xfId="33165"/>
    <cellStyle name="Normal 18 3 2 13" xfId="33166"/>
    <cellStyle name="Normal 18 3 2 14" xfId="33167"/>
    <cellStyle name="Normal 18 3 2 2" xfId="33168"/>
    <cellStyle name="Normal 18 3 2 2 2" xfId="33169"/>
    <cellStyle name="Normal 18 3 2 2 2 2" xfId="33170"/>
    <cellStyle name="Normal 18 3 2 2 2 2 2" xfId="33171"/>
    <cellStyle name="Normal 18 3 2 2 2 2 2 2" xfId="33172"/>
    <cellStyle name="Normal 18 3 2 2 2 2 2 2 2" xfId="33173"/>
    <cellStyle name="Normal 18 3 2 2 2 2 2 3" xfId="33174"/>
    <cellStyle name="Normal 18 3 2 2 2 2 2 3 2" xfId="33175"/>
    <cellStyle name="Normal 18 3 2 2 2 2 2 4" xfId="33176"/>
    <cellStyle name="Normal 18 3 2 2 2 2 3" xfId="33177"/>
    <cellStyle name="Normal 18 3 2 2 2 2 3 2" xfId="47773"/>
    <cellStyle name="Normal 18 3 2 2 2 2 4" xfId="33178"/>
    <cellStyle name="Normal 18 3 2 2 2 2 4 2" xfId="33179"/>
    <cellStyle name="Normal 18 3 2 2 2 2 5" xfId="33180"/>
    <cellStyle name="Normal 18 3 2 2 2 2_IAS" xfId="33181"/>
    <cellStyle name="Normal 18 3 2 2 2 3" xfId="33182"/>
    <cellStyle name="Normal 18 3 2 2 2 3 2" xfId="33183"/>
    <cellStyle name="Normal 18 3 2 2 2 3 2 2" xfId="33184"/>
    <cellStyle name="Normal 18 3 2 2 2 3 3" xfId="33185"/>
    <cellStyle name="Normal 18 3 2 2 2 3 3 2" xfId="33186"/>
    <cellStyle name="Normal 18 3 2 2 2 3 4" xfId="33187"/>
    <cellStyle name="Normal 18 3 2 2 2 4" xfId="33188"/>
    <cellStyle name="Normal 18 3 2 2 2 4 2" xfId="47774"/>
    <cellStyle name="Normal 18 3 2 2 2 5" xfId="33189"/>
    <cellStyle name="Normal 18 3 2 2 2 5 2" xfId="33190"/>
    <cellStyle name="Normal 18 3 2 2 2 6" xfId="33191"/>
    <cellStyle name="Normal 18 3 2 2 2_IAS" xfId="33192"/>
    <cellStyle name="Normal 18 3 2 2 3" xfId="33193"/>
    <cellStyle name="Normal 18 3 2 2 3 2" xfId="33194"/>
    <cellStyle name="Normal 18 3 2 2 3 2 2" xfId="33195"/>
    <cellStyle name="Normal 18 3 2 2 3 2 2 2" xfId="33196"/>
    <cellStyle name="Normal 18 3 2 2 3 2 3" xfId="33197"/>
    <cellStyle name="Normal 18 3 2 2 3 2 3 2" xfId="33198"/>
    <cellStyle name="Normal 18 3 2 2 3 2 4" xfId="33199"/>
    <cellStyle name="Normal 18 3 2 2 3 3" xfId="33200"/>
    <cellStyle name="Normal 18 3 2 2 3 3 2" xfId="47775"/>
    <cellStyle name="Normal 18 3 2 2 3 4" xfId="33201"/>
    <cellStyle name="Normal 18 3 2 2 3 4 2" xfId="33202"/>
    <cellStyle name="Normal 18 3 2 2 3 5" xfId="33203"/>
    <cellStyle name="Normal 18 3 2 2 3_IAS" xfId="33204"/>
    <cellStyle name="Normal 18 3 2 2 4" xfId="33205"/>
    <cellStyle name="Normal 18 3 2 2 4 2" xfId="33206"/>
    <cellStyle name="Normal 18 3 2 2 4 2 2" xfId="33207"/>
    <cellStyle name="Normal 18 3 2 2 4 3" xfId="33208"/>
    <cellStyle name="Normal 18 3 2 2 4 3 2" xfId="33209"/>
    <cellStyle name="Normal 18 3 2 2 4 4" xfId="33210"/>
    <cellStyle name="Normal 18 3 2 2 5" xfId="33211"/>
    <cellStyle name="Normal 18 3 2 2 5 2" xfId="47776"/>
    <cellStyle name="Normal 18 3 2 2 6" xfId="33212"/>
    <cellStyle name="Normal 18 3 2 2 6 2" xfId="33213"/>
    <cellStyle name="Normal 18 3 2 2 7" xfId="33214"/>
    <cellStyle name="Normal 18 3 2 2_IAS" xfId="33215"/>
    <cellStyle name="Normal 18 3 2 3" xfId="33216"/>
    <cellStyle name="Normal 18 3 2 3 2" xfId="33217"/>
    <cellStyle name="Normal 18 3 2 3 2 2" xfId="33218"/>
    <cellStyle name="Normal 18 3 2 3 2 2 2" xfId="33219"/>
    <cellStyle name="Normal 18 3 2 3 2 2 2 2" xfId="33220"/>
    <cellStyle name="Normal 18 3 2 3 2 2 2 2 2" xfId="33221"/>
    <cellStyle name="Normal 18 3 2 3 2 2 2 3" xfId="33222"/>
    <cellStyle name="Normal 18 3 2 3 2 2 2 3 2" xfId="33223"/>
    <cellStyle name="Normal 18 3 2 3 2 2 2 4" xfId="33224"/>
    <cellStyle name="Normal 18 3 2 3 2 2 3" xfId="33225"/>
    <cellStyle name="Normal 18 3 2 3 2 2 3 2" xfId="47777"/>
    <cellStyle name="Normal 18 3 2 3 2 2 4" xfId="33226"/>
    <cellStyle name="Normal 18 3 2 3 2 2 4 2" xfId="33227"/>
    <cellStyle name="Normal 18 3 2 3 2 2 5" xfId="33228"/>
    <cellStyle name="Normal 18 3 2 3 2 2_IAS" xfId="33229"/>
    <cellStyle name="Normal 18 3 2 3 2 3" xfId="33230"/>
    <cellStyle name="Normal 18 3 2 3 2 3 2" xfId="33231"/>
    <cellStyle name="Normal 18 3 2 3 2 3 2 2" xfId="33232"/>
    <cellStyle name="Normal 18 3 2 3 2 3 3" xfId="33233"/>
    <cellStyle name="Normal 18 3 2 3 2 3 3 2" xfId="33234"/>
    <cellStyle name="Normal 18 3 2 3 2 3 4" xfId="33235"/>
    <cellStyle name="Normal 18 3 2 3 2 4" xfId="33236"/>
    <cellStyle name="Normal 18 3 2 3 2 4 2" xfId="47778"/>
    <cellStyle name="Normal 18 3 2 3 2 5" xfId="33237"/>
    <cellStyle name="Normal 18 3 2 3 2 5 2" xfId="33238"/>
    <cellStyle name="Normal 18 3 2 3 2 6" xfId="33239"/>
    <cellStyle name="Normal 18 3 2 3 2_IAS" xfId="33240"/>
    <cellStyle name="Normal 18 3 2 3 3" xfId="33241"/>
    <cellStyle name="Normal 18 3 2 3 3 2" xfId="33242"/>
    <cellStyle name="Normal 18 3 2 3 3 2 2" xfId="33243"/>
    <cellStyle name="Normal 18 3 2 3 3 2 2 2" xfId="33244"/>
    <cellStyle name="Normal 18 3 2 3 3 2 3" xfId="33245"/>
    <cellStyle name="Normal 18 3 2 3 3 2 3 2" xfId="33246"/>
    <cellStyle name="Normal 18 3 2 3 3 2 4" xfId="33247"/>
    <cellStyle name="Normal 18 3 2 3 3 3" xfId="33248"/>
    <cellStyle name="Normal 18 3 2 3 3 3 2" xfId="47779"/>
    <cellStyle name="Normal 18 3 2 3 3 4" xfId="33249"/>
    <cellStyle name="Normal 18 3 2 3 3 4 2" xfId="33250"/>
    <cellStyle name="Normal 18 3 2 3 3 5" xfId="33251"/>
    <cellStyle name="Normal 18 3 2 3 3_IAS" xfId="33252"/>
    <cellStyle name="Normal 18 3 2 3 4" xfId="33253"/>
    <cellStyle name="Normal 18 3 2 3 4 2" xfId="33254"/>
    <cellStyle name="Normal 18 3 2 3 4 2 2" xfId="33255"/>
    <cellStyle name="Normal 18 3 2 3 4 3" xfId="33256"/>
    <cellStyle name="Normal 18 3 2 3 4 3 2" xfId="33257"/>
    <cellStyle name="Normal 18 3 2 3 4 4" xfId="33258"/>
    <cellStyle name="Normal 18 3 2 3 5" xfId="33259"/>
    <cellStyle name="Normal 18 3 2 3 5 2" xfId="47780"/>
    <cellStyle name="Normal 18 3 2 3 6" xfId="33260"/>
    <cellStyle name="Normal 18 3 2 3 6 2" xfId="33261"/>
    <cellStyle name="Normal 18 3 2 3 7" xfId="33262"/>
    <cellStyle name="Normal 18 3 2 3_IAS" xfId="33263"/>
    <cellStyle name="Normal 18 3 2 4" xfId="33264"/>
    <cellStyle name="Normal 18 3 2 4 2" xfId="47781"/>
    <cellStyle name="Normal 18 3 2 5" xfId="33265"/>
    <cellStyle name="Normal 18 3 2 5 2" xfId="33266"/>
    <cellStyle name="Normal 18 3 2 5 2 2" xfId="33267"/>
    <cellStyle name="Normal 18 3 2 5 2 2 2" xfId="33268"/>
    <cellStyle name="Normal 18 3 2 5 2 2 2 2" xfId="33269"/>
    <cellStyle name="Normal 18 3 2 5 2 2 3" xfId="33270"/>
    <cellStyle name="Normal 18 3 2 5 2 2 3 2" xfId="33271"/>
    <cellStyle name="Normal 18 3 2 5 2 2 4" xfId="33272"/>
    <cellStyle name="Normal 18 3 2 5 2 3" xfId="33273"/>
    <cellStyle name="Normal 18 3 2 5 2 3 2" xfId="47782"/>
    <cellStyle name="Normal 18 3 2 5 2 4" xfId="33274"/>
    <cellStyle name="Normal 18 3 2 5 2 4 2" xfId="33275"/>
    <cellStyle name="Normal 18 3 2 5 2 5" xfId="33276"/>
    <cellStyle name="Normal 18 3 2 5 2_IAS" xfId="33277"/>
    <cellStyle name="Normal 18 3 2 5 3" xfId="33278"/>
    <cellStyle name="Normal 18 3 2 5 3 2" xfId="33279"/>
    <cellStyle name="Normal 18 3 2 5 3 2 2" xfId="33280"/>
    <cellStyle name="Normal 18 3 2 5 3 3" xfId="33281"/>
    <cellStyle name="Normal 18 3 2 5 3 3 2" xfId="33282"/>
    <cellStyle name="Normal 18 3 2 5 3 4" xfId="33283"/>
    <cellStyle name="Normal 18 3 2 5 4" xfId="33284"/>
    <cellStyle name="Normal 18 3 2 5 4 2" xfId="47783"/>
    <cellStyle name="Normal 18 3 2 5 5" xfId="33285"/>
    <cellStyle name="Normal 18 3 2 5 5 2" xfId="33286"/>
    <cellStyle name="Normal 18 3 2 5 6" xfId="33287"/>
    <cellStyle name="Normal 18 3 2 5_IAS" xfId="33288"/>
    <cellStyle name="Normal 18 3 2 6" xfId="33289"/>
    <cellStyle name="Normal 18 3 2 6 2" xfId="33290"/>
    <cellStyle name="Normal 18 3 2 6 2 2" xfId="33291"/>
    <cellStyle name="Normal 18 3 2 6 2 2 2" xfId="33292"/>
    <cellStyle name="Normal 18 3 2 6 2 3" xfId="33293"/>
    <cellStyle name="Normal 18 3 2 6 2 3 2" xfId="33294"/>
    <cellStyle name="Normal 18 3 2 6 2 4" xfId="33295"/>
    <cellStyle name="Normal 18 3 2 6 3" xfId="33296"/>
    <cellStyle name="Normal 18 3 2 6 3 2" xfId="47784"/>
    <cellStyle name="Normal 18 3 2 6 4" xfId="33297"/>
    <cellStyle name="Normal 18 3 2 6 4 2" xfId="33298"/>
    <cellStyle name="Normal 18 3 2 6 5" xfId="33299"/>
    <cellStyle name="Normal 18 3 2 6_IAS" xfId="33300"/>
    <cellStyle name="Normal 18 3 2 7" xfId="33301"/>
    <cellStyle name="Normal 18 3 2 7 2" xfId="33302"/>
    <cellStyle name="Normal 18 3 2 7 2 2" xfId="33303"/>
    <cellStyle name="Normal 18 3 2 7 3" xfId="33304"/>
    <cellStyle name="Normal 18 3 2 7 3 2" xfId="33305"/>
    <cellStyle name="Normal 18 3 2 7 4" xfId="33306"/>
    <cellStyle name="Normal 18 3 2 8" xfId="33307"/>
    <cellStyle name="Normal 18 3 2 8 2" xfId="33308"/>
    <cellStyle name="Normal 18 3 2 8 2 2" xfId="33309"/>
    <cellStyle name="Normal 18 3 2 8 3" xfId="33310"/>
    <cellStyle name="Normal 18 3 2 9" xfId="33311"/>
    <cellStyle name="Normal 18 3 2 9 2" xfId="33312"/>
    <cellStyle name="Normal 18 3 2 9 2 2" xfId="33313"/>
    <cellStyle name="Normal 18 3 2 9 3" xfId="33314"/>
    <cellStyle name="Normal 18 3 2_IAS" xfId="33315"/>
    <cellStyle name="Normal 18 3 3" xfId="33316"/>
    <cellStyle name="Normal 18 3 3 2" xfId="33317"/>
    <cellStyle name="Normal 18 3 3 2 2" xfId="33318"/>
    <cellStyle name="Normal 18 3 3 2 2 2" xfId="33319"/>
    <cellStyle name="Normal 18 3 3 2 2 2 2" xfId="33320"/>
    <cellStyle name="Normal 18 3 3 2 2 2 2 2" xfId="33321"/>
    <cellStyle name="Normal 18 3 3 2 2 2 3" xfId="33322"/>
    <cellStyle name="Normal 18 3 3 2 2 2 3 2" xfId="33323"/>
    <cellStyle name="Normal 18 3 3 2 2 2 4" xfId="33324"/>
    <cellStyle name="Normal 18 3 3 2 2 3" xfId="33325"/>
    <cellStyle name="Normal 18 3 3 2 2 3 2" xfId="47785"/>
    <cellStyle name="Normal 18 3 3 2 2 4" xfId="33326"/>
    <cellStyle name="Normal 18 3 3 2 2 4 2" xfId="33327"/>
    <cellStyle name="Normal 18 3 3 2 2 5" xfId="33328"/>
    <cellStyle name="Normal 18 3 3 2 2_IAS" xfId="33329"/>
    <cellStyle name="Normal 18 3 3 2 3" xfId="33330"/>
    <cellStyle name="Normal 18 3 3 2 3 2" xfId="33331"/>
    <cellStyle name="Normal 18 3 3 2 3 2 2" xfId="33332"/>
    <cellStyle name="Normal 18 3 3 2 3 3" xfId="33333"/>
    <cellStyle name="Normal 18 3 3 2 3 3 2" xfId="33334"/>
    <cellStyle name="Normal 18 3 3 2 3 4" xfId="33335"/>
    <cellStyle name="Normal 18 3 3 2 4" xfId="33336"/>
    <cellStyle name="Normal 18 3 3 2 4 2" xfId="47786"/>
    <cellStyle name="Normal 18 3 3 2 5" xfId="33337"/>
    <cellStyle name="Normal 18 3 3 2 5 2" xfId="33338"/>
    <cellStyle name="Normal 18 3 3 2 6" xfId="33339"/>
    <cellStyle name="Normal 18 3 3 2_IAS" xfId="33340"/>
    <cellStyle name="Normal 18 3 3 3" xfId="33341"/>
    <cellStyle name="Normal 18 3 3 3 2" xfId="33342"/>
    <cellStyle name="Normal 18 3 3 3 2 2" xfId="33343"/>
    <cellStyle name="Normal 18 3 3 3 2 2 2" xfId="33344"/>
    <cellStyle name="Normal 18 3 3 3 2 3" xfId="33345"/>
    <cellStyle name="Normal 18 3 3 3 2 3 2" xfId="33346"/>
    <cellStyle name="Normal 18 3 3 3 2 4" xfId="33347"/>
    <cellStyle name="Normal 18 3 3 3 3" xfId="33348"/>
    <cellStyle name="Normal 18 3 3 3 3 2" xfId="47787"/>
    <cellStyle name="Normal 18 3 3 3 4" xfId="33349"/>
    <cellStyle name="Normal 18 3 3 3 4 2" xfId="33350"/>
    <cellStyle name="Normal 18 3 3 3 5" xfId="33351"/>
    <cellStyle name="Normal 18 3 3 3_IAS" xfId="33352"/>
    <cellStyle name="Normal 18 3 3 4" xfId="33353"/>
    <cellStyle name="Normal 18 3 3 4 2" xfId="33354"/>
    <cellStyle name="Normal 18 3 3 4 2 2" xfId="33355"/>
    <cellStyle name="Normal 18 3 3 4 3" xfId="33356"/>
    <cellStyle name="Normal 18 3 3 4 3 2" xfId="33357"/>
    <cellStyle name="Normal 18 3 3 4 4" xfId="33358"/>
    <cellStyle name="Normal 18 3 3 5" xfId="33359"/>
    <cellStyle name="Normal 18 3 3 5 2" xfId="47788"/>
    <cellStyle name="Normal 18 3 3 6" xfId="33360"/>
    <cellStyle name="Normal 18 3 3 6 2" xfId="33361"/>
    <cellStyle name="Normal 18 3 3 7" xfId="33362"/>
    <cellStyle name="Normal 18 3 3_IAS" xfId="33363"/>
    <cellStyle name="Normal 18 3 4" xfId="33364"/>
    <cellStyle name="Normal 18 3 4 2" xfId="33365"/>
    <cellStyle name="Normal 18 3 4 2 2" xfId="33366"/>
    <cellStyle name="Normal 18 3 4 2 2 2" xfId="33367"/>
    <cellStyle name="Normal 18 3 4 2 2 2 2" xfId="33368"/>
    <cellStyle name="Normal 18 3 4 2 2 2 2 2" xfId="33369"/>
    <cellStyle name="Normal 18 3 4 2 2 2 3" xfId="33370"/>
    <cellStyle name="Normal 18 3 4 2 2 2 3 2" xfId="33371"/>
    <cellStyle name="Normal 18 3 4 2 2 2 4" xfId="33372"/>
    <cellStyle name="Normal 18 3 4 2 2 3" xfId="33373"/>
    <cellStyle name="Normal 18 3 4 2 2 3 2" xfId="47789"/>
    <cellStyle name="Normal 18 3 4 2 2 4" xfId="33374"/>
    <cellStyle name="Normal 18 3 4 2 2 4 2" xfId="33375"/>
    <cellStyle name="Normal 18 3 4 2 2 5" xfId="33376"/>
    <cellStyle name="Normal 18 3 4 2 2_IAS" xfId="33377"/>
    <cellStyle name="Normal 18 3 4 2 3" xfId="33378"/>
    <cellStyle name="Normal 18 3 4 2 3 2" xfId="33379"/>
    <cellStyle name="Normal 18 3 4 2 3 2 2" xfId="33380"/>
    <cellStyle name="Normal 18 3 4 2 3 3" xfId="33381"/>
    <cellStyle name="Normal 18 3 4 2 3 3 2" xfId="33382"/>
    <cellStyle name="Normal 18 3 4 2 3 4" xfId="33383"/>
    <cellStyle name="Normal 18 3 4 2 4" xfId="33384"/>
    <cellStyle name="Normal 18 3 4 2 4 2" xfId="47790"/>
    <cellStyle name="Normal 18 3 4 2 5" xfId="33385"/>
    <cellStyle name="Normal 18 3 4 2 5 2" xfId="33386"/>
    <cellStyle name="Normal 18 3 4 2 6" xfId="33387"/>
    <cellStyle name="Normal 18 3 4 2_IAS" xfId="33388"/>
    <cellStyle name="Normal 18 3 4 3" xfId="33389"/>
    <cellStyle name="Normal 18 3 4 3 2" xfId="33390"/>
    <cellStyle name="Normal 18 3 4 3 2 2" xfId="33391"/>
    <cellStyle name="Normal 18 3 4 3 2 2 2" xfId="33392"/>
    <cellStyle name="Normal 18 3 4 3 2 3" xfId="33393"/>
    <cellStyle name="Normal 18 3 4 3 2 3 2" xfId="33394"/>
    <cellStyle name="Normal 18 3 4 3 2 4" xfId="33395"/>
    <cellStyle name="Normal 18 3 4 3 3" xfId="33396"/>
    <cellStyle name="Normal 18 3 4 3 3 2" xfId="47791"/>
    <cellStyle name="Normal 18 3 4 3 4" xfId="33397"/>
    <cellStyle name="Normal 18 3 4 3 4 2" xfId="33398"/>
    <cellStyle name="Normal 18 3 4 3 5" xfId="33399"/>
    <cellStyle name="Normal 18 3 4 3_IAS" xfId="33400"/>
    <cellStyle name="Normal 18 3 4 4" xfId="33401"/>
    <cellStyle name="Normal 18 3 4 4 2" xfId="33402"/>
    <cellStyle name="Normal 18 3 4 4 2 2" xfId="33403"/>
    <cellStyle name="Normal 18 3 4 4 3" xfId="33404"/>
    <cellStyle name="Normal 18 3 4 4 3 2" xfId="33405"/>
    <cellStyle name="Normal 18 3 4 4 4" xfId="33406"/>
    <cellStyle name="Normal 18 3 4 5" xfId="33407"/>
    <cellStyle name="Normal 18 3 4 5 2" xfId="47792"/>
    <cellStyle name="Normal 18 3 4 6" xfId="33408"/>
    <cellStyle name="Normal 18 3 4 6 2" xfId="33409"/>
    <cellStyle name="Normal 18 3 4 7" xfId="33410"/>
    <cellStyle name="Normal 18 3 4_IAS" xfId="33411"/>
    <cellStyle name="Normal 18 3 5" xfId="33412"/>
    <cellStyle name="Normal 18 3 5 2" xfId="47793"/>
    <cellStyle name="Normal 18 3 6" xfId="33413"/>
    <cellStyle name="Normal 18 3 6 2" xfId="33414"/>
    <cellStyle name="Normal 18 3 6 2 2" xfId="33415"/>
    <cellStyle name="Normal 18 3 6 2 2 2" xfId="33416"/>
    <cellStyle name="Normal 18 3 6 2 2 2 2" xfId="33417"/>
    <cellStyle name="Normal 18 3 6 2 2 3" xfId="33418"/>
    <cellStyle name="Normal 18 3 6 2 2 3 2" xfId="33419"/>
    <cellStyle name="Normal 18 3 6 2 2 4" xfId="33420"/>
    <cellStyle name="Normal 18 3 6 2 3" xfId="33421"/>
    <cellStyle name="Normal 18 3 6 2 3 2" xfId="47794"/>
    <cellStyle name="Normal 18 3 6 2 4" xfId="33422"/>
    <cellStyle name="Normal 18 3 6 2 4 2" xfId="33423"/>
    <cellStyle name="Normal 18 3 6 2 5" xfId="33424"/>
    <cellStyle name="Normal 18 3 6 2_IAS" xfId="33425"/>
    <cellStyle name="Normal 18 3 6 3" xfId="33426"/>
    <cellStyle name="Normal 18 3 6 3 2" xfId="33427"/>
    <cellStyle name="Normal 18 3 6 3 2 2" xfId="33428"/>
    <cellStyle name="Normal 18 3 6 3 3" xfId="33429"/>
    <cellStyle name="Normal 18 3 6 3 3 2" xfId="33430"/>
    <cellStyle name="Normal 18 3 6 3 4" xfId="33431"/>
    <cellStyle name="Normal 18 3 6 4" xfId="33432"/>
    <cellStyle name="Normal 18 3 6 4 2" xfId="47795"/>
    <cellStyle name="Normal 18 3 6 5" xfId="33433"/>
    <cellStyle name="Normal 18 3 6 5 2" xfId="33434"/>
    <cellStyle name="Normal 18 3 6 6" xfId="33435"/>
    <cellStyle name="Normal 18 3 6_IAS" xfId="33436"/>
    <cellStyle name="Normal 18 3 7" xfId="33437"/>
    <cellStyle name="Normal 18 3 7 2" xfId="33438"/>
    <cellStyle name="Normal 18 3 7 2 2" xfId="33439"/>
    <cellStyle name="Normal 18 3 7 2 2 2" xfId="33440"/>
    <cellStyle name="Normal 18 3 7 2 3" xfId="33441"/>
    <cellStyle name="Normal 18 3 7 2 3 2" xfId="33442"/>
    <cellStyle name="Normal 18 3 7 2 4" xfId="33443"/>
    <cellStyle name="Normal 18 3 7 3" xfId="33444"/>
    <cellStyle name="Normal 18 3 7 3 2" xfId="47796"/>
    <cellStyle name="Normal 18 3 7 4" xfId="33445"/>
    <cellStyle name="Normal 18 3 7 4 2" xfId="33446"/>
    <cellStyle name="Normal 18 3 7 5" xfId="33447"/>
    <cellStyle name="Normal 18 3 7_IAS" xfId="33448"/>
    <cellStyle name="Normal 18 3 8" xfId="33449"/>
    <cellStyle name="Normal 18 3 8 2" xfId="33450"/>
    <cellStyle name="Normal 18 3 8 2 2" xfId="33451"/>
    <cellStyle name="Normal 18 3 8 3" xfId="33452"/>
    <cellStyle name="Normal 18 3 8 3 2" xfId="33453"/>
    <cellStyle name="Normal 18 3 8 4" xfId="33454"/>
    <cellStyle name="Normal 18 3 9" xfId="33455"/>
    <cellStyle name="Normal 18 3 9 2" xfId="33456"/>
    <cellStyle name="Normal 18 3 9 2 2" xfId="33457"/>
    <cellStyle name="Normal 18 3 9 3" xfId="33458"/>
    <cellStyle name="Normal 18 3_AGF" xfId="33459"/>
    <cellStyle name="Normal 18 4" xfId="33460"/>
    <cellStyle name="Normal 18 4 2" xfId="47797"/>
    <cellStyle name="Normal 18 5" xfId="47769"/>
    <cellStyle name="Normal 18 6" xfId="52803"/>
    <cellStyle name="Normal 18 7" xfId="57647"/>
    <cellStyle name="Normal 18 8" xfId="57672"/>
    <cellStyle name="Normal 18 9" xfId="57674"/>
    <cellStyle name="Normal 18_IAS" xfId="33461"/>
    <cellStyle name="Normal 180" xfId="33462"/>
    <cellStyle name="Normal 180 2" xfId="47798"/>
    <cellStyle name="Normal 181" xfId="33463"/>
    <cellStyle name="Normal 181 2" xfId="47799"/>
    <cellStyle name="Normal 182" xfId="33464"/>
    <cellStyle name="Normal 182 2" xfId="47800"/>
    <cellStyle name="Normal 183" xfId="33465"/>
    <cellStyle name="Normal 183 2" xfId="33466"/>
    <cellStyle name="Normal 183 2 2" xfId="47802"/>
    <cellStyle name="Normal 183 3" xfId="47801"/>
    <cellStyle name="Normal 184" xfId="33467"/>
    <cellStyle name="Normal 184 2" xfId="33468"/>
    <cellStyle name="Normal 184 2 2" xfId="47804"/>
    <cellStyle name="Normal 184 3" xfId="47803"/>
    <cellStyle name="Normal 185" xfId="33469"/>
    <cellStyle name="Normal 185 2" xfId="33470"/>
    <cellStyle name="Normal 185 2 2" xfId="47806"/>
    <cellStyle name="Normal 185 3" xfId="47805"/>
    <cellStyle name="Normal 186" xfId="33471"/>
    <cellStyle name="Normal 186 2" xfId="33472"/>
    <cellStyle name="Normal 187" xfId="33473"/>
    <cellStyle name="Normal 187 2" xfId="33474"/>
    <cellStyle name="Normal 188" xfId="33475"/>
    <cellStyle name="Normal 188 2" xfId="33476"/>
    <cellStyle name="Normal 189" xfId="33477"/>
    <cellStyle name="Normal 189 2" xfId="33478"/>
    <cellStyle name="Normal 19" xfId="1251"/>
    <cellStyle name="Normal 19 10" xfId="57701"/>
    <cellStyle name="Normal 19 11" xfId="33479"/>
    <cellStyle name="Normal 19 2" xfId="33480"/>
    <cellStyle name="Normal 19 2 2" xfId="33481"/>
    <cellStyle name="Normal 19 2 2 2" xfId="47809"/>
    <cellStyle name="Normal 19 2 3" xfId="33482"/>
    <cellStyle name="Normal 19 2 3 2" xfId="47810"/>
    <cellStyle name="Normal 19 2 4" xfId="47808"/>
    <cellStyle name="Normal 19 2_Plan by Lob" xfId="33483"/>
    <cellStyle name="Normal 19 3" xfId="33484"/>
    <cellStyle name="Normal 19 3 10" xfId="33485"/>
    <cellStyle name="Normal 19 3 10 2" xfId="33486"/>
    <cellStyle name="Normal 19 3 10 2 2" xfId="33487"/>
    <cellStyle name="Normal 19 3 10 3" xfId="33488"/>
    <cellStyle name="Normal 19 3 11" xfId="33489"/>
    <cellStyle name="Normal 19 3 11 2" xfId="33490"/>
    <cellStyle name="Normal 19 3 12" xfId="33491"/>
    <cellStyle name="Normal 19 3 12 2" xfId="33492"/>
    <cellStyle name="Normal 19 3 13" xfId="33493"/>
    <cellStyle name="Normal 19 3 14" xfId="33494"/>
    <cellStyle name="Normal 19 3 2" xfId="33495"/>
    <cellStyle name="Normal 19 3 2 2" xfId="33496"/>
    <cellStyle name="Normal 19 3 2 2 2" xfId="33497"/>
    <cellStyle name="Normal 19 3 2 2 2 2" xfId="33498"/>
    <cellStyle name="Normal 19 3 2 2 2 2 2" xfId="33499"/>
    <cellStyle name="Normal 19 3 2 2 2 2 2 2" xfId="33500"/>
    <cellStyle name="Normal 19 3 2 2 2 2 3" xfId="33501"/>
    <cellStyle name="Normal 19 3 2 2 2 2 3 2" xfId="33502"/>
    <cellStyle name="Normal 19 3 2 2 2 2 4" xfId="33503"/>
    <cellStyle name="Normal 19 3 2 2 2 3" xfId="33504"/>
    <cellStyle name="Normal 19 3 2 2 2 3 2" xfId="47811"/>
    <cellStyle name="Normal 19 3 2 2 2 4" xfId="33505"/>
    <cellStyle name="Normal 19 3 2 2 2 4 2" xfId="33506"/>
    <cellStyle name="Normal 19 3 2 2 2 5" xfId="33507"/>
    <cellStyle name="Normal 19 3 2 2 2_IAS" xfId="33508"/>
    <cellStyle name="Normal 19 3 2 2 3" xfId="33509"/>
    <cellStyle name="Normal 19 3 2 2 3 2" xfId="33510"/>
    <cellStyle name="Normal 19 3 2 2 3 2 2" xfId="33511"/>
    <cellStyle name="Normal 19 3 2 2 3 3" xfId="33512"/>
    <cellStyle name="Normal 19 3 2 2 3 3 2" xfId="33513"/>
    <cellStyle name="Normal 19 3 2 2 3 4" xfId="33514"/>
    <cellStyle name="Normal 19 3 2 2 4" xfId="33515"/>
    <cellStyle name="Normal 19 3 2 2 4 2" xfId="47812"/>
    <cellStyle name="Normal 19 3 2 2 5" xfId="33516"/>
    <cellStyle name="Normal 19 3 2 2 5 2" xfId="33517"/>
    <cellStyle name="Normal 19 3 2 2 6" xfId="33518"/>
    <cellStyle name="Normal 19 3 2 2_IAS" xfId="33519"/>
    <cellStyle name="Normal 19 3 2 3" xfId="33520"/>
    <cellStyle name="Normal 19 3 2 3 2" xfId="33521"/>
    <cellStyle name="Normal 19 3 2 3 2 2" xfId="33522"/>
    <cellStyle name="Normal 19 3 2 3 2 2 2" xfId="33523"/>
    <cellStyle name="Normal 19 3 2 3 2 3" xfId="33524"/>
    <cellStyle name="Normal 19 3 2 3 2 3 2" xfId="33525"/>
    <cellStyle name="Normal 19 3 2 3 2 4" xfId="33526"/>
    <cellStyle name="Normal 19 3 2 3 3" xfId="33527"/>
    <cellStyle name="Normal 19 3 2 3 3 2" xfId="47813"/>
    <cellStyle name="Normal 19 3 2 3 4" xfId="33528"/>
    <cellStyle name="Normal 19 3 2 3 4 2" xfId="33529"/>
    <cellStyle name="Normal 19 3 2 3 5" xfId="33530"/>
    <cellStyle name="Normal 19 3 2 3_IAS" xfId="33531"/>
    <cellStyle name="Normal 19 3 2 4" xfId="33532"/>
    <cellStyle name="Normal 19 3 2 4 2" xfId="33533"/>
    <cellStyle name="Normal 19 3 2 4 2 2" xfId="33534"/>
    <cellStyle name="Normal 19 3 2 4 3" xfId="33535"/>
    <cellStyle name="Normal 19 3 2 4 3 2" xfId="33536"/>
    <cellStyle name="Normal 19 3 2 4 4" xfId="33537"/>
    <cellStyle name="Normal 19 3 2 5" xfId="33538"/>
    <cellStyle name="Normal 19 3 2 5 2" xfId="47814"/>
    <cellStyle name="Normal 19 3 2 6" xfId="33539"/>
    <cellStyle name="Normal 19 3 2 6 2" xfId="33540"/>
    <cellStyle name="Normal 19 3 2 7" xfId="33541"/>
    <cellStyle name="Normal 19 3 2_IAS" xfId="33542"/>
    <cellStyle name="Normal 19 3 3" xfId="33543"/>
    <cellStyle name="Normal 19 3 3 2" xfId="33544"/>
    <cellStyle name="Normal 19 3 3 2 2" xfId="33545"/>
    <cellStyle name="Normal 19 3 3 2 2 2" xfId="33546"/>
    <cellStyle name="Normal 19 3 3 2 2 2 2" xfId="33547"/>
    <cellStyle name="Normal 19 3 3 2 2 2 2 2" xfId="33548"/>
    <cellStyle name="Normal 19 3 3 2 2 2 3" xfId="33549"/>
    <cellStyle name="Normal 19 3 3 2 2 2 3 2" xfId="33550"/>
    <cellStyle name="Normal 19 3 3 2 2 2 4" xfId="33551"/>
    <cellStyle name="Normal 19 3 3 2 2 3" xfId="33552"/>
    <cellStyle name="Normal 19 3 3 2 2 3 2" xfId="47815"/>
    <cellStyle name="Normal 19 3 3 2 2 4" xfId="33553"/>
    <cellStyle name="Normal 19 3 3 2 2 4 2" xfId="33554"/>
    <cellStyle name="Normal 19 3 3 2 2 5" xfId="33555"/>
    <cellStyle name="Normal 19 3 3 2 2_IAS" xfId="33556"/>
    <cellStyle name="Normal 19 3 3 2 3" xfId="33557"/>
    <cellStyle name="Normal 19 3 3 2 3 2" xfId="33558"/>
    <cellStyle name="Normal 19 3 3 2 3 2 2" xfId="33559"/>
    <cellStyle name="Normal 19 3 3 2 3 3" xfId="33560"/>
    <cellStyle name="Normal 19 3 3 2 3 3 2" xfId="33561"/>
    <cellStyle name="Normal 19 3 3 2 3 4" xfId="33562"/>
    <cellStyle name="Normal 19 3 3 2 4" xfId="33563"/>
    <cellStyle name="Normal 19 3 3 2 4 2" xfId="47816"/>
    <cellStyle name="Normal 19 3 3 2 5" xfId="33564"/>
    <cellStyle name="Normal 19 3 3 2 5 2" xfId="33565"/>
    <cellStyle name="Normal 19 3 3 2 6" xfId="33566"/>
    <cellStyle name="Normal 19 3 3 2_IAS" xfId="33567"/>
    <cellStyle name="Normal 19 3 3 3" xfId="33568"/>
    <cellStyle name="Normal 19 3 3 3 2" xfId="33569"/>
    <cellStyle name="Normal 19 3 3 3 2 2" xfId="33570"/>
    <cellStyle name="Normal 19 3 3 3 2 2 2" xfId="33571"/>
    <cellStyle name="Normal 19 3 3 3 2 3" xfId="33572"/>
    <cellStyle name="Normal 19 3 3 3 2 3 2" xfId="33573"/>
    <cellStyle name="Normal 19 3 3 3 2 4" xfId="33574"/>
    <cellStyle name="Normal 19 3 3 3 3" xfId="33575"/>
    <cellStyle name="Normal 19 3 3 3 3 2" xfId="47817"/>
    <cellStyle name="Normal 19 3 3 3 4" xfId="33576"/>
    <cellStyle name="Normal 19 3 3 3 4 2" xfId="33577"/>
    <cellStyle name="Normal 19 3 3 3 5" xfId="33578"/>
    <cellStyle name="Normal 19 3 3 3_IAS" xfId="33579"/>
    <cellStyle name="Normal 19 3 3 4" xfId="33580"/>
    <cellStyle name="Normal 19 3 3 4 2" xfId="33581"/>
    <cellStyle name="Normal 19 3 3 4 2 2" xfId="33582"/>
    <cellStyle name="Normal 19 3 3 4 3" xfId="33583"/>
    <cellStyle name="Normal 19 3 3 4 3 2" xfId="33584"/>
    <cellStyle name="Normal 19 3 3 4 4" xfId="33585"/>
    <cellStyle name="Normal 19 3 3 5" xfId="33586"/>
    <cellStyle name="Normal 19 3 3 5 2" xfId="47818"/>
    <cellStyle name="Normal 19 3 3 6" xfId="33587"/>
    <cellStyle name="Normal 19 3 3 6 2" xfId="33588"/>
    <cellStyle name="Normal 19 3 3 7" xfId="33589"/>
    <cellStyle name="Normal 19 3 3_IAS" xfId="33590"/>
    <cellStyle name="Normal 19 3 4" xfId="33591"/>
    <cellStyle name="Normal 19 3 4 2" xfId="47819"/>
    <cellStyle name="Normal 19 3 5" xfId="33592"/>
    <cellStyle name="Normal 19 3 5 2" xfId="33593"/>
    <cellStyle name="Normal 19 3 5 2 2" xfId="33594"/>
    <cellStyle name="Normal 19 3 5 2 2 2" xfId="33595"/>
    <cellStyle name="Normal 19 3 5 2 2 2 2" xfId="33596"/>
    <cellStyle name="Normal 19 3 5 2 2 3" xfId="33597"/>
    <cellStyle name="Normal 19 3 5 2 2 3 2" xfId="33598"/>
    <cellStyle name="Normal 19 3 5 2 2 4" xfId="33599"/>
    <cellStyle name="Normal 19 3 5 2 3" xfId="33600"/>
    <cellStyle name="Normal 19 3 5 2 3 2" xfId="47820"/>
    <cellStyle name="Normal 19 3 5 2 4" xfId="33601"/>
    <cellStyle name="Normal 19 3 5 2 4 2" xfId="33602"/>
    <cellStyle name="Normal 19 3 5 2 5" xfId="33603"/>
    <cellStyle name="Normal 19 3 5 2_IAS" xfId="33604"/>
    <cellStyle name="Normal 19 3 5 3" xfId="33605"/>
    <cellStyle name="Normal 19 3 5 3 2" xfId="33606"/>
    <cellStyle name="Normal 19 3 5 3 2 2" xfId="33607"/>
    <cellStyle name="Normal 19 3 5 3 3" xfId="33608"/>
    <cellStyle name="Normal 19 3 5 3 3 2" xfId="33609"/>
    <cellStyle name="Normal 19 3 5 3 4" xfId="33610"/>
    <cellStyle name="Normal 19 3 5 4" xfId="33611"/>
    <cellStyle name="Normal 19 3 5 4 2" xfId="47821"/>
    <cellStyle name="Normal 19 3 5 5" xfId="33612"/>
    <cellStyle name="Normal 19 3 5 5 2" xfId="33613"/>
    <cellStyle name="Normal 19 3 5 6" xfId="33614"/>
    <cellStyle name="Normal 19 3 5_IAS" xfId="33615"/>
    <cellStyle name="Normal 19 3 6" xfId="33616"/>
    <cellStyle name="Normal 19 3 6 2" xfId="33617"/>
    <cellStyle name="Normal 19 3 6 2 2" xfId="33618"/>
    <cellStyle name="Normal 19 3 6 2 2 2" xfId="33619"/>
    <cellStyle name="Normal 19 3 6 2 3" xfId="33620"/>
    <cellStyle name="Normal 19 3 6 2 3 2" xfId="33621"/>
    <cellStyle name="Normal 19 3 6 2 4" xfId="33622"/>
    <cellStyle name="Normal 19 3 6 3" xfId="33623"/>
    <cellStyle name="Normal 19 3 6 3 2" xfId="47822"/>
    <cellStyle name="Normal 19 3 6 4" xfId="33624"/>
    <cellStyle name="Normal 19 3 6 4 2" xfId="33625"/>
    <cellStyle name="Normal 19 3 6 5" xfId="33626"/>
    <cellStyle name="Normal 19 3 6_IAS" xfId="33627"/>
    <cellStyle name="Normal 19 3 7" xfId="33628"/>
    <cellStyle name="Normal 19 3 7 2" xfId="33629"/>
    <cellStyle name="Normal 19 3 7 2 2" xfId="33630"/>
    <cellStyle name="Normal 19 3 7 3" xfId="33631"/>
    <cellStyle name="Normal 19 3 7 3 2" xfId="33632"/>
    <cellStyle name="Normal 19 3 7 4" xfId="33633"/>
    <cellStyle name="Normal 19 3 8" xfId="33634"/>
    <cellStyle name="Normal 19 3 8 2" xfId="33635"/>
    <cellStyle name="Normal 19 3 8 2 2" xfId="33636"/>
    <cellStyle name="Normal 19 3 8 3" xfId="33637"/>
    <cellStyle name="Normal 19 3 9" xfId="33638"/>
    <cellStyle name="Normal 19 3 9 2" xfId="33639"/>
    <cellStyle name="Normal 19 3 9 2 2" xfId="33640"/>
    <cellStyle name="Normal 19 3 9 3" xfId="33641"/>
    <cellStyle name="Normal 19 3_IAS" xfId="33642"/>
    <cellStyle name="Normal 19 4" xfId="33643"/>
    <cellStyle name="Normal 19 4 2" xfId="47823"/>
    <cellStyle name="Normal 19 5" xfId="47807"/>
    <cellStyle name="Normal 19 6" xfId="52804"/>
    <cellStyle name="Normal 19 7" xfId="57648"/>
    <cellStyle name="Normal 19 8" xfId="57673"/>
    <cellStyle name="Normal 19 9" xfId="57664"/>
    <cellStyle name="Normal 19_IAS" xfId="33644"/>
    <cellStyle name="Normal 190" xfId="33645"/>
    <cellStyle name="Normal 190 2" xfId="33646"/>
    <cellStyle name="Normal 191" xfId="33647"/>
    <cellStyle name="Normal 191 2" xfId="47824"/>
    <cellStyle name="Normal 192" xfId="33648"/>
    <cellStyle name="Normal 192 2" xfId="47825"/>
    <cellStyle name="Normal 193" xfId="33649"/>
    <cellStyle name="Normal 193 2" xfId="47826"/>
    <cellStyle name="Normal 194" xfId="33650"/>
    <cellStyle name="Normal 194 2" xfId="47827"/>
    <cellStyle name="Normal 195" xfId="33651"/>
    <cellStyle name="Normal 196" xfId="19962"/>
    <cellStyle name="Normal 196 2" xfId="33653"/>
    <cellStyle name="Normal 196 2 2" xfId="47828"/>
    <cellStyle name="Normal 196 3" xfId="33654"/>
    <cellStyle name="Normal 196 4" xfId="33652"/>
    <cellStyle name="Normal 197" xfId="19963"/>
    <cellStyle name="Normal 197 2" xfId="33655"/>
    <cellStyle name="Normal 198" xfId="19964"/>
    <cellStyle name="Normal 198 2" xfId="33656"/>
    <cellStyle name="Normal 199" xfId="33657"/>
    <cellStyle name="Normal 2" xfId="2"/>
    <cellStyle name="Normal 2 10" xfId="33658"/>
    <cellStyle name="Normal 2 10 2" xfId="33659"/>
    <cellStyle name="Normal 2 10 2 2" xfId="47831"/>
    <cellStyle name="Normal 2 10 3" xfId="33660"/>
    <cellStyle name="Normal 2 10 3 2" xfId="47832"/>
    <cellStyle name="Normal 2 10 4" xfId="33661"/>
    <cellStyle name="Normal 2 10 4 2" xfId="47833"/>
    <cellStyle name="Normal 2 10 5" xfId="47830"/>
    <cellStyle name="Normal 2 10_IAS" xfId="33662"/>
    <cellStyle name="Normal 2 11" xfId="33663"/>
    <cellStyle name="Normal 2 11 2" xfId="33664"/>
    <cellStyle name="Normal 2 11 2 2" xfId="47835"/>
    <cellStyle name="Normal 2 11 3" xfId="33665"/>
    <cellStyle name="Normal 2 11 3 2" xfId="47836"/>
    <cellStyle name="Normal 2 11 4" xfId="33666"/>
    <cellStyle name="Normal 2 11 4 2" xfId="47837"/>
    <cellStyle name="Normal 2 11 5" xfId="47834"/>
    <cellStyle name="Normal 2 11_IAS" xfId="33667"/>
    <cellStyle name="Normal 2 12" xfId="33668"/>
    <cellStyle name="Normal 2 12 2" xfId="33669"/>
    <cellStyle name="Normal 2 12 2 2" xfId="47839"/>
    <cellStyle name="Normal 2 12 3" xfId="33670"/>
    <cellStyle name="Normal 2 12 3 2" xfId="47840"/>
    <cellStyle name="Normal 2 12 4" xfId="33671"/>
    <cellStyle name="Normal 2 12 4 2" xfId="47841"/>
    <cellStyle name="Normal 2 12 5" xfId="47838"/>
    <cellStyle name="Normal 2 12_IAS" xfId="33672"/>
    <cellStyle name="Normal 2 13" xfId="33673"/>
    <cellStyle name="Normal 2 13 2" xfId="33674"/>
    <cellStyle name="Normal 2 13 2 2" xfId="47843"/>
    <cellStyle name="Normal 2 13 3" xfId="33675"/>
    <cellStyle name="Normal 2 13 3 2" xfId="47844"/>
    <cellStyle name="Normal 2 13 4" xfId="33676"/>
    <cellStyle name="Normal 2 13 4 2" xfId="47845"/>
    <cellStyle name="Normal 2 13 5" xfId="47842"/>
    <cellStyle name="Normal 2 13_IAS" xfId="33677"/>
    <cellStyle name="Normal 2 14" xfId="33678"/>
    <cellStyle name="Normal 2 14 2" xfId="33679"/>
    <cellStyle name="Normal 2 14 2 2" xfId="47847"/>
    <cellStyle name="Normal 2 14 3" xfId="47846"/>
    <cellStyle name="Normal 2 15" xfId="33680"/>
    <cellStyle name="Normal 2 15 2" xfId="33681"/>
    <cellStyle name="Normal 2 15 2 2" xfId="47849"/>
    <cellStyle name="Normal 2 15 3" xfId="47848"/>
    <cellStyle name="Normal 2 16" xfId="33682"/>
    <cellStyle name="Normal 2 16 2" xfId="47850"/>
    <cellStyle name="Normal 2 17" xfId="33683"/>
    <cellStyle name="Normal 2 17 2" xfId="47851"/>
    <cellStyle name="Normal 2 18" xfId="33684"/>
    <cellStyle name="Normal 2 18 2" xfId="47852"/>
    <cellStyle name="Normal 2 19" xfId="33685"/>
    <cellStyle name="Normal 2 19 2" xfId="47853"/>
    <cellStyle name="Normal 2 2" xfId="935"/>
    <cellStyle name="Normal 2 2 2" xfId="936"/>
    <cellStyle name="Normal 2 2 2 2" xfId="937"/>
    <cellStyle name="Normal 2 2 2 2 2" xfId="47854"/>
    <cellStyle name="Normal 2 2 2 2 3" xfId="52060"/>
    <cellStyle name="Normal 2 2 2 2 4" xfId="33688"/>
    <cellStyle name="Normal 2 2 2 3" xfId="938"/>
    <cellStyle name="Normal 2 2 2 3 2" xfId="47855"/>
    <cellStyle name="Normal 2 2 2 3 3" xfId="52059"/>
    <cellStyle name="Normal 2 2 2 3 4" xfId="33689"/>
    <cellStyle name="Normal 2 2 2 4" xfId="33690"/>
    <cellStyle name="Normal 2 2 2 5" xfId="33687"/>
    <cellStyle name="Normal 2 2 2_Plan by Lob" xfId="33691"/>
    <cellStyle name="Normal 2 2 3" xfId="33692"/>
    <cellStyle name="Normal 2 2 3 2" xfId="47856"/>
    <cellStyle name="Normal 2 2 4" xfId="33693"/>
    <cellStyle name="Normal 2 2 4 2" xfId="33694"/>
    <cellStyle name="Normal 2 2 4 2 2" xfId="47858"/>
    <cellStyle name="Normal 2 2 4 3" xfId="47857"/>
    <cellStyle name="Normal 2 2 5" xfId="33695"/>
    <cellStyle name="Normal 2 2 6" xfId="33686"/>
    <cellStyle name="Normal 2 2 7" xfId="19965"/>
    <cellStyle name="Normal 2 2_IAS" xfId="33696"/>
    <cellStyle name="Normal 2 20" xfId="33697"/>
    <cellStyle name="Normal 2 20 2" xfId="47859"/>
    <cellStyle name="Normal 2 21" xfId="33698"/>
    <cellStyle name="Normal 2 21 2" xfId="47860"/>
    <cellStyle name="Normal 2 22" xfId="33699"/>
    <cellStyle name="Normal 2 22 2" xfId="47861"/>
    <cellStyle name="Normal 2 23" xfId="33700"/>
    <cellStyle name="Normal 2 23 2" xfId="33701"/>
    <cellStyle name="Normal 2 23 2 2" xfId="33702"/>
    <cellStyle name="Normal 2 23 3" xfId="33703"/>
    <cellStyle name="Normal 2 24" xfId="33704"/>
    <cellStyle name="Normal 2 24 2" xfId="33705"/>
    <cellStyle name="Normal 2 24 2 2" xfId="33706"/>
    <cellStyle name="Normal 2 24 3" xfId="33707"/>
    <cellStyle name="Normal 2 25" xfId="33708"/>
    <cellStyle name="Normal 2 25 2" xfId="33709"/>
    <cellStyle name="Normal 2 25 2 2" xfId="33710"/>
    <cellStyle name="Normal 2 25 3" xfId="33711"/>
    <cellStyle name="Normal 2 26" xfId="33712"/>
    <cellStyle name="Normal 2 26 2" xfId="33713"/>
    <cellStyle name="Normal 2 26 2 2" xfId="33714"/>
    <cellStyle name="Normal 2 26 3" xfId="33715"/>
    <cellStyle name="Normal 2 27" xfId="33716"/>
    <cellStyle name="Normal 2 27 2" xfId="33717"/>
    <cellStyle name="Normal 2 27 2 2" xfId="33718"/>
    <cellStyle name="Normal 2 27 3" xfId="33719"/>
    <cellStyle name="Normal 2 28" xfId="33720"/>
    <cellStyle name="Normal 2 28 2" xfId="33721"/>
    <cellStyle name="Normal 2 28 2 2" xfId="33722"/>
    <cellStyle name="Normal 2 28 3" xfId="33723"/>
    <cellStyle name="Normal 2 29" xfId="33724"/>
    <cellStyle name="Normal 2 29 2" xfId="33725"/>
    <cellStyle name="Normal 2 29 2 2" xfId="33726"/>
    <cellStyle name="Normal 2 29 3" xfId="33727"/>
    <cellStyle name="Normal 2 3" xfId="939"/>
    <cellStyle name="Normal 2 3 10" xfId="4154"/>
    <cellStyle name="Normal 2 3 10 2" xfId="10358"/>
    <cellStyle name="Normal 2 3 10 3" xfId="16560"/>
    <cellStyle name="Normal 2 3 10 4" xfId="55490"/>
    <cellStyle name="Normal 2 3 11" xfId="7257"/>
    <cellStyle name="Normal 2 3 11 2" xfId="18875"/>
    <cellStyle name="Normal 2 3 12" xfId="13459"/>
    <cellStyle name="Normal 2 3 13" xfId="19966"/>
    <cellStyle name="Normal 2 3 2" xfId="940"/>
    <cellStyle name="Normal 2 3 2 10" xfId="13460"/>
    <cellStyle name="Normal 2 3 2 11" xfId="33728"/>
    <cellStyle name="Normal 2 3 2 2" xfId="941"/>
    <cellStyle name="Normal 2 3 2 2 10" xfId="33729"/>
    <cellStyle name="Normal 2 3 2 2 2" xfId="942"/>
    <cellStyle name="Normal 2 3 2 2 2 2" xfId="943"/>
    <cellStyle name="Normal 2 3 2 2 2 2 2" xfId="944"/>
    <cellStyle name="Normal 2 3 2 2 2 2 2 2" xfId="2281"/>
    <cellStyle name="Normal 2 3 2 2 2 2 2 2 2" xfId="5406"/>
    <cellStyle name="Normal 2 3 2 2 2 2 2 2 2 2" xfId="11609"/>
    <cellStyle name="Normal 2 3 2 2 2 2 2 2 2 3" xfId="17811"/>
    <cellStyle name="Normal 2 3 2 2 2 2 2 2 2 4" xfId="56641"/>
    <cellStyle name="Normal 2 3 2 2 2 2 2 2 3" xfId="8509"/>
    <cellStyle name="Normal 2 3 2 2 2 2 2 2 4" xfId="14711"/>
    <cellStyle name="Normal 2 3 2 2 2 2 2 2 5" xfId="53745"/>
    <cellStyle name="Normal 2 3 2 2 2 2 2 3" xfId="3119"/>
    <cellStyle name="Normal 2 3 2 2 2 2 2 3 2" xfId="6231"/>
    <cellStyle name="Normal 2 3 2 2 2 2 2 3 2 2" xfId="12434"/>
    <cellStyle name="Normal 2 3 2 2 2 2 2 3 2 3" xfId="18636"/>
    <cellStyle name="Normal 2 3 2 2 2 2 2 3 2 4" xfId="57441"/>
    <cellStyle name="Normal 2 3 2 2 2 2 2 3 3" xfId="9334"/>
    <cellStyle name="Normal 2 3 2 2 2 2 2 3 4" xfId="15536"/>
    <cellStyle name="Normal 2 3 2 2 2 2 2 3 5" xfId="54542"/>
    <cellStyle name="Normal 2 3 2 2 2 2 2 4" xfId="4159"/>
    <cellStyle name="Normal 2 3 2 2 2 2 2 4 2" xfId="10363"/>
    <cellStyle name="Normal 2 3 2 2 2 2 2 4 3" xfId="16565"/>
    <cellStyle name="Normal 2 3 2 2 2 2 2 4 4" xfId="55495"/>
    <cellStyle name="Normal 2 3 2 2 2 2 2 5" xfId="7262"/>
    <cellStyle name="Normal 2 3 2 2 2 2 2 5 2" xfId="19882"/>
    <cellStyle name="Normal 2 3 2 2 2 2 2 6" xfId="13464"/>
    <cellStyle name="Normal 2 3 2 2 2 2 2 7" xfId="52682"/>
    <cellStyle name="Normal 2 3 2 2 2 2 3" xfId="1757"/>
    <cellStyle name="Normal 2 3 2 2 2 2 3 2" xfId="4882"/>
    <cellStyle name="Normal 2 3 2 2 2 2 3 2 2" xfId="11085"/>
    <cellStyle name="Normal 2 3 2 2 2 2 3 2 3" xfId="17287"/>
    <cellStyle name="Normal 2 3 2 2 2 2 3 2 4" xfId="56153"/>
    <cellStyle name="Normal 2 3 2 2 2 2 3 3" xfId="7985"/>
    <cellStyle name="Normal 2 3 2 2 2 2 3 4" xfId="14187"/>
    <cellStyle name="Normal 2 3 2 2 2 2 3 5" xfId="53260"/>
    <cellStyle name="Normal 2 3 2 2 2 2 4" xfId="3118"/>
    <cellStyle name="Normal 2 3 2 2 2 2 4 2" xfId="6230"/>
    <cellStyle name="Normal 2 3 2 2 2 2 4 2 2" xfId="12433"/>
    <cellStyle name="Normal 2 3 2 2 2 2 4 2 3" xfId="18635"/>
    <cellStyle name="Normal 2 3 2 2 2 2 4 2 4" xfId="57440"/>
    <cellStyle name="Normal 2 3 2 2 2 2 4 3" xfId="9333"/>
    <cellStyle name="Normal 2 3 2 2 2 2 4 4" xfId="15535"/>
    <cellStyle name="Normal 2 3 2 2 2 2 4 5" xfId="54541"/>
    <cellStyle name="Normal 2 3 2 2 2 2 5" xfId="4158"/>
    <cellStyle name="Normal 2 3 2 2 2 2 5 2" xfId="10362"/>
    <cellStyle name="Normal 2 3 2 2 2 2 5 3" xfId="16564"/>
    <cellStyle name="Normal 2 3 2 2 2 2 5 4" xfId="55494"/>
    <cellStyle name="Normal 2 3 2 2 2 2 6" xfId="7261"/>
    <cellStyle name="Normal 2 3 2 2 2 2 6 2" xfId="19358"/>
    <cellStyle name="Normal 2 3 2 2 2 2 7" xfId="13463"/>
    <cellStyle name="Normal 2 3 2 2 2 2 8" xfId="52153"/>
    <cellStyle name="Normal 2 3 2 2 2 3" xfId="945"/>
    <cellStyle name="Normal 2 3 2 2 2 3 2" xfId="2036"/>
    <cellStyle name="Normal 2 3 2 2 2 3 2 2" xfId="5161"/>
    <cellStyle name="Normal 2 3 2 2 2 3 2 2 2" xfId="11364"/>
    <cellStyle name="Normal 2 3 2 2 2 3 2 2 3" xfId="17566"/>
    <cellStyle name="Normal 2 3 2 2 2 3 2 2 4" xfId="56414"/>
    <cellStyle name="Normal 2 3 2 2 2 3 2 3" xfId="8264"/>
    <cellStyle name="Normal 2 3 2 2 2 3 2 4" xfId="14466"/>
    <cellStyle name="Normal 2 3 2 2 2 3 2 5" xfId="53519"/>
    <cellStyle name="Normal 2 3 2 2 2 3 3" xfId="3120"/>
    <cellStyle name="Normal 2 3 2 2 2 3 3 2" xfId="6232"/>
    <cellStyle name="Normal 2 3 2 2 2 3 3 2 2" xfId="12435"/>
    <cellStyle name="Normal 2 3 2 2 2 3 3 2 3" xfId="18637"/>
    <cellStyle name="Normal 2 3 2 2 2 3 3 2 4" xfId="57442"/>
    <cellStyle name="Normal 2 3 2 2 2 3 3 3" xfId="9335"/>
    <cellStyle name="Normal 2 3 2 2 2 3 3 4" xfId="15537"/>
    <cellStyle name="Normal 2 3 2 2 2 3 3 5" xfId="54543"/>
    <cellStyle name="Normal 2 3 2 2 2 3 4" xfId="4160"/>
    <cellStyle name="Normal 2 3 2 2 2 3 4 2" xfId="10364"/>
    <cellStyle name="Normal 2 3 2 2 2 3 4 3" xfId="16566"/>
    <cellStyle name="Normal 2 3 2 2 2 3 4 4" xfId="55496"/>
    <cellStyle name="Normal 2 3 2 2 2 3 5" xfId="7263"/>
    <cellStyle name="Normal 2 3 2 2 2 3 5 2" xfId="19637"/>
    <cellStyle name="Normal 2 3 2 2 2 3 6" xfId="13465"/>
    <cellStyle name="Normal 2 3 2 2 2 3 7" xfId="52683"/>
    <cellStyle name="Normal 2 3 2 2 2 4" xfId="1512"/>
    <cellStyle name="Normal 2 3 2 2 2 4 2" xfId="4637"/>
    <cellStyle name="Normal 2 3 2 2 2 4 2 2" xfId="10840"/>
    <cellStyle name="Normal 2 3 2 2 2 4 2 3" xfId="17042"/>
    <cellStyle name="Normal 2 3 2 2 2 4 2 4" xfId="55920"/>
    <cellStyle name="Normal 2 3 2 2 2 4 3" xfId="7740"/>
    <cellStyle name="Normal 2 3 2 2 2 4 4" xfId="13942"/>
    <cellStyle name="Normal 2 3 2 2 2 4 5" xfId="53035"/>
    <cellStyle name="Normal 2 3 2 2 2 5" xfId="3117"/>
    <cellStyle name="Normal 2 3 2 2 2 5 2" xfId="6229"/>
    <cellStyle name="Normal 2 3 2 2 2 5 2 2" xfId="12432"/>
    <cellStyle name="Normal 2 3 2 2 2 5 2 3" xfId="18634"/>
    <cellStyle name="Normal 2 3 2 2 2 5 2 4" xfId="57439"/>
    <cellStyle name="Normal 2 3 2 2 2 5 3" xfId="9332"/>
    <cellStyle name="Normal 2 3 2 2 2 5 4" xfId="15534"/>
    <cellStyle name="Normal 2 3 2 2 2 5 5" xfId="54540"/>
    <cellStyle name="Normal 2 3 2 2 2 6" xfId="4157"/>
    <cellStyle name="Normal 2 3 2 2 2 6 2" xfId="10361"/>
    <cellStyle name="Normal 2 3 2 2 2 6 3" xfId="16563"/>
    <cellStyle name="Normal 2 3 2 2 2 6 4" xfId="55493"/>
    <cellStyle name="Normal 2 3 2 2 2 7" xfId="7260"/>
    <cellStyle name="Normal 2 3 2 2 2 7 2" xfId="19113"/>
    <cellStyle name="Normal 2 3 2 2 2 8" xfId="13462"/>
    <cellStyle name="Normal 2 3 2 2 2 9" xfId="47864"/>
    <cellStyle name="Normal 2 3 2 2 3" xfId="946"/>
    <cellStyle name="Normal 2 3 2 2 3 2" xfId="947"/>
    <cellStyle name="Normal 2 3 2 2 3 2 2" xfId="2153"/>
    <cellStyle name="Normal 2 3 2 2 3 2 2 2" xfId="5278"/>
    <cellStyle name="Normal 2 3 2 2 3 2 2 2 2" xfId="11481"/>
    <cellStyle name="Normal 2 3 2 2 3 2 2 2 3" xfId="17683"/>
    <cellStyle name="Normal 2 3 2 2 3 2 2 2 4" xfId="56522"/>
    <cellStyle name="Normal 2 3 2 2 3 2 2 3" xfId="8381"/>
    <cellStyle name="Normal 2 3 2 2 3 2 2 4" xfId="14583"/>
    <cellStyle name="Normal 2 3 2 2 3 2 2 5" xfId="53626"/>
    <cellStyle name="Normal 2 3 2 2 3 2 3" xfId="3122"/>
    <cellStyle name="Normal 2 3 2 2 3 2 3 2" xfId="6234"/>
    <cellStyle name="Normal 2 3 2 2 3 2 3 2 2" xfId="12437"/>
    <cellStyle name="Normal 2 3 2 2 3 2 3 2 3" xfId="18639"/>
    <cellStyle name="Normal 2 3 2 2 3 2 3 2 4" xfId="57444"/>
    <cellStyle name="Normal 2 3 2 2 3 2 3 3" xfId="9337"/>
    <cellStyle name="Normal 2 3 2 2 3 2 3 4" xfId="15539"/>
    <cellStyle name="Normal 2 3 2 2 3 2 3 5" xfId="54545"/>
    <cellStyle name="Normal 2 3 2 2 3 2 4" xfId="4162"/>
    <cellStyle name="Normal 2 3 2 2 3 2 4 2" xfId="10366"/>
    <cellStyle name="Normal 2 3 2 2 3 2 4 3" xfId="16568"/>
    <cellStyle name="Normal 2 3 2 2 3 2 4 4" xfId="55498"/>
    <cellStyle name="Normal 2 3 2 2 3 2 5" xfId="7265"/>
    <cellStyle name="Normal 2 3 2 2 3 2 5 2" xfId="19754"/>
    <cellStyle name="Normal 2 3 2 2 3 2 6" xfId="13467"/>
    <cellStyle name="Normal 2 3 2 2 3 2 7" xfId="52685"/>
    <cellStyle name="Normal 2 3 2 2 3 3" xfId="1629"/>
    <cellStyle name="Normal 2 3 2 2 3 3 2" xfId="4754"/>
    <cellStyle name="Normal 2 3 2 2 3 3 2 2" xfId="10957"/>
    <cellStyle name="Normal 2 3 2 2 3 3 2 3" xfId="17159"/>
    <cellStyle name="Normal 2 3 2 2 3 3 2 4" xfId="56031"/>
    <cellStyle name="Normal 2 3 2 2 3 3 3" xfId="7857"/>
    <cellStyle name="Normal 2 3 2 2 3 3 4" xfId="14059"/>
    <cellStyle name="Normal 2 3 2 2 3 3 5" xfId="53141"/>
    <cellStyle name="Normal 2 3 2 2 3 4" xfId="3121"/>
    <cellStyle name="Normal 2 3 2 2 3 4 2" xfId="6233"/>
    <cellStyle name="Normal 2 3 2 2 3 4 2 2" xfId="12436"/>
    <cellStyle name="Normal 2 3 2 2 3 4 2 3" xfId="18638"/>
    <cellStyle name="Normal 2 3 2 2 3 4 2 4" xfId="57443"/>
    <cellStyle name="Normal 2 3 2 2 3 4 3" xfId="9336"/>
    <cellStyle name="Normal 2 3 2 2 3 4 4" xfId="15538"/>
    <cellStyle name="Normal 2 3 2 2 3 4 5" xfId="54544"/>
    <cellStyle name="Normal 2 3 2 2 3 5" xfId="4161"/>
    <cellStyle name="Normal 2 3 2 2 3 5 2" xfId="10365"/>
    <cellStyle name="Normal 2 3 2 2 3 5 3" xfId="16567"/>
    <cellStyle name="Normal 2 3 2 2 3 5 4" xfId="55497"/>
    <cellStyle name="Normal 2 3 2 2 3 6" xfId="7264"/>
    <cellStyle name="Normal 2 3 2 2 3 6 2" xfId="19230"/>
    <cellStyle name="Normal 2 3 2 2 3 7" xfId="13466"/>
    <cellStyle name="Normal 2 3 2 2 3 8" xfId="52684"/>
    <cellStyle name="Normal 2 3 2 2 4" xfId="948"/>
    <cellStyle name="Normal 2 3 2 2 4 2" xfId="1894"/>
    <cellStyle name="Normal 2 3 2 2 4 2 2" xfId="5019"/>
    <cellStyle name="Normal 2 3 2 2 4 2 2 2" xfId="11222"/>
    <cellStyle name="Normal 2 3 2 2 4 2 2 3" xfId="17424"/>
    <cellStyle name="Normal 2 3 2 2 4 2 2 4" xfId="56280"/>
    <cellStyle name="Normal 2 3 2 2 4 2 3" xfId="8122"/>
    <cellStyle name="Normal 2 3 2 2 4 2 4" xfId="14324"/>
    <cellStyle name="Normal 2 3 2 2 4 2 5" xfId="53386"/>
    <cellStyle name="Normal 2 3 2 2 4 3" xfId="3123"/>
    <cellStyle name="Normal 2 3 2 2 4 3 2" xfId="6235"/>
    <cellStyle name="Normal 2 3 2 2 4 3 2 2" xfId="12438"/>
    <cellStyle name="Normal 2 3 2 2 4 3 2 3" xfId="18640"/>
    <cellStyle name="Normal 2 3 2 2 4 3 2 4" xfId="57445"/>
    <cellStyle name="Normal 2 3 2 2 4 3 3" xfId="9338"/>
    <cellStyle name="Normal 2 3 2 2 4 3 4" xfId="15540"/>
    <cellStyle name="Normal 2 3 2 2 4 3 5" xfId="54546"/>
    <cellStyle name="Normal 2 3 2 2 4 4" xfId="4163"/>
    <cellStyle name="Normal 2 3 2 2 4 4 2" xfId="10367"/>
    <cellStyle name="Normal 2 3 2 2 4 4 3" xfId="16569"/>
    <cellStyle name="Normal 2 3 2 2 4 4 4" xfId="55499"/>
    <cellStyle name="Normal 2 3 2 2 4 5" xfId="7266"/>
    <cellStyle name="Normal 2 3 2 2 4 5 2" xfId="19495"/>
    <cellStyle name="Normal 2 3 2 2 4 6" xfId="13468"/>
    <cellStyle name="Normal 2 3 2 2 4 7" xfId="52686"/>
    <cellStyle name="Normal 2 3 2 2 5" xfId="1370"/>
    <cellStyle name="Normal 2 3 2 2 5 2" xfId="4495"/>
    <cellStyle name="Normal 2 3 2 2 5 2 2" xfId="10698"/>
    <cellStyle name="Normal 2 3 2 2 5 2 3" xfId="16900"/>
    <cellStyle name="Normal 2 3 2 2 5 2 4" xfId="55785"/>
    <cellStyle name="Normal 2 3 2 2 5 3" xfId="7598"/>
    <cellStyle name="Normal 2 3 2 2 5 4" xfId="13800"/>
    <cellStyle name="Normal 2 3 2 2 5 5" xfId="52909"/>
    <cellStyle name="Normal 2 3 2 2 6" xfId="3116"/>
    <cellStyle name="Normal 2 3 2 2 6 2" xfId="6228"/>
    <cellStyle name="Normal 2 3 2 2 6 2 2" xfId="12431"/>
    <cellStyle name="Normal 2 3 2 2 6 2 3" xfId="18633"/>
    <cellStyle name="Normal 2 3 2 2 6 2 4" xfId="57438"/>
    <cellStyle name="Normal 2 3 2 2 6 3" xfId="9331"/>
    <cellStyle name="Normal 2 3 2 2 6 4" xfId="15533"/>
    <cellStyle name="Normal 2 3 2 2 6 5" xfId="54539"/>
    <cellStyle name="Normal 2 3 2 2 7" xfId="4156"/>
    <cellStyle name="Normal 2 3 2 2 7 2" xfId="10360"/>
    <cellStyle name="Normal 2 3 2 2 7 3" xfId="16562"/>
    <cellStyle name="Normal 2 3 2 2 7 4" xfId="55492"/>
    <cellStyle name="Normal 2 3 2 2 8" xfId="7259"/>
    <cellStyle name="Normal 2 3 2 2 8 2" xfId="18971"/>
    <cellStyle name="Normal 2 3 2 2 9" xfId="13461"/>
    <cellStyle name="Normal 2 3 2 3" xfId="949"/>
    <cellStyle name="Normal 2 3 2 3 2" xfId="950"/>
    <cellStyle name="Normal 2 3 2 3 2 2" xfId="951"/>
    <cellStyle name="Normal 2 3 2 3 2 2 2" xfId="2213"/>
    <cellStyle name="Normal 2 3 2 3 2 2 2 2" xfId="5338"/>
    <cellStyle name="Normal 2 3 2 3 2 2 2 2 2" xfId="11541"/>
    <cellStyle name="Normal 2 3 2 3 2 2 2 2 3" xfId="17743"/>
    <cellStyle name="Normal 2 3 2 3 2 2 2 2 4" xfId="56578"/>
    <cellStyle name="Normal 2 3 2 3 2 2 2 3" xfId="8441"/>
    <cellStyle name="Normal 2 3 2 3 2 2 2 4" xfId="14643"/>
    <cellStyle name="Normal 2 3 2 3 2 2 2 5" xfId="53682"/>
    <cellStyle name="Normal 2 3 2 3 2 2 3" xfId="3126"/>
    <cellStyle name="Normal 2 3 2 3 2 2 3 2" xfId="6238"/>
    <cellStyle name="Normal 2 3 2 3 2 2 3 2 2" xfId="12441"/>
    <cellStyle name="Normal 2 3 2 3 2 2 3 2 3" xfId="18643"/>
    <cellStyle name="Normal 2 3 2 3 2 2 3 2 4" xfId="57448"/>
    <cellStyle name="Normal 2 3 2 3 2 2 3 3" xfId="9341"/>
    <cellStyle name="Normal 2 3 2 3 2 2 3 4" xfId="15543"/>
    <cellStyle name="Normal 2 3 2 3 2 2 3 5" xfId="54549"/>
    <cellStyle name="Normal 2 3 2 3 2 2 4" xfId="4166"/>
    <cellStyle name="Normal 2 3 2 3 2 2 4 2" xfId="10370"/>
    <cellStyle name="Normal 2 3 2 3 2 2 4 3" xfId="16572"/>
    <cellStyle name="Normal 2 3 2 3 2 2 4 4" xfId="55502"/>
    <cellStyle name="Normal 2 3 2 3 2 2 5" xfId="7269"/>
    <cellStyle name="Normal 2 3 2 3 2 2 5 2" xfId="19814"/>
    <cellStyle name="Normal 2 3 2 3 2 2 6" xfId="13471"/>
    <cellStyle name="Normal 2 3 2 3 2 2 7" xfId="52687"/>
    <cellStyle name="Normal 2 3 2 3 2 3" xfId="1689"/>
    <cellStyle name="Normal 2 3 2 3 2 3 2" xfId="4814"/>
    <cellStyle name="Normal 2 3 2 3 2 3 2 2" xfId="11017"/>
    <cellStyle name="Normal 2 3 2 3 2 3 2 3" xfId="17219"/>
    <cellStyle name="Normal 2 3 2 3 2 3 2 4" xfId="56087"/>
    <cellStyle name="Normal 2 3 2 3 2 3 3" xfId="7917"/>
    <cellStyle name="Normal 2 3 2 3 2 3 4" xfId="14119"/>
    <cellStyle name="Normal 2 3 2 3 2 3 5" xfId="53197"/>
    <cellStyle name="Normal 2 3 2 3 2 4" xfId="3125"/>
    <cellStyle name="Normal 2 3 2 3 2 4 2" xfId="6237"/>
    <cellStyle name="Normal 2 3 2 3 2 4 2 2" xfId="12440"/>
    <cellStyle name="Normal 2 3 2 3 2 4 2 3" xfId="18642"/>
    <cellStyle name="Normal 2 3 2 3 2 4 2 4" xfId="57447"/>
    <cellStyle name="Normal 2 3 2 3 2 4 3" xfId="9340"/>
    <cellStyle name="Normal 2 3 2 3 2 4 4" xfId="15542"/>
    <cellStyle name="Normal 2 3 2 3 2 4 5" xfId="54548"/>
    <cellStyle name="Normal 2 3 2 3 2 5" xfId="4165"/>
    <cellStyle name="Normal 2 3 2 3 2 5 2" xfId="10369"/>
    <cellStyle name="Normal 2 3 2 3 2 5 3" xfId="16571"/>
    <cellStyle name="Normal 2 3 2 3 2 5 4" xfId="55501"/>
    <cellStyle name="Normal 2 3 2 3 2 6" xfId="7268"/>
    <cellStyle name="Normal 2 3 2 3 2 6 2" xfId="19290"/>
    <cellStyle name="Normal 2 3 2 3 2 7" xfId="13470"/>
    <cellStyle name="Normal 2 3 2 3 2 8" xfId="52089"/>
    <cellStyle name="Normal 2 3 2 3 3" xfId="952"/>
    <cellStyle name="Normal 2 3 2 3 3 2" xfId="1968"/>
    <cellStyle name="Normal 2 3 2 3 3 2 2" xfId="5093"/>
    <cellStyle name="Normal 2 3 2 3 3 2 2 2" xfId="11296"/>
    <cellStyle name="Normal 2 3 2 3 3 2 2 3" xfId="17498"/>
    <cellStyle name="Normal 2 3 2 3 3 2 2 4" xfId="56351"/>
    <cellStyle name="Normal 2 3 2 3 3 2 3" xfId="8196"/>
    <cellStyle name="Normal 2 3 2 3 3 2 4" xfId="14398"/>
    <cellStyle name="Normal 2 3 2 3 3 2 5" xfId="53457"/>
    <cellStyle name="Normal 2 3 2 3 3 3" xfId="3127"/>
    <cellStyle name="Normal 2 3 2 3 3 3 2" xfId="6239"/>
    <cellStyle name="Normal 2 3 2 3 3 3 2 2" xfId="12442"/>
    <cellStyle name="Normal 2 3 2 3 3 3 2 3" xfId="18644"/>
    <cellStyle name="Normal 2 3 2 3 3 3 2 4" xfId="57449"/>
    <cellStyle name="Normal 2 3 2 3 3 3 3" xfId="9342"/>
    <cellStyle name="Normal 2 3 2 3 3 3 4" xfId="15544"/>
    <cellStyle name="Normal 2 3 2 3 3 3 5" xfId="54550"/>
    <cellStyle name="Normal 2 3 2 3 3 4" xfId="4167"/>
    <cellStyle name="Normal 2 3 2 3 3 4 2" xfId="10371"/>
    <cellStyle name="Normal 2 3 2 3 3 4 3" xfId="16573"/>
    <cellStyle name="Normal 2 3 2 3 3 4 4" xfId="55503"/>
    <cellStyle name="Normal 2 3 2 3 3 5" xfId="7270"/>
    <cellStyle name="Normal 2 3 2 3 3 5 2" xfId="19569"/>
    <cellStyle name="Normal 2 3 2 3 3 6" xfId="13472"/>
    <cellStyle name="Normal 2 3 2 3 3 7" xfId="52688"/>
    <cellStyle name="Normal 2 3 2 3 4" xfId="1444"/>
    <cellStyle name="Normal 2 3 2 3 4 2" xfId="4569"/>
    <cellStyle name="Normal 2 3 2 3 4 2 2" xfId="10772"/>
    <cellStyle name="Normal 2 3 2 3 4 2 3" xfId="16974"/>
    <cellStyle name="Normal 2 3 2 3 4 2 4" xfId="55855"/>
    <cellStyle name="Normal 2 3 2 3 4 3" xfId="7672"/>
    <cellStyle name="Normal 2 3 2 3 4 4" xfId="13874"/>
    <cellStyle name="Normal 2 3 2 3 4 5" xfId="52973"/>
    <cellStyle name="Normal 2 3 2 3 5" xfId="3124"/>
    <cellStyle name="Normal 2 3 2 3 5 2" xfId="6236"/>
    <cellStyle name="Normal 2 3 2 3 5 2 2" xfId="12439"/>
    <cellStyle name="Normal 2 3 2 3 5 2 3" xfId="18641"/>
    <cellStyle name="Normal 2 3 2 3 5 2 4" xfId="57446"/>
    <cellStyle name="Normal 2 3 2 3 5 3" xfId="9339"/>
    <cellStyle name="Normal 2 3 2 3 5 4" xfId="15541"/>
    <cellStyle name="Normal 2 3 2 3 5 5" xfId="54547"/>
    <cellStyle name="Normal 2 3 2 3 6" xfId="4164"/>
    <cellStyle name="Normal 2 3 2 3 6 2" xfId="10368"/>
    <cellStyle name="Normal 2 3 2 3 6 3" xfId="16570"/>
    <cellStyle name="Normal 2 3 2 3 6 4" xfId="55500"/>
    <cellStyle name="Normal 2 3 2 3 7" xfId="7267"/>
    <cellStyle name="Normal 2 3 2 3 7 2" xfId="19045"/>
    <cellStyle name="Normal 2 3 2 3 8" xfId="13469"/>
    <cellStyle name="Normal 2 3 2 3 9" xfId="47863"/>
    <cellStyle name="Normal 2 3 2 4" xfId="953"/>
    <cellStyle name="Normal 2 3 2 4 2" xfId="954"/>
    <cellStyle name="Normal 2 3 2 4 2 2" xfId="2097"/>
    <cellStyle name="Normal 2 3 2 4 2 2 2" xfId="5222"/>
    <cellStyle name="Normal 2 3 2 4 2 2 2 2" xfId="11425"/>
    <cellStyle name="Normal 2 3 2 4 2 2 2 3" xfId="17627"/>
    <cellStyle name="Normal 2 3 2 4 2 2 2 4" xfId="56471"/>
    <cellStyle name="Normal 2 3 2 4 2 2 3" xfId="8325"/>
    <cellStyle name="Normal 2 3 2 4 2 2 4" xfId="14527"/>
    <cellStyle name="Normal 2 3 2 4 2 2 5" xfId="53575"/>
    <cellStyle name="Normal 2 3 2 4 2 3" xfId="3129"/>
    <cellStyle name="Normal 2 3 2 4 2 3 2" xfId="6241"/>
    <cellStyle name="Normal 2 3 2 4 2 3 2 2" xfId="12444"/>
    <cellStyle name="Normal 2 3 2 4 2 3 2 3" xfId="18646"/>
    <cellStyle name="Normal 2 3 2 4 2 3 2 4" xfId="57451"/>
    <cellStyle name="Normal 2 3 2 4 2 3 3" xfId="9344"/>
    <cellStyle name="Normal 2 3 2 4 2 3 4" xfId="15546"/>
    <cellStyle name="Normal 2 3 2 4 2 3 5" xfId="54552"/>
    <cellStyle name="Normal 2 3 2 4 2 4" xfId="4169"/>
    <cellStyle name="Normal 2 3 2 4 2 4 2" xfId="10373"/>
    <cellStyle name="Normal 2 3 2 4 2 4 3" xfId="16575"/>
    <cellStyle name="Normal 2 3 2 4 2 4 4" xfId="55505"/>
    <cellStyle name="Normal 2 3 2 4 2 5" xfId="7272"/>
    <cellStyle name="Normal 2 3 2 4 2 5 2" xfId="19698"/>
    <cellStyle name="Normal 2 3 2 4 2 6" xfId="13474"/>
    <cellStyle name="Normal 2 3 2 4 2 7" xfId="52690"/>
    <cellStyle name="Normal 2 3 2 4 3" xfId="1573"/>
    <cellStyle name="Normal 2 3 2 4 3 2" xfId="4698"/>
    <cellStyle name="Normal 2 3 2 4 3 2 2" xfId="10901"/>
    <cellStyle name="Normal 2 3 2 4 3 2 3" xfId="17103"/>
    <cellStyle name="Normal 2 3 2 4 3 2 4" xfId="55977"/>
    <cellStyle name="Normal 2 3 2 4 3 3" xfId="7801"/>
    <cellStyle name="Normal 2 3 2 4 3 4" xfId="14003"/>
    <cellStyle name="Normal 2 3 2 4 3 5" xfId="53090"/>
    <cellStyle name="Normal 2 3 2 4 4" xfId="3128"/>
    <cellStyle name="Normal 2 3 2 4 4 2" xfId="6240"/>
    <cellStyle name="Normal 2 3 2 4 4 2 2" xfId="12443"/>
    <cellStyle name="Normal 2 3 2 4 4 2 3" xfId="18645"/>
    <cellStyle name="Normal 2 3 2 4 4 2 4" xfId="57450"/>
    <cellStyle name="Normal 2 3 2 4 4 3" xfId="9343"/>
    <cellStyle name="Normal 2 3 2 4 4 4" xfId="15545"/>
    <cellStyle name="Normal 2 3 2 4 4 5" xfId="54551"/>
    <cellStyle name="Normal 2 3 2 4 5" xfId="4168"/>
    <cellStyle name="Normal 2 3 2 4 5 2" xfId="10372"/>
    <cellStyle name="Normal 2 3 2 4 5 3" xfId="16574"/>
    <cellStyle name="Normal 2 3 2 4 5 4" xfId="55504"/>
    <cellStyle name="Normal 2 3 2 4 6" xfId="7271"/>
    <cellStyle name="Normal 2 3 2 4 6 2" xfId="19174"/>
    <cellStyle name="Normal 2 3 2 4 7" xfId="13473"/>
    <cellStyle name="Normal 2 3 2 4 8" xfId="52689"/>
    <cellStyle name="Normal 2 3 2 5" xfId="955"/>
    <cellStyle name="Normal 2 3 2 5 2" xfId="1827"/>
    <cellStyle name="Normal 2 3 2 5 2 2" xfId="4952"/>
    <cellStyle name="Normal 2 3 2 5 2 2 2" xfId="11155"/>
    <cellStyle name="Normal 2 3 2 5 2 2 3" xfId="17357"/>
    <cellStyle name="Normal 2 3 2 5 2 2 4" xfId="56216"/>
    <cellStyle name="Normal 2 3 2 5 2 3" xfId="8055"/>
    <cellStyle name="Normal 2 3 2 5 2 4" xfId="14257"/>
    <cellStyle name="Normal 2 3 2 5 2 5" xfId="53322"/>
    <cellStyle name="Normal 2 3 2 5 3" xfId="3130"/>
    <cellStyle name="Normal 2 3 2 5 3 2" xfId="6242"/>
    <cellStyle name="Normal 2 3 2 5 3 2 2" xfId="12445"/>
    <cellStyle name="Normal 2 3 2 5 3 2 3" xfId="18647"/>
    <cellStyle name="Normal 2 3 2 5 3 2 4" xfId="57452"/>
    <cellStyle name="Normal 2 3 2 5 3 3" xfId="9345"/>
    <cellStyle name="Normal 2 3 2 5 3 4" xfId="15547"/>
    <cellStyle name="Normal 2 3 2 5 3 5" xfId="54553"/>
    <cellStyle name="Normal 2 3 2 5 4" xfId="4170"/>
    <cellStyle name="Normal 2 3 2 5 4 2" xfId="10374"/>
    <cellStyle name="Normal 2 3 2 5 4 3" xfId="16576"/>
    <cellStyle name="Normal 2 3 2 5 4 4" xfId="55506"/>
    <cellStyle name="Normal 2 3 2 5 5" xfId="7273"/>
    <cellStyle name="Normal 2 3 2 5 5 2" xfId="19428"/>
    <cellStyle name="Normal 2 3 2 5 6" xfId="13475"/>
    <cellStyle name="Normal 2 3 2 5 7" xfId="52691"/>
    <cellStyle name="Normal 2 3 2 6" xfId="1302"/>
    <cellStyle name="Normal 2 3 2 6 2" xfId="4427"/>
    <cellStyle name="Normal 2 3 2 6 2 2" xfId="10630"/>
    <cellStyle name="Normal 2 3 2 6 2 3" xfId="16832"/>
    <cellStyle name="Normal 2 3 2 6 2 4" xfId="55719"/>
    <cellStyle name="Normal 2 3 2 6 3" xfId="7530"/>
    <cellStyle name="Normal 2 3 2 6 4" xfId="13732"/>
    <cellStyle name="Normal 2 3 2 6 5" xfId="52848"/>
    <cellStyle name="Normal 2 3 2 7" xfId="3115"/>
    <cellStyle name="Normal 2 3 2 7 2" xfId="6227"/>
    <cellStyle name="Normal 2 3 2 7 2 2" xfId="12430"/>
    <cellStyle name="Normal 2 3 2 7 2 3" xfId="18632"/>
    <cellStyle name="Normal 2 3 2 7 2 4" xfId="57437"/>
    <cellStyle name="Normal 2 3 2 7 3" xfId="9330"/>
    <cellStyle name="Normal 2 3 2 7 4" xfId="15532"/>
    <cellStyle name="Normal 2 3 2 7 5" xfId="54538"/>
    <cellStyle name="Normal 2 3 2 8" xfId="4155"/>
    <cellStyle name="Normal 2 3 2 8 2" xfId="10359"/>
    <cellStyle name="Normal 2 3 2 8 3" xfId="16561"/>
    <cellStyle name="Normal 2 3 2 8 4" xfId="55491"/>
    <cellStyle name="Normal 2 3 2 9" xfId="7258"/>
    <cellStyle name="Normal 2 3 2 9 2" xfId="18903"/>
    <cellStyle name="Normal 2 3 3" xfId="956"/>
    <cellStyle name="Normal 2 3 3 10" xfId="33730"/>
    <cellStyle name="Normal 2 3 3 2" xfId="957"/>
    <cellStyle name="Normal 2 3 3 2 2" xfId="958"/>
    <cellStyle name="Normal 2 3 3 2 2 2" xfId="959"/>
    <cellStyle name="Normal 2 3 3 2 2 2 2" xfId="2253"/>
    <cellStyle name="Normal 2 3 3 2 2 2 2 2" xfId="5378"/>
    <cellStyle name="Normal 2 3 3 2 2 2 2 2 2" xfId="11581"/>
    <cellStyle name="Normal 2 3 3 2 2 2 2 2 3" xfId="17783"/>
    <cellStyle name="Normal 2 3 3 2 2 2 2 2 4" xfId="56616"/>
    <cellStyle name="Normal 2 3 3 2 2 2 2 3" xfId="8481"/>
    <cellStyle name="Normal 2 3 3 2 2 2 2 4" xfId="14683"/>
    <cellStyle name="Normal 2 3 3 2 2 2 2 5" xfId="53720"/>
    <cellStyle name="Normal 2 3 3 2 2 2 3" xfId="3134"/>
    <cellStyle name="Normal 2 3 3 2 2 2 3 2" xfId="6246"/>
    <cellStyle name="Normal 2 3 3 2 2 2 3 2 2" xfId="12449"/>
    <cellStyle name="Normal 2 3 3 2 2 2 3 2 3" xfId="18651"/>
    <cellStyle name="Normal 2 3 3 2 2 2 3 2 4" xfId="57456"/>
    <cellStyle name="Normal 2 3 3 2 2 2 3 3" xfId="9349"/>
    <cellStyle name="Normal 2 3 3 2 2 2 3 4" xfId="15551"/>
    <cellStyle name="Normal 2 3 3 2 2 2 3 5" xfId="54557"/>
    <cellStyle name="Normal 2 3 3 2 2 2 4" xfId="4174"/>
    <cellStyle name="Normal 2 3 3 2 2 2 4 2" xfId="10378"/>
    <cellStyle name="Normal 2 3 3 2 2 2 4 3" xfId="16580"/>
    <cellStyle name="Normal 2 3 3 2 2 2 4 4" xfId="55510"/>
    <cellStyle name="Normal 2 3 3 2 2 2 5" xfId="7277"/>
    <cellStyle name="Normal 2 3 3 2 2 2 5 2" xfId="19854"/>
    <cellStyle name="Normal 2 3 3 2 2 2 6" xfId="13479"/>
    <cellStyle name="Normal 2 3 3 2 2 2 7" xfId="52692"/>
    <cellStyle name="Normal 2 3 3 2 2 3" xfId="1729"/>
    <cellStyle name="Normal 2 3 3 2 2 3 2" xfId="4854"/>
    <cellStyle name="Normal 2 3 3 2 2 3 2 2" xfId="11057"/>
    <cellStyle name="Normal 2 3 3 2 2 3 2 3" xfId="17259"/>
    <cellStyle name="Normal 2 3 3 2 2 3 2 4" xfId="56126"/>
    <cellStyle name="Normal 2 3 3 2 2 3 3" xfId="7957"/>
    <cellStyle name="Normal 2 3 3 2 2 3 4" xfId="14159"/>
    <cellStyle name="Normal 2 3 3 2 2 3 5" xfId="53235"/>
    <cellStyle name="Normal 2 3 3 2 2 4" xfId="3133"/>
    <cellStyle name="Normal 2 3 3 2 2 4 2" xfId="6245"/>
    <cellStyle name="Normal 2 3 3 2 2 4 2 2" xfId="12448"/>
    <cellStyle name="Normal 2 3 3 2 2 4 2 3" xfId="18650"/>
    <cellStyle name="Normal 2 3 3 2 2 4 2 4" xfId="57455"/>
    <cellStyle name="Normal 2 3 3 2 2 4 3" xfId="9348"/>
    <cellStyle name="Normal 2 3 3 2 2 4 4" xfId="15550"/>
    <cellStyle name="Normal 2 3 3 2 2 4 5" xfId="54556"/>
    <cellStyle name="Normal 2 3 3 2 2 5" xfId="4173"/>
    <cellStyle name="Normal 2 3 3 2 2 5 2" xfId="10377"/>
    <cellStyle name="Normal 2 3 3 2 2 5 3" xfId="16579"/>
    <cellStyle name="Normal 2 3 3 2 2 5 4" xfId="55509"/>
    <cellStyle name="Normal 2 3 3 2 2 6" xfId="7276"/>
    <cellStyle name="Normal 2 3 3 2 2 6 2" xfId="19330"/>
    <cellStyle name="Normal 2 3 3 2 2 7" xfId="13478"/>
    <cellStyle name="Normal 2 3 3 2 2 8" xfId="52128"/>
    <cellStyle name="Normal 2 3 3 2 3" xfId="960"/>
    <cellStyle name="Normal 2 3 3 2 3 2" xfId="2008"/>
    <cellStyle name="Normal 2 3 3 2 3 2 2" xfId="5133"/>
    <cellStyle name="Normal 2 3 3 2 3 2 2 2" xfId="11336"/>
    <cellStyle name="Normal 2 3 3 2 3 2 2 3" xfId="17538"/>
    <cellStyle name="Normal 2 3 3 2 3 2 2 4" xfId="56389"/>
    <cellStyle name="Normal 2 3 3 2 3 2 3" xfId="8236"/>
    <cellStyle name="Normal 2 3 3 2 3 2 4" xfId="14438"/>
    <cellStyle name="Normal 2 3 3 2 3 2 5" xfId="53494"/>
    <cellStyle name="Normal 2 3 3 2 3 3" xfId="3135"/>
    <cellStyle name="Normal 2 3 3 2 3 3 2" xfId="6247"/>
    <cellStyle name="Normal 2 3 3 2 3 3 2 2" xfId="12450"/>
    <cellStyle name="Normal 2 3 3 2 3 3 2 3" xfId="18652"/>
    <cellStyle name="Normal 2 3 3 2 3 3 2 4" xfId="57457"/>
    <cellStyle name="Normal 2 3 3 2 3 3 3" xfId="9350"/>
    <cellStyle name="Normal 2 3 3 2 3 3 4" xfId="15552"/>
    <cellStyle name="Normal 2 3 3 2 3 3 5" xfId="54558"/>
    <cellStyle name="Normal 2 3 3 2 3 4" xfId="4175"/>
    <cellStyle name="Normal 2 3 3 2 3 4 2" xfId="10379"/>
    <cellStyle name="Normal 2 3 3 2 3 4 3" xfId="16581"/>
    <cellStyle name="Normal 2 3 3 2 3 4 4" xfId="55511"/>
    <cellStyle name="Normal 2 3 3 2 3 5" xfId="7278"/>
    <cellStyle name="Normal 2 3 3 2 3 5 2" xfId="19609"/>
    <cellStyle name="Normal 2 3 3 2 3 6" xfId="13480"/>
    <cellStyle name="Normal 2 3 3 2 3 7" xfId="52693"/>
    <cellStyle name="Normal 2 3 3 2 4" xfId="1484"/>
    <cellStyle name="Normal 2 3 3 2 4 2" xfId="4609"/>
    <cellStyle name="Normal 2 3 3 2 4 2 2" xfId="10812"/>
    <cellStyle name="Normal 2 3 3 2 4 2 3" xfId="17014"/>
    <cellStyle name="Normal 2 3 3 2 4 2 4" xfId="55894"/>
    <cellStyle name="Normal 2 3 3 2 4 3" xfId="7712"/>
    <cellStyle name="Normal 2 3 3 2 4 4" xfId="13914"/>
    <cellStyle name="Normal 2 3 3 2 4 5" xfId="53010"/>
    <cellStyle name="Normal 2 3 3 2 5" xfId="3132"/>
    <cellStyle name="Normal 2 3 3 2 5 2" xfId="6244"/>
    <cellStyle name="Normal 2 3 3 2 5 2 2" xfId="12447"/>
    <cellStyle name="Normal 2 3 3 2 5 2 3" xfId="18649"/>
    <cellStyle name="Normal 2 3 3 2 5 2 4" xfId="57454"/>
    <cellStyle name="Normal 2 3 3 2 5 3" xfId="9347"/>
    <cellStyle name="Normal 2 3 3 2 5 4" xfId="15549"/>
    <cellStyle name="Normal 2 3 3 2 5 5" xfId="54555"/>
    <cellStyle name="Normal 2 3 3 2 6" xfId="4172"/>
    <cellStyle name="Normal 2 3 3 2 6 2" xfId="10376"/>
    <cellStyle name="Normal 2 3 3 2 6 3" xfId="16578"/>
    <cellStyle name="Normal 2 3 3 2 6 4" xfId="55508"/>
    <cellStyle name="Normal 2 3 3 2 7" xfId="7275"/>
    <cellStyle name="Normal 2 3 3 2 7 2" xfId="19085"/>
    <cellStyle name="Normal 2 3 3 2 8" xfId="13477"/>
    <cellStyle name="Normal 2 3 3 2 9" xfId="47865"/>
    <cellStyle name="Normal 2 3 3 3" xfId="961"/>
    <cellStyle name="Normal 2 3 3 3 2" xfId="962"/>
    <cellStyle name="Normal 2 3 3 3 2 2" xfId="2125"/>
    <cellStyle name="Normal 2 3 3 3 2 2 2" xfId="5250"/>
    <cellStyle name="Normal 2 3 3 3 2 2 2 2" xfId="11453"/>
    <cellStyle name="Normal 2 3 3 3 2 2 2 3" xfId="17655"/>
    <cellStyle name="Normal 2 3 3 3 2 2 2 4" xfId="56497"/>
    <cellStyle name="Normal 2 3 3 3 2 2 3" xfId="8353"/>
    <cellStyle name="Normal 2 3 3 3 2 2 4" xfId="14555"/>
    <cellStyle name="Normal 2 3 3 3 2 2 5" xfId="53601"/>
    <cellStyle name="Normal 2 3 3 3 2 3" xfId="3137"/>
    <cellStyle name="Normal 2 3 3 3 2 3 2" xfId="6249"/>
    <cellStyle name="Normal 2 3 3 3 2 3 2 2" xfId="12452"/>
    <cellStyle name="Normal 2 3 3 3 2 3 2 3" xfId="18654"/>
    <cellStyle name="Normal 2 3 3 3 2 3 2 4" xfId="57459"/>
    <cellStyle name="Normal 2 3 3 3 2 3 3" xfId="9352"/>
    <cellStyle name="Normal 2 3 3 3 2 3 4" xfId="15554"/>
    <cellStyle name="Normal 2 3 3 3 2 3 5" xfId="54560"/>
    <cellStyle name="Normal 2 3 3 3 2 4" xfId="4177"/>
    <cellStyle name="Normal 2 3 3 3 2 4 2" xfId="10381"/>
    <cellStyle name="Normal 2 3 3 3 2 4 3" xfId="16583"/>
    <cellStyle name="Normal 2 3 3 3 2 4 4" xfId="55513"/>
    <cellStyle name="Normal 2 3 3 3 2 5" xfId="7280"/>
    <cellStyle name="Normal 2 3 3 3 2 5 2" xfId="19726"/>
    <cellStyle name="Normal 2 3 3 3 2 6" xfId="13482"/>
    <cellStyle name="Normal 2 3 3 3 2 7" xfId="52695"/>
    <cellStyle name="Normal 2 3 3 3 3" xfId="1601"/>
    <cellStyle name="Normal 2 3 3 3 3 2" xfId="4726"/>
    <cellStyle name="Normal 2 3 3 3 3 2 2" xfId="10929"/>
    <cellStyle name="Normal 2 3 3 3 3 2 3" xfId="17131"/>
    <cellStyle name="Normal 2 3 3 3 3 2 4" xfId="56004"/>
    <cellStyle name="Normal 2 3 3 3 3 3" xfId="7829"/>
    <cellStyle name="Normal 2 3 3 3 3 4" xfId="14031"/>
    <cellStyle name="Normal 2 3 3 3 3 5" xfId="53116"/>
    <cellStyle name="Normal 2 3 3 3 4" xfId="3136"/>
    <cellStyle name="Normal 2 3 3 3 4 2" xfId="6248"/>
    <cellStyle name="Normal 2 3 3 3 4 2 2" xfId="12451"/>
    <cellStyle name="Normal 2 3 3 3 4 2 3" xfId="18653"/>
    <cellStyle name="Normal 2 3 3 3 4 2 4" xfId="57458"/>
    <cellStyle name="Normal 2 3 3 3 4 3" xfId="9351"/>
    <cellStyle name="Normal 2 3 3 3 4 4" xfId="15553"/>
    <cellStyle name="Normal 2 3 3 3 4 5" xfId="54559"/>
    <cellStyle name="Normal 2 3 3 3 5" xfId="4176"/>
    <cellStyle name="Normal 2 3 3 3 5 2" xfId="10380"/>
    <cellStyle name="Normal 2 3 3 3 5 3" xfId="16582"/>
    <cellStyle name="Normal 2 3 3 3 5 4" xfId="55512"/>
    <cellStyle name="Normal 2 3 3 3 6" xfId="7279"/>
    <cellStyle name="Normal 2 3 3 3 6 2" xfId="19202"/>
    <cellStyle name="Normal 2 3 3 3 7" xfId="13481"/>
    <cellStyle name="Normal 2 3 3 3 8" xfId="52694"/>
    <cellStyle name="Normal 2 3 3 4" xfId="963"/>
    <cellStyle name="Normal 2 3 3 4 2" xfId="1866"/>
    <cellStyle name="Normal 2 3 3 4 2 2" xfId="4991"/>
    <cellStyle name="Normal 2 3 3 4 2 2 2" xfId="11194"/>
    <cellStyle name="Normal 2 3 3 4 2 2 3" xfId="17396"/>
    <cellStyle name="Normal 2 3 3 4 2 2 4" xfId="56254"/>
    <cellStyle name="Normal 2 3 3 4 2 3" xfId="8094"/>
    <cellStyle name="Normal 2 3 3 4 2 4" xfId="14296"/>
    <cellStyle name="Normal 2 3 3 4 2 5" xfId="53360"/>
    <cellStyle name="Normal 2 3 3 4 3" xfId="3138"/>
    <cellStyle name="Normal 2 3 3 4 3 2" xfId="6250"/>
    <cellStyle name="Normal 2 3 3 4 3 2 2" xfId="12453"/>
    <cellStyle name="Normal 2 3 3 4 3 2 3" xfId="18655"/>
    <cellStyle name="Normal 2 3 3 4 3 2 4" xfId="57460"/>
    <cellStyle name="Normal 2 3 3 4 3 3" xfId="9353"/>
    <cellStyle name="Normal 2 3 3 4 3 4" xfId="15555"/>
    <cellStyle name="Normal 2 3 3 4 3 5" xfId="54561"/>
    <cellStyle name="Normal 2 3 3 4 4" xfId="4178"/>
    <cellStyle name="Normal 2 3 3 4 4 2" xfId="10382"/>
    <cellStyle name="Normal 2 3 3 4 4 3" xfId="16584"/>
    <cellStyle name="Normal 2 3 3 4 4 4" xfId="55514"/>
    <cellStyle name="Normal 2 3 3 4 5" xfId="7281"/>
    <cellStyle name="Normal 2 3 3 4 5 2" xfId="19467"/>
    <cellStyle name="Normal 2 3 3 4 6" xfId="13483"/>
    <cellStyle name="Normal 2 3 3 4 7" xfId="52696"/>
    <cellStyle name="Normal 2 3 3 5" xfId="1342"/>
    <cellStyle name="Normal 2 3 3 5 2" xfId="4467"/>
    <cellStyle name="Normal 2 3 3 5 2 2" xfId="10670"/>
    <cellStyle name="Normal 2 3 3 5 2 3" xfId="16872"/>
    <cellStyle name="Normal 2 3 3 5 2 4" xfId="55758"/>
    <cellStyle name="Normal 2 3 3 5 3" xfId="7570"/>
    <cellStyle name="Normal 2 3 3 5 4" xfId="13772"/>
    <cellStyle name="Normal 2 3 3 5 5" xfId="52885"/>
    <cellStyle name="Normal 2 3 3 6" xfId="3131"/>
    <cellStyle name="Normal 2 3 3 6 2" xfId="6243"/>
    <cellStyle name="Normal 2 3 3 6 2 2" xfId="12446"/>
    <cellStyle name="Normal 2 3 3 6 2 3" xfId="18648"/>
    <cellStyle name="Normal 2 3 3 6 2 4" xfId="57453"/>
    <cellStyle name="Normal 2 3 3 6 3" xfId="9346"/>
    <cellStyle name="Normal 2 3 3 6 4" xfId="15548"/>
    <cellStyle name="Normal 2 3 3 6 5" xfId="54554"/>
    <cellStyle name="Normal 2 3 3 7" xfId="4171"/>
    <cellStyle name="Normal 2 3 3 7 2" xfId="10375"/>
    <cellStyle name="Normal 2 3 3 7 3" xfId="16577"/>
    <cellStyle name="Normal 2 3 3 7 4" xfId="55507"/>
    <cellStyle name="Normal 2 3 3 8" xfId="7274"/>
    <cellStyle name="Normal 2 3 3 8 2" xfId="18943"/>
    <cellStyle name="Normal 2 3 3 9" xfId="13476"/>
    <cellStyle name="Normal 2 3 4" xfId="964"/>
    <cellStyle name="Normal 2 3 4 2" xfId="47866"/>
    <cellStyle name="Normal 2 3 4 3" xfId="33731"/>
    <cellStyle name="Normal 2 3 5" xfId="965"/>
    <cellStyle name="Normal 2 3 5 2" xfId="966"/>
    <cellStyle name="Normal 2 3 5 2 2" xfId="967"/>
    <cellStyle name="Normal 2 3 5 2 2 2" xfId="2190"/>
    <cellStyle name="Normal 2 3 5 2 2 2 2" xfId="5315"/>
    <cellStyle name="Normal 2 3 5 2 2 2 2 2" xfId="11518"/>
    <cellStyle name="Normal 2 3 5 2 2 2 2 3" xfId="17720"/>
    <cellStyle name="Normal 2 3 5 2 2 2 2 4" xfId="56556"/>
    <cellStyle name="Normal 2 3 5 2 2 2 3" xfId="8418"/>
    <cellStyle name="Normal 2 3 5 2 2 2 4" xfId="14620"/>
    <cellStyle name="Normal 2 3 5 2 2 2 5" xfId="53660"/>
    <cellStyle name="Normal 2 3 5 2 2 3" xfId="3141"/>
    <cellStyle name="Normal 2 3 5 2 2 3 2" xfId="6253"/>
    <cellStyle name="Normal 2 3 5 2 2 3 2 2" xfId="12456"/>
    <cellStyle name="Normal 2 3 5 2 2 3 2 3" xfId="18658"/>
    <cellStyle name="Normal 2 3 5 2 2 3 2 4" xfId="57463"/>
    <cellStyle name="Normal 2 3 5 2 2 3 3" xfId="9356"/>
    <cellStyle name="Normal 2 3 5 2 2 3 4" xfId="15558"/>
    <cellStyle name="Normal 2 3 5 2 2 3 5" xfId="54564"/>
    <cellStyle name="Normal 2 3 5 2 2 4" xfId="4181"/>
    <cellStyle name="Normal 2 3 5 2 2 4 2" xfId="10385"/>
    <cellStyle name="Normal 2 3 5 2 2 4 3" xfId="16587"/>
    <cellStyle name="Normal 2 3 5 2 2 4 4" xfId="55517"/>
    <cellStyle name="Normal 2 3 5 2 2 5" xfId="7284"/>
    <cellStyle name="Normal 2 3 5 2 2 5 2" xfId="19791"/>
    <cellStyle name="Normal 2 3 5 2 2 6" xfId="13486"/>
    <cellStyle name="Normal 2 3 5 2 2 7" xfId="52698"/>
    <cellStyle name="Normal 2 3 5 2 3" xfId="1666"/>
    <cellStyle name="Normal 2 3 5 2 3 2" xfId="4791"/>
    <cellStyle name="Normal 2 3 5 2 3 2 2" xfId="10994"/>
    <cellStyle name="Normal 2 3 5 2 3 2 3" xfId="17196"/>
    <cellStyle name="Normal 2 3 5 2 3 2 4" xfId="56065"/>
    <cellStyle name="Normal 2 3 5 2 3 3" xfId="7894"/>
    <cellStyle name="Normal 2 3 5 2 3 4" xfId="14096"/>
    <cellStyle name="Normal 2 3 5 2 3 5" xfId="53175"/>
    <cellStyle name="Normal 2 3 5 2 4" xfId="3140"/>
    <cellStyle name="Normal 2 3 5 2 4 2" xfId="6252"/>
    <cellStyle name="Normal 2 3 5 2 4 2 2" xfId="12455"/>
    <cellStyle name="Normal 2 3 5 2 4 2 3" xfId="18657"/>
    <cellStyle name="Normal 2 3 5 2 4 2 4" xfId="57462"/>
    <cellStyle name="Normal 2 3 5 2 4 3" xfId="9355"/>
    <cellStyle name="Normal 2 3 5 2 4 4" xfId="15557"/>
    <cellStyle name="Normal 2 3 5 2 4 5" xfId="54563"/>
    <cellStyle name="Normal 2 3 5 2 5" xfId="4180"/>
    <cellStyle name="Normal 2 3 5 2 5 2" xfId="10384"/>
    <cellStyle name="Normal 2 3 5 2 5 3" xfId="16586"/>
    <cellStyle name="Normal 2 3 5 2 5 4" xfId="55516"/>
    <cellStyle name="Normal 2 3 5 2 6" xfId="7283"/>
    <cellStyle name="Normal 2 3 5 2 6 2" xfId="19267"/>
    <cellStyle name="Normal 2 3 5 2 7" xfId="13485"/>
    <cellStyle name="Normal 2 3 5 2 8" xfId="52697"/>
    <cellStyle name="Normal 2 3 5 3" xfId="968"/>
    <cellStyle name="Normal 2 3 5 3 2" xfId="1945"/>
    <cellStyle name="Normal 2 3 5 3 2 2" xfId="5070"/>
    <cellStyle name="Normal 2 3 5 3 2 2 2" xfId="11273"/>
    <cellStyle name="Normal 2 3 5 3 2 2 3" xfId="17475"/>
    <cellStyle name="Normal 2 3 5 3 2 2 4" xfId="56329"/>
    <cellStyle name="Normal 2 3 5 3 2 3" xfId="8173"/>
    <cellStyle name="Normal 2 3 5 3 2 4" xfId="14375"/>
    <cellStyle name="Normal 2 3 5 3 2 5" xfId="53435"/>
    <cellStyle name="Normal 2 3 5 3 3" xfId="3142"/>
    <cellStyle name="Normal 2 3 5 3 3 2" xfId="6254"/>
    <cellStyle name="Normal 2 3 5 3 3 2 2" xfId="12457"/>
    <cellStyle name="Normal 2 3 5 3 3 2 3" xfId="18659"/>
    <cellStyle name="Normal 2 3 5 3 3 2 4" xfId="57464"/>
    <cellStyle name="Normal 2 3 5 3 3 3" xfId="9357"/>
    <cellStyle name="Normal 2 3 5 3 3 4" xfId="15559"/>
    <cellStyle name="Normal 2 3 5 3 3 5" xfId="54565"/>
    <cellStyle name="Normal 2 3 5 3 4" xfId="4182"/>
    <cellStyle name="Normal 2 3 5 3 4 2" xfId="10386"/>
    <cellStyle name="Normal 2 3 5 3 4 3" xfId="16588"/>
    <cellStyle name="Normal 2 3 5 3 4 4" xfId="55518"/>
    <cellStyle name="Normal 2 3 5 3 5" xfId="7285"/>
    <cellStyle name="Normal 2 3 5 3 5 2" xfId="19546"/>
    <cellStyle name="Normal 2 3 5 3 6" xfId="13487"/>
    <cellStyle name="Normal 2 3 5 3 7" xfId="52699"/>
    <cellStyle name="Normal 2 3 5 4" xfId="1421"/>
    <cellStyle name="Normal 2 3 5 4 2" xfId="4546"/>
    <cellStyle name="Normal 2 3 5 4 2 2" xfId="10749"/>
    <cellStyle name="Normal 2 3 5 4 2 3" xfId="16951"/>
    <cellStyle name="Normal 2 3 5 4 2 4" xfId="55833"/>
    <cellStyle name="Normal 2 3 5 4 3" xfId="7649"/>
    <cellStyle name="Normal 2 3 5 4 4" xfId="13851"/>
    <cellStyle name="Normal 2 3 5 4 5" xfId="52951"/>
    <cellStyle name="Normal 2 3 5 5" xfId="3139"/>
    <cellStyle name="Normal 2 3 5 5 2" xfId="6251"/>
    <cellStyle name="Normal 2 3 5 5 2 2" xfId="12454"/>
    <cellStyle name="Normal 2 3 5 5 2 3" xfId="18656"/>
    <cellStyle name="Normal 2 3 5 5 2 4" xfId="57461"/>
    <cellStyle name="Normal 2 3 5 5 3" xfId="9354"/>
    <cellStyle name="Normal 2 3 5 5 4" xfId="15556"/>
    <cellStyle name="Normal 2 3 5 5 5" xfId="54562"/>
    <cellStyle name="Normal 2 3 5 6" xfId="4179"/>
    <cellStyle name="Normal 2 3 5 6 2" xfId="10383"/>
    <cellStyle name="Normal 2 3 5 6 3" xfId="16585"/>
    <cellStyle name="Normal 2 3 5 6 4" xfId="55515"/>
    <cellStyle name="Normal 2 3 5 7" xfId="7282"/>
    <cellStyle name="Normal 2 3 5 7 2" xfId="19022"/>
    <cellStyle name="Normal 2 3 5 8" xfId="13484"/>
    <cellStyle name="Normal 2 3 5 9" xfId="33732"/>
    <cellStyle name="Normal 2 3 6" xfId="969"/>
    <cellStyle name="Normal 2 3 6 2" xfId="970"/>
    <cellStyle name="Normal 2 3 6 2 2" xfId="2086"/>
    <cellStyle name="Normal 2 3 6 2 2 2" xfId="5211"/>
    <cellStyle name="Normal 2 3 6 2 2 2 2" xfId="11414"/>
    <cellStyle name="Normal 2 3 6 2 2 2 3" xfId="17616"/>
    <cellStyle name="Normal 2 3 6 2 2 2 4" xfId="56461"/>
    <cellStyle name="Normal 2 3 6 2 2 3" xfId="8314"/>
    <cellStyle name="Normal 2 3 6 2 2 4" xfId="14516"/>
    <cellStyle name="Normal 2 3 6 2 2 5" xfId="53565"/>
    <cellStyle name="Normal 2 3 6 2 3" xfId="3144"/>
    <cellStyle name="Normal 2 3 6 2 3 2" xfId="6256"/>
    <cellStyle name="Normal 2 3 6 2 3 2 2" xfId="12459"/>
    <cellStyle name="Normal 2 3 6 2 3 2 3" xfId="18661"/>
    <cellStyle name="Normal 2 3 6 2 3 2 4" xfId="57466"/>
    <cellStyle name="Normal 2 3 6 2 3 3" xfId="9359"/>
    <cellStyle name="Normal 2 3 6 2 3 4" xfId="15561"/>
    <cellStyle name="Normal 2 3 6 2 3 5" xfId="54567"/>
    <cellStyle name="Normal 2 3 6 2 4" xfId="4184"/>
    <cellStyle name="Normal 2 3 6 2 4 2" xfId="10388"/>
    <cellStyle name="Normal 2 3 6 2 4 3" xfId="16590"/>
    <cellStyle name="Normal 2 3 6 2 4 4" xfId="55520"/>
    <cellStyle name="Normal 2 3 6 2 5" xfId="7287"/>
    <cellStyle name="Normal 2 3 6 2 5 2" xfId="19687"/>
    <cellStyle name="Normal 2 3 6 2 6" xfId="13489"/>
    <cellStyle name="Normal 2 3 6 2 7" xfId="52701"/>
    <cellStyle name="Normal 2 3 6 3" xfId="1562"/>
    <cellStyle name="Normal 2 3 6 3 2" xfId="4687"/>
    <cellStyle name="Normal 2 3 6 3 2 2" xfId="10890"/>
    <cellStyle name="Normal 2 3 6 3 2 3" xfId="17092"/>
    <cellStyle name="Normal 2 3 6 3 2 4" xfId="55966"/>
    <cellStyle name="Normal 2 3 6 3 3" xfId="7790"/>
    <cellStyle name="Normal 2 3 6 3 4" xfId="13992"/>
    <cellStyle name="Normal 2 3 6 3 5" xfId="53080"/>
    <cellStyle name="Normal 2 3 6 4" xfId="3143"/>
    <cellStyle name="Normal 2 3 6 4 2" xfId="6255"/>
    <cellStyle name="Normal 2 3 6 4 2 2" xfId="12458"/>
    <cellStyle name="Normal 2 3 6 4 2 3" xfId="18660"/>
    <cellStyle name="Normal 2 3 6 4 2 4" xfId="57465"/>
    <cellStyle name="Normal 2 3 6 4 3" xfId="9358"/>
    <cellStyle name="Normal 2 3 6 4 4" xfId="15560"/>
    <cellStyle name="Normal 2 3 6 4 5" xfId="54566"/>
    <cellStyle name="Normal 2 3 6 5" xfId="4183"/>
    <cellStyle name="Normal 2 3 6 5 2" xfId="10387"/>
    <cellStyle name="Normal 2 3 6 5 3" xfId="16589"/>
    <cellStyle name="Normal 2 3 6 5 4" xfId="55519"/>
    <cellStyle name="Normal 2 3 6 6" xfId="7286"/>
    <cellStyle name="Normal 2 3 6 6 2" xfId="19163"/>
    <cellStyle name="Normal 2 3 6 6 3" xfId="52700"/>
    <cellStyle name="Normal 2 3 6 7" xfId="13488"/>
    <cellStyle name="Normal 2 3 6 8" xfId="47862"/>
    <cellStyle name="Normal 2 3 7" xfId="971"/>
    <cellStyle name="Normal 2 3 7 2" xfId="1816"/>
    <cellStyle name="Normal 2 3 7 2 2" xfId="4941"/>
    <cellStyle name="Normal 2 3 7 2 2 2" xfId="11144"/>
    <cellStyle name="Normal 2 3 7 2 2 3" xfId="17346"/>
    <cellStyle name="Normal 2 3 7 2 2 4" xfId="56207"/>
    <cellStyle name="Normal 2 3 7 2 3" xfId="8044"/>
    <cellStyle name="Normal 2 3 7 2 4" xfId="14246"/>
    <cellStyle name="Normal 2 3 7 2 5" xfId="53313"/>
    <cellStyle name="Normal 2 3 7 3" xfId="3145"/>
    <cellStyle name="Normal 2 3 7 3 2" xfId="6257"/>
    <cellStyle name="Normal 2 3 7 3 2 2" xfId="12460"/>
    <cellStyle name="Normal 2 3 7 3 2 3" xfId="18662"/>
    <cellStyle name="Normal 2 3 7 3 2 4" xfId="57467"/>
    <cellStyle name="Normal 2 3 7 3 3" xfId="9360"/>
    <cellStyle name="Normal 2 3 7 3 4" xfId="15562"/>
    <cellStyle name="Normal 2 3 7 3 5" xfId="54568"/>
    <cellStyle name="Normal 2 3 7 4" xfId="4185"/>
    <cellStyle name="Normal 2 3 7 4 2" xfId="10389"/>
    <cellStyle name="Normal 2 3 7 4 3" xfId="16591"/>
    <cellStyle name="Normal 2 3 7 4 4" xfId="55521"/>
    <cellStyle name="Normal 2 3 7 5" xfId="7288"/>
    <cellStyle name="Normal 2 3 7 5 2" xfId="19417"/>
    <cellStyle name="Normal 2 3 7 6" xfId="13490"/>
    <cellStyle name="Normal 2 3 7 7" xfId="52702"/>
    <cellStyle name="Normal 2 3 8" xfId="1274"/>
    <cellStyle name="Normal 2 3 8 2" xfId="4399"/>
    <cellStyle name="Normal 2 3 8 2 2" xfId="10602"/>
    <cellStyle name="Normal 2 3 8 2 3" xfId="16804"/>
    <cellStyle name="Normal 2 3 8 2 4" xfId="55694"/>
    <cellStyle name="Normal 2 3 8 3" xfId="7502"/>
    <cellStyle name="Normal 2 3 8 4" xfId="13704"/>
    <cellStyle name="Normal 2 3 8 5" xfId="52825"/>
    <cellStyle name="Normal 2 3 9" xfId="3114"/>
    <cellStyle name="Normal 2 3 9 2" xfId="6226"/>
    <cellStyle name="Normal 2 3 9 2 2" xfId="12429"/>
    <cellStyle name="Normal 2 3 9 2 3" xfId="18631"/>
    <cellStyle name="Normal 2 3 9 2 4" xfId="57436"/>
    <cellStyle name="Normal 2 3 9 3" xfId="9329"/>
    <cellStyle name="Normal 2 3 9 4" xfId="15531"/>
    <cellStyle name="Normal 2 3 9 5" xfId="54537"/>
    <cellStyle name="Normal 2 3_IAS" xfId="33733"/>
    <cellStyle name="Normal 2 30" xfId="33734"/>
    <cellStyle name="Normal 2 30 2" xfId="33735"/>
    <cellStyle name="Normal 2 30 2 2" xfId="33736"/>
    <cellStyle name="Normal 2 30 3" xfId="33737"/>
    <cellStyle name="Normal 2 31" xfId="33738"/>
    <cellStyle name="Normal 2 31 2" xfId="33739"/>
    <cellStyle name="Normal 2 31 2 2" xfId="33740"/>
    <cellStyle name="Normal 2 31 3" xfId="33741"/>
    <cellStyle name="Normal 2 32" xfId="33742"/>
    <cellStyle name="Normal 2 32 2" xfId="33743"/>
    <cellStyle name="Normal 2 32 2 2" xfId="33744"/>
    <cellStyle name="Normal 2 32 3" xfId="33745"/>
    <cellStyle name="Normal 2 33" xfId="33746"/>
    <cellStyle name="Normal 2 33 2" xfId="33747"/>
    <cellStyle name="Normal 2 33 2 2" xfId="33748"/>
    <cellStyle name="Normal 2 33 3" xfId="33749"/>
    <cellStyle name="Normal 2 34" xfId="33750"/>
    <cellStyle name="Normal 2 34 2" xfId="47867"/>
    <cellStyle name="Normal 2 35" xfId="33751"/>
    <cellStyle name="Normal 2 35 2" xfId="47868"/>
    <cellStyle name="Normal 2 36" xfId="33752"/>
    <cellStyle name="Normal 2 36 2" xfId="47869"/>
    <cellStyle name="Normal 2 37" xfId="33753"/>
    <cellStyle name="Normal 2 37 2" xfId="47870"/>
    <cellStyle name="Normal 2 38" xfId="33754"/>
    <cellStyle name="Normal 2 38 2" xfId="47871"/>
    <cellStyle name="Normal 2 39" xfId="33755"/>
    <cellStyle name="Normal 2 39 2" xfId="47872"/>
    <cellStyle name="Normal 2 4" xfId="972"/>
    <cellStyle name="Normal 2 4 2" xfId="33757"/>
    <cellStyle name="Normal 2 4 2 2" xfId="33758"/>
    <cellStyle name="Normal 2 4 2 2 2" xfId="47875"/>
    <cellStyle name="Normal 2 4 2 3" xfId="47874"/>
    <cellStyle name="Normal 2 4 3" xfId="33759"/>
    <cellStyle name="Normal 2 4 3 2" xfId="47876"/>
    <cellStyle name="Normal 2 4 4" xfId="33760"/>
    <cellStyle name="Normal 2 4 4 2" xfId="47877"/>
    <cellStyle name="Normal 2 4 5" xfId="33761"/>
    <cellStyle name="Normal 2 4 5 2" xfId="47878"/>
    <cellStyle name="Normal 2 4 6" xfId="47873"/>
    <cellStyle name="Normal 2 4 7" xfId="33756"/>
    <cellStyle name="Normal 2 4_IAS" xfId="33762"/>
    <cellStyle name="Normal 2 40" xfId="33763"/>
    <cellStyle name="Normal 2 41" xfId="33764"/>
    <cellStyle name="Normal 2 42" xfId="33765"/>
    <cellStyle name="Normal 2 43" xfId="33766"/>
    <cellStyle name="Normal 2 44" xfId="33767"/>
    <cellStyle name="Normal 2 45" xfId="33768"/>
    <cellStyle name="Normal 2 46" xfId="33769"/>
    <cellStyle name="Normal 2 47" xfId="33770"/>
    <cellStyle name="Normal 2 48" xfId="33771"/>
    <cellStyle name="Normal 2 49" xfId="33772"/>
    <cellStyle name="Normal 2 5" xfId="973"/>
    <cellStyle name="Normal 2 5 10" xfId="33773"/>
    <cellStyle name="Normal 2 5 2" xfId="974"/>
    <cellStyle name="Normal 2 5 2 2" xfId="975"/>
    <cellStyle name="Normal 2 5 2 2 2" xfId="976"/>
    <cellStyle name="Normal 2 5 2 2 2 2" xfId="2230"/>
    <cellStyle name="Normal 2 5 2 2 2 2 2" xfId="5355"/>
    <cellStyle name="Normal 2 5 2 2 2 2 2 2" xfId="11558"/>
    <cellStyle name="Normal 2 5 2 2 2 2 2 3" xfId="17760"/>
    <cellStyle name="Normal 2 5 2 2 2 2 2 4" xfId="56594"/>
    <cellStyle name="Normal 2 5 2 2 2 2 3" xfId="8458"/>
    <cellStyle name="Normal 2 5 2 2 2 2 4" xfId="14660"/>
    <cellStyle name="Normal 2 5 2 2 2 2 5" xfId="53698"/>
    <cellStyle name="Normal 2 5 2 2 2 3" xfId="3149"/>
    <cellStyle name="Normal 2 5 2 2 2 3 2" xfId="6261"/>
    <cellStyle name="Normal 2 5 2 2 2 3 2 2" xfId="12464"/>
    <cellStyle name="Normal 2 5 2 2 2 3 2 3" xfId="18666"/>
    <cellStyle name="Normal 2 5 2 2 2 3 2 4" xfId="57471"/>
    <cellStyle name="Normal 2 5 2 2 2 3 3" xfId="9364"/>
    <cellStyle name="Normal 2 5 2 2 2 3 4" xfId="15566"/>
    <cellStyle name="Normal 2 5 2 2 2 3 5" xfId="54572"/>
    <cellStyle name="Normal 2 5 2 2 2 4" xfId="4189"/>
    <cellStyle name="Normal 2 5 2 2 2 4 2" xfId="10393"/>
    <cellStyle name="Normal 2 5 2 2 2 4 3" xfId="16595"/>
    <cellStyle name="Normal 2 5 2 2 2 4 4" xfId="55525"/>
    <cellStyle name="Normal 2 5 2 2 2 5" xfId="7292"/>
    <cellStyle name="Normal 2 5 2 2 2 5 2" xfId="19831"/>
    <cellStyle name="Normal 2 5 2 2 2 6" xfId="13494"/>
    <cellStyle name="Normal 2 5 2 2 2 7" xfId="52704"/>
    <cellStyle name="Normal 2 5 2 2 3" xfId="1706"/>
    <cellStyle name="Normal 2 5 2 2 3 2" xfId="4831"/>
    <cellStyle name="Normal 2 5 2 2 3 2 2" xfId="11034"/>
    <cellStyle name="Normal 2 5 2 2 3 2 3" xfId="17236"/>
    <cellStyle name="Normal 2 5 2 2 3 2 4" xfId="56103"/>
    <cellStyle name="Normal 2 5 2 2 3 3" xfId="7934"/>
    <cellStyle name="Normal 2 5 2 2 3 4" xfId="14136"/>
    <cellStyle name="Normal 2 5 2 2 3 5" xfId="53213"/>
    <cellStyle name="Normal 2 5 2 2 4" xfId="3148"/>
    <cellStyle name="Normal 2 5 2 2 4 2" xfId="6260"/>
    <cellStyle name="Normal 2 5 2 2 4 2 2" xfId="12463"/>
    <cellStyle name="Normal 2 5 2 2 4 2 3" xfId="18665"/>
    <cellStyle name="Normal 2 5 2 2 4 2 4" xfId="57470"/>
    <cellStyle name="Normal 2 5 2 2 4 3" xfId="9363"/>
    <cellStyle name="Normal 2 5 2 2 4 4" xfId="15565"/>
    <cellStyle name="Normal 2 5 2 2 4 5" xfId="54571"/>
    <cellStyle name="Normal 2 5 2 2 5" xfId="4188"/>
    <cellStyle name="Normal 2 5 2 2 5 2" xfId="10392"/>
    <cellStyle name="Normal 2 5 2 2 5 3" xfId="16594"/>
    <cellStyle name="Normal 2 5 2 2 5 4" xfId="55524"/>
    <cellStyle name="Normal 2 5 2 2 6" xfId="7291"/>
    <cellStyle name="Normal 2 5 2 2 6 2" xfId="19307"/>
    <cellStyle name="Normal 2 5 2 2 6 3" xfId="52703"/>
    <cellStyle name="Normal 2 5 2 2 7" xfId="13493"/>
    <cellStyle name="Normal 2 5 2 2 8" xfId="47880"/>
    <cellStyle name="Normal 2 5 2 3" xfId="977"/>
    <cellStyle name="Normal 2 5 2 3 2" xfId="1985"/>
    <cellStyle name="Normal 2 5 2 3 2 2" xfId="5110"/>
    <cellStyle name="Normal 2 5 2 3 2 2 2" xfId="11313"/>
    <cellStyle name="Normal 2 5 2 3 2 2 3" xfId="17515"/>
    <cellStyle name="Normal 2 5 2 3 2 2 4" xfId="56367"/>
    <cellStyle name="Normal 2 5 2 3 2 3" xfId="8213"/>
    <cellStyle name="Normal 2 5 2 3 2 4" xfId="14415"/>
    <cellStyle name="Normal 2 5 2 3 2 5" xfId="53473"/>
    <cellStyle name="Normal 2 5 2 3 3" xfId="3150"/>
    <cellStyle name="Normal 2 5 2 3 3 2" xfId="6262"/>
    <cellStyle name="Normal 2 5 2 3 3 2 2" xfId="12465"/>
    <cellStyle name="Normal 2 5 2 3 3 2 3" xfId="18667"/>
    <cellStyle name="Normal 2 5 2 3 3 2 4" xfId="57472"/>
    <cellStyle name="Normal 2 5 2 3 3 3" xfId="9365"/>
    <cellStyle name="Normal 2 5 2 3 3 4" xfId="15567"/>
    <cellStyle name="Normal 2 5 2 3 3 5" xfId="54573"/>
    <cellStyle name="Normal 2 5 2 3 4" xfId="4190"/>
    <cellStyle name="Normal 2 5 2 3 4 2" xfId="10394"/>
    <cellStyle name="Normal 2 5 2 3 4 3" xfId="16596"/>
    <cellStyle name="Normal 2 5 2 3 4 4" xfId="55526"/>
    <cellStyle name="Normal 2 5 2 3 5" xfId="7293"/>
    <cellStyle name="Normal 2 5 2 3 5 2" xfId="19586"/>
    <cellStyle name="Normal 2 5 2 3 6" xfId="13495"/>
    <cellStyle name="Normal 2 5 2 3 7" xfId="52705"/>
    <cellStyle name="Normal 2 5 2 4" xfId="1461"/>
    <cellStyle name="Normal 2 5 2 4 2" xfId="4586"/>
    <cellStyle name="Normal 2 5 2 4 2 2" xfId="10789"/>
    <cellStyle name="Normal 2 5 2 4 2 3" xfId="16991"/>
    <cellStyle name="Normal 2 5 2 4 2 4" xfId="55871"/>
    <cellStyle name="Normal 2 5 2 4 3" xfId="7689"/>
    <cellStyle name="Normal 2 5 2 4 4" xfId="13891"/>
    <cellStyle name="Normal 2 5 2 4 5" xfId="52989"/>
    <cellStyle name="Normal 2 5 2 5" xfId="3147"/>
    <cellStyle name="Normal 2 5 2 5 2" xfId="6259"/>
    <cellStyle name="Normal 2 5 2 5 2 2" xfId="12462"/>
    <cellStyle name="Normal 2 5 2 5 2 3" xfId="18664"/>
    <cellStyle name="Normal 2 5 2 5 2 4" xfId="57469"/>
    <cellStyle name="Normal 2 5 2 5 3" xfId="9362"/>
    <cellStyle name="Normal 2 5 2 5 4" xfId="15564"/>
    <cellStyle name="Normal 2 5 2 5 5" xfId="54570"/>
    <cellStyle name="Normal 2 5 2 6" xfId="4187"/>
    <cellStyle name="Normal 2 5 2 6 2" xfId="10391"/>
    <cellStyle name="Normal 2 5 2 6 3" xfId="16593"/>
    <cellStyle name="Normal 2 5 2 6 4" xfId="55523"/>
    <cellStyle name="Normal 2 5 2 7" xfId="7290"/>
    <cellStyle name="Normal 2 5 2 7 2" xfId="19062"/>
    <cellStyle name="Normal 2 5 2 8" xfId="13492"/>
    <cellStyle name="Normal 2 5 2 9" xfId="33774"/>
    <cellStyle name="Normal 2 5 3" xfId="978"/>
    <cellStyle name="Normal 2 5 3 2" xfId="979"/>
    <cellStyle name="Normal 2 5 3 2 2" xfId="2102"/>
    <cellStyle name="Normal 2 5 3 2 2 2" xfId="5227"/>
    <cellStyle name="Normal 2 5 3 2 2 2 2" xfId="11430"/>
    <cellStyle name="Normal 2 5 3 2 2 2 3" xfId="17632"/>
    <cellStyle name="Normal 2 5 3 2 2 2 4" xfId="56475"/>
    <cellStyle name="Normal 2 5 3 2 2 3" xfId="8330"/>
    <cellStyle name="Normal 2 5 3 2 2 4" xfId="14532"/>
    <cellStyle name="Normal 2 5 3 2 2 5" xfId="53579"/>
    <cellStyle name="Normal 2 5 3 2 3" xfId="3152"/>
    <cellStyle name="Normal 2 5 3 2 3 2" xfId="6264"/>
    <cellStyle name="Normal 2 5 3 2 3 2 2" xfId="12467"/>
    <cellStyle name="Normal 2 5 3 2 3 2 3" xfId="18669"/>
    <cellStyle name="Normal 2 5 3 2 3 2 4" xfId="57474"/>
    <cellStyle name="Normal 2 5 3 2 3 3" xfId="9367"/>
    <cellStyle name="Normal 2 5 3 2 3 4" xfId="15569"/>
    <cellStyle name="Normal 2 5 3 2 3 5" xfId="54575"/>
    <cellStyle name="Normal 2 5 3 2 4" xfId="4192"/>
    <cellStyle name="Normal 2 5 3 2 4 2" xfId="10396"/>
    <cellStyle name="Normal 2 5 3 2 4 3" xfId="16598"/>
    <cellStyle name="Normal 2 5 3 2 4 4" xfId="55528"/>
    <cellStyle name="Normal 2 5 3 2 5" xfId="7295"/>
    <cellStyle name="Normal 2 5 3 2 5 2" xfId="19703"/>
    <cellStyle name="Normal 2 5 3 2 5 3" xfId="52706"/>
    <cellStyle name="Normal 2 5 3 2 6" xfId="13497"/>
    <cellStyle name="Normal 2 5 3 2 7" xfId="47881"/>
    <cellStyle name="Normal 2 5 3 3" xfId="1578"/>
    <cellStyle name="Normal 2 5 3 3 2" xfId="4703"/>
    <cellStyle name="Normal 2 5 3 3 2 2" xfId="10906"/>
    <cellStyle name="Normal 2 5 3 3 2 3" xfId="17108"/>
    <cellStyle name="Normal 2 5 3 3 2 4" xfId="55981"/>
    <cellStyle name="Normal 2 5 3 3 3" xfId="7806"/>
    <cellStyle name="Normal 2 5 3 3 4" xfId="14008"/>
    <cellStyle name="Normal 2 5 3 3 5" xfId="53094"/>
    <cellStyle name="Normal 2 5 3 4" xfId="3151"/>
    <cellStyle name="Normal 2 5 3 4 2" xfId="6263"/>
    <cellStyle name="Normal 2 5 3 4 2 2" xfId="12466"/>
    <cellStyle name="Normal 2 5 3 4 2 3" xfId="18668"/>
    <cellStyle name="Normal 2 5 3 4 2 4" xfId="57473"/>
    <cellStyle name="Normal 2 5 3 4 3" xfId="9366"/>
    <cellStyle name="Normal 2 5 3 4 4" xfId="15568"/>
    <cellStyle name="Normal 2 5 3 4 5" xfId="54574"/>
    <cellStyle name="Normal 2 5 3 5" xfId="4191"/>
    <cellStyle name="Normal 2 5 3 5 2" xfId="10395"/>
    <cellStyle name="Normal 2 5 3 5 3" xfId="16597"/>
    <cellStyle name="Normal 2 5 3 5 4" xfId="55527"/>
    <cellStyle name="Normal 2 5 3 6" xfId="7294"/>
    <cellStyle name="Normal 2 5 3 6 2" xfId="19179"/>
    <cellStyle name="Normal 2 5 3 7" xfId="13496"/>
    <cellStyle name="Normal 2 5 3 8" xfId="33775"/>
    <cellStyle name="Normal 2 5 4" xfId="980"/>
    <cellStyle name="Normal 2 5 4 2" xfId="1843"/>
    <cellStyle name="Normal 2 5 4 2 2" xfId="4968"/>
    <cellStyle name="Normal 2 5 4 2 2 2" xfId="11171"/>
    <cellStyle name="Normal 2 5 4 2 2 3" xfId="17373"/>
    <cellStyle name="Normal 2 5 4 2 2 4" xfId="56232"/>
    <cellStyle name="Normal 2 5 4 2 3" xfId="8071"/>
    <cellStyle name="Normal 2 5 4 2 3 2" xfId="53338"/>
    <cellStyle name="Normal 2 5 4 2 4" xfId="14273"/>
    <cellStyle name="Normal 2 5 4 2 5" xfId="47882"/>
    <cellStyle name="Normal 2 5 4 3" xfId="3153"/>
    <cellStyle name="Normal 2 5 4 3 2" xfId="6265"/>
    <cellStyle name="Normal 2 5 4 3 2 2" xfId="12468"/>
    <cellStyle name="Normal 2 5 4 3 2 3" xfId="18670"/>
    <cellStyle name="Normal 2 5 4 3 2 4" xfId="57475"/>
    <cellStyle name="Normal 2 5 4 3 3" xfId="9368"/>
    <cellStyle name="Normal 2 5 4 3 4" xfId="15570"/>
    <cellStyle name="Normal 2 5 4 3 5" xfId="54576"/>
    <cellStyle name="Normal 2 5 4 4" xfId="4193"/>
    <cellStyle name="Normal 2 5 4 4 2" xfId="10397"/>
    <cellStyle name="Normal 2 5 4 4 3" xfId="16599"/>
    <cellStyle name="Normal 2 5 4 4 4" xfId="55529"/>
    <cellStyle name="Normal 2 5 4 5" xfId="7296"/>
    <cellStyle name="Normal 2 5 4 5 2" xfId="19444"/>
    <cellStyle name="Normal 2 5 4 6" xfId="13498"/>
    <cellStyle name="Normal 2 5 4 7" xfId="33776"/>
    <cellStyle name="Normal 2 5 5" xfId="1319"/>
    <cellStyle name="Normal 2 5 5 2" xfId="4444"/>
    <cellStyle name="Normal 2 5 5 2 2" xfId="10647"/>
    <cellStyle name="Normal 2 5 5 2 2 2" xfId="55735"/>
    <cellStyle name="Normal 2 5 5 2 3" xfId="16849"/>
    <cellStyle name="Normal 2 5 5 2 4" xfId="47883"/>
    <cellStyle name="Normal 2 5 5 3" xfId="7547"/>
    <cellStyle name="Normal 2 5 5 4" xfId="13749"/>
    <cellStyle name="Normal 2 5 5 5" xfId="33777"/>
    <cellStyle name="Normal 2 5 6" xfId="3146"/>
    <cellStyle name="Normal 2 5 6 2" xfId="6258"/>
    <cellStyle name="Normal 2 5 6 2 2" xfId="12461"/>
    <cellStyle name="Normal 2 5 6 2 3" xfId="18663"/>
    <cellStyle name="Normal 2 5 6 2 4" xfId="57468"/>
    <cellStyle name="Normal 2 5 6 3" xfId="9361"/>
    <cellStyle name="Normal 2 5 6 3 2" xfId="54569"/>
    <cellStyle name="Normal 2 5 6 4" xfId="15563"/>
    <cellStyle name="Normal 2 5 6 5" xfId="47879"/>
    <cellStyle name="Normal 2 5 7" xfId="4186"/>
    <cellStyle name="Normal 2 5 7 2" xfId="10390"/>
    <cellStyle name="Normal 2 5 7 3" xfId="16592"/>
    <cellStyle name="Normal 2 5 7 4" xfId="55522"/>
    <cellStyle name="Normal 2 5 8" xfId="7289"/>
    <cellStyle name="Normal 2 5 8 2" xfId="18920"/>
    <cellStyle name="Normal 2 5 9" xfId="13491"/>
    <cellStyle name="Normal 2 5_IAS" xfId="33778"/>
    <cellStyle name="Normal 2 50" xfId="33779"/>
    <cellStyle name="Normal 2 51" xfId="47829"/>
    <cellStyle name="Normal 2 52" xfId="51795"/>
    <cellStyle name="Normal 2 53" xfId="40988"/>
    <cellStyle name="Normal 2 54" xfId="49857"/>
    <cellStyle name="Normal 2 55" xfId="51814"/>
    <cellStyle name="Normal 2 56" xfId="52163"/>
    <cellStyle name="Normal 2 57" xfId="57639"/>
    <cellStyle name="Normal 2 58" xfId="57658"/>
    <cellStyle name="Normal 2 59" xfId="57669"/>
    <cellStyle name="Normal 2 6" xfId="981"/>
    <cellStyle name="Normal 2 6 2" xfId="982"/>
    <cellStyle name="Normal 2 6 2 2" xfId="983"/>
    <cellStyle name="Normal 2 6 2 2 2" xfId="2162"/>
    <cellStyle name="Normal 2 6 2 2 2 2" xfId="5287"/>
    <cellStyle name="Normal 2 6 2 2 2 2 2" xfId="11490"/>
    <cellStyle name="Normal 2 6 2 2 2 2 3" xfId="17692"/>
    <cellStyle name="Normal 2 6 2 2 2 2 4" xfId="56530"/>
    <cellStyle name="Normal 2 6 2 2 2 3" xfId="8390"/>
    <cellStyle name="Normal 2 6 2 2 2 4" xfId="14592"/>
    <cellStyle name="Normal 2 6 2 2 2 5" xfId="53634"/>
    <cellStyle name="Normal 2 6 2 2 3" xfId="3156"/>
    <cellStyle name="Normal 2 6 2 2 3 2" xfId="6268"/>
    <cellStyle name="Normal 2 6 2 2 3 2 2" xfId="12471"/>
    <cellStyle name="Normal 2 6 2 2 3 2 3" xfId="18673"/>
    <cellStyle name="Normal 2 6 2 2 3 2 4" xfId="57478"/>
    <cellStyle name="Normal 2 6 2 2 3 3" xfId="9371"/>
    <cellStyle name="Normal 2 6 2 2 3 4" xfId="15573"/>
    <cellStyle name="Normal 2 6 2 2 3 5" xfId="54578"/>
    <cellStyle name="Normal 2 6 2 2 4" xfId="4196"/>
    <cellStyle name="Normal 2 6 2 2 4 2" xfId="10400"/>
    <cellStyle name="Normal 2 6 2 2 4 3" xfId="16602"/>
    <cellStyle name="Normal 2 6 2 2 4 4" xfId="55531"/>
    <cellStyle name="Normal 2 6 2 2 5" xfId="7299"/>
    <cellStyle name="Normal 2 6 2 2 5 2" xfId="19763"/>
    <cellStyle name="Normal 2 6 2 2 5 3" xfId="52707"/>
    <cellStyle name="Normal 2 6 2 2 6" xfId="13501"/>
    <cellStyle name="Normal 2 6 2 2 7" xfId="47885"/>
    <cellStyle name="Normal 2 6 2 3" xfId="1638"/>
    <cellStyle name="Normal 2 6 2 3 2" xfId="4763"/>
    <cellStyle name="Normal 2 6 2 3 2 2" xfId="10966"/>
    <cellStyle name="Normal 2 6 2 3 2 3" xfId="17168"/>
    <cellStyle name="Normal 2 6 2 3 2 4" xfId="56039"/>
    <cellStyle name="Normal 2 6 2 3 3" xfId="7866"/>
    <cellStyle name="Normal 2 6 2 3 4" xfId="14068"/>
    <cellStyle name="Normal 2 6 2 3 5" xfId="53149"/>
    <cellStyle name="Normal 2 6 2 4" xfId="3155"/>
    <cellStyle name="Normal 2 6 2 4 2" xfId="6267"/>
    <cellStyle name="Normal 2 6 2 4 2 2" xfId="12470"/>
    <cellStyle name="Normal 2 6 2 4 2 3" xfId="18672"/>
    <cellStyle name="Normal 2 6 2 4 2 4" xfId="57477"/>
    <cellStyle name="Normal 2 6 2 4 3" xfId="9370"/>
    <cellStyle name="Normal 2 6 2 4 4" xfId="15572"/>
    <cellStyle name="Normal 2 6 2 4 5" xfId="54577"/>
    <cellStyle name="Normal 2 6 2 5" xfId="4195"/>
    <cellStyle name="Normal 2 6 2 5 2" xfId="10399"/>
    <cellStyle name="Normal 2 6 2 5 3" xfId="16601"/>
    <cellStyle name="Normal 2 6 2 5 4" xfId="55530"/>
    <cellStyle name="Normal 2 6 2 6" xfId="7298"/>
    <cellStyle name="Normal 2 6 2 6 2" xfId="19239"/>
    <cellStyle name="Normal 2 6 2 7" xfId="13500"/>
    <cellStyle name="Normal 2 6 2 8" xfId="33781"/>
    <cellStyle name="Normal 2 6 3" xfId="984"/>
    <cellStyle name="Normal 2 6 3 2" xfId="1916"/>
    <cellStyle name="Normal 2 6 3 2 2" xfId="5041"/>
    <cellStyle name="Normal 2 6 3 2 2 2" xfId="11244"/>
    <cellStyle name="Normal 2 6 3 2 2 3" xfId="17446"/>
    <cellStyle name="Normal 2 6 3 2 2 4" xfId="56302"/>
    <cellStyle name="Normal 2 6 3 2 3" xfId="8144"/>
    <cellStyle name="Normal 2 6 3 2 3 2" xfId="53408"/>
    <cellStyle name="Normal 2 6 3 2 4" xfId="14346"/>
    <cellStyle name="Normal 2 6 3 2 5" xfId="47886"/>
    <cellStyle name="Normal 2 6 3 3" xfId="3157"/>
    <cellStyle name="Normal 2 6 3 3 2" xfId="6269"/>
    <cellStyle name="Normal 2 6 3 3 2 2" xfId="12472"/>
    <cellStyle name="Normal 2 6 3 3 2 3" xfId="18674"/>
    <cellStyle name="Normal 2 6 3 3 2 4" xfId="57479"/>
    <cellStyle name="Normal 2 6 3 3 3" xfId="9372"/>
    <cellStyle name="Normal 2 6 3 3 4" xfId="15574"/>
    <cellStyle name="Normal 2 6 3 3 5" xfId="54579"/>
    <cellStyle name="Normal 2 6 3 4" xfId="4197"/>
    <cellStyle name="Normal 2 6 3 4 2" xfId="10401"/>
    <cellStyle name="Normal 2 6 3 4 3" xfId="16603"/>
    <cellStyle name="Normal 2 6 3 4 4" xfId="55532"/>
    <cellStyle name="Normal 2 6 3 5" xfId="7300"/>
    <cellStyle name="Normal 2 6 3 5 2" xfId="19517"/>
    <cellStyle name="Normal 2 6 3 6" xfId="13502"/>
    <cellStyle name="Normal 2 6 3 7" xfId="33782"/>
    <cellStyle name="Normal 2 6 4" xfId="1392"/>
    <cellStyle name="Normal 2 6 4 2" xfId="4517"/>
    <cellStyle name="Normal 2 6 4 2 2" xfId="10720"/>
    <cellStyle name="Normal 2 6 4 2 2 2" xfId="55806"/>
    <cellStyle name="Normal 2 6 4 2 3" xfId="16922"/>
    <cellStyle name="Normal 2 6 4 2 4" xfId="47887"/>
    <cellStyle name="Normal 2 6 4 3" xfId="7620"/>
    <cellStyle name="Normal 2 6 4 4" xfId="13822"/>
    <cellStyle name="Normal 2 6 4 5" xfId="33783"/>
    <cellStyle name="Normal 2 6 5" xfId="3154"/>
    <cellStyle name="Normal 2 6 5 2" xfId="6266"/>
    <cellStyle name="Normal 2 6 5 2 2" xfId="12469"/>
    <cellStyle name="Normal 2 6 5 2 2 2" xfId="57476"/>
    <cellStyle name="Normal 2 6 5 2 3" xfId="18671"/>
    <cellStyle name="Normal 2 6 5 2 4" xfId="47888"/>
    <cellStyle name="Normal 2 6 5 3" xfId="9369"/>
    <cellStyle name="Normal 2 6 5 4" xfId="15571"/>
    <cellStyle name="Normal 2 6 5 5" xfId="33784"/>
    <cellStyle name="Normal 2 6 6" xfId="4194"/>
    <cellStyle name="Normal 2 6 6 2" xfId="10398"/>
    <cellStyle name="Normal 2 6 6 2 2" xfId="47889"/>
    <cellStyle name="Normal 2 6 6 3" xfId="16600"/>
    <cellStyle name="Normal 2 6 6 4" xfId="33785"/>
    <cellStyle name="Normal 2 6 7" xfId="7297"/>
    <cellStyle name="Normal 2 6 7 2" xfId="18993"/>
    <cellStyle name="Normal 2 6 7 2 2" xfId="47890"/>
    <cellStyle name="Normal 2 6 7 3" xfId="33786"/>
    <cellStyle name="Normal 2 6 8" xfId="13499"/>
    <cellStyle name="Normal 2 6 8 2" xfId="47884"/>
    <cellStyle name="Normal 2 6 9" xfId="33780"/>
    <cellStyle name="Normal 2 6_IAS" xfId="33787"/>
    <cellStyle name="Normal 2 60" xfId="57695"/>
    <cellStyle name="Normal 2 7" xfId="985"/>
    <cellStyle name="Normal 2 7 2" xfId="33789"/>
    <cellStyle name="Normal 2 7 2 2" xfId="47892"/>
    <cellStyle name="Normal 2 7 3" xfId="33790"/>
    <cellStyle name="Normal 2 7 3 2" xfId="47893"/>
    <cellStyle name="Normal 2 7 4" xfId="33791"/>
    <cellStyle name="Normal 2 7 4 2" xfId="47894"/>
    <cellStyle name="Normal 2 7 5" xfId="47891"/>
    <cellStyle name="Normal 2 7 6" xfId="52064"/>
    <cellStyle name="Normal 2 7 7" xfId="33788"/>
    <cellStyle name="Normal 2 7_IAS" xfId="33792"/>
    <cellStyle name="Normal 2 8" xfId="986"/>
    <cellStyle name="Normal 2 8 2" xfId="987"/>
    <cellStyle name="Normal 2 8 2 2" xfId="2070"/>
    <cellStyle name="Normal 2 8 2 2 2" xfId="5195"/>
    <cellStyle name="Normal 2 8 2 2 2 2" xfId="11398"/>
    <cellStyle name="Normal 2 8 2 2 2 3" xfId="17600"/>
    <cellStyle name="Normal 2 8 2 2 2 4" xfId="56447"/>
    <cellStyle name="Normal 2 8 2 2 3" xfId="8298"/>
    <cellStyle name="Normal 2 8 2 2 3 2" xfId="53551"/>
    <cellStyle name="Normal 2 8 2 2 4" xfId="14500"/>
    <cellStyle name="Normal 2 8 2 2 5" xfId="47896"/>
    <cellStyle name="Normal 2 8 2 3" xfId="3159"/>
    <cellStyle name="Normal 2 8 2 3 2" xfId="6271"/>
    <cellStyle name="Normal 2 8 2 3 2 2" xfId="12474"/>
    <cellStyle name="Normal 2 8 2 3 2 3" xfId="18676"/>
    <cellStyle name="Normal 2 8 2 3 2 4" xfId="57481"/>
    <cellStyle name="Normal 2 8 2 3 3" xfId="9374"/>
    <cellStyle name="Normal 2 8 2 3 4" xfId="15576"/>
    <cellStyle name="Normal 2 8 2 3 5" xfId="54580"/>
    <cellStyle name="Normal 2 8 2 4" xfId="4199"/>
    <cellStyle name="Normal 2 8 2 4 2" xfId="10403"/>
    <cellStyle name="Normal 2 8 2 4 3" xfId="16605"/>
    <cellStyle name="Normal 2 8 2 4 4" xfId="55534"/>
    <cellStyle name="Normal 2 8 2 5" xfId="7302"/>
    <cellStyle name="Normal 2 8 2 5 2" xfId="19671"/>
    <cellStyle name="Normal 2 8 2 6" xfId="13504"/>
    <cellStyle name="Normal 2 8 2 7" xfId="33794"/>
    <cellStyle name="Normal 2 8 3" xfId="1546"/>
    <cellStyle name="Normal 2 8 3 2" xfId="4671"/>
    <cellStyle name="Normal 2 8 3 2 2" xfId="10874"/>
    <cellStyle name="Normal 2 8 3 2 2 2" xfId="55952"/>
    <cellStyle name="Normal 2 8 3 2 3" xfId="17076"/>
    <cellStyle name="Normal 2 8 3 2 4" xfId="47897"/>
    <cellStyle name="Normal 2 8 3 3" xfId="7774"/>
    <cellStyle name="Normal 2 8 3 4" xfId="13976"/>
    <cellStyle name="Normal 2 8 3 5" xfId="33795"/>
    <cellStyle name="Normal 2 8 4" xfId="3158"/>
    <cellStyle name="Normal 2 8 4 2" xfId="6270"/>
    <cellStyle name="Normal 2 8 4 2 2" xfId="12473"/>
    <cellStyle name="Normal 2 8 4 2 2 2" xfId="57480"/>
    <cellStyle name="Normal 2 8 4 2 3" xfId="18675"/>
    <cellStyle name="Normal 2 8 4 2 4" xfId="47898"/>
    <cellStyle name="Normal 2 8 4 3" xfId="9373"/>
    <cellStyle name="Normal 2 8 4 4" xfId="15575"/>
    <cellStyle name="Normal 2 8 4 5" xfId="33796"/>
    <cellStyle name="Normal 2 8 5" xfId="4198"/>
    <cellStyle name="Normal 2 8 5 2" xfId="10402"/>
    <cellStyle name="Normal 2 8 5 2 2" xfId="55533"/>
    <cellStyle name="Normal 2 8 5 3" xfId="16604"/>
    <cellStyle name="Normal 2 8 5 4" xfId="47895"/>
    <cellStyle name="Normal 2 8 6" xfId="7301"/>
    <cellStyle name="Normal 2 8 6 2" xfId="19147"/>
    <cellStyle name="Normal 2 8 7" xfId="13503"/>
    <cellStyle name="Normal 2 8 8" xfId="33793"/>
    <cellStyle name="Normal 2 8_IAS" xfId="33797"/>
    <cellStyle name="Normal 2 9" xfId="988"/>
    <cellStyle name="Normal 2 9 2" xfId="1799"/>
    <cellStyle name="Normal 2 9 2 2" xfId="4924"/>
    <cellStyle name="Normal 2 9 2 2 2" xfId="11127"/>
    <cellStyle name="Normal 2 9 2 2 2 2" xfId="56193"/>
    <cellStyle name="Normal 2 9 2 2 3" xfId="17329"/>
    <cellStyle name="Normal 2 9 2 2 4" xfId="47900"/>
    <cellStyle name="Normal 2 9 2 3" xfId="8027"/>
    <cellStyle name="Normal 2 9 2 4" xfId="14229"/>
    <cellStyle name="Normal 2 9 2 5" xfId="33799"/>
    <cellStyle name="Normal 2 9 3" xfId="3160"/>
    <cellStyle name="Normal 2 9 3 2" xfId="6272"/>
    <cellStyle name="Normal 2 9 3 2 2" xfId="12475"/>
    <cellStyle name="Normal 2 9 3 2 2 2" xfId="57482"/>
    <cellStyle name="Normal 2 9 3 2 3" xfId="18677"/>
    <cellStyle name="Normal 2 9 3 2 4" xfId="47901"/>
    <cellStyle name="Normal 2 9 3 3" xfId="9375"/>
    <cellStyle name="Normal 2 9 3 4" xfId="15577"/>
    <cellStyle name="Normal 2 9 3 5" xfId="33800"/>
    <cellStyle name="Normal 2 9 4" xfId="4200"/>
    <cellStyle name="Normal 2 9 4 2" xfId="10404"/>
    <cellStyle name="Normal 2 9 4 2 2" xfId="47902"/>
    <cellStyle name="Normal 2 9 4 3" xfId="16606"/>
    <cellStyle name="Normal 2 9 4 4" xfId="33801"/>
    <cellStyle name="Normal 2 9 5" xfId="7303"/>
    <cellStyle name="Normal 2 9 5 2" xfId="19400"/>
    <cellStyle name="Normal 2 9 5 3" xfId="47899"/>
    <cellStyle name="Normal 2 9 6" xfId="13505"/>
    <cellStyle name="Normal 2 9 7" xfId="33798"/>
    <cellStyle name="Normal 2 9_IAS" xfId="33802"/>
    <cellStyle name="Normal 2_AGF" xfId="33803"/>
    <cellStyle name="Normal 20" xfId="1252"/>
    <cellStyle name="Normal 20 2" xfId="4377"/>
    <cellStyle name="Normal 20 2 2" xfId="10580"/>
    <cellStyle name="Normal 20 2 2 2" xfId="47905"/>
    <cellStyle name="Normal 20 2 2 3" xfId="33806"/>
    <cellStyle name="Normal 20 2 3" xfId="16782"/>
    <cellStyle name="Normal 20 2 3 2" xfId="47906"/>
    <cellStyle name="Normal 20 2 3 3" xfId="33807"/>
    <cellStyle name="Normal 20 2 4" xfId="47904"/>
    <cellStyle name="Normal 20 2 5" xfId="33805"/>
    <cellStyle name="Normal 20 2_Plan by Lob" xfId="33808"/>
    <cellStyle name="Normal 20 3" xfId="7480"/>
    <cellStyle name="Normal 20 3 2" xfId="47907"/>
    <cellStyle name="Normal 20 3 3" xfId="33809"/>
    <cellStyle name="Normal 20 4" xfId="13682"/>
    <cellStyle name="Normal 20 4 2" xfId="47903"/>
    <cellStyle name="Normal 20 5" xfId="33804"/>
    <cellStyle name="Normal 20_IAS" xfId="33810"/>
    <cellStyle name="Normal 200" xfId="33811"/>
    <cellStyle name="Normal 201" xfId="33812"/>
    <cellStyle name="Normal 202" xfId="33813"/>
    <cellStyle name="Normal 203" xfId="33814"/>
    <cellStyle name="Normal 204" xfId="33815"/>
    <cellStyle name="Normal 205" xfId="33816"/>
    <cellStyle name="Normal 206" xfId="33817"/>
    <cellStyle name="Normal 207" xfId="33818"/>
    <cellStyle name="Normal 208" xfId="33819"/>
    <cellStyle name="Normal 209" xfId="33820"/>
    <cellStyle name="Normal 21" xfId="2296"/>
    <cellStyle name="Normal 21 10" xfId="33821"/>
    <cellStyle name="Normal 21 2" xfId="33822"/>
    <cellStyle name="Normal 21 2 2" xfId="33823"/>
    <cellStyle name="Normal 21 2 2 2" xfId="47910"/>
    <cellStyle name="Normal 21 2 3" xfId="33824"/>
    <cellStyle name="Normal 21 2 3 2" xfId="47911"/>
    <cellStyle name="Normal 21 2 4" xfId="47909"/>
    <cellStyle name="Normal 21 2_Plan by Lob" xfId="33825"/>
    <cellStyle name="Normal 21 3" xfId="33826"/>
    <cellStyle name="Normal 21 3 2" xfId="47912"/>
    <cellStyle name="Normal 21 4" xfId="47908"/>
    <cellStyle name="Normal 21 5" xfId="53759"/>
    <cellStyle name="Normal 21 6" xfId="57649"/>
    <cellStyle name="Normal 21 7" xfId="57676"/>
    <cellStyle name="Normal 21 8" xfId="57675"/>
    <cellStyle name="Normal 21 9" xfId="57702"/>
    <cellStyle name="Normal 21_IAS" xfId="33827"/>
    <cellStyle name="Normal 210" xfId="33828"/>
    <cellStyle name="Normal 211" xfId="33829"/>
    <cellStyle name="Normal 212" xfId="33830"/>
    <cellStyle name="Normal 213" xfId="40978"/>
    <cellStyle name="Normal 214" xfId="49874"/>
    <cellStyle name="Normal 215" xfId="51816"/>
    <cellStyle name="Normal 216" xfId="51818"/>
    <cellStyle name="Normal 217" xfId="51820"/>
    <cellStyle name="Normal 218" xfId="51836"/>
    <cellStyle name="Normal 219" xfId="51839"/>
    <cellStyle name="Normal 22" xfId="3339"/>
    <cellStyle name="Normal 22 10" xfId="33831"/>
    <cellStyle name="Normal 22 2" xfId="33832"/>
    <cellStyle name="Normal 22 2 2" xfId="33833"/>
    <cellStyle name="Normal 22 2 2 2" xfId="47915"/>
    <cellStyle name="Normal 22 2 3" xfId="33834"/>
    <cellStyle name="Normal 22 2 3 2" xfId="47916"/>
    <cellStyle name="Normal 22 2 4" xfId="47914"/>
    <cellStyle name="Normal 22 2_Plan by Lob" xfId="33835"/>
    <cellStyle name="Normal 22 3" xfId="33836"/>
    <cellStyle name="Normal 22 3 2" xfId="47917"/>
    <cellStyle name="Normal 22 4" xfId="47913"/>
    <cellStyle name="Normal 22 5" xfId="54718"/>
    <cellStyle name="Normal 22 6" xfId="57653"/>
    <cellStyle name="Normal 22 7" xfId="57684"/>
    <cellStyle name="Normal 22 8" xfId="57677"/>
    <cellStyle name="Normal 22 9" xfId="57706"/>
    <cellStyle name="Normal 22_Plan by Lob" xfId="33837"/>
    <cellStyle name="Normal 220" xfId="51845"/>
    <cellStyle name="Normal 221" xfId="51904"/>
    <cellStyle name="Normal 222" xfId="51918"/>
    <cellStyle name="Normal 223" xfId="51919"/>
    <cellStyle name="Normal 224" xfId="51921"/>
    <cellStyle name="Normal 225" xfId="51922"/>
    <cellStyle name="Normal 226" xfId="51923"/>
    <cellStyle name="Normal 227" xfId="51917"/>
    <cellStyle name="Normal 228" xfId="51895"/>
    <cellStyle name="Normal 229" xfId="51920"/>
    <cellStyle name="Normal 23" xfId="3338"/>
    <cellStyle name="Normal 23 10" xfId="33838"/>
    <cellStyle name="Normal 23 2" xfId="33839"/>
    <cellStyle name="Normal 23 2 2" xfId="33840"/>
    <cellStyle name="Normal 23 2 2 2" xfId="47920"/>
    <cellStyle name="Normal 23 2 3" xfId="33841"/>
    <cellStyle name="Normal 23 2 3 2" xfId="47921"/>
    <cellStyle name="Normal 23 2 4" xfId="47919"/>
    <cellStyle name="Normal 23 2_Plan by Lob" xfId="33842"/>
    <cellStyle name="Normal 23 3" xfId="33843"/>
    <cellStyle name="Normal 23 3 2" xfId="47922"/>
    <cellStyle name="Normal 23 4" xfId="47918"/>
    <cellStyle name="Normal 23 5" xfId="54717"/>
    <cellStyle name="Normal 23 6" xfId="57652"/>
    <cellStyle name="Normal 23 7" xfId="57683"/>
    <cellStyle name="Normal 23 8" xfId="57690"/>
    <cellStyle name="Normal 23 9" xfId="57705"/>
    <cellStyle name="Normal 23_IAS" xfId="33844"/>
    <cellStyle name="Normal 230" xfId="52160"/>
    <cellStyle name="Normal 231" xfId="52161"/>
    <cellStyle name="Normal 232" xfId="57657"/>
    <cellStyle name="Normal 233" xfId="57670"/>
    <cellStyle name="Normal 234" xfId="57694"/>
    <cellStyle name="Normal 235" xfId="19899"/>
    <cellStyle name="Normal 236" xfId="57710"/>
    <cellStyle name="Normal 237" xfId="51844"/>
    <cellStyle name="Normal 24" xfId="3337"/>
    <cellStyle name="Normal 24 10" xfId="33845"/>
    <cellStyle name="Normal 24 2" xfId="33846"/>
    <cellStyle name="Normal 24 2 2" xfId="33847"/>
    <cellStyle name="Normal 24 2 2 2" xfId="47925"/>
    <cellStyle name="Normal 24 2 3" xfId="33848"/>
    <cellStyle name="Normal 24 2 3 2" xfId="47926"/>
    <cellStyle name="Normal 24 2 4" xfId="47924"/>
    <cellStyle name="Normal 24 2_Plan by Lob" xfId="33849"/>
    <cellStyle name="Normal 24 3" xfId="33850"/>
    <cellStyle name="Normal 24 3 2" xfId="47927"/>
    <cellStyle name="Normal 24 4" xfId="47923"/>
    <cellStyle name="Normal 24 5" xfId="54716"/>
    <cellStyle name="Normal 24 6" xfId="57651"/>
    <cellStyle name="Normal 24 7" xfId="57682"/>
    <cellStyle name="Normal 24 8" xfId="57687"/>
    <cellStyle name="Normal 24 9" xfId="57704"/>
    <cellStyle name="Normal 24_IAS" xfId="33851"/>
    <cellStyle name="Normal 25" xfId="3345"/>
    <cellStyle name="Normal 25 10" xfId="33852"/>
    <cellStyle name="Normal 25 2" xfId="33853"/>
    <cellStyle name="Normal 25 2 2" xfId="33854"/>
    <cellStyle name="Normal 25 2 2 2" xfId="47930"/>
    <cellStyle name="Normal 25 2 3" xfId="33855"/>
    <cellStyle name="Normal 25 2 3 2" xfId="47931"/>
    <cellStyle name="Normal 25 2 4" xfId="47929"/>
    <cellStyle name="Normal 25 2_Plan by Lob" xfId="33856"/>
    <cellStyle name="Normal 25 3" xfId="33857"/>
    <cellStyle name="Normal 25 3 2" xfId="47932"/>
    <cellStyle name="Normal 25 4" xfId="47928"/>
    <cellStyle name="Normal 25 5" xfId="54724"/>
    <cellStyle name="Normal 25 6" xfId="57655"/>
    <cellStyle name="Normal 25 7" xfId="57686"/>
    <cellStyle name="Normal 25 8" xfId="57688"/>
    <cellStyle name="Normal 25 9" xfId="57708"/>
    <cellStyle name="Normal 25_IAS" xfId="33858"/>
    <cellStyle name="Normal 26" xfId="3214"/>
    <cellStyle name="Normal 26 10" xfId="33859"/>
    <cellStyle name="Normal 26 2" xfId="33860"/>
    <cellStyle name="Normal 26 2 2" xfId="33861"/>
    <cellStyle name="Normal 26 2 2 2" xfId="47935"/>
    <cellStyle name="Normal 26 2 3" xfId="33862"/>
    <cellStyle name="Normal 26 2 3 2" xfId="47936"/>
    <cellStyle name="Normal 26 2 4" xfId="47934"/>
    <cellStyle name="Normal 26 2_Plan by Lob" xfId="33863"/>
    <cellStyle name="Normal 26 3" xfId="33864"/>
    <cellStyle name="Normal 26 3 2" xfId="47937"/>
    <cellStyle name="Normal 26 4" xfId="47933"/>
    <cellStyle name="Normal 26 5" xfId="54599"/>
    <cellStyle name="Normal 26 6" xfId="57650"/>
    <cellStyle name="Normal 26 7" xfId="57680"/>
    <cellStyle name="Normal 26 8" xfId="57689"/>
    <cellStyle name="Normal 26 9" xfId="57703"/>
    <cellStyle name="Normal 26_IAS" xfId="33865"/>
    <cellStyle name="Normal 27" xfId="3344"/>
    <cellStyle name="Normal 27 10" xfId="33866"/>
    <cellStyle name="Normal 27 2" xfId="33867"/>
    <cellStyle name="Normal 27 2 2" xfId="33868"/>
    <cellStyle name="Normal 27 2 2 2" xfId="47940"/>
    <cellStyle name="Normal 27 2 3" xfId="33869"/>
    <cellStyle name="Normal 27 2 3 2" xfId="47941"/>
    <cellStyle name="Normal 27 2 4" xfId="47939"/>
    <cellStyle name="Normal 27 2_Plan by Lob" xfId="33870"/>
    <cellStyle name="Normal 27 3" xfId="33871"/>
    <cellStyle name="Normal 27 3 2" xfId="47942"/>
    <cellStyle name="Normal 27 4" xfId="47938"/>
    <cellStyle name="Normal 27 5" xfId="54723"/>
    <cellStyle name="Normal 27 6" xfId="57654"/>
    <cellStyle name="Normal 27 7" xfId="57685"/>
    <cellStyle name="Normal 27 8" xfId="57678"/>
    <cellStyle name="Normal 27 9" xfId="57707"/>
    <cellStyle name="Normal 27_IAS" xfId="33872"/>
    <cellStyle name="Normal 28" xfId="3014"/>
    <cellStyle name="Normal 28 2" xfId="33874"/>
    <cellStyle name="Normal 28 2 2" xfId="33875"/>
    <cellStyle name="Normal 28 2 2 2" xfId="47945"/>
    <cellStyle name="Normal 28 2 3" xfId="47944"/>
    <cellStyle name="Normal 28 3" xfId="47943"/>
    <cellStyle name="Normal 28 4" xfId="54468"/>
    <cellStyle name="Normal 28 5" xfId="33873"/>
    <cellStyle name="Normal 28_IAS" xfId="33876"/>
    <cellStyle name="Normal 29" xfId="3343"/>
    <cellStyle name="Normal 29 2" xfId="33878"/>
    <cellStyle name="Normal 29 2 2" xfId="33879"/>
    <cellStyle name="Normal 29 2 2 2" xfId="47948"/>
    <cellStyle name="Normal 29 2 3" xfId="47947"/>
    <cellStyle name="Normal 29 3" xfId="47946"/>
    <cellStyle name="Normal 29 4" xfId="54722"/>
    <cellStyle name="Normal 29 5" xfId="33877"/>
    <cellStyle name="Normal 29_IAS" xfId="33880"/>
    <cellStyle name="Normal 3" xfId="1"/>
    <cellStyle name="Normal 3 10" xfId="33882"/>
    <cellStyle name="Normal 3 10 2" xfId="47949"/>
    <cellStyle name="Normal 3 11" xfId="33883"/>
    <cellStyle name="Normal 3 11 2" xfId="47950"/>
    <cellStyle name="Normal 3 12" xfId="33884"/>
    <cellStyle name="Normal 3 12 2" xfId="47951"/>
    <cellStyle name="Normal 3 13" xfId="33885"/>
    <cellStyle name="Normal 3 13 2" xfId="47952"/>
    <cellStyle name="Normal 3 14" xfId="33886"/>
    <cellStyle name="Normal 3 15" xfId="33881"/>
    <cellStyle name="Normal 3 16" xfId="52162"/>
    <cellStyle name="Normal 3 2" xfId="989"/>
    <cellStyle name="Normal 3 2 2" xfId="990"/>
    <cellStyle name="Normal 3 2 2 2" xfId="991"/>
    <cellStyle name="Normal 3 2 2 2 2" xfId="2176"/>
    <cellStyle name="Normal 3 2 2 2 2 2" xfId="5301"/>
    <cellStyle name="Normal 3 2 2 2 2 2 2" xfId="11504"/>
    <cellStyle name="Normal 3 2 2 2 2 2 3" xfId="17706"/>
    <cellStyle name="Normal 3 2 2 2 2 2 4" xfId="56543"/>
    <cellStyle name="Normal 3 2 2 2 2 3" xfId="8404"/>
    <cellStyle name="Normal 3 2 2 2 2 3 2" xfId="53647"/>
    <cellStyle name="Normal 3 2 2 2 2 4" xfId="14606"/>
    <cellStyle name="Normal 3 2 2 2 2 5" xfId="47955"/>
    <cellStyle name="Normal 3 2 2 2 3" xfId="3163"/>
    <cellStyle name="Normal 3 2 2 2 3 2" xfId="6275"/>
    <cellStyle name="Normal 3 2 2 2 3 2 2" xfId="12478"/>
    <cellStyle name="Normal 3 2 2 2 3 2 3" xfId="18680"/>
    <cellStyle name="Normal 3 2 2 2 3 2 4" xfId="57485"/>
    <cellStyle name="Normal 3 2 2 2 3 3" xfId="9378"/>
    <cellStyle name="Normal 3 2 2 2 3 4" xfId="15580"/>
    <cellStyle name="Normal 3 2 2 2 3 5" xfId="54582"/>
    <cellStyle name="Normal 3 2 2 2 4" xfId="4203"/>
    <cellStyle name="Normal 3 2 2 2 4 2" xfId="10407"/>
    <cellStyle name="Normal 3 2 2 2 4 3" xfId="16609"/>
    <cellStyle name="Normal 3 2 2 2 4 4" xfId="55536"/>
    <cellStyle name="Normal 3 2 2 2 5" xfId="7306"/>
    <cellStyle name="Normal 3 2 2 2 5 2" xfId="19777"/>
    <cellStyle name="Normal 3 2 2 2 6" xfId="13508"/>
    <cellStyle name="Normal 3 2 2 2 7" xfId="33889"/>
    <cellStyle name="Normal 3 2 2 3" xfId="1652"/>
    <cellStyle name="Normal 3 2 2 3 2" xfId="4777"/>
    <cellStyle name="Normal 3 2 2 3 2 2" xfId="10980"/>
    <cellStyle name="Normal 3 2 2 3 2 3" xfId="17182"/>
    <cellStyle name="Normal 3 2 2 3 2 4" xfId="56052"/>
    <cellStyle name="Normal 3 2 2 3 3" xfId="7880"/>
    <cellStyle name="Normal 3 2 2 3 3 2" xfId="53162"/>
    <cellStyle name="Normal 3 2 2 3 4" xfId="14082"/>
    <cellStyle name="Normal 3 2 2 3 5" xfId="47954"/>
    <cellStyle name="Normal 3 2 2 4" xfId="3162"/>
    <cellStyle name="Normal 3 2 2 4 2" xfId="6274"/>
    <cellStyle name="Normal 3 2 2 4 2 2" xfId="12477"/>
    <cellStyle name="Normal 3 2 2 4 2 3" xfId="18679"/>
    <cellStyle name="Normal 3 2 2 4 2 4" xfId="57484"/>
    <cellStyle name="Normal 3 2 2 4 3" xfId="9377"/>
    <cellStyle name="Normal 3 2 2 4 4" xfId="15579"/>
    <cellStyle name="Normal 3 2 2 4 5" xfId="54581"/>
    <cellStyle name="Normal 3 2 2 5" xfId="4202"/>
    <cellStyle name="Normal 3 2 2 5 2" xfId="10406"/>
    <cellStyle name="Normal 3 2 2 5 3" xfId="16608"/>
    <cellStyle name="Normal 3 2 2 5 4" xfId="55535"/>
    <cellStyle name="Normal 3 2 2 6" xfId="7305"/>
    <cellStyle name="Normal 3 2 2 6 2" xfId="19253"/>
    <cellStyle name="Normal 3 2 2 7" xfId="13507"/>
    <cellStyle name="Normal 3 2 2 8" xfId="33888"/>
    <cellStyle name="Normal 3 2 3" xfId="992"/>
    <cellStyle name="Normal 3 2 3 2" xfId="1930"/>
    <cellStyle name="Normal 3 2 3 2 2" xfId="5055"/>
    <cellStyle name="Normal 3 2 3 2 2 2" xfId="11258"/>
    <cellStyle name="Normal 3 2 3 2 2 3" xfId="17460"/>
    <cellStyle name="Normal 3 2 3 2 2 4" xfId="56315"/>
    <cellStyle name="Normal 3 2 3 2 3" xfId="8158"/>
    <cellStyle name="Normal 3 2 3 2 3 2" xfId="53421"/>
    <cellStyle name="Normal 3 2 3 2 4" xfId="14360"/>
    <cellStyle name="Normal 3 2 3 2 5" xfId="47956"/>
    <cellStyle name="Normal 3 2 3 3" xfId="3164"/>
    <cellStyle name="Normal 3 2 3 3 2" xfId="6276"/>
    <cellStyle name="Normal 3 2 3 3 2 2" xfId="12479"/>
    <cellStyle name="Normal 3 2 3 3 2 3" xfId="18681"/>
    <cellStyle name="Normal 3 2 3 3 2 4" xfId="57486"/>
    <cellStyle name="Normal 3 2 3 3 3" xfId="9379"/>
    <cellStyle name="Normal 3 2 3 3 4" xfId="15581"/>
    <cellStyle name="Normal 3 2 3 3 5" xfId="54583"/>
    <cellStyle name="Normal 3 2 3 4" xfId="4204"/>
    <cellStyle name="Normal 3 2 3 4 2" xfId="10408"/>
    <cellStyle name="Normal 3 2 3 4 3" xfId="16610"/>
    <cellStyle name="Normal 3 2 3 4 4" xfId="55537"/>
    <cellStyle name="Normal 3 2 3 5" xfId="7307"/>
    <cellStyle name="Normal 3 2 3 5 2" xfId="19531"/>
    <cellStyle name="Normal 3 2 3 6" xfId="13509"/>
    <cellStyle name="Normal 3 2 3 7" xfId="33890"/>
    <cellStyle name="Normal 3 2 4" xfId="1406"/>
    <cellStyle name="Normal 3 2 4 2" xfId="4531"/>
    <cellStyle name="Normal 3 2 4 2 2" xfId="10734"/>
    <cellStyle name="Normal 3 2 4 2 2 2" xfId="55819"/>
    <cellStyle name="Normal 3 2 4 2 3" xfId="16936"/>
    <cellStyle name="Normal 3 2 4 2 4" xfId="47957"/>
    <cellStyle name="Normal 3 2 4 3" xfId="7634"/>
    <cellStyle name="Normal 3 2 4 4" xfId="13836"/>
    <cellStyle name="Normal 3 2 4 5" xfId="33891"/>
    <cellStyle name="Normal 3 2 5" xfId="3161"/>
    <cellStyle name="Normal 3 2 5 2" xfId="6273"/>
    <cellStyle name="Normal 3 2 5 2 2" xfId="12476"/>
    <cellStyle name="Normal 3 2 5 2 3" xfId="18678"/>
    <cellStyle name="Normal 3 2 5 2 4" xfId="57483"/>
    <cellStyle name="Normal 3 2 5 3" xfId="9376"/>
    <cellStyle name="Normal 3 2 5 4" xfId="15578"/>
    <cellStyle name="Normal 3 2 5 5" xfId="33892"/>
    <cellStyle name="Normal 3 2 6" xfId="4201"/>
    <cellStyle name="Normal 3 2 6 2" xfId="10405"/>
    <cellStyle name="Normal 3 2 6 3" xfId="16607"/>
    <cellStyle name="Normal 3 2 6 4" xfId="33887"/>
    <cellStyle name="Normal 3 2 7" xfId="7304"/>
    <cellStyle name="Normal 3 2 7 2" xfId="19007"/>
    <cellStyle name="Normal 3 2 7 3" xfId="47953"/>
    <cellStyle name="Normal 3 2 8" xfId="13506"/>
    <cellStyle name="Normal 3 2 9" xfId="19967"/>
    <cellStyle name="Normal 3 2_FYFC" xfId="33893"/>
    <cellStyle name="Normal 3 3" xfId="993"/>
    <cellStyle name="Normal 3 3 10" xfId="33895"/>
    <cellStyle name="Normal 3 3 10 2" xfId="47958"/>
    <cellStyle name="Normal 3 3 11" xfId="33896"/>
    <cellStyle name="Normal 3 3 11 2" xfId="33897"/>
    <cellStyle name="Normal 3 3 11 2 2" xfId="33898"/>
    <cellStyle name="Normal 3 3 11 3" xfId="33899"/>
    <cellStyle name="Normal 3 3 12" xfId="33900"/>
    <cellStyle name="Normal 3 3 12 2" xfId="33901"/>
    <cellStyle name="Normal 3 3 12 2 2" xfId="33902"/>
    <cellStyle name="Normal 3 3 12 3" xfId="33903"/>
    <cellStyle name="Normal 3 3 13" xfId="33904"/>
    <cellStyle name="Normal 3 3 13 2" xfId="33905"/>
    <cellStyle name="Normal 3 3 13 2 2" xfId="33906"/>
    <cellStyle name="Normal 3 3 13 3" xfId="33907"/>
    <cellStyle name="Normal 3 3 14" xfId="33908"/>
    <cellStyle name="Normal 3 3 14 2" xfId="33909"/>
    <cellStyle name="Normal 3 3 14 2 2" xfId="33910"/>
    <cellStyle name="Normal 3 3 14 3" xfId="33911"/>
    <cellStyle name="Normal 3 3 15" xfId="33912"/>
    <cellStyle name="Normal 3 3 15 2" xfId="33913"/>
    <cellStyle name="Normal 3 3 16" xfId="33914"/>
    <cellStyle name="Normal 3 3 16 2" xfId="33915"/>
    <cellStyle name="Normal 3 3 17" xfId="33916"/>
    <cellStyle name="Normal 3 3 18" xfId="33917"/>
    <cellStyle name="Normal 3 3 19" xfId="33918"/>
    <cellStyle name="Normal 3 3 2" xfId="994"/>
    <cellStyle name="Normal 3 3 2 10" xfId="33920"/>
    <cellStyle name="Normal 3 3 2 10 2" xfId="33921"/>
    <cellStyle name="Normal 3 3 2 10 2 2" xfId="33922"/>
    <cellStyle name="Normal 3 3 2 10 3" xfId="33923"/>
    <cellStyle name="Normal 3 3 2 11" xfId="33924"/>
    <cellStyle name="Normal 3 3 2 11 2" xfId="33925"/>
    <cellStyle name="Normal 3 3 2 11 2 2" xfId="33926"/>
    <cellStyle name="Normal 3 3 2 11 3" xfId="33927"/>
    <cellStyle name="Normal 3 3 2 12" xfId="33928"/>
    <cellStyle name="Normal 3 3 2 12 2" xfId="33929"/>
    <cellStyle name="Normal 3 3 2 13" xfId="33930"/>
    <cellStyle name="Normal 3 3 2 13 2" xfId="33931"/>
    <cellStyle name="Normal 3 3 2 14" xfId="33932"/>
    <cellStyle name="Normal 3 3 2 15" xfId="33933"/>
    <cellStyle name="Normal 3 3 2 16" xfId="33919"/>
    <cellStyle name="Normal 3 3 2 2" xfId="2071"/>
    <cellStyle name="Normal 3 3 2 2 2" xfId="5196"/>
    <cellStyle name="Normal 3 3 2 2 2 2" xfId="11399"/>
    <cellStyle name="Normal 3 3 2 2 2 2 2" xfId="33937"/>
    <cellStyle name="Normal 3 3 2 2 2 2 2 2" xfId="33938"/>
    <cellStyle name="Normal 3 3 2 2 2 2 2 2 2" xfId="33939"/>
    <cellStyle name="Normal 3 3 2 2 2 2 2 3" xfId="33940"/>
    <cellStyle name="Normal 3 3 2 2 2 2 2 3 2" xfId="33941"/>
    <cellStyle name="Normal 3 3 2 2 2 2 2 4" xfId="33942"/>
    <cellStyle name="Normal 3 3 2 2 2 2 3" xfId="33943"/>
    <cellStyle name="Normal 3 3 2 2 2 2 3 2" xfId="47959"/>
    <cellStyle name="Normal 3 3 2 2 2 2 4" xfId="33944"/>
    <cellStyle name="Normal 3 3 2 2 2 2 4 2" xfId="33945"/>
    <cellStyle name="Normal 3 3 2 2 2 2 5" xfId="33946"/>
    <cellStyle name="Normal 3 3 2 2 2 2 6" xfId="33936"/>
    <cellStyle name="Normal 3 3 2 2 2 2_IAS" xfId="33947"/>
    <cellStyle name="Normal 3 3 2 2 2 3" xfId="17601"/>
    <cellStyle name="Normal 3 3 2 2 2 3 2" xfId="33949"/>
    <cellStyle name="Normal 3 3 2 2 2 3 2 2" xfId="33950"/>
    <cellStyle name="Normal 3 3 2 2 2 3 3" xfId="33951"/>
    <cellStyle name="Normal 3 3 2 2 2 3 3 2" xfId="33952"/>
    <cellStyle name="Normal 3 3 2 2 2 3 4" xfId="33953"/>
    <cellStyle name="Normal 3 3 2 2 2 3 5" xfId="33948"/>
    <cellStyle name="Normal 3 3 2 2 2 4" xfId="33954"/>
    <cellStyle name="Normal 3 3 2 2 2 4 2" xfId="47960"/>
    <cellStyle name="Normal 3 3 2 2 2 5" xfId="33955"/>
    <cellStyle name="Normal 3 3 2 2 2 5 2" xfId="33956"/>
    <cellStyle name="Normal 3 3 2 2 2 6" xfId="33957"/>
    <cellStyle name="Normal 3 3 2 2 2 7" xfId="33935"/>
    <cellStyle name="Normal 3 3 2 2 2_IAS" xfId="33958"/>
    <cellStyle name="Normal 3 3 2 2 3" xfId="8299"/>
    <cellStyle name="Normal 3 3 2 2 3 2" xfId="33960"/>
    <cellStyle name="Normal 3 3 2 2 3 2 2" xfId="33961"/>
    <cellStyle name="Normal 3 3 2 2 3 2 2 2" xfId="33962"/>
    <cellStyle name="Normal 3 3 2 2 3 2 3" xfId="33963"/>
    <cellStyle name="Normal 3 3 2 2 3 2 3 2" xfId="33964"/>
    <cellStyle name="Normal 3 3 2 2 3 2 4" xfId="33965"/>
    <cellStyle name="Normal 3 3 2 2 3 3" xfId="33966"/>
    <cellStyle name="Normal 3 3 2 2 3 3 2" xfId="47961"/>
    <cellStyle name="Normal 3 3 2 2 3 4" xfId="33967"/>
    <cellStyle name="Normal 3 3 2 2 3 4 2" xfId="33968"/>
    <cellStyle name="Normal 3 3 2 2 3 5" xfId="33969"/>
    <cellStyle name="Normal 3 3 2 2 3 6" xfId="33959"/>
    <cellStyle name="Normal 3 3 2 2 3_IAS" xfId="33970"/>
    <cellStyle name="Normal 3 3 2 2 4" xfId="14501"/>
    <cellStyle name="Normal 3 3 2 2 4 2" xfId="33972"/>
    <cellStyle name="Normal 3 3 2 2 4 2 2" xfId="33973"/>
    <cellStyle name="Normal 3 3 2 2 4 3" xfId="33974"/>
    <cellStyle name="Normal 3 3 2 2 4 3 2" xfId="33975"/>
    <cellStyle name="Normal 3 3 2 2 4 4" xfId="33976"/>
    <cellStyle name="Normal 3 3 2 2 4 5" xfId="33971"/>
    <cellStyle name="Normal 3 3 2 2 5" xfId="33977"/>
    <cellStyle name="Normal 3 3 2 2 5 2" xfId="47962"/>
    <cellStyle name="Normal 3 3 2 2 6" xfId="33978"/>
    <cellStyle name="Normal 3 3 2 2 6 2" xfId="33979"/>
    <cellStyle name="Normal 3 3 2 2 7" xfId="33980"/>
    <cellStyle name="Normal 3 3 2 2 8" xfId="33934"/>
    <cellStyle name="Normal 3 3 2 2_IAS" xfId="33981"/>
    <cellStyle name="Normal 3 3 2 3" xfId="3166"/>
    <cellStyle name="Normal 3 3 2 3 2" xfId="6278"/>
    <cellStyle name="Normal 3 3 2 3 2 2" xfId="12481"/>
    <cellStyle name="Normal 3 3 2 3 2 2 2" xfId="33985"/>
    <cellStyle name="Normal 3 3 2 3 2 2 2 2" xfId="33986"/>
    <cellStyle name="Normal 3 3 2 3 2 2 2 2 2" xfId="33987"/>
    <cellStyle name="Normal 3 3 2 3 2 2 2 3" xfId="33988"/>
    <cellStyle name="Normal 3 3 2 3 2 2 2 3 2" xfId="33989"/>
    <cellStyle name="Normal 3 3 2 3 2 2 2 4" xfId="33990"/>
    <cellStyle name="Normal 3 3 2 3 2 2 3" xfId="33991"/>
    <cellStyle name="Normal 3 3 2 3 2 2 3 2" xfId="47963"/>
    <cellStyle name="Normal 3 3 2 3 2 2 4" xfId="33992"/>
    <cellStyle name="Normal 3 3 2 3 2 2 4 2" xfId="33993"/>
    <cellStyle name="Normal 3 3 2 3 2 2 5" xfId="33994"/>
    <cellStyle name="Normal 3 3 2 3 2 2 6" xfId="33984"/>
    <cellStyle name="Normal 3 3 2 3 2 2_IAS" xfId="33995"/>
    <cellStyle name="Normal 3 3 2 3 2 3" xfId="18683"/>
    <cellStyle name="Normal 3 3 2 3 2 3 2" xfId="33997"/>
    <cellStyle name="Normal 3 3 2 3 2 3 2 2" xfId="33998"/>
    <cellStyle name="Normal 3 3 2 3 2 3 3" xfId="33999"/>
    <cellStyle name="Normal 3 3 2 3 2 3 3 2" xfId="34000"/>
    <cellStyle name="Normal 3 3 2 3 2 3 4" xfId="34001"/>
    <cellStyle name="Normal 3 3 2 3 2 3 5" xfId="33996"/>
    <cellStyle name="Normal 3 3 2 3 2 4" xfId="34002"/>
    <cellStyle name="Normal 3 3 2 3 2 4 2" xfId="47964"/>
    <cellStyle name="Normal 3 3 2 3 2 5" xfId="34003"/>
    <cellStyle name="Normal 3 3 2 3 2 5 2" xfId="34004"/>
    <cellStyle name="Normal 3 3 2 3 2 6" xfId="34005"/>
    <cellStyle name="Normal 3 3 2 3 2 7" xfId="33983"/>
    <cellStyle name="Normal 3 3 2 3 2_IAS" xfId="34006"/>
    <cellStyle name="Normal 3 3 2 3 3" xfId="9381"/>
    <cellStyle name="Normal 3 3 2 3 3 2" xfId="34008"/>
    <cellStyle name="Normal 3 3 2 3 3 2 2" xfId="34009"/>
    <cellStyle name="Normal 3 3 2 3 3 2 2 2" xfId="34010"/>
    <cellStyle name="Normal 3 3 2 3 3 2 3" xfId="34011"/>
    <cellStyle name="Normal 3 3 2 3 3 2 3 2" xfId="34012"/>
    <cellStyle name="Normal 3 3 2 3 3 2 4" xfId="34013"/>
    <cellStyle name="Normal 3 3 2 3 3 3" xfId="34014"/>
    <cellStyle name="Normal 3 3 2 3 3 3 2" xfId="47965"/>
    <cellStyle name="Normal 3 3 2 3 3 4" xfId="34015"/>
    <cellStyle name="Normal 3 3 2 3 3 4 2" xfId="34016"/>
    <cellStyle name="Normal 3 3 2 3 3 5" xfId="34017"/>
    <cellStyle name="Normal 3 3 2 3 3 6" xfId="34007"/>
    <cellStyle name="Normal 3 3 2 3 3_IAS" xfId="34018"/>
    <cellStyle name="Normal 3 3 2 3 4" xfId="15583"/>
    <cellStyle name="Normal 3 3 2 3 4 2" xfId="34020"/>
    <cellStyle name="Normal 3 3 2 3 4 2 2" xfId="34021"/>
    <cellStyle name="Normal 3 3 2 3 4 3" xfId="34022"/>
    <cellStyle name="Normal 3 3 2 3 4 3 2" xfId="34023"/>
    <cellStyle name="Normal 3 3 2 3 4 4" xfId="34024"/>
    <cellStyle name="Normal 3 3 2 3 4 5" xfId="34019"/>
    <cellStyle name="Normal 3 3 2 3 5" xfId="34025"/>
    <cellStyle name="Normal 3 3 2 3 5 2" xfId="47966"/>
    <cellStyle name="Normal 3 3 2 3 6" xfId="34026"/>
    <cellStyle name="Normal 3 3 2 3 6 2" xfId="34027"/>
    <cellStyle name="Normal 3 3 2 3 7" xfId="34028"/>
    <cellStyle name="Normal 3 3 2 3 8" xfId="33982"/>
    <cellStyle name="Normal 3 3 2 3_IAS" xfId="34029"/>
    <cellStyle name="Normal 3 3 2 4" xfId="4206"/>
    <cellStyle name="Normal 3 3 2 4 2" xfId="10410"/>
    <cellStyle name="Normal 3 3 2 4 2 2" xfId="47967"/>
    <cellStyle name="Normal 3 3 2 4 3" xfId="16612"/>
    <cellStyle name="Normal 3 3 2 4 4" xfId="34030"/>
    <cellStyle name="Normal 3 3 2 5" xfId="7309"/>
    <cellStyle name="Normal 3 3 2 5 2" xfId="19672"/>
    <cellStyle name="Normal 3 3 2 5 2 2" xfId="34033"/>
    <cellStyle name="Normal 3 3 2 5 2 2 2" xfId="34034"/>
    <cellStyle name="Normal 3 3 2 5 2 2 2 2" xfId="34035"/>
    <cellStyle name="Normal 3 3 2 5 2 2 3" xfId="34036"/>
    <cellStyle name="Normal 3 3 2 5 2 2 3 2" xfId="34037"/>
    <cellStyle name="Normal 3 3 2 5 2 2 4" xfId="34038"/>
    <cellStyle name="Normal 3 3 2 5 2 3" xfId="34039"/>
    <cellStyle name="Normal 3 3 2 5 2 3 2" xfId="47968"/>
    <cellStyle name="Normal 3 3 2 5 2 4" xfId="34040"/>
    <cellStyle name="Normal 3 3 2 5 2 4 2" xfId="34041"/>
    <cellStyle name="Normal 3 3 2 5 2 5" xfId="34042"/>
    <cellStyle name="Normal 3 3 2 5 2 6" xfId="34032"/>
    <cellStyle name="Normal 3 3 2 5 2_IAS" xfId="34043"/>
    <cellStyle name="Normal 3 3 2 5 3" xfId="34044"/>
    <cellStyle name="Normal 3 3 2 5 3 2" xfId="34045"/>
    <cellStyle name="Normal 3 3 2 5 3 2 2" xfId="34046"/>
    <cellStyle name="Normal 3 3 2 5 3 3" xfId="34047"/>
    <cellStyle name="Normal 3 3 2 5 3 3 2" xfId="34048"/>
    <cellStyle name="Normal 3 3 2 5 3 4" xfId="34049"/>
    <cellStyle name="Normal 3 3 2 5 4" xfId="34050"/>
    <cellStyle name="Normal 3 3 2 5 4 2" xfId="47969"/>
    <cellStyle name="Normal 3 3 2 5 5" xfId="34051"/>
    <cellStyle name="Normal 3 3 2 5 5 2" xfId="34052"/>
    <cellStyle name="Normal 3 3 2 5 6" xfId="34053"/>
    <cellStyle name="Normal 3 3 2 5 7" xfId="34031"/>
    <cellStyle name="Normal 3 3 2 5_IAS" xfId="34054"/>
    <cellStyle name="Normal 3 3 2 6" xfId="13511"/>
    <cellStyle name="Normal 3 3 2 6 2" xfId="34056"/>
    <cellStyle name="Normal 3 3 2 6 2 2" xfId="34057"/>
    <cellStyle name="Normal 3 3 2 6 2 2 2" xfId="34058"/>
    <cellStyle name="Normal 3 3 2 6 2 3" xfId="34059"/>
    <cellStyle name="Normal 3 3 2 6 2 3 2" xfId="34060"/>
    <cellStyle name="Normal 3 3 2 6 2 4" xfId="34061"/>
    <cellStyle name="Normal 3 3 2 6 3" xfId="34062"/>
    <cellStyle name="Normal 3 3 2 6 3 2" xfId="47970"/>
    <cellStyle name="Normal 3 3 2 6 4" xfId="34063"/>
    <cellStyle name="Normal 3 3 2 6 4 2" xfId="34064"/>
    <cellStyle name="Normal 3 3 2 6 5" xfId="34065"/>
    <cellStyle name="Normal 3 3 2 6 6" xfId="34055"/>
    <cellStyle name="Normal 3 3 2 6_IAS" xfId="34066"/>
    <cellStyle name="Normal 3 3 2 7" xfId="34067"/>
    <cellStyle name="Normal 3 3 2 7 2" xfId="34068"/>
    <cellStyle name="Normal 3 3 2 7 2 2" xfId="34069"/>
    <cellStyle name="Normal 3 3 2 7 3" xfId="47971"/>
    <cellStyle name="Normal 3 3 2 8" xfId="34070"/>
    <cellStyle name="Normal 3 3 2 8 2" xfId="34071"/>
    <cellStyle name="Normal 3 3 2 8 2 2" xfId="34072"/>
    <cellStyle name="Normal 3 3 2 8 3" xfId="34073"/>
    <cellStyle name="Normal 3 3 2 9" xfId="34074"/>
    <cellStyle name="Normal 3 3 2 9 2" xfId="34075"/>
    <cellStyle name="Normal 3 3 2 9 2 2" xfId="34076"/>
    <cellStyle name="Normal 3 3 2 9 3" xfId="34077"/>
    <cellStyle name="Normal 3 3 2_IAS" xfId="34078"/>
    <cellStyle name="Normal 3 3 20" xfId="33894"/>
    <cellStyle name="Normal 3 3 3" xfId="1547"/>
    <cellStyle name="Normal 3 3 3 2" xfId="4672"/>
    <cellStyle name="Normal 3 3 3 2 2" xfId="10875"/>
    <cellStyle name="Normal 3 3 3 2 2 2" xfId="34082"/>
    <cellStyle name="Normal 3 3 3 2 2 2 2" xfId="34083"/>
    <cellStyle name="Normal 3 3 3 2 2 2 2 2" xfId="34084"/>
    <cellStyle name="Normal 3 3 3 2 2 2 3" xfId="34085"/>
    <cellStyle name="Normal 3 3 3 2 2 2 3 2" xfId="34086"/>
    <cellStyle name="Normal 3 3 3 2 2 2 4" xfId="34087"/>
    <cellStyle name="Normal 3 3 3 2 2 3" xfId="34088"/>
    <cellStyle name="Normal 3 3 3 2 2 3 2" xfId="47972"/>
    <cellStyle name="Normal 3 3 3 2 2 4" xfId="34089"/>
    <cellStyle name="Normal 3 3 3 2 2 4 2" xfId="34090"/>
    <cellStyle name="Normal 3 3 3 2 2 5" xfId="34091"/>
    <cellStyle name="Normal 3 3 3 2 2 6" xfId="34081"/>
    <cellStyle name="Normal 3 3 3 2 2_IAS" xfId="34092"/>
    <cellStyle name="Normal 3 3 3 2 3" xfId="17077"/>
    <cellStyle name="Normal 3 3 3 2 3 2" xfId="34094"/>
    <cellStyle name="Normal 3 3 3 2 3 2 2" xfId="34095"/>
    <cellStyle name="Normal 3 3 3 2 3 3" xfId="34096"/>
    <cellStyle name="Normal 3 3 3 2 3 3 2" xfId="34097"/>
    <cellStyle name="Normal 3 3 3 2 3 4" xfId="34098"/>
    <cellStyle name="Normal 3 3 3 2 3 5" xfId="34093"/>
    <cellStyle name="Normal 3 3 3 2 4" xfId="34099"/>
    <cellStyle name="Normal 3 3 3 2 4 2" xfId="47973"/>
    <cellStyle name="Normal 3 3 3 2 5" xfId="34100"/>
    <cellStyle name="Normal 3 3 3 2 5 2" xfId="34101"/>
    <cellStyle name="Normal 3 3 3 2 6" xfId="34102"/>
    <cellStyle name="Normal 3 3 3 2 7" xfId="34080"/>
    <cellStyle name="Normal 3 3 3 2_IAS" xfId="34103"/>
    <cellStyle name="Normal 3 3 3 3" xfId="7775"/>
    <cellStyle name="Normal 3 3 3 3 2" xfId="34105"/>
    <cellStyle name="Normal 3 3 3 3 2 2" xfId="34106"/>
    <cellStyle name="Normal 3 3 3 3 2 2 2" xfId="34107"/>
    <cellStyle name="Normal 3 3 3 3 2 3" xfId="34108"/>
    <cellStyle name="Normal 3 3 3 3 2 3 2" xfId="34109"/>
    <cellStyle name="Normal 3 3 3 3 2 4" xfId="34110"/>
    <cellStyle name="Normal 3 3 3 3 3" xfId="34111"/>
    <cellStyle name="Normal 3 3 3 3 3 2" xfId="47974"/>
    <cellStyle name="Normal 3 3 3 3 4" xfId="34112"/>
    <cellStyle name="Normal 3 3 3 3 4 2" xfId="34113"/>
    <cellStyle name="Normal 3 3 3 3 5" xfId="34114"/>
    <cellStyle name="Normal 3 3 3 3 6" xfId="34104"/>
    <cellStyle name="Normal 3 3 3 3_IAS" xfId="34115"/>
    <cellStyle name="Normal 3 3 3 4" xfId="13977"/>
    <cellStyle name="Normal 3 3 3 4 2" xfId="34117"/>
    <cellStyle name="Normal 3 3 3 4 2 2" xfId="34118"/>
    <cellStyle name="Normal 3 3 3 4 3" xfId="34119"/>
    <cellStyle name="Normal 3 3 3 4 3 2" xfId="34120"/>
    <cellStyle name="Normal 3 3 3 4 4" xfId="34121"/>
    <cellStyle name="Normal 3 3 3 4 5" xfId="34116"/>
    <cellStyle name="Normal 3 3 3 5" xfId="34122"/>
    <cellStyle name="Normal 3 3 3 5 2" xfId="47975"/>
    <cellStyle name="Normal 3 3 3 6" xfId="34123"/>
    <cellStyle name="Normal 3 3 3 6 2" xfId="34124"/>
    <cellStyle name="Normal 3 3 3 7" xfId="34125"/>
    <cellStyle name="Normal 3 3 3 8" xfId="34079"/>
    <cellStyle name="Normal 3 3 3_IAS" xfId="34126"/>
    <cellStyle name="Normal 3 3 4" xfId="3165"/>
    <cellStyle name="Normal 3 3 4 2" xfId="6277"/>
    <cellStyle name="Normal 3 3 4 2 2" xfId="12480"/>
    <cellStyle name="Normal 3 3 4 2 2 2" xfId="34130"/>
    <cellStyle name="Normal 3 3 4 2 2 2 2" xfId="34131"/>
    <cellStyle name="Normal 3 3 4 2 2 2 2 2" xfId="34132"/>
    <cellStyle name="Normal 3 3 4 2 2 2 3" xfId="34133"/>
    <cellStyle name="Normal 3 3 4 2 2 2 3 2" xfId="34134"/>
    <cellStyle name="Normal 3 3 4 2 2 2 4" xfId="34135"/>
    <cellStyle name="Normal 3 3 4 2 2 3" xfId="34136"/>
    <cellStyle name="Normal 3 3 4 2 2 3 2" xfId="47976"/>
    <cellStyle name="Normal 3 3 4 2 2 4" xfId="34137"/>
    <cellStyle name="Normal 3 3 4 2 2 4 2" xfId="34138"/>
    <cellStyle name="Normal 3 3 4 2 2 5" xfId="34139"/>
    <cellStyle name="Normal 3 3 4 2 2 6" xfId="34129"/>
    <cellStyle name="Normal 3 3 4 2 2_IAS" xfId="34140"/>
    <cellStyle name="Normal 3 3 4 2 3" xfId="18682"/>
    <cellStyle name="Normal 3 3 4 2 3 2" xfId="34142"/>
    <cellStyle name="Normal 3 3 4 2 3 2 2" xfId="34143"/>
    <cellStyle name="Normal 3 3 4 2 3 3" xfId="34144"/>
    <cellStyle name="Normal 3 3 4 2 3 3 2" xfId="34145"/>
    <cellStyle name="Normal 3 3 4 2 3 4" xfId="34146"/>
    <cellStyle name="Normal 3 3 4 2 3 5" xfId="34141"/>
    <cellStyle name="Normal 3 3 4 2 4" xfId="34147"/>
    <cellStyle name="Normal 3 3 4 2 4 2" xfId="47977"/>
    <cellStyle name="Normal 3 3 4 2 5" xfId="34148"/>
    <cellStyle name="Normal 3 3 4 2 5 2" xfId="34149"/>
    <cellStyle name="Normal 3 3 4 2 6" xfId="34150"/>
    <cellStyle name="Normal 3 3 4 2 7" xfId="34128"/>
    <cellStyle name="Normal 3 3 4 2_IAS" xfId="34151"/>
    <cellStyle name="Normal 3 3 4 3" xfId="9380"/>
    <cellStyle name="Normal 3 3 4 3 2" xfId="34153"/>
    <cellStyle name="Normal 3 3 4 3 2 2" xfId="34154"/>
    <cellStyle name="Normal 3 3 4 3 2 2 2" xfId="34155"/>
    <cellStyle name="Normal 3 3 4 3 2 3" xfId="34156"/>
    <cellStyle name="Normal 3 3 4 3 2 3 2" xfId="34157"/>
    <cellStyle name="Normal 3 3 4 3 2 4" xfId="34158"/>
    <cellStyle name="Normal 3 3 4 3 3" xfId="34159"/>
    <cellStyle name="Normal 3 3 4 3 3 2" xfId="47978"/>
    <cellStyle name="Normal 3 3 4 3 4" xfId="34160"/>
    <cellStyle name="Normal 3 3 4 3 4 2" xfId="34161"/>
    <cellStyle name="Normal 3 3 4 3 5" xfId="34162"/>
    <cellStyle name="Normal 3 3 4 3 6" xfId="34152"/>
    <cellStyle name="Normal 3 3 4 3_IAS" xfId="34163"/>
    <cellStyle name="Normal 3 3 4 4" xfId="15582"/>
    <cellStyle name="Normal 3 3 4 4 2" xfId="34165"/>
    <cellStyle name="Normal 3 3 4 4 2 2" xfId="34166"/>
    <cellStyle name="Normal 3 3 4 4 3" xfId="34167"/>
    <cellStyle name="Normal 3 3 4 4 3 2" xfId="34168"/>
    <cellStyle name="Normal 3 3 4 4 4" xfId="34169"/>
    <cellStyle name="Normal 3 3 4 4 5" xfId="34164"/>
    <cellStyle name="Normal 3 3 4 5" xfId="34170"/>
    <cellStyle name="Normal 3 3 4 5 2" xfId="47979"/>
    <cellStyle name="Normal 3 3 4 6" xfId="34171"/>
    <cellStyle name="Normal 3 3 4 6 2" xfId="34172"/>
    <cellStyle name="Normal 3 3 4 7" xfId="34173"/>
    <cellStyle name="Normal 3 3 4 8" xfId="34127"/>
    <cellStyle name="Normal 3 3 4_IAS" xfId="34174"/>
    <cellStyle name="Normal 3 3 5" xfId="4205"/>
    <cellStyle name="Normal 3 3 5 2" xfId="10409"/>
    <cellStyle name="Normal 3 3 5 2 2" xfId="47980"/>
    <cellStyle name="Normal 3 3 5 3" xfId="16611"/>
    <cellStyle name="Normal 3 3 5 4" xfId="34175"/>
    <cellStyle name="Normal 3 3 6" xfId="7308"/>
    <cellStyle name="Normal 3 3 6 2" xfId="19148"/>
    <cellStyle name="Normal 3 3 6 2 2" xfId="34178"/>
    <cellStyle name="Normal 3 3 6 2 2 2" xfId="34179"/>
    <cellStyle name="Normal 3 3 6 2 2 2 2" xfId="34180"/>
    <cellStyle name="Normal 3 3 6 2 2 3" xfId="34181"/>
    <cellStyle name="Normal 3 3 6 2 2 3 2" xfId="34182"/>
    <cellStyle name="Normal 3 3 6 2 2 4" xfId="34183"/>
    <cellStyle name="Normal 3 3 6 2 3" xfId="34184"/>
    <cellStyle name="Normal 3 3 6 2 3 2" xfId="47981"/>
    <cellStyle name="Normal 3 3 6 2 4" xfId="34185"/>
    <cellStyle name="Normal 3 3 6 2 4 2" xfId="34186"/>
    <cellStyle name="Normal 3 3 6 2 5" xfId="34187"/>
    <cellStyle name="Normal 3 3 6 2 6" xfId="34177"/>
    <cellStyle name="Normal 3 3 6 2_IAS" xfId="34188"/>
    <cellStyle name="Normal 3 3 6 3" xfId="34189"/>
    <cellStyle name="Normal 3 3 6 3 2" xfId="34190"/>
    <cellStyle name="Normal 3 3 6 3 2 2" xfId="34191"/>
    <cellStyle name="Normal 3 3 6 3 3" xfId="34192"/>
    <cellStyle name="Normal 3 3 6 3 3 2" xfId="34193"/>
    <cellStyle name="Normal 3 3 6 3 4" xfId="34194"/>
    <cellStyle name="Normal 3 3 6 4" xfId="34195"/>
    <cellStyle name="Normal 3 3 6 4 2" xfId="47982"/>
    <cellStyle name="Normal 3 3 6 5" xfId="34196"/>
    <cellStyle name="Normal 3 3 6 5 2" xfId="34197"/>
    <cellStyle name="Normal 3 3 6 6" xfId="34198"/>
    <cellStyle name="Normal 3 3 6 7" xfId="34176"/>
    <cellStyle name="Normal 3 3 6_IAS" xfId="34199"/>
    <cellStyle name="Normal 3 3 7" xfId="13510"/>
    <cellStyle name="Normal 3 3 7 2" xfId="34201"/>
    <cellStyle name="Normal 3 3 7 2 2" xfId="34202"/>
    <cellStyle name="Normal 3 3 7 2 2 2" xfId="34203"/>
    <cellStyle name="Normal 3 3 7 2 3" xfId="34204"/>
    <cellStyle name="Normal 3 3 7 2 3 2" xfId="34205"/>
    <cellStyle name="Normal 3 3 7 2 4" xfId="34206"/>
    <cellStyle name="Normal 3 3 7 3" xfId="34207"/>
    <cellStyle name="Normal 3 3 7 3 2" xfId="47983"/>
    <cellStyle name="Normal 3 3 7 4" xfId="34208"/>
    <cellStyle name="Normal 3 3 7 4 2" xfId="34209"/>
    <cellStyle name="Normal 3 3 7 5" xfId="34210"/>
    <cellStyle name="Normal 3 3 7 6" xfId="34200"/>
    <cellStyle name="Normal 3 3 7_IAS" xfId="34211"/>
    <cellStyle name="Normal 3 3 8" xfId="34212"/>
    <cellStyle name="Normal 3 3 8 2" xfId="34213"/>
    <cellStyle name="Normal 3 3 8 2 2" xfId="34214"/>
    <cellStyle name="Normal 3 3 8 3" xfId="47984"/>
    <cellStyle name="Normal 3 3 9" xfId="34215"/>
    <cellStyle name="Normal 3 3 9 2" xfId="47985"/>
    <cellStyle name="Normal 3 3_AGF" xfId="34216"/>
    <cellStyle name="Normal 3 4" xfId="995"/>
    <cellStyle name="Normal 3 4 10" xfId="34218"/>
    <cellStyle name="Normal 3 4 10 2" xfId="47986"/>
    <cellStyle name="Normal 3 4 11" xfId="34219"/>
    <cellStyle name="Normal 3 4 11 2" xfId="34220"/>
    <cellStyle name="Normal 3 4 11 2 2" xfId="34221"/>
    <cellStyle name="Normal 3 4 11 3" xfId="34222"/>
    <cellStyle name="Normal 3 4 12" xfId="34223"/>
    <cellStyle name="Normal 3 4 12 2" xfId="34224"/>
    <cellStyle name="Normal 3 4 12 2 2" xfId="34225"/>
    <cellStyle name="Normal 3 4 12 3" xfId="34226"/>
    <cellStyle name="Normal 3 4 13" xfId="34227"/>
    <cellStyle name="Normal 3 4 13 2" xfId="34228"/>
    <cellStyle name="Normal 3 4 13 2 2" xfId="34229"/>
    <cellStyle name="Normal 3 4 13 3" xfId="34230"/>
    <cellStyle name="Normal 3 4 14" xfId="34231"/>
    <cellStyle name="Normal 3 4 14 2" xfId="34232"/>
    <cellStyle name="Normal 3 4 14 2 2" xfId="34233"/>
    <cellStyle name="Normal 3 4 14 3" xfId="34234"/>
    <cellStyle name="Normal 3 4 15" xfId="34235"/>
    <cellStyle name="Normal 3 4 15 2" xfId="34236"/>
    <cellStyle name="Normal 3 4 16" xfId="34237"/>
    <cellStyle name="Normal 3 4 16 2" xfId="47987"/>
    <cellStyle name="Normal 3 4 17" xfId="34238"/>
    <cellStyle name="Normal 3 4 17 2" xfId="34239"/>
    <cellStyle name="Normal 3 4 18" xfId="34240"/>
    <cellStyle name="Normal 3 4 19" xfId="34241"/>
    <cellStyle name="Normal 3 4 2" xfId="34242"/>
    <cellStyle name="Normal 3 4 2 10" xfId="34243"/>
    <cellStyle name="Normal 3 4 2 10 2" xfId="34244"/>
    <cellStyle name="Normal 3 4 2 10 2 2" xfId="34245"/>
    <cellStyle name="Normal 3 4 2 10 3" xfId="34246"/>
    <cellStyle name="Normal 3 4 2 11" xfId="34247"/>
    <cellStyle name="Normal 3 4 2 11 2" xfId="34248"/>
    <cellStyle name="Normal 3 4 2 12" xfId="34249"/>
    <cellStyle name="Normal 3 4 2 12 2" xfId="34250"/>
    <cellStyle name="Normal 3 4 2 13" xfId="34251"/>
    <cellStyle name="Normal 3 4 2 14" xfId="34252"/>
    <cellStyle name="Normal 3 4 2 2" xfId="34253"/>
    <cellStyle name="Normal 3 4 2 2 2" xfId="34254"/>
    <cellStyle name="Normal 3 4 2 2 2 2" xfId="34255"/>
    <cellStyle name="Normal 3 4 2 2 2 2 2" xfId="34256"/>
    <cellStyle name="Normal 3 4 2 2 2 2 2 2" xfId="34257"/>
    <cellStyle name="Normal 3 4 2 2 2 2 2 2 2" xfId="34258"/>
    <cellStyle name="Normal 3 4 2 2 2 2 2 3" xfId="34259"/>
    <cellStyle name="Normal 3 4 2 2 2 2 2 3 2" xfId="34260"/>
    <cellStyle name="Normal 3 4 2 2 2 2 2 4" xfId="34261"/>
    <cellStyle name="Normal 3 4 2 2 2 2 3" xfId="34262"/>
    <cellStyle name="Normal 3 4 2 2 2 2 3 2" xfId="47988"/>
    <cellStyle name="Normal 3 4 2 2 2 2 4" xfId="34263"/>
    <cellStyle name="Normal 3 4 2 2 2 2 4 2" xfId="34264"/>
    <cellStyle name="Normal 3 4 2 2 2 2 5" xfId="34265"/>
    <cellStyle name="Normal 3 4 2 2 2 2_IAS" xfId="34266"/>
    <cellStyle name="Normal 3 4 2 2 2 3" xfId="34267"/>
    <cellStyle name="Normal 3 4 2 2 2 3 2" xfId="34268"/>
    <cellStyle name="Normal 3 4 2 2 2 3 2 2" xfId="34269"/>
    <cellStyle name="Normal 3 4 2 2 2 3 3" xfId="34270"/>
    <cellStyle name="Normal 3 4 2 2 2 3 3 2" xfId="34271"/>
    <cellStyle name="Normal 3 4 2 2 2 3 4" xfId="34272"/>
    <cellStyle name="Normal 3 4 2 2 2 4" xfId="34273"/>
    <cellStyle name="Normal 3 4 2 2 2 4 2" xfId="47989"/>
    <cellStyle name="Normal 3 4 2 2 2 5" xfId="34274"/>
    <cellStyle name="Normal 3 4 2 2 2 5 2" xfId="34275"/>
    <cellStyle name="Normal 3 4 2 2 2 6" xfId="34276"/>
    <cellStyle name="Normal 3 4 2 2 2_IAS" xfId="34277"/>
    <cellStyle name="Normal 3 4 2 2 3" xfId="34278"/>
    <cellStyle name="Normal 3 4 2 2 3 2" xfId="34279"/>
    <cellStyle name="Normal 3 4 2 2 3 2 2" xfId="34280"/>
    <cellStyle name="Normal 3 4 2 2 3 2 2 2" xfId="34281"/>
    <cellStyle name="Normal 3 4 2 2 3 2 3" xfId="34282"/>
    <cellStyle name="Normal 3 4 2 2 3 2 3 2" xfId="34283"/>
    <cellStyle name="Normal 3 4 2 2 3 2 4" xfId="34284"/>
    <cellStyle name="Normal 3 4 2 2 3 3" xfId="34285"/>
    <cellStyle name="Normal 3 4 2 2 3 3 2" xfId="47990"/>
    <cellStyle name="Normal 3 4 2 2 3 4" xfId="34286"/>
    <cellStyle name="Normal 3 4 2 2 3 4 2" xfId="34287"/>
    <cellStyle name="Normal 3 4 2 2 3 5" xfId="34288"/>
    <cellStyle name="Normal 3 4 2 2 3_IAS" xfId="34289"/>
    <cellStyle name="Normal 3 4 2 2 4" xfId="34290"/>
    <cellStyle name="Normal 3 4 2 2 4 2" xfId="34291"/>
    <cellStyle name="Normal 3 4 2 2 4 2 2" xfId="34292"/>
    <cellStyle name="Normal 3 4 2 2 4 3" xfId="34293"/>
    <cellStyle name="Normal 3 4 2 2 4 3 2" xfId="34294"/>
    <cellStyle name="Normal 3 4 2 2 4 4" xfId="34295"/>
    <cellStyle name="Normal 3 4 2 2 5" xfId="34296"/>
    <cellStyle name="Normal 3 4 2 2 5 2" xfId="47991"/>
    <cellStyle name="Normal 3 4 2 2 6" xfId="34297"/>
    <cellStyle name="Normal 3 4 2 2 6 2" xfId="34298"/>
    <cellStyle name="Normal 3 4 2 2 7" xfId="34299"/>
    <cellStyle name="Normal 3 4 2 2_IAS" xfId="34300"/>
    <cellStyle name="Normal 3 4 2 3" xfId="34301"/>
    <cellStyle name="Normal 3 4 2 3 2" xfId="34302"/>
    <cellStyle name="Normal 3 4 2 3 2 2" xfId="34303"/>
    <cellStyle name="Normal 3 4 2 3 2 2 2" xfId="34304"/>
    <cellStyle name="Normal 3 4 2 3 2 2 2 2" xfId="34305"/>
    <cellStyle name="Normal 3 4 2 3 2 2 2 2 2" xfId="34306"/>
    <cellStyle name="Normal 3 4 2 3 2 2 2 3" xfId="34307"/>
    <cellStyle name="Normal 3 4 2 3 2 2 2 3 2" xfId="34308"/>
    <cellStyle name="Normal 3 4 2 3 2 2 2 4" xfId="34309"/>
    <cellStyle name="Normal 3 4 2 3 2 2 3" xfId="34310"/>
    <cellStyle name="Normal 3 4 2 3 2 2 3 2" xfId="47992"/>
    <cellStyle name="Normal 3 4 2 3 2 2 4" xfId="34311"/>
    <cellStyle name="Normal 3 4 2 3 2 2 4 2" xfId="34312"/>
    <cellStyle name="Normal 3 4 2 3 2 2 5" xfId="34313"/>
    <cellStyle name="Normal 3 4 2 3 2 2_IAS" xfId="34314"/>
    <cellStyle name="Normal 3 4 2 3 2 3" xfId="34315"/>
    <cellStyle name="Normal 3 4 2 3 2 3 2" xfId="34316"/>
    <cellStyle name="Normal 3 4 2 3 2 3 2 2" xfId="34317"/>
    <cellStyle name="Normal 3 4 2 3 2 3 3" xfId="34318"/>
    <cellStyle name="Normal 3 4 2 3 2 3 3 2" xfId="34319"/>
    <cellStyle name="Normal 3 4 2 3 2 3 4" xfId="34320"/>
    <cellStyle name="Normal 3 4 2 3 2 4" xfId="34321"/>
    <cellStyle name="Normal 3 4 2 3 2 4 2" xfId="47993"/>
    <cellStyle name="Normal 3 4 2 3 2 5" xfId="34322"/>
    <cellStyle name="Normal 3 4 2 3 2 5 2" xfId="34323"/>
    <cellStyle name="Normal 3 4 2 3 2 6" xfId="34324"/>
    <cellStyle name="Normal 3 4 2 3 2_IAS" xfId="34325"/>
    <cellStyle name="Normal 3 4 2 3 3" xfId="34326"/>
    <cellStyle name="Normal 3 4 2 3 3 2" xfId="34327"/>
    <cellStyle name="Normal 3 4 2 3 3 2 2" xfId="34328"/>
    <cellStyle name="Normal 3 4 2 3 3 2 2 2" xfId="34329"/>
    <cellStyle name="Normal 3 4 2 3 3 2 3" xfId="34330"/>
    <cellStyle name="Normal 3 4 2 3 3 2 3 2" xfId="34331"/>
    <cellStyle name="Normal 3 4 2 3 3 2 4" xfId="34332"/>
    <cellStyle name="Normal 3 4 2 3 3 3" xfId="34333"/>
    <cellStyle name="Normal 3 4 2 3 3 3 2" xfId="47994"/>
    <cellStyle name="Normal 3 4 2 3 3 4" xfId="34334"/>
    <cellStyle name="Normal 3 4 2 3 3 4 2" xfId="34335"/>
    <cellStyle name="Normal 3 4 2 3 3 5" xfId="34336"/>
    <cellStyle name="Normal 3 4 2 3 3_IAS" xfId="34337"/>
    <cellStyle name="Normal 3 4 2 3 4" xfId="34338"/>
    <cellStyle name="Normal 3 4 2 3 4 2" xfId="34339"/>
    <cellStyle name="Normal 3 4 2 3 4 2 2" xfId="34340"/>
    <cellStyle name="Normal 3 4 2 3 4 3" xfId="34341"/>
    <cellStyle name="Normal 3 4 2 3 4 3 2" xfId="34342"/>
    <cellStyle name="Normal 3 4 2 3 4 4" xfId="34343"/>
    <cellStyle name="Normal 3 4 2 3 5" xfId="34344"/>
    <cellStyle name="Normal 3 4 2 3 5 2" xfId="47995"/>
    <cellStyle name="Normal 3 4 2 3 6" xfId="34345"/>
    <cellStyle name="Normal 3 4 2 3 6 2" xfId="34346"/>
    <cellStyle name="Normal 3 4 2 3 7" xfId="34347"/>
    <cellStyle name="Normal 3 4 2 3_IAS" xfId="34348"/>
    <cellStyle name="Normal 3 4 2 4" xfId="34349"/>
    <cellStyle name="Normal 3 4 2 4 2" xfId="47996"/>
    <cellStyle name="Normal 3 4 2 5" xfId="34350"/>
    <cellStyle name="Normal 3 4 2 5 2" xfId="34351"/>
    <cellStyle name="Normal 3 4 2 5 2 2" xfId="34352"/>
    <cellStyle name="Normal 3 4 2 5 2 2 2" xfId="34353"/>
    <cellStyle name="Normal 3 4 2 5 2 2 2 2" xfId="34354"/>
    <cellStyle name="Normal 3 4 2 5 2 2 3" xfId="34355"/>
    <cellStyle name="Normal 3 4 2 5 2 2 3 2" xfId="34356"/>
    <cellStyle name="Normal 3 4 2 5 2 2 4" xfId="34357"/>
    <cellStyle name="Normal 3 4 2 5 2 3" xfId="34358"/>
    <cellStyle name="Normal 3 4 2 5 2 3 2" xfId="47997"/>
    <cellStyle name="Normal 3 4 2 5 2 4" xfId="34359"/>
    <cellStyle name="Normal 3 4 2 5 2 4 2" xfId="34360"/>
    <cellStyle name="Normal 3 4 2 5 2 5" xfId="34361"/>
    <cellStyle name="Normal 3 4 2 5 2_IAS" xfId="34362"/>
    <cellStyle name="Normal 3 4 2 5 3" xfId="34363"/>
    <cellStyle name="Normal 3 4 2 5 3 2" xfId="34364"/>
    <cellStyle name="Normal 3 4 2 5 3 2 2" xfId="34365"/>
    <cellStyle name="Normal 3 4 2 5 3 3" xfId="34366"/>
    <cellStyle name="Normal 3 4 2 5 3 3 2" xfId="34367"/>
    <cellStyle name="Normal 3 4 2 5 3 4" xfId="34368"/>
    <cellStyle name="Normal 3 4 2 5 4" xfId="34369"/>
    <cellStyle name="Normal 3 4 2 5 4 2" xfId="47998"/>
    <cellStyle name="Normal 3 4 2 5 5" xfId="34370"/>
    <cellStyle name="Normal 3 4 2 5 5 2" xfId="34371"/>
    <cellStyle name="Normal 3 4 2 5 6" xfId="34372"/>
    <cellStyle name="Normal 3 4 2 5_IAS" xfId="34373"/>
    <cellStyle name="Normal 3 4 2 6" xfId="34374"/>
    <cellStyle name="Normal 3 4 2 6 2" xfId="34375"/>
    <cellStyle name="Normal 3 4 2 6 2 2" xfId="34376"/>
    <cellStyle name="Normal 3 4 2 6 2 2 2" xfId="34377"/>
    <cellStyle name="Normal 3 4 2 6 2 3" xfId="34378"/>
    <cellStyle name="Normal 3 4 2 6 2 3 2" xfId="34379"/>
    <cellStyle name="Normal 3 4 2 6 2 4" xfId="34380"/>
    <cellStyle name="Normal 3 4 2 6 3" xfId="34381"/>
    <cellStyle name="Normal 3 4 2 6 3 2" xfId="47999"/>
    <cellStyle name="Normal 3 4 2 6 4" xfId="34382"/>
    <cellStyle name="Normal 3 4 2 6 4 2" xfId="34383"/>
    <cellStyle name="Normal 3 4 2 6 5" xfId="34384"/>
    <cellStyle name="Normal 3 4 2 6_IAS" xfId="34385"/>
    <cellStyle name="Normal 3 4 2 7" xfId="34386"/>
    <cellStyle name="Normal 3 4 2 7 2" xfId="34387"/>
    <cellStyle name="Normal 3 4 2 7 2 2" xfId="34388"/>
    <cellStyle name="Normal 3 4 2 7 3" xfId="34389"/>
    <cellStyle name="Normal 3 4 2 7 3 2" xfId="34390"/>
    <cellStyle name="Normal 3 4 2 7 4" xfId="34391"/>
    <cellStyle name="Normal 3 4 2 8" xfId="34392"/>
    <cellStyle name="Normal 3 4 2 8 2" xfId="34393"/>
    <cellStyle name="Normal 3 4 2 8 2 2" xfId="34394"/>
    <cellStyle name="Normal 3 4 2 8 3" xfId="34395"/>
    <cellStyle name="Normal 3 4 2 9" xfId="34396"/>
    <cellStyle name="Normal 3 4 2 9 2" xfId="34397"/>
    <cellStyle name="Normal 3 4 2 9 2 2" xfId="34398"/>
    <cellStyle name="Normal 3 4 2 9 3" xfId="34399"/>
    <cellStyle name="Normal 3 4 2_IAS" xfId="34400"/>
    <cellStyle name="Normal 3 4 20" xfId="52708"/>
    <cellStyle name="Normal 3 4 21" xfId="57644"/>
    <cellStyle name="Normal 3 4 22" xfId="57665"/>
    <cellStyle name="Normal 3 4 23" xfId="57666"/>
    <cellStyle name="Normal 3 4 24" xfId="57699"/>
    <cellStyle name="Normal 3 4 25" xfId="34217"/>
    <cellStyle name="Normal 3 4 3" xfId="34401"/>
    <cellStyle name="Normal 3 4 3 2" xfId="34402"/>
    <cellStyle name="Normal 3 4 3 2 2" xfId="34403"/>
    <cellStyle name="Normal 3 4 3 2 2 2" xfId="34404"/>
    <cellStyle name="Normal 3 4 3 2 2 2 2" xfId="34405"/>
    <cellStyle name="Normal 3 4 3 2 2 2 2 2" xfId="34406"/>
    <cellStyle name="Normal 3 4 3 2 2 2 3" xfId="34407"/>
    <cellStyle name="Normal 3 4 3 2 2 2 3 2" xfId="34408"/>
    <cellStyle name="Normal 3 4 3 2 2 2 4" xfId="34409"/>
    <cellStyle name="Normal 3 4 3 2 2 3" xfId="34410"/>
    <cellStyle name="Normal 3 4 3 2 2 3 2" xfId="48000"/>
    <cellStyle name="Normal 3 4 3 2 2 4" xfId="34411"/>
    <cellStyle name="Normal 3 4 3 2 2 4 2" xfId="34412"/>
    <cellStyle name="Normal 3 4 3 2 2 5" xfId="34413"/>
    <cellStyle name="Normal 3 4 3 2 2_IAS" xfId="34414"/>
    <cellStyle name="Normal 3 4 3 2 3" xfId="34415"/>
    <cellStyle name="Normal 3 4 3 2 3 2" xfId="34416"/>
    <cellStyle name="Normal 3 4 3 2 3 2 2" xfId="34417"/>
    <cellStyle name="Normal 3 4 3 2 3 3" xfId="34418"/>
    <cellStyle name="Normal 3 4 3 2 3 3 2" xfId="34419"/>
    <cellStyle name="Normal 3 4 3 2 3 4" xfId="34420"/>
    <cellStyle name="Normal 3 4 3 2 4" xfId="34421"/>
    <cellStyle name="Normal 3 4 3 2 4 2" xfId="48001"/>
    <cellStyle name="Normal 3 4 3 2 5" xfId="34422"/>
    <cellStyle name="Normal 3 4 3 2 5 2" xfId="34423"/>
    <cellStyle name="Normal 3 4 3 2 6" xfId="34424"/>
    <cellStyle name="Normal 3 4 3 2_IAS" xfId="34425"/>
    <cellStyle name="Normal 3 4 3 3" xfId="34426"/>
    <cellStyle name="Normal 3 4 3 3 2" xfId="34427"/>
    <cellStyle name="Normal 3 4 3 3 2 2" xfId="34428"/>
    <cellStyle name="Normal 3 4 3 3 2 2 2" xfId="34429"/>
    <cellStyle name="Normal 3 4 3 3 2 3" xfId="34430"/>
    <cellStyle name="Normal 3 4 3 3 2 3 2" xfId="34431"/>
    <cellStyle name="Normal 3 4 3 3 2 4" xfId="34432"/>
    <cellStyle name="Normal 3 4 3 3 3" xfId="34433"/>
    <cellStyle name="Normal 3 4 3 3 3 2" xfId="48002"/>
    <cellStyle name="Normal 3 4 3 3 4" xfId="34434"/>
    <cellStyle name="Normal 3 4 3 3 4 2" xfId="34435"/>
    <cellStyle name="Normal 3 4 3 3 5" xfId="34436"/>
    <cellStyle name="Normal 3 4 3 3_IAS" xfId="34437"/>
    <cellStyle name="Normal 3 4 3 4" xfId="34438"/>
    <cellStyle name="Normal 3 4 3 4 2" xfId="34439"/>
    <cellStyle name="Normal 3 4 3 4 2 2" xfId="34440"/>
    <cellStyle name="Normal 3 4 3 4 3" xfId="34441"/>
    <cellStyle name="Normal 3 4 3 4 3 2" xfId="34442"/>
    <cellStyle name="Normal 3 4 3 4 4" xfId="34443"/>
    <cellStyle name="Normal 3 4 3 5" xfId="34444"/>
    <cellStyle name="Normal 3 4 3 5 2" xfId="48003"/>
    <cellStyle name="Normal 3 4 3 6" xfId="34445"/>
    <cellStyle name="Normal 3 4 3 6 2" xfId="34446"/>
    <cellStyle name="Normal 3 4 3 7" xfId="34447"/>
    <cellStyle name="Normal 3 4 3_IAS" xfId="34448"/>
    <cellStyle name="Normal 3 4 4" xfId="34449"/>
    <cellStyle name="Normal 3 4 4 2" xfId="34450"/>
    <cellStyle name="Normal 3 4 4 2 2" xfId="34451"/>
    <cellStyle name="Normal 3 4 4 2 2 2" xfId="34452"/>
    <cellStyle name="Normal 3 4 4 2 2 2 2" xfId="34453"/>
    <cellStyle name="Normal 3 4 4 2 2 2 2 2" xfId="34454"/>
    <cellStyle name="Normal 3 4 4 2 2 2 3" xfId="34455"/>
    <cellStyle name="Normal 3 4 4 2 2 2 3 2" xfId="34456"/>
    <cellStyle name="Normal 3 4 4 2 2 2 4" xfId="34457"/>
    <cellStyle name="Normal 3 4 4 2 2 3" xfId="34458"/>
    <cellStyle name="Normal 3 4 4 2 2 3 2" xfId="48004"/>
    <cellStyle name="Normal 3 4 4 2 2 4" xfId="34459"/>
    <cellStyle name="Normal 3 4 4 2 2 4 2" xfId="34460"/>
    <cellStyle name="Normal 3 4 4 2 2 5" xfId="34461"/>
    <cellStyle name="Normal 3 4 4 2 2_IAS" xfId="34462"/>
    <cellStyle name="Normal 3 4 4 2 3" xfId="34463"/>
    <cellStyle name="Normal 3 4 4 2 3 2" xfId="34464"/>
    <cellStyle name="Normal 3 4 4 2 3 2 2" xfId="34465"/>
    <cellStyle name="Normal 3 4 4 2 3 3" xfId="34466"/>
    <cellStyle name="Normal 3 4 4 2 3 3 2" xfId="34467"/>
    <cellStyle name="Normal 3 4 4 2 3 4" xfId="34468"/>
    <cellStyle name="Normal 3 4 4 2 4" xfId="34469"/>
    <cellStyle name="Normal 3 4 4 2 4 2" xfId="48005"/>
    <cellStyle name="Normal 3 4 4 2 5" xfId="34470"/>
    <cellStyle name="Normal 3 4 4 2 5 2" xfId="34471"/>
    <cellStyle name="Normal 3 4 4 2 6" xfId="34472"/>
    <cellStyle name="Normal 3 4 4 2_IAS" xfId="34473"/>
    <cellStyle name="Normal 3 4 4 3" xfId="34474"/>
    <cellStyle name="Normal 3 4 4 3 2" xfId="34475"/>
    <cellStyle name="Normal 3 4 4 3 2 2" xfId="34476"/>
    <cellStyle name="Normal 3 4 4 3 2 2 2" xfId="34477"/>
    <cellStyle name="Normal 3 4 4 3 2 3" xfId="34478"/>
    <cellStyle name="Normal 3 4 4 3 2 3 2" xfId="34479"/>
    <cellStyle name="Normal 3 4 4 3 2 4" xfId="34480"/>
    <cellStyle name="Normal 3 4 4 3 3" xfId="34481"/>
    <cellStyle name="Normal 3 4 4 3 3 2" xfId="48006"/>
    <cellStyle name="Normal 3 4 4 3 4" xfId="34482"/>
    <cellStyle name="Normal 3 4 4 3 4 2" xfId="34483"/>
    <cellStyle name="Normal 3 4 4 3 5" xfId="34484"/>
    <cellStyle name="Normal 3 4 4 3_IAS" xfId="34485"/>
    <cellStyle name="Normal 3 4 4 4" xfId="34486"/>
    <cellStyle name="Normal 3 4 4 4 2" xfId="34487"/>
    <cellStyle name="Normal 3 4 4 4 2 2" xfId="34488"/>
    <cellStyle name="Normal 3 4 4 4 3" xfId="34489"/>
    <cellStyle name="Normal 3 4 4 4 3 2" xfId="34490"/>
    <cellStyle name="Normal 3 4 4 4 4" xfId="34491"/>
    <cellStyle name="Normal 3 4 4 5" xfId="34492"/>
    <cellStyle name="Normal 3 4 4 5 2" xfId="48007"/>
    <cellStyle name="Normal 3 4 4 6" xfId="34493"/>
    <cellStyle name="Normal 3 4 4 6 2" xfId="34494"/>
    <cellStyle name="Normal 3 4 4 7" xfId="34495"/>
    <cellStyle name="Normal 3 4 4_IAS" xfId="34496"/>
    <cellStyle name="Normal 3 4 5" xfId="34497"/>
    <cellStyle name="Normal 3 4 5 2" xfId="48008"/>
    <cellStyle name="Normal 3 4 6" xfId="34498"/>
    <cellStyle name="Normal 3 4 6 2" xfId="34499"/>
    <cellStyle name="Normal 3 4 6 2 2" xfId="34500"/>
    <cellStyle name="Normal 3 4 6 2 2 2" xfId="34501"/>
    <cellStyle name="Normal 3 4 6 2 2 2 2" xfId="34502"/>
    <cellStyle name="Normal 3 4 6 2 2 3" xfId="34503"/>
    <cellStyle name="Normal 3 4 6 2 2 3 2" xfId="34504"/>
    <cellStyle name="Normal 3 4 6 2 2 4" xfId="34505"/>
    <cellStyle name="Normal 3 4 6 2 3" xfId="34506"/>
    <cellStyle name="Normal 3 4 6 2 3 2" xfId="48009"/>
    <cellStyle name="Normal 3 4 6 2 4" xfId="34507"/>
    <cellStyle name="Normal 3 4 6 2 4 2" xfId="34508"/>
    <cellStyle name="Normal 3 4 6 2 5" xfId="34509"/>
    <cellStyle name="Normal 3 4 6 2_IAS" xfId="34510"/>
    <cellStyle name="Normal 3 4 6 3" xfId="34511"/>
    <cellStyle name="Normal 3 4 6 3 2" xfId="34512"/>
    <cellStyle name="Normal 3 4 6 3 2 2" xfId="34513"/>
    <cellStyle name="Normal 3 4 6 3 3" xfId="34514"/>
    <cellStyle name="Normal 3 4 6 3 3 2" xfId="34515"/>
    <cellStyle name="Normal 3 4 6 3 4" xfId="34516"/>
    <cellStyle name="Normal 3 4 6 4" xfId="34517"/>
    <cellStyle name="Normal 3 4 6 4 2" xfId="48010"/>
    <cellStyle name="Normal 3 4 6 5" xfId="34518"/>
    <cellStyle name="Normal 3 4 6 5 2" xfId="34519"/>
    <cellStyle name="Normal 3 4 6 6" xfId="34520"/>
    <cellStyle name="Normal 3 4 6_IAS" xfId="34521"/>
    <cellStyle name="Normal 3 4 7" xfId="34522"/>
    <cellStyle name="Normal 3 4 7 2" xfId="34523"/>
    <cellStyle name="Normal 3 4 7 2 2" xfId="34524"/>
    <cellStyle name="Normal 3 4 7 2 2 2" xfId="34525"/>
    <cellStyle name="Normal 3 4 7 2 3" xfId="34526"/>
    <cellStyle name="Normal 3 4 7 2 3 2" xfId="34527"/>
    <cellStyle name="Normal 3 4 7 2 4" xfId="34528"/>
    <cellStyle name="Normal 3 4 7 3" xfId="34529"/>
    <cellStyle name="Normal 3 4 7 3 2" xfId="48011"/>
    <cellStyle name="Normal 3 4 7 4" xfId="34530"/>
    <cellStyle name="Normal 3 4 7 4 2" xfId="34531"/>
    <cellStyle name="Normal 3 4 7 5" xfId="34532"/>
    <cellStyle name="Normal 3 4 7_IAS" xfId="34533"/>
    <cellStyle name="Normal 3 4 8" xfId="34534"/>
    <cellStyle name="Normal 3 4 8 2" xfId="34535"/>
    <cellStyle name="Normal 3 4 8 2 2" xfId="34536"/>
    <cellStyle name="Normal 3 4 8 3" xfId="48012"/>
    <cellStyle name="Normal 3 4 9" xfId="34537"/>
    <cellStyle name="Normal 3 4 9 2" xfId="48013"/>
    <cellStyle name="Normal 3 4_AGF" xfId="34538"/>
    <cellStyle name="Normal 3 5" xfId="996"/>
    <cellStyle name="Normal 3 5 2" xfId="997"/>
    <cellStyle name="Normal 3 5 2 2" xfId="48015"/>
    <cellStyle name="Normal 3 5 2 3" xfId="52709"/>
    <cellStyle name="Normal 3 5 2 4" xfId="34540"/>
    <cellStyle name="Normal 3 5 3" xfId="1800"/>
    <cellStyle name="Normal 3 5 3 2" xfId="4925"/>
    <cellStyle name="Normal 3 5 3 2 2" xfId="11128"/>
    <cellStyle name="Normal 3 5 3 2 3" xfId="17330"/>
    <cellStyle name="Normal 3 5 3 2 4" xfId="56194"/>
    <cellStyle name="Normal 3 5 3 3" xfId="8028"/>
    <cellStyle name="Normal 3 5 3 3 2" xfId="53300"/>
    <cellStyle name="Normal 3 5 3 4" xfId="14230"/>
    <cellStyle name="Normal 3 5 3 5" xfId="48014"/>
    <cellStyle name="Normal 3 5 4" xfId="3167"/>
    <cellStyle name="Normal 3 5 4 2" xfId="6279"/>
    <cellStyle name="Normal 3 5 4 2 2" xfId="12482"/>
    <cellStyle name="Normal 3 5 4 2 3" xfId="18684"/>
    <cellStyle name="Normal 3 5 4 2 4" xfId="57487"/>
    <cellStyle name="Normal 3 5 4 3" xfId="9382"/>
    <cellStyle name="Normal 3 5 4 4" xfId="15584"/>
    <cellStyle name="Normal 3 5 4 5" xfId="54584"/>
    <cellStyle name="Normal 3 5 5" xfId="4207"/>
    <cellStyle name="Normal 3 5 5 2" xfId="10411"/>
    <cellStyle name="Normal 3 5 5 3" xfId="16613"/>
    <cellStyle name="Normal 3 5 5 4" xfId="55538"/>
    <cellStyle name="Normal 3 5 6" xfId="7310"/>
    <cellStyle name="Normal 3 5 6 2" xfId="19401"/>
    <cellStyle name="Normal 3 5 7" xfId="13512"/>
    <cellStyle name="Normal 3 5 8" xfId="34539"/>
    <cellStyle name="Normal 3 6" xfId="34541"/>
    <cellStyle name="Normal 3 6 2" xfId="48016"/>
    <cellStyle name="Normal 3 7" xfId="34542"/>
    <cellStyle name="Normal 3 7 2" xfId="48017"/>
    <cellStyle name="Normal 3 8" xfId="34543"/>
    <cellStyle name="Normal 3 8 2" xfId="48018"/>
    <cellStyle name="Normal 3 9" xfId="34544"/>
    <cellStyle name="Normal 3 9 2" xfId="48019"/>
    <cellStyle name="Normal 3_FYFC" xfId="34545"/>
    <cellStyle name="Normal 30" xfId="3342"/>
    <cellStyle name="Normal 30 2" xfId="34547"/>
    <cellStyle name="Normal 30 2 2" xfId="34548"/>
    <cellStyle name="Normal 30 2 2 2" xfId="48022"/>
    <cellStyle name="Normal 30 2 3" xfId="48021"/>
    <cellStyle name="Normal 30 3" xfId="34549"/>
    <cellStyle name="Normal 30 3 2" xfId="34550"/>
    <cellStyle name="Normal 30 3 2 2" xfId="34551"/>
    <cellStyle name="Normal 30 3 3" xfId="34552"/>
    <cellStyle name="Normal 30 4" xfId="48020"/>
    <cellStyle name="Normal 30 5" xfId="54721"/>
    <cellStyle name="Normal 30 6" xfId="34546"/>
    <cellStyle name="Normal 30_IAS" xfId="34553"/>
    <cellStyle name="Normal 31" xfId="3341"/>
    <cellStyle name="Normal 31 2" xfId="34555"/>
    <cellStyle name="Normal 31 2 2" xfId="48024"/>
    <cellStyle name="Normal 31 3" xfId="34556"/>
    <cellStyle name="Normal 31 3 2" xfId="48025"/>
    <cellStyle name="Normal 31 4" xfId="34557"/>
    <cellStyle name="Normal 31 4 2" xfId="48026"/>
    <cellStyle name="Normal 31 5" xfId="48023"/>
    <cellStyle name="Normal 31 6" xfId="54720"/>
    <cellStyle name="Normal 31 7" xfId="34554"/>
    <cellStyle name="Normal 31_IAS" xfId="34558"/>
    <cellStyle name="Normal 32" xfId="3346"/>
    <cellStyle name="Normal 32 10" xfId="34560"/>
    <cellStyle name="Normal 32 10 2" xfId="48028"/>
    <cellStyle name="Normal 32 11" xfId="34561"/>
    <cellStyle name="Normal 32 11 2" xfId="34562"/>
    <cellStyle name="Normal 32 11 2 2" xfId="34563"/>
    <cellStyle name="Normal 32 11 3" xfId="34564"/>
    <cellStyle name="Normal 32 12" xfId="48027"/>
    <cellStyle name="Normal 32 13" xfId="34559"/>
    <cellStyle name="Normal 32 2" xfId="9551"/>
    <cellStyle name="Normal 32 2 10" xfId="34566"/>
    <cellStyle name="Normal 32 2 10 2" xfId="34567"/>
    <cellStyle name="Normal 32 2 10 2 2" xfId="34568"/>
    <cellStyle name="Normal 32 2 10 3" xfId="34569"/>
    <cellStyle name="Normal 32 2 11" xfId="34570"/>
    <cellStyle name="Normal 32 2 11 2" xfId="34571"/>
    <cellStyle name="Normal 32 2 12" xfId="34572"/>
    <cellStyle name="Normal 32 2 12 2" xfId="34573"/>
    <cellStyle name="Normal 32 2 13" xfId="34574"/>
    <cellStyle name="Normal 32 2 14" xfId="34575"/>
    <cellStyle name="Normal 32 2 15" xfId="34565"/>
    <cellStyle name="Normal 32 2 2" xfId="34576"/>
    <cellStyle name="Normal 32 2 2 2" xfId="34577"/>
    <cellStyle name="Normal 32 2 2 2 2" xfId="34578"/>
    <cellStyle name="Normal 32 2 2 2 2 2" xfId="34579"/>
    <cellStyle name="Normal 32 2 2 2 2 2 2" xfId="34580"/>
    <cellStyle name="Normal 32 2 2 2 2 2 2 2" xfId="34581"/>
    <cellStyle name="Normal 32 2 2 2 2 2 3" xfId="34582"/>
    <cellStyle name="Normal 32 2 2 2 2 2 3 2" xfId="34583"/>
    <cellStyle name="Normal 32 2 2 2 2 2 4" xfId="34584"/>
    <cellStyle name="Normal 32 2 2 2 2 3" xfId="34585"/>
    <cellStyle name="Normal 32 2 2 2 2 3 2" xfId="48029"/>
    <cellStyle name="Normal 32 2 2 2 2 4" xfId="34586"/>
    <cellStyle name="Normal 32 2 2 2 2 4 2" xfId="34587"/>
    <cellStyle name="Normal 32 2 2 2 2 5" xfId="34588"/>
    <cellStyle name="Normal 32 2 2 2 2_IAS" xfId="34589"/>
    <cellStyle name="Normal 32 2 2 2 3" xfId="34590"/>
    <cellStyle name="Normal 32 2 2 2 3 2" xfId="34591"/>
    <cellStyle name="Normal 32 2 2 2 3 2 2" xfId="34592"/>
    <cellStyle name="Normal 32 2 2 2 3 3" xfId="34593"/>
    <cellStyle name="Normal 32 2 2 2 3 3 2" xfId="34594"/>
    <cellStyle name="Normal 32 2 2 2 3 4" xfId="34595"/>
    <cellStyle name="Normal 32 2 2 2 4" xfId="34596"/>
    <cellStyle name="Normal 32 2 2 2 4 2" xfId="48030"/>
    <cellStyle name="Normal 32 2 2 2 5" xfId="34597"/>
    <cellStyle name="Normal 32 2 2 2 5 2" xfId="34598"/>
    <cellStyle name="Normal 32 2 2 2 6" xfId="34599"/>
    <cellStyle name="Normal 32 2 2 2_IAS" xfId="34600"/>
    <cellStyle name="Normal 32 2 2 3" xfId="34601"/>
    <cellStyle name="Normal 32 2 2 3 2" xfId="34602"/>
    <cellStyle name="Normal 32 2 2 3 2 2" xfId="34603"/>
    <cellStyle name="Normal 32 2 2 3 2 2 2" xfId="34604"/>
    <cellStyle name="Normal 32 2 2 3 2 3" xfId="34605"/>
    <cellStyle name="Normal 32 2 2 3 2 3 2" xfId="34606"/>
    <cellStyle name="Normal 32 2 2 3 2 4" xfId="34607"/>
    <cellStyle name="Normal 32 2 2 3 3" xfId="34608"/>
    <cellStyle name="Normal 32 2 2 3 3 2" xfId="48031"/>
    <cellStyle name="Normal 32 2 2 3 4" xfId="34609"/>
    <cellStyle name="Normal 32 2 2 3 4 2" xfId="34610"/>
    <cellStyle name="Normal 32 2 2 3 5" xfId="34611"/>
    <cellStyle name="Normal 32 2 2 3_IAS" xfId="34612"/>
    <cellStyle name="Normal 32 2 2 4" xfId="34613"/>
    <cellStyle name="Normal 32 2 2 4 2" xfId="34614"/>
    <cellStyle name="Normal 32 2 2 4 2 2" xfId="34615"/>
    <cellStyle name="Normal 32 2 2 4 3" xfId="34616"/>
    <cellStyle name="Normal 32 2 2 4 3 2" xfId="34617"/>
    <cellStyle name="Normal 32 2 2 4 4" xfId="34618"/>
    <cellStyle name="Normal 32 2 2 5" xfId="34619"/>
    <cellStyle name="Normal 32 2 2 5 2" xfId="48032"/>
    <cellStyle name="Normal 32 2 2 6" xfId="34620"/>
    <cellStyle name="Normal 32 2 2 6 2" xfId="34621"/>
    <cellStyle name="Normal 32 2 2 7" xfId="34622"/>
    <cellStyle name="Normal 32 2 2_IAS" xfId="34623"/>
    <cellStyle name="Normal 32 2 3" xfId="34624"/>
    <cellStyle name="Normal 32 2 3 2" xfId="34625"/>
    <cellStyle name="Normal 32 2 3 2 2" xfId="34626"/>
    <cellStyle name="Normal 32 2 3 2 2 2" xfId="34627"/>
    <cellStyle name="Normal 32 2 3 2 2 2 2" xfId="34628"/>
    <cellStyle name="Normal 32 2 3 2 2 2 2 2" xfId="34629"/>
    <cellStyle name="Normal 32 2 3 2 2 2 3" xfId="34630"/>
    <cellStyle name="Normal 32 2 3 2 2 2 3 2" xfId="34631"/>
    <cellStyle name="Normal 32 2 3 2 2 2 4" xfId="34632"/>
    <cellStyle name="Normal 32 2 3 2 2 3" xfId="34633"/>
    <cellStyle name="Normal 32 2 3 2 2 3 2" xfId="48033"/>
    <cellStyle name="Normal 32 2 3 2 2 4" xfId="34634"/>
    <cellStyle name="Normal 32 2 3 2 2 4 2" xfId="34635"/>
    <cellStyle name="Normal 32 2 3 2 2 5" xfId="34636"/>
    <cellStyle name="Normal 32 2 3 2 2_IAS" xfId="34637"/>
    <cellStyle name="Normal 32 2 3 2 3" xfId="34638"/>
    <cellStyle name="Normal 32 2 3 2 3 2" xfId="34639"/>
    <cellStyle name="Normal 32 2 3 2 3 2 2" xfId="34640"/>
    <cellStyle name="Normal 32 2 3 2 3 3" xfId="34641"/>
    <cellStyle name="Normal 32 2 3 2 3 3 2" xfId="34642"/>
    <cellStyle name="Normal 32 2 3 2 3 4" xfId="34643"/>
    <cellStyle name="Normal 32 2 3 2 4" xfId="34644"/>
    <cellStyle name="Normal 32 2 3 2 4 2" xfId="48034"/>
    <cellStyle name="Normal 32 2 3 2 5" xfId="34645"/>
    <cellStyle name="Normal 32 2 3 2 5 2" xfId="34646"/>
    <cellStyle name="Normal 32 2 3 2 6" xfId="34647"/>
    <cellStyle name="Normal 32 2 3 2_IAS" xfId="34648"/>
    <cellStyle name="Normal 32 2 3 3" xfId="34649"/>
    <cellStyle name="Normal 32 2 3 3 2" xfId="34650"/>
    <cellStyle name="Normal 32 2 3 3 2 2" xfId="34651"/>
    <cellStyle name="Normal 32 2 3 3 2 2 2" xfId="34652"/>
    <cellStyle name="Normal 32 2 3 3 2 3" xfId="34653"/>
    <cellStyle name="Normal 32 2 3 3 2 3 2" xfId="34654"/>
    <cellStyle name="Normal 32 2 3 3 2 4" xfId="34655"/>
    <cellStyle name="Normal 32 2 3 3 3" xfId="34656"/>
    <cellStyle name="Normal 32 2 3 3 3 2" xfId="48035"/>
    <cellStyle name="Normal 32 2 3 3 4" xfId="34657"/>
    <cellStyle name="Normal 32 2 3 3 4 2" xfId="34658"/>
    <cellStyle name="Normal 32 2 3 3 5" xfId="34659"/>
    <cellStyle name="Normal 32 2 3 3_IAS" xfId="34660"/>
    <cellStyle name="Normal 32 2 3 4" xfId="34661"/>
    <cellStyle name="Normal 32 2 3 4 2" xfId="34662"/>
    <cellStyle name="Normal 32 2 3 4 2 2" xfId="34663"/>
    <cellStyle name="Normal 32 2 3 4 3" xfId="34664"/>
    <cellStyle name="Normal 32 2 3 4 3 2" xfId="34665"/>
    <cellStyle name="Normal 32 2 3 4 4" xfId="34666"/>
    <cellStyle name="Normal 32 2 3 5" xfId="34667"/>
    <cellStyle name="Normal 32 2 3 5 2" xfId="48036"/>
    <cellStyle name="Normal 32 2 3 6" xfId="34668"/>
    <cellStyle name="Normal 32 2 3 6 2" xfId="34669"/>
    <cellStyle name="Normal 32 2 3 7" xfId="34670"/>
    <cellStyle name="Normal 32 2 3_IAS" xfId="34671"/>
    <cellStyle name="Normal 32 2 4" xfId="34672"/>
    <cellStyle name="Normal 32 2 4 2" xfId="48037"/>
    <cellStyle name="Normal 32 2 5" xfId="34673"/>
    <cellStyle name="Normal 32 2 5 2" xfId="34674"/>
    <cellStyle name="Normal 32 2 5 2 2" xfId="34675"/>
    <cellStyle name="Normal 32 2 5 2 2 2" xfId="34676"/>
    <cellStyle name="Normal 32 2 5 2 2 2 2" xfId="34677"/>
    <cellStyle name="Normal 32 2 5 2 2 3" xfId="34678"/>
    <cellStyle name="Normal 32 2 5 2 2 3 2" xfId="34679"/>
    <cellStyle name="Normal 32 2 5 2 2 4" xfId="34680"/>
    <cellStyle name="Normal 32 2 5 2 3" xfId="34681"/>
    <cellStyle name="Normal 32 2 5 2 3 2" xfId="48038"/>
    <cellStyle name="Normal 32 2 5 2 4" xfId="34682"/>
    <cellStyle name="Normal 32 2 5 2 4 2" xfId="34683"/>
    <cellStyle name="Normal 32 2 5 2 5" xfId="34684"/>
    <cellStyle name="Normal 32 2 5 2_IAS" xfId="34685"/>
    <cellStyle name="Normal 32 2 5 3" xfId="34686"/>
    <cellStyle name="Normal 32 2 5 3 2" xfId="34687"/>
    <cellStyle name="Normal 32 2 5 3 2 2" xfId="34688"/>
    <cellStyle name="Normal 32 2 5 3 3" xfId="34689"/>
    <cellStyle name="Normal 32 2 5 3 3 2" xfId="34690"/>
    <cellStyle name="Normal 32 2 5 3 4" xfId="34691"/>
    <cellStyle name="Normal 32 2 5 4" xfId="34692"/>
    <cellStyle name="Normal 32 2 5 4 2" xfId="48039"/>
    <cellStyle name="Normal 32 2 5 5" xfId="34693"/>
    <cellStyle name="Normal 32 2 5 5 2" xfId="34694"/>
    <cellStyle name="Normal 32 2 5 6" xfId="34695"/>
    <cellStyle name="Normal 32 2 5_IAS" xfId="34696"/>
    <cellStyle name="Normal 32 2 6" xfId="34697"/>
    <cellStyle name="Normal 32 2 6 2" xfId="34698"/>
    <cellStyle name="Normal 32 2 6 2 2" xfId="34699"/>
    <cellStyle name="Normal 32 2 6 2 2 2" xfId="34700"/>
    <cellStyle name="Normal 32 2 6 2 3" xfId="34701"/>
    <cellStyle name="Normal 32 2 6 2 3 2" xfId="34702"/>
    <cellStyle name="Normal 32 2 6 2 4" xfId="34703"/>
    <cellStyle name="Normal 32 2 6 3" xfId="34704"/>
    <cellStyle name="Normal 32 2 6 3 2" xfId="48040"/>
    <cellStyle name="Normal 32 2 6 4" xfId="34705"/>
    <cellStyle name="Normal 32 2 6 4 2" xfId="34706"/>
    <cellStyle name="Normal 32 2 6 5" xfId="34707"/>
    <cellStyle name="Normal 32 2 6_IAS" xfId="34708"/>
    <cellStyle name="Normal 32 2 7" xfId="34709"/>
    <cellStyle name="Normal 32 2 7 2" xfId="34710"/>
    <cellStyle name="Normal 32 2 7 2 2" xfId="34711"/>
    <cellStyle name="Normal 32 2 7 3" xfId="34712"/>
    <cellStyle name="Normal 32 2 7 3 2" xfId="34713"/>
    <cellStyle name="Normal 32 2 7 4" xfId="34714"/>
    <cellStyle name="Normal 32 2 8" xfId="34715"/>
    <cellStyle name="Normal 32 2 8 2" xfId="34716"/>
    <cellStyle name="Normal 32 2 8 2 2" xfId="34717"/>
    <cellStyle name="Normal 32 2 8 3" xfId="34718"/>
    <cellStyle name="Normal 32 2 9" xfId="34719"/>
    <cellStyle name="Normal 32 2 9 2" xfId="34720"/>
    <cellStyle name="Normal 32 2 9 2 2" xfId="34721"/>
    <cellStyle name="Normal 32 2 9 3" xfId="34722"/>
    <cellStyle name="Normal 32 2_IAS" xfId="34723"/>
    <cellStyle name="Normal 32 3" xfId="15753"/>
    <cellStyle name="Normal 32 3 2" xfId="48041"/>
    <cellStyle name="Normal 32 3 3" xfId="34724"/>
    <cellStyle name="Normal 32 4" xfId="34725"/>
    <cellStyle name="Normal 32 4 2" xfId="48042"/>
    <cellStyle name="Normal 32 5" xfId="34726"/>
    <cellStyle name="Normal 32 5 2" xfId="48043"/>
    <cellStyle name="Normal 32 6" xfId="34727"/>
    <cellStyle name="Normal 32 6 2" xfId="48044"/>
    <cellStyle name="Normal 32 7" xfId="34728"/>
    <cellStyle name="Normal 32 7 2" xfId="48045"/>
    <cellStyle name="Normal 32 8" xfId="34729"/>
    <cellStyle name="Normal 32 8 2" xfId="48046"/>
    <cellStyle name="Normal 32 9" xfId="34730"/>
    <cellStyle name="Normal 32 9 2" xfId="48047"/>
    <cellStyle name="Normal 32_IAS" xfId="34731"/>
    <cellStyle name="Normal 33" xfId="3348"/>
    <cellStyle name="Normal 33 10" xfId="34733"/>
    <cellStyle name="Normal 33 10 2" xfId="48049"/>
    <cellStyle name="Normal 33 11" xfId="34734"/>
    <cellStyle name="Normal 33 11 2" xfId="34735"/>
    <cellStyle name="Normal 33 11 2 2" xfId="34736"/>
    <cellStyle name="Normal 33 11 3" xfId="34737"/>
    <cellStyle name="Normal 33 12" xfId="34738"/>
    <cellStyle name="Normal 33 12 2" xfId="34739"/>
    <cellStyle name="Normal 33 12 2 2" xfId="34740"/>
    <cellStyle name="Normal 33 12 3" xfId="34741"/>
    <cellStyle name="Normal 33 13" xfId="34742"/>
    <cellStyle name="Normal 33 13 2" xfId="34743"/>
    <cellStyle name="Normal 33 13 2 2" xfId="34744"/>
    <cellStyle name="Normal 33 13 3" xfId="34745"/>
    <cellStyle name="Normal 33 14" xfId="34746"/>
    <cellStyle name="Normal 33 14 2" xfId="34747"/>
    <cellStyle name="Normal 33 15" xfId="34748"/>
    <cellStyle name="Normal 33 16" xfId="48048"/>
    <cellStyle name="Normal 33 17" xfId="54726"/>
    <cellStyle name="Normal 33 18" xfId="34732"/>
    <cellStyle name="Normal 33 2" xfId="34749"/>
    <cellStyle name="Normal 33 2 10" xfId="34750"/>
    <cellStyle name="Normal 33 2 10 2" xfId="34751"/>
    <cellStyle name="Normal 33 2 10 2 2" xfId="34752"/>
    <cellStyle name="Normal 33 2 10 3" xfId="34753"/>
    <cellStyle name="Normal 33 2 11" xfId="34754"/>
    <cellStyle name="Normal 33 2 11 2" xfId="34755"/>
    <cellStyle name="Normal 33 2 12" xfId="34756"/>
    <cellStyle name="Normal 33 2 12 2" xfId="34757"/>
    <cellStyle name="Normal 33 2 13" xfId="34758"/>
    <cellStyle name="Normal 33 2 14" xfId="34759"/>
    <cellStyle name="Normal 33 2 2" xfId="34760"/>
    <cellStyle name="Normal 33 2 2 2" xfId="34761"/>
    <cellStyle name="Normal 33 2 2 2 2" xfId="34762"/>
    <cellStyle name="Normal 33 2 2 2 2 2" xfId="34763"/>
    <cellStyle name="Normal 33 2 2 2 2 2 2" xfId="34764"/>
    <cellStyle name="Normal 33 2 2 2 2 2 2 2" xfId="34765"/>
    <cellStyle name="Normal 33 2 2 2 2 2 3" xfId="34766"/>
    <cellStyle name="Normal 33 2 2 2 2 2 3 2" xfId="34767"/>
    <cellStyle name="Normal 33 2 2 2 2 2 4" xfId="34768"/>
    <cellStyle name="Normal 33 2 2 2 2 3" xfId="34769"/>
    <cellStyle name="Normal 33 2 2 2 2 3 2" xfId="48050"/>
    <cellStyle name="Normal 33 2 2 2 2 4" xfId="34770"/>
    <cellStyle name="Normal 33 2 2 2 2 4 2" xfId="34771"/>
    <cellStyle name="Normal 33 2 2 2 2 5" xfId="34772"/>
    <cellStyle name="Normal 33 2 2 2 2_IAS" xfId="34773"/>
    <cellStyle name="Normal 33 2 2 2 3" xfId="34774"/>
    <cellStyle name="Normal 33 2 2 2 3 2" xfId="34775"/>
    <cellStyle name="Normal 33 2 2 2 3 2 2" xfId="34776"/>
    <cellStyle name="Normal 33 2 2 2 3 3" xfId="34777"/>
    <cellStyle name="Normal 33 2 2 2 3 3 2" xfId="34778"/>
    <cellStyle name="Normal 33 2 2 2 3 4" xfId="34779"/>
    <cellStyle name="Normal 33 2 2 2 4" xfId="34780"/>
    <cellStyle name="Normal 33 2 2 2 4 2" xfId="48051"/>
    <cellStyle name="Normal 33 2 2 2 5" xfId="34781"/>
    <cellStyle name="Normal 33 2 2 2 5 2" xfId="34782"/>
    <cellStyle name="Normal 33 2 2 2 6" xfId="34783"/>
    <cellStyle name="Normal 33 2 2 2_IAS" xfId="34784"/>
    <cellStyle name="Normal 33 2 2 3" xfId="34785"/>
    <cellStyle name="Normal 33 2 2 3 2" xfId="34786"/>
    <cellStyle name="Normal 33 2 2 3 2 2" xfId="34787"/>
    <cellStyle name="Normal 33 2 2 3 2 2 2" xfId="34788"/>
    <cellStyle name="Normal 33 2 2 3 2 3" xfId="34789"/>
    <cellStyle name="Normal 33 2 2 3 2 3 2" xfId="34790"/>
    <cellStyle name="Normal 33 2 2 3 2 4" xfId="34791"/>
    <cellStyle name="Normal 33 2 2 3 3" xfId="34792"/>
    <cellStyle name="Normal 33 2 2 3 3 2" xfId="48052"/>
    <cellStyle name="Normal 33 2 2 3 4" xfId="34793"/>
    <cellStyle name="Normal 33 2 2 3 4 2" xfId="34794"/>
    <cellStyle name="Normal 33 2 2 3 5" xfId="34795"/>
    <cellStyle name="Normal 33 2 2 3_IAS" xfId="34796"/>
    <cellStyle name="Normal 33 2 2 4" xfId="34797"/>
    <cellStyle name="Normal 33 2 2 4 2" xfId="34798"/>
    <cellStyle name="Normal 33 2 2 4 2 2" xfId="34799"/>
    <cellStyle name="Normal 33 2 2 4 3" xfId="34800"/>
    <cellStyle name="Normal 33 2 2 4 3 2" xfId="34801"/>
    <cellStyle name="Normal 33 2 2 4 4" xfId="34802"/>
    <cellStyle name="Normal 33 2 2 5" xfId="34803"/>
    <cellStyle name="Normal 33 2 2 5 2" xfId="48053"/>
    <cellStyle name="Normal 33 2 2 6" xfId="34804"/>
    <cellStyle name="Normal 33 2 2 6 2" xfId="34805"/>
    <cellStyle name="Normal 33 2 2 7" xfId="34806"/>
    <cellStyle name="Normal 33 2 2_IAS" xfId="34807"/>
    <cellStyle name="Normal 33 2 3" xfId="34808"/>
    <cellStyle name="Normal 33 2 3 2" xfId="34809"/>
    <cellStyle name="Normal 33 2 3 2 2" xfId="34810"/>
    <cellStyle name="Normal 33 2 3 2 2 2" xfId="34811"/>
    <cellStyle name="Normal 33 2 3 2 2 2 2" xfId="34812"/>
    <cellStyle name="Normal 33 2 3 2 2 2 2 2" xfId="34813"/>
    <cellStyle name="Normal 33 2 3 2 2 2 3" xfId="34814"/>
    <cellStyle name="Normal 33 2 3 2 2 2 3 2" xfId="34815"/>
    <cellStyle name="Normal 33 2 3 2 2 2 4" xfId="34816"/>
    <cellStyle name="Normal 33 2 3 2 2 3" xfId="34817"/>
    <cellStyle name="Normal 33 2 3 2 2 3 2" xfId="48054"/>
    <cellStyle name="Normal 33 2 3 2 2 4" xfId="34818"/>
    <cellStyle name="Normal 33 2 3 2 2 4 2" xfId="34819"/>
    <cellStyle name="Normal 33 2 3 2 2 5" xfId="34820"/>
    <cellStyle name="Normal 33 2 3 2 2_IAS" xfId="34821"/>
    <cellStyle name="Normal 33 2 3 2 3" xfId="34822"/>
    <cellStyle name="Normal 33 2 3 2 3 2" xfId="34823"/>
    <cellStyle name="Normal 33 2 3 2 3 2 2" xfId="34824"/>
    <cellStyle name="Normal 33 2 3 2 3 3" xfId="34825"/>
    <cellStyle name="Normal 33 2 3 2 3 3 2" xfId="34826"/>
    <cellStyle name="Normal 33 2 3 2 3 4" xfId="34827"/>
    <cellStyle name="Normal 33 2 3 2 4" xfId="34828"/>
    <cellStyle name="Normal 33 2 3 2 4 2" xfId="48055"/>
    <cellStyle name="Normal 33 2 3 2 5" xfId="34829"/>
    <cellStyle name="Normal 33 2 3 2 5 2" xfId="34830"/>
    <cellStyle name="Normal 33 2 3 2 6" xfId="34831"/>
    <cellStyle name="Normal 33 2 3 2_IAS" xfId="34832"/>
    <cellStyle name="Normal 33 2 3 3" xfId="34833"/>
    <cellStyle name="Normal 33 2 3 3 2" xfId="34834"/>
    <cellStyle name="Normal 33 2 3 3 2 2" xfId="34835"/>
    <cellStyle name="Normal 33 2 3 3 2 2 2" xfId="34836"/>
    <cellStyle name="Normal 33 2 3 3 2 3" xfId="34837"/>
    <cellStyle name="Normal 33 2 3 3 2 3 2" xfId="34838"/>
    <cellStyle name="Normal 33 2 3 3 2 4" xfId="34839"/>
    <cellStyle name="Normal 33 2 3 3 3" xfId="34840"/>
    <cellStyle name="Normal 33 2 3 3 3 2" xfId="48056"/>
    <cellStyle name="Normal 33 2 3 3 4" xfId="34841"/>
    <cellStyle name="Normal 33 2 3 3 4 2" xfId="34842"/>
    <cellStyle name="Normal 33 2 3 3 5" xfId="34843"/>
    <cellStyle name="Normal 33 2 3 3_IAS" xfId="34844"/>
    <cellStyle name="Normal 33 2 3 4" xfId="34845"/>
    <cellStyle name="Normal 33 2 3 4 2" xfId="34846"/>
    <cellStyle name="Normal 33 2 3 4 2 2" xfId="34847"/>
    <cellStyle name="Normal 33 2 3 4 3" xfId="34848"/>
    <cellStyle name="Normal 33 2 3 4 3 2" xfId="34849"/>
    <cellStyle name="Normal 33 2 3 4 4" xfId="34850"/>
    <cellStyle name="Normal 33 2 3 5" xfId="34851"/>
    <cellStyle name="Normal 33 2 3 5 2" xfId="48057"/>
    <cellStyle name="Normal 33 2 3 6" xfId="34852"/>
    <cellStyle name="Normal 33 2 3 6 2" xfId="34853"/>
    <cellStyle name="Normal 33 2 3 7" xfId="34854"/>
    <cellStyle name="Normal 33 2 3_IAS" xfId="34855"/>
    <cellStyle name="Normal 33 2 4" xfId="34856"/>
    <cellStyle name="Normal 33 2 4 2" xfId="48058"/>
    <cellStyle name="Normal 33 2 5" xfId="34857"/>
    <cellStyle name="Normal 33 2 5 2" xfId="34858"/>
    <cellStyle name="Normal 33 2 5 2 2" xfId="34859"/>
    <cellStyle name="Normal 33 2 5 2 2 2" xfId="34860"/>
    <cellStyle name="Normal 33 2 5 2 2 2 2" xfId="34861"/>
    <cellStyle name="Normal 33 2 5 2 2 3" xfId="34862"/>
    <cellStyle name="Normal 33 2 5 2 2 3 2" xfId="34863"/>
    <cellStyle name="Normal 33 2 5 2 2 4" xfId="34864"/>
    <cellStyle name="Normal 33 2 5 2 3" xfId="34865"/>
    <cellStyle name="Normal 33 2 5 2 3 2" xfId="48059"/>
    <cellStyle name="Normal 33 2 5 2 4" xfId="34866"/>
    <cellStyle name="Normal 33 2 5 2 4 2" xfId="34867"/>
    <cellStyle name="Normal 33 2 5 2 5" xfId="34868"/>
    <cellStyle name="Normal 33 2 5 2_IAS" xfId="34869"/>
    <cellStyle name="Normal 33 2 5 3" xfId="34870"/>
    <cellStyle name="Normal 33 2 5 3 2" xfId="34871"/>
    <cellStyle name="Normal 33 2 5 3 2 2" xfId="34872"/>
    <cellStyle name="Normal 33 2 5 3 3" xfId="34873"/>
    <cellStyle name="Normal 33 2 5 3 3 2" xfId="34874"/>
    <cellStyle name="Normal 33 2 5 3 4" xfId="34875"/>
    <cellStyle name="Normal 33 2 5 4" xfId="34876"/>
    <cellStyle name="Normal 33 2 5 4 2" xfId="48060"/>
    <cellStyle name="Normal 33 2 5 5" xfId="34877"/>
    <cellStyle name="Normal 33 2 5 5 2" xfId="34878"/>
    <cellStyle name="Normal 33 2 5 6" xfId="34879"/>
    <cellStyle name="Normal 33 2 5_IAS" xfId="34880"/>
    <cellStyle name="Normal 33 2 6" xfId="34881"/>
    <cellStyle name="Normal 33 2 6 2" xfId="34882"/>
    <cellStyle name="Normal 33 2 6 2 2" xfId="34883"/>
    <cellStyle name="Normal 33 2 6 2 2 2" xfId="34884"/>
    <cellStyle name="Normal 33 2 6 2 3" xfId="34885"/>
    <cellStyle name="Normal 33 2 6 2 3 2" xfId="34886"/>
    <cellStyle name="Normal 33 2 6 2 4" xfId="34887"/>
    <cellStyle name="Normal 33 2 6 3" xfId="34888"/>
    <cellStyle name="Normal 33 2 6 3 2" xfId="48061"/>
    <cellStyle name="Normal 33 2 6 4" xfId="34889"/>
    <cellStyle name="Normal 33 2 6 4 2" xfId="34890"/>
    <cellStyle name="Normal 33 2 6 5" xfId="34891"/>
    <cellStyle name="Normal 33 2 6_IAS" xfId="34892"/>
    <cellStyle name="Normal 33 2 7" xfId="34893"/>
    <cellStyle name="Normal 33 2 7 2" xfId="34894"/>
    <cellStyle name="Normal 33 2 7 2 2" xfId="34895"/>
    <cellStyle name="Normal 33 2 7 3" xfId="34896"/>
    <cellStyle name="Normal 33 2 7 3 2" xfId="34897"/>
    <cellStyle name="Normal 33 2 7 4" xfId="34898"/>
    <cellStyle name="Normal 33 2 8" xfId="34899"/>
    <cellStyle name="Normal 33 2 8 2" xfId="34900"/>
    <cellStyle name="Normal 33 2 8 2 2" xfId="34901"/>
    <cellStyle name="Normal 33 2 8 3" xfId="34902"/>
    <cellStyle name="Normal 33 2 9" xfId="34903"/>
    <cellStyle name="Normal 33 2 9 2" xfId="34904"/>
    <cellStyle name="Normal 33 2 9 2 2" xfId="34905"/>
    <cellStyle name="Normal 33 2 9 3" xfId="34906"/>
    <cellStyle name="Normal 33 2_IAS" xfId="34907"/>
    <cellStyle name="Normal 33 3" xfId="34908"/>
    <cellStyle name="Normal 33 3 2" xfId="48062"/>
    <cellStyle name="Normal 33 4" xfId="34909"/>
    <cellStyle name="Normal 33 4 2" xfId="48063"/>
    <cellStyle name="Normal 33 5" xfId="34910"/>
    <cellStyle name="Normal 33 5 2" xfId="48064"/>
    <cellStyle name="Normal 33 6" xfId="34911"/>
    <cellStyle name="Normal 33 6 2" xfId="48065"/>
    <cellStyle name="Normal 33 7" xfId="34912"/>
    <cellStyle name="Normal 33 7 2" xfId="48066"/>
    <cellStyle name="Normal 33 8" xfId="34913"/>
    <cellStyle name="Normal 33 8 2" xfId="48067"/>
    <cellStyle name="Normal 33 9" xfId="34914"/>
    <cellStyle name="Normal 33 9 2" xfId="48068"/>
    <cellStyle name="Normal 33_AGF" xfId="34915"/>
    <cellStyle name="Normal 34" xfId="4376"/>
    <cellStyle name="Normal 34 10" xfId="34917"/>
    <cellStyle name="Normal 34 10 2" xfId="48070"/>
    <cellStyle name="Normal 34 11" xfId="34918"/>
    <cellStyle name="Normal 34 11 2" xfId="34919"/>
    <cellStyle name="Normal 34 11 2 2" xfId="34920"/>
    <cellStyle name="Normal 34 11 3" xfId="34921"/>
    <cellStyle name="Normal 34 12" xfId="34922"/>
    <cellStyle name="Normal 34 12 2" xfId="34923"/>
    <cellStyle name="Normal 34 12 2 2" xfId="34924"/>
    <cellStyle name="Normal 34 12 3" xfId="34925"/>
    <cellStyle name="Normal 34 13" xfId="34926"/>
    <cellStyle name="Normal 34 13 2" xfId="34927"/>
    <cellStyle name="Normal 34 13 2 2" xfId="34928"/>
    <cellStyle name="Normal 34 13 3" xfId="34929"/>
    <cellStyle name="Normal 34 14" xfId="34930"/>
    <cellStyle name="Normal 34 14 2" xfId="34931"/>
    <cellStyle name="Normal 34 15" xfId="34932"/>
    <cellStyle name="Normal 34 16" xfId="48069"/>
    <cellStyle name="Normal 34 17" xfId="55673"/>
    <cellStyle name="Normal 34 18" xfId="34916"/>
    <cellStyle name="Normal 34 2" xfId="34933"/>
    <cellStyle name="Normal 34 2 10" xfId="34934"/>
    <cellStyle name="Normal 34 2 10 2" xfId="34935"/>
    <cellStyle name="Normal 34 2 10 2 2" xfId="34936"/>
    <cellStyle name="Normal 34 2 10 3" xfId="34937"/>
    <cellStyle name="Normal 34 2 11" xfId="34938"/>
    <cellStyle name="Normal 34 2 11 2" xfId="34939"/>
    <cellStyle name="Normal 34 2 12" xfId="34940"/>
    <cellStyle name="Normal 34 2 12 2" xfId="34941"/>
    <cellStyle name="Normal 34 2 13" xfId="34942"/>
    <cellStyle name="Normal 34 2 14" xfId="34943"/>
    <cellStyle name="Normal 34 2 2" xfId="34944"/>
    <cellStyle name="Normal 34 2 2 2" xfId="34945"/>
    <cellStyle name="Normal 34 2 2 2 2" xfId="34946"/>
    <cellStyle name="Normal 34 2 2 2 2 2" xfId="34947"/>
    <cellStyle name="Normal 34 2 2 2 2 2 2" xfId="34948"/>
    <cellStyle name="Normal 34 2 2 2 2 2 2 2" xfId="34949"/>
    <cellStyle name="Normal 34 2 2 2 2 2 3" xfId="34950"/>
    <cellStyle name="Normal 34 2 2 2 2 2 3 2" xfId="34951"/>
    <cellStyle name="Normal 34 2 2 2 2 2 4" xfId="34952"/>
    <cellStyle name="Normal 34 2 2 2 2 3" xfId="34953"/>
    <cellStyle name="Normal 34 2 2 2 2 3 2" xfId="48071"/>
    <cellStyle name="Normal 34 2 2 2 2 4" xfId="34954"/>
    <cellStyle name="Normal 34 2 2 2 2 4 2" xfId="34955"/>
    <cellStyle name="Normal 34 2 2 2 2 5" xfId="34956"/>
    <cellStyle name="Normal 34 2 2 2 2_IAS" xfId="34957"/>
    <cellStyle name="Normal 34 2 2 2 3" xfId="34958"/>
    <cellStyle name="Normal 34 2 2 2 3 2" xfId="34959"/>
    <cellStyle name="Normal 34 2 2 2 3 2 2" xfId="34960"/>
    <cellStyle name="Normal 34 2 2 2 3 3" xfId="34961"/>
    <cellStyle name="Normal 34 2 2 2 3 3 2" xfId="34962"/>
    <cellStyle name="Normal 34 2 2 2 3 4" xfId="34963"/>
    <cellStyle name="Normal 34 2 2 2 4" xfId="34964"/>
    <cellStyle name="Normal 34 2 2 2 4 2" xfId="48072"/>
    <cellStyle name="Normal 34 2 2 2 5" xfId="34965"/>
    <cellStyle name="Normal 34 2 2 2 5 2" xfId="34966"/>
    <cellStyle name="Normal 34 2 2 2 6" xfId="34967"/>
    <cellStyle name="Normal 34 2 2 2_IAS" xfId="34968"/>
    <cellStyle name="Normal 34 2 2 3" xfId="34969"/>
    <cellStyle name="Normal 34 2 2 3 2" xfId="34970"/>
    <cellStyle name="Normal 34 2 2 3 2 2" xfId="34971"/>
    <cellStyle name="Normal 34 2 2 3 2 2 2" xfId="34972"/>
    <cellStyle name="Normal 34 2 2 3 2 3" xfId="34973"/>
    <cellStyle name="Normal 34 2 2 3 2 3 2" xfId="34974"/>
    <cellStyle name="Normal 34 2 2 3 2 4" xfId="34975"/>
    <cellStyle name="Normal 34 2 2 3 3" xfId="34976"/>
    <cellStyle name="Normal 34 2 2 3 3 2" xfId="48073"/>
    <cellStyle name="Normal 34 2 2 3 4" xfId="34977"/>
    <cellStyle name="Normal 34 2 2 3 4 2" xfId="34978"/>
    <cellStyle name="Normal 34 2 2 3 5" xfId="34979"/>
    <cellStyle name="Normal 34 2 2 3_IAS" xfId="34980"/>
    <cellStyle name="Normal 34 2 2 4" xfId="34981"/>
    <cellStyle name="Normal 34 2 2 4 2" xfId="34982"/>
    <cellStyle name="Normal 34 2 2 4 2 2" xfId="34983"/>
    <cellStyle name="Normal 34 2 2 4 3" xfId="34984"/>
    <cellStyle name="Normal 34 2 2 4 3 2" xfId="34985"/>
    <cellStyle name="Normal 34 2 2 4 4" xfId="34986"/>
    <cellStyle name="Normal 34 2 2 5" xfId="34987"/>
    <cellStyle name="Normal 34 2 2 5 2" xfId="48074"/>
    <cellStyle name="Normal 34 2 2 6" xfId="34988"/>
    <cellStyle name="Normal 34 2 2 6 2" xfId="34989"/>
    <cellStyle name="Normal 34 2 2 7" xfId="34990"/>
    <cellStyle name="Normal 34 2 2_IAS" xfId="34991"/>
    <cellStyle name="Normal 34 2 3" xfId="34992"/>
    <cellStyle name="Normal 34 2 3 2" xfId="34993"/>
    <cellStyle name="Normal 34 2 3 2 2" xfId="34994"/>
    <cellStyle name="Normal 34 2 3 2 2 2" xfId="34995"/>
    <cellStyle name="Normal 34 2 3 2 2 2 2" xfId="34996"/>
    <cellStyle name="Normal 34 2 3 2 2 2 2 2" xfId="34997"/>
    <cellStyle name="Normal 34 2 3 2 2 2 3" xfId="34998"/>
    <cellStyle name="Normal 34 2 3 2 2 2 3 2" xfId="34999"/>
    <cellStyle name="Normal 34 2 3 2 2 2 4" xfId="35000"/>
    <cellStyle name="Normal 34 2 3 2 2 3" xfId="35001"/>
    <cellStyle name="Normal 34 2 3 2 2 3 2" xfId="48075"/>
    <cellStyle name="Normal 34 2 3 2 2 4" xfId="35002"/>
    <cellStyle name="Normal 34 2 3 2 2 4 2" xfId="35003"/>
    <cellStyle name="Normal 34 2 3 2 2 5" xfId="35004"/>
    <cellStyle name="Normal 34 2 3 2 2_IAS" xfId="35005"/>
    <cellStyle name="Normal 34 2 3 2 3" xfId="35006"/>
    <cellStyle name="Normal 34 2 3 2 3 2" xfId="35007"/>
    <cellStyle name="Normal 34 2 3 2 3 2 2" xfId="35008"/>
    <cellStyle name="Normal 34 2 3 2 3 3" xfId="35009"/>
    <cellStyle name="Normal 34 2 3 2 3 3 2" xfId="35010"/>
    <cellStyle name="Normal 34 2 3 2 3 4" xfId="35011"/>
    <cellStyle name="Normal 34 2 3 2 4" xfId="35012"/>
    <cellStyle name="Normal 34 2 3 2 4 2" xfId="48076"/>
    <cellStyle name="Normal 34 2 3 2 5" xfId="35013"/>
    <cellStyle name="Normal 34 2 3 2 5 2" xfId="35014"/>
    <cellStyle name="Normal 34 2 3 2 6" xfId="35015"/>
    <cellStyle name="Normal 34 2 3 2_IAS" xfId="35016"/>
    <cellStyle name="Normal 34 2 3 3" xfId="35017"/>
    <cellStyle name="Normal 34 2 3 3 2" xfId="35018"/>
    <cellStyle name="Normal 34 2 3 3 2 2" xfId="35019"/>
    <cellStyle name="Normal 34 2 3 3 2 2 2" xfId="35020"/>
    <cellStyle name="Normal 34 2 3 3 2 3" xfId="35021"/>
    <cellStyle name="Normal 34 2 3 3 2 3 2" xfId="35022"/>
    <cellStyle name="Normal 34 2 3 3 2 4" xfId="35023"/>
    <cellStyle name="Normal 34 2 3 3 3" xfId="35024"/>
    <cellStyle name="Normal 34 2 3 3 3 2" xfId="48077"/>
    <cellStyle name="Normal 34 2 3 3 4" xfId="35025"/>
    <cellStyle name="Normal 34 2 3 3 4 2" xfId="35026"/>
    <cellStyle name="Normal 34 2 3 3 5" xfId="35027"/>
    <cellStyle name="Normal 34 2 3 3_IAS" xfId="35028"/>
    <cellStyle name="Normal 34 2 3 4" xfId="35029"/>
    <cellStyle name="Normal 34 2 3 4 2" xfId="35030"/>
    <cellStyle name="Normal 34 2 3 4 2 2" xfId="35031"/>
    <cellStyle name="Normal 34 2 3 4 3" xfId="35032"/>
    <cellStyle name="Normal 34 2 3 4 3 2" xfId="35033"/>
    <cellStyle name="Normal 34 2 3 4 4" xfId="35034"/>
    <cellStyle name="Normal 34 2 3 5" xfId="35035"/>
    <cellStyle name="Normal 34 2 3 5 2" xfId="48078"/>
    <cellStyle name="Normal 34 2 3 6" xfId="35036"/>
    <cellStyle name="Normal 34 2 3 6 2" xfId="35037"/>
    <cellStyle name="Normal 34 2 3 7" xfId="35038"/>
    <cellStyle name="Normal 34 2 3_IAS" xfId="35039"/>
    <cellStyle name="Normal 34 2 4" xfId="35040"/>
    <cellStyle name="Normal 34 2 4 2" xfId="48079"/>
    <cellStyle name="Normal 34 2 5" xfId="35041"/>
    <cellStyle name="Normal 34 2 5 2" xfId="35042"/>
    <cellStyle name="Normal 34 2 5 2 2" xfId="35043"/>
    <cellStyle name="Normal 34 2 5 2 2 2" xfId="35044"/>
    <cellStyle name="Normal 34 2 5 2 2 2 2" xfId="35045"/>
    <cellStyle name="Normal 34 2 5 2 2 3" xfId="35046"/>
    <cellStyle name="Normal 34 2 5 2 2 3 2" xfId="35047"/>
    <cellStyle name="Normal 34 2 5 2 2 4" xfId="35048"/>
    <cellStyle name="Normal 34 2 5 2 3" xfId="35049"/>
    <cellStyle name="Normal 34 2 5 2 3 2" xfId="48080"/>
    <cellStyle name="Normal 34 2 5 2 4" xfId="35050"/>
    <cellStyle name="Normal 34 2 5 2 4 2" xfId="35051"/>
    <cellStyle name="Normal 34 2 5 2 5" xfId="35052"/>
    <cellStyle name="Normal 34 2 5 2_IAS" xfId="35053"/>
    <cellStyle name="Normal 34 2 5 3" xfId="35054"/>
    <cellStyle name="Normal 34 2 5 3 2" xfId="35055"/>
    <cellStyle name="Normal 34 2 5 3 2 2" xfId="35056"/>
    <cellStyle name="Normal 34 2 5 3 3" xfId="35057"/>
    <cellStyle name="Normal 34 2 5 3 3 2" xfId="35058"/>
    <cellStyle name="Normal 34 2 5 3 4" xfId="35059"/>
    <cellStyle name="Normal 34 2 5 4" xfId="35060"/>
    <cellStyle name="Normal 34 2 5 4 2" xfId="48081"/>
    <cellStyle name="Normal 34 2 5 5" xfId="35061"/>
    <cellStyle name="Normal 34 2 5 5 2" xfId="35062"/>
    <cellStyle name="Normal 34 2 5 6" xfId="35063"/>
    <cellStyle name="Normal 34 2 5_IAS" xfId="35064"/>
    <cellStyle name="Normal 34 2 6" xfId="35065"/>
    <cellStyle name="Normal 34 2 6 2" xfId="35066"/>
    <cellStyle name="Normal 34 2 6 2 2" xfId="35067"/>
    <cellStyle name="Normal 34 2 6 2 2 2" xfId="35068"/>
    <cellStyle name="Normal 34 2 6 2 3" xfId="35069"/>
    <cellStyle name="Normal 34 2 6 2 3 2" xfId="35070"/>
    <cellStyle name="Normal 34 2 6 2 4" xfId="35071"/>
    <cellStyle name="Normal 34 2 6 3" xfId="35072"/>
    <cellStyle name="Normal 34 2 6 3 2" xfId="48082"/>
    <cellStyle name="Normal 34 2 6 4" xfId="35073"/>
    <cellStyle name="Normal 34 2 6 4 2" xfId="35074"/>
    <cellStyle name="Normal 34 2 6 5" xfId="35075"/>
    <cellStyle name="Normal 34 2 6_IAS" xfId="35076"/>
    <cellStyle name="Normal 34 2 7" xfId="35077"/>
    <cellStyle name="Normal 34 2 7 2" xfId="35078"/>
    <cellStyle name="Normal 34 2 7 2 2" xfId="35079"/>
    <cellStyle name="Normal 34 2 7 3" xfId="35080"/>
    <cellStyle name="Normal 34 2 7 3 2" xfId="35081"/>
    <cellStyle name="Normal 34 2 7 4" xfId="35082"/>
    <cellStyle name="Normal 34 2 8" xfId="35083"/>
    <cellStyle name="Normal 34 2 8 2" xfId="35084"/>
    <cellStyle name="Normal 34 2 8 2 2" xfId="35085"/>
    <cellStyle name="Normal 34 2 8 3" xfId="35086"/>
    <cellStyle name="Normal 34 2 9" xfId="35087"/>
    <cellStyle name="Normal 34 2 9 2" xfId="35088"/>
    <cellStyle name="Normal 34 2 9 2 2" xfId="35089"/>
    <cellStyle name="Normal 34 2 9 3" xfId="35090"/>
    <cellStyle name="Normal 34 2_IAS" xfId="35091"/>
    <cellStyle name="Normal 34 3" xfId="35092"/>
    <cellStyle name="Normal 34 3 2" xfId="48083"/>
    <cellStyle name="Normal 34 4" xfId="35093"/>
    <cellStyle name="Normal 34 4 2" xfId="48084"/>
    <cellStyle name="Normal 34 5" xfId="35094"/>
    <cellStyle name="Normal 34 5 2" xfId="48085"/>
    <cellStyle name="Normal 34 6" xfId="35095"/>
    <cellStyle name="Normal 34 6 2" xfId="48086"/>
    <cellStyle name="Normal 34 7" xfId="35096"/>
    <cellStyle name="Normal 34 7 2" xfId="48087"/>
    <cellStyle name="Normal 34 8" xfId="35097"/>
    <cellStyle name="Normal 34 8 2" xfId="48088"/>
    <cellStyle name="Normal 34 9" xfId="35098"/>
    <cellStyle name="Normal 34 9 2" xfId="48089"/>
    <cellStyle name="Normal 34_AGF" xfId="35099"/>
    <cellStyle name="Normal 35" xfId="6449"/>
    <cellStyle name="Normal 35 10" xfId="35101"/>
    <cellStyle name="Normal 35 10 2" xfId="48091"/>
    <cellStyle name="Normal 35 11" xfId="35102"/>
    <cellStyle name="Normal 35 11 2" xfId="35103"/>
    <cellStyle name="Normal 35 11 2 2" xfId="35104"/>
    <cellStyle name="Normal 35 11 3" xfId="35105"/>
    <cellStyle name="Normal 35 12" xfId="35106"/>
    <cellStyle name="Normal 35 12 2" xfId="35107"/>
    <cellStyle name="Normal 35 12 2 2" xfId="35108"/>
    <cellStyle name="Normal 35 12 3" xfId="35109"/>
    <cellStyle name="Normal 35 13" xfId="35110"/>
    <cellStyle name="Normal 35 13 2" xfId="35111"/>
    <cellStyle name="Normal 35 13 2 2" xfId="35112"/>
    <cellStyle name="Normal 35 13 3" xfId="35113"/>
    <cellStyle name="Normal 35 14" xfId="35114"/>
    <cellStyle name="Normal 35 14 2" xfId="35115"/>
    <cellStyle name="Normal 35 15" xfId="35116"/>
    <cellStyle name="Normal 35 16" xfId="48090"/>
    <cellStyle name="Normal 35 17" xfId="57636"/>
    <cellStyle name="Normal 35 18" xfId="35100"/>
    <cellStyle name="Normal 35 2" xfId="35117"/>
    <cellStyle name="Normal 35 2 10" xfId="35118"/>
    <cellStyle name="Normal 35 2 10 2" xfId="35119"/>
    <cellStyle name="Normal 35 2 10 2 2" xfId="35120"/>
    <cellStyle name="Normal 35 2 10 3" xfId="35121"/>
    <cellStyle name="Normal 35 2 11" xfId="35122"/>
    <cellStyle name="Normal 35 2 11 2" xfId="35123"/>
    <cellStyle name="Normal 35 2 12" xfId="35124"/>
    <cellStyle name="Normal 35 2 12 2" xfId="35125"/>
    <cellStyle name="Normal 35 2 13" xfId="35126"/>
    <cellStyle name="Normal 35 2 14" xfId="35127"/>
    <cellStyle name="Normal 35 2 2" xfId="35128"/>
    <cellStyle name="Normal 35 2 2 2" xfId="35129"/>
    <cellStyle name="Normal 35 2 2 2 2" xfId="35130"/>
    <cellStyle name="Normal 35 2 2 2 2 2" xfId="35131"/>
    <cellStyle name="Normal 35 2 2 2 2 2 2" xfId="35132"/>
    <cellStyle name="Normal 35 2 2 2 2 2 2 2" xfId="35133"/>
    <cellStyle name="Normal 35 2 2 2 2 2 3" xfId="35134"/>
    <cellStyle name="Normal 35 2 2 2 2 2 3 2" xfId="35135"/>
    <cellStyle name="Normal 35 2 2 2 2 2 4" xfId="35136"/>
    <cellStyle name="Normal 35 2 2 2 2 3" xfId="35137"/>
    <cellStyle name="Normal 35 2 2 2 2 3 2" xfId="48092"/>
    <cellStyle name="Normal 35 2 2 2 2 4" xfId="35138"/>
    <cellStyle name="Normal 35 2 2 2 2 4 2" xfId="35139"/>
    <cellStyle name="Normal 35 2 2 2 2 5" xfId="35140"/>
    <cellStyle name="Normal 35 2 2 2 2_IAS" xfId="35141"/>
    <cellStyle name="Normal 35 2 2 2 3" xfId="35142"/>
    <cellStyle name="Normal 35 2 2 2 3 2" xfId="35143"/>
    <cellStyle name="Normal 35 2 2 2 3 2 2" xfId="35144"/>
    <cellStyle name="Normal 35 2 2 2 3 3" xfId="35145"/>
    <cellStyle name="Normal 35 2 2 2 3 3 2" xfId="35146"/>
    <cellStyle name="Normal 35 2 2 2 3 4" xfId="35147"/>
    <cellStyle name="Normal 35 2 2 2 4" xfId="35148"/>
    <cellStyle name="Normal 35 2 2 2 4 2" xfId="48093"/>
    <cellStyle name="Normal 35 2 2 2 5" xfId="35149"/>
    <cellStyle name="Normal 35 2 2 2 5 2" xfId="35150"/>
    <cellStyle name="Normal 35 2 2 2 6" xfId="35151"/>
    <cellStyle name="Normal 35 2 2 2_IAS" xfId="35152"/>
    <cellStyle name="Normal 35 2 2 3" xfId="35153"/>
    <cellStyle name="Normal 35 2 2 3 2" xfId="35154"/>
    <cellStyle name="Normal 35 2 2 3 2 2" xfId="35155"/>
    <cellStyle name="Normal 35 2 2 3 2 2 2" xfId="35156"/>
    <cellStyle name="Normal 35 2 2 3 2 3" xfId="35157"/>
    <cellStyle name="Normal 35 2 2 3 2 3 2" xfId="35158"/>
    <cellStyle name="Normal 35 2 2 3 2 4" xfId="35159"/>
    <cellStyle name="Normal 35 2 2 3 3" xfId="35160"/>
    <cellStyle name="Normal 35 2 2 3 3 2" xfId="48094"/>
    <cellStyle name="Normal 35 2 2 3 4" xfId="35161"/>
    <cellStyle name="Normal 35 2 2 3 4 2" xfId="35162"/>
    <cellStyle name="Normal 35 2 2 3 5" xfId="35163"/>
    <cellStyle name="Normal 35 2 2 3_IAS" xfId="35164"/>
    <cellStyle name="Normal 35 2 2 4" xfId="35165"/>
    <cellStyle name="Normal 35 2 2 4 2" xfId="35166"/>
    <cellStyle name="Normal 35 2 2 4 2 2" xfId="35167"/>
    <cellStyle name="Normal 35 2 2 4 3" xfId="35168"/>
    <cellStyle name="Normal 35 2 2 4 3 2" xfId="35169"/>
    <cellStyle name="Normal 35 2 2 4 4" xfId="35170"/>
    <cellStyle name="Normal 35 2 2 5" xfId="35171"/>
    <cellStyle name="Normal 35 2 2 5 2" xfId="48095"/>
    <cellStyle name="Normal 35 2 2 6" xfId="35172"/>
    <cellStyle name="Normal 35 2 2 6 2" xfId="35173"/>
    <cellStyle name="Normal 35 2 2 7" xfId="35174"/>
    <cellStyle name="Normal 35 2 2_IAS" xfId="35175"/>
    <cellStyle name="Normal 35 2 3" xfId="35176"/>
    <cellStyle name="Normal 35 2 3 2" xfId="35177"/>
    <cellStyle name="Normal 35 2 3 2 2" xfId="35178"/>
    <cellStyle name="Normal 35 2 3 2 2 2" xfId="35179"/>
    <cellStyle name="Normal 35 2 3 2 2 2 2" xfId="35180"/>
    <cellStyle name="Normal 35 2 3 2 2 2 2 2" xfId="35181"/>
    <cellStyle name="Normal 35 2 3 2 2 2 3" xfId="35182"/>
    <cellStyle name="Normal 35 2 3 2 2 2 3 2" xfId="35183"/>
    <cellStyle name="Normal 35 2 3 2 2 2 4" xfId="35184"/>
    <cellStyle name="Normal 35 2 3 2 2 3" xfId="35185"/>
    <cellStyle name="Normal 35 2 3 2 2 3 2" xfId="48096"/>
    <cellStyle name="Normal 35 2 3 2 2 4" xfId="35186"/>
    <cellStyle name="Normal 35 2 3 2 2 4 2" xfId="35187"/>
    <cellStyle name="Normal 35 2 3 2 2 5" xfId="35188"/>
    <cellStyle name="Normal 35 2 3 2 2_IAS" xfId="35189"/>
    <cellStyle name="Normal 35 2 3 2 3" xfId="35190"/>
    <cellStyle name="Normal 35 2 3 2 3 2" xfId="35191"/>
    <cellStyle name="Normal 35 2 3 2 3 2 2" xfId="35192"/>
    <cellStyle name="Normal 35 2 3 2 3 3" xfId="35193"/>
    <cellStyle name="Normal 35 2 3 2 3 3 2" xfId="35194"/>
    <cellStyle name="Normal 35 2 3 2 3 4" xfId="35195"/>
    <cellStyle name="Normal 35 2 3 2 4" xfId="35196"/>
    <cellStyle name="Normal 35 2 3 2 4 2" xfId="48097"/>
    <cellStyle name="Normal 35 2 3 2 5" xfId="35197"/>
    <cellStyle name="Normal 35 2 3 2 5 2" xfId="35198"/>
    <cellStyle name="Normal 35 2 3 2 6" xfId="35199"/>
    <cellStyle name="Normal 35 2 3 2_IAS" xfId="35200"/>
    <cellStyle name="Normal 35 2 3 3" xfId="35201"/>
    <cellStyle name="Normal 35 2 3 3 2" xfId="35202"/>
    <cellStyle name="Normal 35 2 3 3 2 2" xfId="35203"/>
    <cellStyle name="Normal 35 2 3 3 2 2 2" xfId="35204"/>
    <cellStyle name="Normal 35 2 3 3 2 3" xfId="35205"/>
    <cellStyle name="Normal 35 2 3 3 2 3 2" xfId="35206"/>
    <cellStyle name="Normal 35 2 3 3 2 4" xfId="35207"/>
    <cellStyle name="Normal 35 2 3 3 3" xfId="35208"/>
    <cellStyle name="Normal 35 2 3 3 3 2" xfId="48098"/>
    <cellStyle name="Normal 35 2 3 3 4" xfId="35209"/>
    <cellStyle name="Normal 35 2 3 3 4 2" xfId="35210"/>
    <cellStyle name="Normal 35 2 3 3 5" xfId="35211"/>
    <cellStyle name="Normal 35 2 3 3_IAS" xfId="35212"/>
    <cellStyle name="Normal 35 2 3 4" xfId="35213"/>
    <cellStyle name="Normal 35 2 3 4 2" xfId="35214"/>
    <cellStyle name="Normal 35 2 3 4 2 2" xfId="35215"/>
    <cellStyle name="Normal 35 2 3 4 3" xfId="35216"/>
    <cellStyle name="Normal 35 2 3 4 3 2" xfId="35217"/>
    <cellStyle name="Normal 35 2 3 4 4" xfId="35218"/>
    <cellStyle name="Normal 35 2 3 5" xfId="35219"/>
    <cellStyle name="Normal 35 2 3 5 2" xfId="48099"/>
    <cellStyle name="Normal 35 2 3 6" xfId="35220"/>
    <cellStyle name="Normal 35 2 3 6 2" xfId="35221"/>
    <cellStyle name="Normal 35 2 3 7" xfId="35222"/>
    <cellStyle name="Normal 35 2 3_IAS" xfId="35223"/>
    <cellStyle name="Normal 35 2 4" xfId="35224"/>
    <cellStyle name="Normal 35 2 4 2" xfId="48100"/>
    <cellStyle name="Normal 35 2 5" xfId="35225"/>
    <cellStyle name="Normal 35 2 5 2" xfId="35226"/>
    <cellStyle name="Normal 35 2 5 2 2" xfId="35227"/>
    <cellStyle name="Normal 35 2 5 2 2 2" xfId="35228"/>
    <cellStyle name="Normal 35 2 5 2 2 2 2" xfId="35229"/>
    <cellStyle name="Normal 35 2 5 2 2 3" xfId="35230"/>
    <cellStyle name="Normal 35 2 5 2 2 3 2" xfId="35231"/>
    <cellStyle name="Normal 35 2 5 2 2 4" xfId="35232"/>
    <cellStyle name="Normal 35 2 5 2 3" xfId="35233"/>
    <cellStyle name="Normal 35 2 5 2 3 2" xfId="48101"/>
    <cellStyle name="Normal 35 2 5 2 4" xfId="35234"/>
    <cellStyle name="Normal 35 2 5 2 4 2" xfId="35235"/>
    <cellStyle name="Normal 35 2 5 2 5" xfId="35236"/>
    <cellStyle name="Normal 35 2 5 2_IAS" xfId="35237"/>
    <cellStyle name="Normal 35 2 5 3" xfId="35238"/>
    <cellStyle name="Normal 35 2 5 3 2" xfId="35239"/>
    <cellStyle name="Normal 35 2 5 3 2 2" xfId="35240"/>
    <cellStyle name="Normal 35 2 5 3 3" xfId="35241"/>
    <cellStyle name="Normal 35 2 5 3 3 2" xfId="35242"/>
    <cellStyle name="Normal 35 2 5 3 4" xfId="35243"/>
    <cellStyle name="Normal 35 2 5 4" xfId="35244"/>
    <cellStyle name="Normal 35 2 5 4 2" xfId="48102"/>
    <cellStyle name="Normal 35 2 5 5" xfId="35245"/>
    <cellStyle name="Normal 35 2 5 5 2" xfId="35246"/>
    <cellStyle name="Normal 35 2 5 6" xfId="35247"/>
    <cellStyle name="Normal 35 2 5_IAS" xfId="35248"/>
    <cellStyle name="Normal 35 2 6" xfId="35249"/>
    <cellStyle name="Normal 35 2 6 2" xfId="35250"/>
    <cellStyle name="Normal 35 2 6 2 2" xfId="35251"/>
    <cellStyle name="Normal 35 2 6 2 2 2" xfId="35252"/>
    <cellStyle name="Normal 35 2 6 2 3" xfId="35253"/>
    <cellStyle name="Normal 35 2 6 2 3 2" xfId="35254"/>
    <cellStyle name="Normal 35 2 6 2 4" xfId="35255"/>
    <cellStyle name="Normal 35 2 6 3" xfId="35256"/>
    <cellStyle name="Normal 35 2 6 3 2" xfId="48103"/>
    <cellStyle name="Normal 35 2 6 4" xfId="35257"/>
    <cellStyle name="Normal 35 2 6 4 2" xfId="35258"/>
    <cellStyle name="Normal 35 2 6 5" xfId="35259"/>
    <cellStyle name="Normal 35 2 6_IAS" xfId="35260"/>
    <cellStyle name="Normal 35 2 7" xfId="35261"/>
    <cellStyle name="Normal 35 2 7 2" xfId="35262"/>
    <cellStyle name="Normal 35 2 7 2 2" xfId="35263"/>
    <cellStyle name="Normal 35 2 7 3" xfId="35264"/>
    <cellStyle name="Normal 35 2 7 3 2" xfId="35265"/>
    <cellStyle name="Normal 35 2 7 4" xfId="35266"/>
    <cellStyle name="Normal 35 2 8" xfId="35267"/>
    <cellStyle name="Normal 35 2 8 2" xfId="35268"/>
    <cellStyle name="Normal 35 2 8 2 2" xfId="35269"/>
    <cellStyle name="Normal 35 2 8 3" xfId="35270"/>
    <cellStyle name="Normal 35 2 9" xfId="35271"/>
    <cellStyle name="Normal 35 2 9 2" xfId="35272"/>
    <cellStyle name="Normal 35 2 9 2 2" xfId="35273"/>
    <cellStyle name="Normal 35 2 9 3" xfId="35274"/>
    <cellStyle name="Normal 35 2_IAS" xfId="35275"/>
    <cellStyle name="Normal 35 3" xfId="35276"/>
    <cellStyle name="Normal 35 3 2" xfId="48104"/>
    <cellStyle name="Normal 35 4" xfId="35277"/>
    <cellStyle name="Normal 35 4 2" xfId="48105"/>
    <cellStyle name="Normal 35 5" xfId="35278"/>
    <cellStyle name="Normal 35 5 2" xfId="48106"/>
    <cellStyle name="Normal 35 6" xfId="35279"/>
    <cellStyle name="Normal 35 6 2" xfId="48107"/>
    <cellStyle name="Normal 35 7" xfId="35280"/>
    <cellStyle name="Normal 35 7 2" xfId="48108"/>
    <cellStyle name="Normal 35 8" xfId="35281"/>
    <cellStyle name="Normal 35 8 2" xfId="48109"/>
    <cellStyle name="Normal 35 9" xfId="35282"/>
    <cellStyle name="Normal 35 9 2" xfId="48110"/>
    <cellStyle name="Normal 35_AGF" xfId="35283"/>
    <cellStyle name="Normal 36" xfId="6448"/>
    <cellStyle name="Normal 36 10" xfId="35285"/>
    <cellStyle name="Normal 36 10 2" xfId="48112"/>
    <cellStyle name="Normal 36 11" xfId="35286"/>
    <cellStyle name="Normal 36 11 2" xfId="35287"/>
    <cellStyle name="Normal 36 11 2 2" xfId="35288"/>
    <cellStyle name="Normal 36 11 3" xfId="35289"/>
    <cellStyle name="Normal 36 12" xfId="35290"/>
    <cellStyle name="Normal 36 12 2" xfId="35291"/>
    <cellStyle name="Normal 36 13" xfId="35292"/>
    <cellStyle name="Normal 36 14" xfId="48111"/>
    <cellStyle name="Normal 36 15" xfId="57635"/>
    <cellStyle name="Normal 36 16" xfId="35284"/>
    <cellStyle name="Normal 36 2" xfId="35293"/>
    <cellStyle name="Normal 36 2 10" xfId="35294"/>
    <cellStyle name="Normal 36 2 10 2" xfId="35295"/>
    <cellStyle name="Normal 36 2 10 2 2" xfId="35296"/>
    <cellStyle name="Normal 36 2 10 3" xfId="35297"/>
    <cellStyle name="Normal 36 2 11" xfId="35298"/>
    <cellStyle name="Normal 36 2 11 2" xfId="35299"/>
    <cellStyle name="Normal 36 2 12" xfId="35300"/>
    <cellStyle name="Normal 36 2 12 2" xfId="35301"/>
    <cellStyle name="Normal 36 2 13" xfId="35302"/>
    <cellStyle name="Normal 36 2 14" xfId="35303"/>
    <cellStyle name="Normal 36 2 2" xfId="35304"/>
    <cellStyle name="Normal 36 2 2 2" xfId="35305"/>
    <cellStyle name="Normal 36 2 2 2 2" xfId="35306"/>
    <cellStyle name="Normal 36 2 2 2 2 2" xfId="35307"/>
    <cellStyle name="Normal 36 2 2 2 2 2 2" xfId="35308"/>
    <cellStyle name="Normal 36 2 2 2 2 2 2 2" xfId="35309"/>
    <cellStyle name="Normal 36 2 2 2 2 2 3" xfId="35310"/>
    <cellStyle name="Normal 36 2 2 2 2 2 3 2" xfId="35311"/>
    <cellStyle name="Normal 36 2 2 2 2 2 4" xfId="35312"/>
    <cellStyle name="Normal 36 2 2 2 2 3" xfId="35313"/>
    <cellStyle name="Normal 36 2 2 2 2 3 2" xfId="48113"/>
    <cellStyle name="Normal 36 2 2 2 2 4" xfId="35314"/>
    <cellStyle name="Normal 36 2 2 2 2 4 2" xfId="35315"/>
    <cellStyle name="Normal 36 2 2 2 2 5" xfId="35316"/>
    <cellStyle name="Normal 36 2 2 2 2_IAS" xfId="35317"/>
    <cellStyle name="Normal 36 2 2 2 3" xfId="35318"/>
    <cellStyle name="Normal 36 2 2 2 3 2" xfId="35319"/>
    <cellStyle name="Normal 36 2 2 2 3 2 2" xfId="35320"/>
    <cellStyle name="Normal 36 2 2 2 3 3" xfId="35321"/>
    <cellStyle name="Normal 36 2 2 2 3 3 2" xfId="35322"/>
    <cellStyle name="Normal 36 2 2 2 3 4" xfId="35323"/>
    <cellStyle name="Normal 36 2 2 2 4" xfId="35324"/>
    <cellStyle name="Normal 36 2 2 2 4 2" xfId="48114"/>
    <cellStyle name="Normal 36 2 2 2 5" xfId="35325"/>
    <cellStyle name="Normal 36 2 2 2 5 2" xfId="35326"/>
    <cellStyle name="Normal 36 2 2 2 6" xfId="35327"/>
    <cellStyle name="Normal 36 2 2 2_IAS" xfId="35328"/>
    <cellStyle name="Normal 36 2 2 3" xfId="35329"/>
    <cellStyle name="Normal 36 2 2 3 2" xfId="35330"/>
    <cellStyle name="Normal 36 2 2 3 2 2" xfId="35331"/>
    <cellStyle name="Normal 36 2 2 3 2 2 2" xfId="35332"/>
    <cellStyle name="Normal 36 2 2 3 2 3" xfId="35333"/>
    <cellStyle name="Normal 36 2 2 3 2 3 2" xfId="35334"/>
    <cellStyle name="Normal 36 2 2 3 2 4" xfId="35335"/>
    <cellStyle name="Normal 36 2 2 3 3" xfId="35336"/>
    <cellStyle name="Normal 36 2 2 3 3 2" xfId="48115"/>
    <cellStyle name="Normal 36 2 2 3 4" xfId="35337"/>
    <cellStyle name="Normal 36 2 2 3 4 2" xfId="35338"/>
    <cellStyle name="Normal 36 2 2 3 5" xfId="35339"/>
    <cellStyle name="Normal 36 2 2 3_IAS" xfId="35340"/>
    <cellStyle name="Normal 36 2 2 4" xfId="35341"/>
    <cellStyle name="Normal 36 2 2 4 2" xfId="35342"/>
    <cellStyle name="Normal 36 2 2 4 2 2" xfId="35343"/>
    <cellStyle name="Normal 36 2 2 4 3" xfId="35344"/>
    <cellStyle name="Normal 36 2 2 4 3 2" xfId="35345"/>
    <cellStyle name="Normal 36 2 2 4 4" xfId="35346"/>
    <cellStyle name="Normal 36 2 2 5" xfId="35347"/>
    <cellStyle name="Normal 36 2 2 5 2" xfId="48116"/>
    <cellStyle name="Normal 36 2 2 6" xfId="35348"/>
    <cellStyle name="Normal 36 2 2 6 2" xfId="35349"/>
    <cellStyle name="Normal 36 2 2 7" xfId="35350"/>
    <cellStyle name="Normal 36 2 2_IAS" xfId="35351"/>
    <cellStyle name="Normal 36 2 3" xfId="35352"/>
    <cellStyle name="Normal 36 2 3 2" xfId="35353"/>
    <cellStyle name="Normal 36 2 3 2 2" xfId="35354"/>
    <cellStyle name="Normal 36 2 3 2 2 2" xfId="35355"/>
    <cellStyle name="Normal 36 2 3 2 2 2 2" xfId="35356"/>
    <cellStyle name="Normal 36 2 3 2 2 2 2 2" xfId="35357"/>
    <cellStyle name="Normal 36 2 3 2 2 2 3" xfId="35358"/>
    <cellStyle name="Normal 36 2 3 2 2 2 3 2" xfId="35359"/>
    <cellStyle name="Normal 36 2 3 2 2 2 4" xfId="35360"/>
    <cellStyle name="Normal 36 2 3 2 2 3" xfId="35361"/>
    <cellStyle name="Normal 36 2 3 2 2 3 2" xfId="48117"/>
    <cellStyle name="Normal 36 2 3 2 2 4" xfId="35362"/>
    <cellStyle name="Normal 36 2 3 2 2 4 2" xfId="35363"/>
    <cellStyle name="Normal 36 2 3 2 2 5" xfId="35364"/>
    <cellStyle name="Normal 36 2 3 2 2_IAS" xfId="35365"/>
    <cellStyle name="Normal 36 2 3 2 3" xfId="35366"/>
    <cellStyle name="Normal 36 2 3 2 3 2" xfId="35367"/>
    <cellStyle name="Normal 36 2 3 2 3 2 2" xfId="35368"/>
    <cellStyle name="Normal 36 2 3 2 3 3" xfId="35369"/>
    <cellStyle name="Normal 36 2 3 2 3 3 2" xfId="35370"/>
    <cellStyle name="Normal 36 2 3 2 3 4" xfId="35371"/>
    <cellStyle name="Normal 36 2 3 2 4" xfId="35372"/>
    <cellStyle name="Normal 36 2 3 2 4 2" xfId="48118"/>
    <cellStyle name="Normal 36 2 3 2 5" xfId="35373"/>
    <cellStyle name="Normal 36 2 3 2 5 2" xfId="35374"/>
    <cellStyle name="Normal 36 2 3 2 6" xfId="35375"/>
    <cellStyle name="Normal 36 2 3 2_IAS" xfId="35376"/>
    <cellStyle name="Normal 36 2 3 3" xfId="35377"/>
    <cellStyle name="Normal 36 2 3 3 2" xfId="35378"/>
    <cellStyle name="Normal 36 2 3 3 2 2" xfId="35379"/>
    <cellStyle name="Normal 36 2 3 3 2 2 2" xfId="35380"/>
    <cellStyle name="Normal 36 2 3 3 2 3" xfId="35381"/>
    <cellStyle name="Normal 36 2 3 3 2 3 2" xfId="35382"/>
    <cellStyle name="Normal 36 2 3 3 2 4" xfId="35383"/>
    <cellStyle name="Normal 36 2 3 3 3" xfId="35384"/>
    <cellStyle name="Normal 36 2 3 3 3 2" xfId="48119"/>
    <cellStyle name="Normal 36 2 3 3 4" xfId="35385"/>
    <cellStyle name="Normal 36 2 3 3 4 2" xfId="35386"/>
    <cellStyle name="Normal 36 2 3 3 5" xfId="35387"/>
    <cellStyle name="Normal 36 2 3 3_IAS" xfId="35388"/>
    <cellStyle name="Normal 36 2 3 4" xfId="35389"/>
    <cellStyle name="Normal 36 2 3 4 2" xfId="35390"/>
    <cellStyle name="Normal 36 2 3 4 2 2" xfId="35391"/>
    <cellStyle name="Normal 36 2 3 4 3" xfId="35392"/>
    <cellStyle name="Normal 36 2 3 4 3 2" xfId="35393"/>
    <cellStyle name="Normal 36 2 3 4 4" xfId="35394"/>
    <cellStyle name="Normal 36 2 3 5" xfId="35395"/>
    <cellStyle name="Normal 36 2 3 5 2" xfId="48120"/>
    <cellStyle name="Normal 36 2 3 6" xfId="35396"/>
    <cellStyle name="Normal 36 2 3 6 2" xfId="35397"/>
    <cellStyle name="Normal 36 2 3 7" xfId="35398"/>
    <cellStyle name="Normal 36 2 3_IAS" xfId="35399"/>
    <cellStyle name="Normal 36 2 4" xfId="35400"/>
    <cellStyle name="Normal 36 2 4 2" xfId="48121"/>
    <cellStyle name="Normal 36 2 5" xfId="35401"/>
    <cellStyle name="Normal 36 2 5 2" xfId="35402"/>
    <cellStyle name="Normal 36 2 5 2 2" xfId="35403"/>
    <cellStyle name="Normal 36 2 5 2 2 2" xfId="35404"/>
    <cellStyle name="Normal 36 2 5 2 2 2 2" xfId="35405"/>
    <cellStyle name="Normal 36 2 5 2 2 3" xfId="35406"/>
    <cellStyle name="Normal 36 2 5 2 2 3 2" xfId="35407"/>
    <cellStyle name="Normal 36 2 5 2 2 4" xfId="35408"/>
    <cellStyle name="Normal 36 2 5 2 3" xfId="35409"/>
    <cellStyle name="Normal 36 2 5 2 3 2" xfId="48122"/>
    <cellStyle name="Normal 36 2 5 2 4" xfId="35410"/>
    <cellStyle name="Normal 36 2 5 2 4 2" xfId="35411"/>
    <cellStyle name="Normal 36 2 5 2 5" xfId="35412"/>
    <cellStyle name="Normal 36 2 5 2_IAS" xfId="35413"/>
    <cellStyle name="Normal 36 2 5 3" xfId="35414"/>
    <cellStyle name="Normal 36 2 5 3 2" xfId="35415"/>
    <cellStyle name="Normal 36 2 5 3 2 2" xfId="35416"/>
    <cellStyle name="Normal 36 2 5 3 3" xfId="35417"/>
    <cellStyle name="Normal 36 2 5 3 3 2" xfId="35418"/>
    <cellStyle name="Normal 36 2 5 3 4" xfId="35419"/>
    <cellStyle name="Normal 36 2 5 4" xfId="35420"/>
    <cellStyle name="Normal 36 2 5 4 2" xfId="48123"/>
    <cellStyle name="Normal 36 2 5 5" xfId="35421"/>
    <cellStyle name="Normal 36 2 5 5 2" xfId="35422"/>
    <cellStyle name="Normal 36 2 5 6" xfId="35423"/>
    <cellStyle name="Normal 36 2 5_IAS" xfId="35424"/>
    <cellStyle name="Normal 36 2 6" xfId="35425"/>
    <cellStyle name="Normal 36 2 6 2" xfId="35426"/>
    <cellStyle name="Normal 36 2 6 2 2" xfId="35427"/>
    <cellStyle name="Normal 36 2 6 2 2 2" xfId="35428"/>
    <cellStyle name="Normal 36 2 6 2 3" xfId="35429"/>
    <cellStyle name="Normal 36 2 6 2 3 2" xfId="35430"/>
    <cellStyle name="Normal 36 2 6 2 4" xfId="35431"/>
    <cellStyle name="Normal 36 2 6 3" xfId="35432"/>
    <cellStyle name="Normal 36 2 6 3 2" xfId="48124"/>
    <cellStyle name="Normal 36 2 6 4" xfId="35433"/>
    <cellStyle name="Normal 36 2 6 4 2" xfId="35434"/>
    <cellStyle name="Normal 36 2 6 5" xfId="35435"/>
    <cellStyle name="Normal 36 2 6_IAS" xfId="35436"/>
    <cellStyle name="Normal 36 2 7" xfId="35437"/>
    <cellStyle name="Normal 36 2 7 2" xfId="35438"/>
    <cellStyle name="Normal 36 2 7 2 2" xfId="35439"/>
    <cellStyle name="Normal 36 2 7 3" xfId="35440"/>
    <cellStyle name="Normal 36 2 7 3 2" xfId="35441"/>
    <cellStyle name="Normal 36 2 7 4" xfId="35442"/>
    <cellStyle name="Normal 36 2 8" xfId="35443"/>
    <cellStyle name="Normal 36 2 8 2" xfId="35444"/>
    <cellStyle name="Normal 36 2 8 2 2" xfId="35445"/>
    <cellStyle name="Normal 36 2 8 3" xfId="35446"/>
    <cellStyle name="Normal 36 2 9" xfId="35447"/>
    <cellStyle name="Normal 36 2 9 2" xfId="35448"/>
    <cellStyle name="Normal 36 2 9 2 2" xfId="35449"/>
    <cellStyle name="Normal 36 2 9 3" xfId="35450"/>
    <cellStyle name="Normal 36 2_IAS" xfId="35451"/>
    <cellStyle name="Normal 36 3" xfId="35452"/>
    <cellStyle name="Normal 36 3 2" xfId="48125"/>
    <cellStyle name="Normal 36 4" xfId="35453"/>
    <cellStyle name="Normal 36 4 2" xfId="48126"/>
    <cellStyle name="Normal 36 5" xfId="35454"/>
    <cellStyle name="Normal 36 5 2" xfId="48127"/>
    <cellStyle name="Normal 36 6" xfId="35455"/>
    <cellStyle name="Normal 36 6 2" xfId="48128"/>
    <cellStyle name="Normal 36 7" xfId="35456"/>
    <cellStyle name="Normal 36 7 2" xfId="48129"/>
    <cellStyle name="Normal 36 8" xfId="35457"/>
    <cellStyle name="Normal 36 8 2" xfId="48130"/>
    <cellStyle name="Normal 36 9" xfId="35458"/>
    <cellStyle name="Normal 36 9 2" xfId="48131"/>
    <cellStyle name="Normal 36_AGF" xfId="35459"/>
    <cellStyle name="Normal 37" xfId="6451"/>
    <cellStyle name="Normal 37 10" xfId="35461"/>
    <cellStyle name="Normal 37 10 2" xfId="35462"/>
    <cellStyle name="Normal 37 10 2 2" xfId="35463"/>
    <cellStyle name="Normal 37 10 3" xfId="35464"/>
    <cellStyle name="Normal 37 11" xfId="35465"/>
    <cellStyle name="Normal 37 11 2" xfId="35466"/>
    <cellStyle name="Normal 37 11 2 2" xfId="35467"/>
    <cellStyle name="Normal 37 11 3" xfId="35468"/>
    <cellStyle name="Normal 37 12" xfId="35469"/>
    <cellStyle name="Normal 37 12 2" xfId="35470"/>
    <cellStyle name="Normal 37 13" xfId="35471"/>
    <cellStyle name="Normal 37 13 2" xfId="35472"/>
    <cellStyle name="Normal 37 14" xfId="35473"/>
    <cellStyle name="Normal 37 15" xfId="35474"/>
    <cellStyle name="Normal 37 16" xfId="57638"/>
    <cellStyle name="Normal 37 17" xfId="35460"/>
    <cellStyle name="Normal 37 2" xfId="18853"/>
    <cellStyle name="Normal 37 2 10" xfId="35476"/>
    <cellStyle name="Normal 37 2 10 2" xfId="35477"/>
    <cellStyle name="Normal 37 2 10 2 2" xfId="35478"/>
    <cellStyle name="Normal 37 2 10 3" xfId="35479"/>
    <cellStyle name="Normal 37 2 11" xfId="35480"/>
    <cellStyle name="Normal 37 2 11 2" xfId="35481"/>
    <cellStyle name="Normal 37 2 12" xfId="35482"/>
    <cellStyle name="Normal 37 2 12 2" xfId="35483"/>
    <cellStyle name="Normal 37 2 13" xfId="35484"/>
    <cellStyle name="Normal 37 2 14" xfId="35485"/>
    <cellStyle name="Normal 37 2 15" xfId="35475"/>
    <cellStyle name="Normal 37 2 2" xfId="35486"/>
    <cellStyle name="Normal 37 2 2 2" xfId="35487"/>
    <cellStyle name="Normal 37 2 2 2 2" xfId="35488"/>
    <cellStyle name="Normal 37 2 2 2 2 2" xfId="35489"/>
    <cellStyle name="Normal 37 2 2 2 2 2 2" xfId="35490"/>
    <cellStyle name="Normal 37 2 2 2 2 2 2 2" xfId="35491"/>
    <cellStyle name="Normal 37 2 2 2 2 2 3" xfId="35492"/>
    <cellStyle name="Normal 37 2 2 2 2 2 3 2" xfId="35493"/>
    <cellStyle name="Normal 37 2 2 2 2 2 4" xfId="35494"/>
    <cellStyle name="Normal 37 2 2 2 2 3" xfId="35495"/>
    <cellStyle name="Normal 37 2 2 2 2 3 2" xfId="48132"/>
    <cellStyle name="Normal 37 2 2 2 2 4" xfId="35496"/>
    <cellStyle name="Normal 37 2 2 2 2 4 2" xfId="35497"/>
    <cellStyle name="Normal 37 2 2 2 2 5" xfId="35498"/>
    <cellStyle name="Normal 37 2 2 2 2_IAS" xfId="35499"/>
    <cellStyle name="Normal 37 2 2 2 3" xfId="35500"/>
    <cellStyle name="Normal 37 2 2 2 3 2" xfId="35501"/>
    <cellStyle name="Normal 37 2 2 2 3 2 2" xfId="35502"/>
    <cellStyle name="Normal 37 2 2 2 3 3" xfId="35503"/>
    <cellStyle name="Normal 37 2 2 2 3 3 2" xfId="35504"/>
    <cellStyle name="Normal 37 2 2 2 3 4" xfId="35505"/>
    <cellStyle name="Normal 37 2 2 2 4" xfId="35506"/>
    <cellStyle name="Normal 37 2 2 2 4 2" xfId="48133"/>
    <cellStyle name="Normal 37 2 2 2 5" xfId="35507"/>
    <cellStyle name="Normal 37 2 2 2 5 2" xfId="35508"/>
    <cellStyle name="Normal 37 2 2 2 6" xfId="35509"/>
    <cellStyle name="Normal 37 2 2 2_IAS" xfId="35510"/>
    <cellStyle name="Normal 37 2 2 3" xfId="35511"/>
    <cellStyle name="Normal 37 2 2 3 2" xfId="35512"/>
    <cellStyle name="Normal 37 2 2 3 2 2" xfId="35513"/>
    <cellStyle name="Normal 37 2 2 3 2 2 2" xfId="35514"/>
    <cellStyle name="Normal 37 2 2 3 2 3" xfId="35515"/>
    <cellStyle name="Normal 37 2 2 3 2 3 2" xfId="35516"/>
    <cellStyle name="Normal 37 2 2 3 2 4" xfId="35517"/>
    <cellStyle name="Normal 37 2 2 3 3" xfId="35518"/>
    <cellStyle name="Normal 37 2 2 3 3 2" xfId="48134"/>
    <cellStyle name="Normal 37 2 2 3 4" xfId="35519"/>
    <cellStyle name="Normal 37 2 2 3 4 2" xfId="35520"/>
    <cellStyle name="Normal 37 2 2 3 5" xfId="35521"/>
    <cellStyle name="Normal 37 2 2 3_IAS" xfId="35522"/>
    <cellStyle name="Normal 37 2 2 4" xfId="35523"/>
    <cellStyle name="Normal 37 2 2 4 2" xfId="35524"/>
    <cellStyle name="Normal 37 2 2 4 2 2" xfId="35525"/>
    <cellStyle name="Normal 37 2 2 4 3" xfId="35526"/>
    <cellStyle name="Normal 37 2 2 4 3 2" xfId="35527"/>
    <cellStyle name="Normal 37 2 2 4 4" xfId="35528"/>
    <cellStyle name="Normal 37 2 2 5" xfId="35529"/>
    <cellStyle name="Normal 37 2 2 5 2" xfId="48135"/>
    <cellStyle name="Normal 37 2 2 6" xfId="35530"/>
    <cellStyle name="Normal 37 2 2 6 2" xfId="35531"/>
    <cellStyle name="Normal 37 2 2 7" xfId="35532"/>
    <cellStyle name="Normal 37 2 2_IAS" xfId="35533"/>
    <cellStyle name="Normal 37 2 3" xfId="35534"/>
    <cellStyle name="Normal 37 2 3 2" xfId="35535"/>
    <cellStyle name="Normal 37 2 3 2 2" xfId="35536"/>
    <cellStyle name="Normal 37 2 3 2 2 2" xfId="35537"/>
    <cellStyle name="Normal 37 2 3 2 2 2 2" xfId="35538"/>
    <cellStyle name="Normal 37 2 3 2 2 2 2 2" xfId="35539"/>
    <cellStyle name="Normal 37 2 3 2 2 2 3" xfId="35540"/>
    <cellStyle name="Normal 37 2 3 2 2 2 3 2" xfId="35541"/>
    <cellStyle name="Normal 37 2 3 2 2 2 4" xfId="35542"/>
    <cellStyle name="Normal 37 2 3 2 2 3" xfId="35543"/>
    <cellStyle name="Normal 37 2 3 2 2 3 2" xfId="48136"/>
    <cellStyle name="Normal 37 2 3 2 2 4" xfId="35544"/>
    <cellStyle name="Normal 37 2 3 2 2 4 2" xfId="35545"/>
    <cellStyle name="Normal 37 2 3 2 2 5" xfId="35546"/>
    <cellStyle name="Normal 37 2 3 2 2_IAS" xfId="35547"/>
    <cellStyle name="Normal 37 2 3 2 3" xfId="35548"/>
    <cellStyle name="Normal 37 2 3 2 3 2" xfId="35549"/>
    <cellStyle name="Normal 37 2 3 2 3 2 2" xfId="35550"/>
    <cellStyle name="Normal 37 2 3 2 3 3" xfId="35551"/>
    <cellStyle name="Normal 37 2 3 2 3 3 2" xfId="35552"/>
    <cellStyle name="Normal 37 2 3 2 3 4" xfId="35553"/>
    <cellStyle name="Normal 37 2 3 2 4" xfId="35554"/>
    <cellStyle name="Normal 37 2 3 2 4 2" xfId="48137"/>
    <cellStyle name="Normal 37 2 3 2 5" xfId="35555"/>
    <cellStyle name="Normal 37 2 3 2 5 2" xfId="35556"/>
    <cellStyle name="Normal 37 2 3 2 6" xfId="35557"/>
    <cellStyle name="Normal 37 2 3 2_IAS" xfId="35558"/>
    <cellStyle name="Normal 37 2 3 3" xfId="35559"/>
    <cellStyle name="Normal 37 2 3 3 2" xfId="35560"/>
    <cellStyle name="Normal 37 2 3 3 2 2" xfId="35561"/>
    <cellStyle name="Normal 37 2 3 3 2 2 2" xfId="35562"/>
    <cellStyle name="Normal 37 2 3 3 2 3" xfId="35563"/>
    <cellStyle name="Normal 37 2 3 3 2 3 2" xfId="35564"/>
    <cellStyle name="Normal 37 2 3 3 2 4" xfId="35565"/>
    <cellStyle name="Normal 37 2 3 3 3" xfId="35566"/>
    <cellStyle name="Normal 37 2 3 3 3 2" xfId="48138"/>
    <cellStyle name="Normal 37 2 3 3 4" xfId="35567"/>
    <cellStyle name="Normal 37 2 3 3 4 2" xfId="35568"/>
    <cellStyle name="Normal 37 2 3 3 5" xfId="35569"/>
    <cellStyle name="Normal 37 2 3 3_IAS" xfId="35570"/>
    <cellStyle name="Normal 37 2 3 4" xfId="35571"/>
    <cellStyle name="Normal 37 2 3 4 2" xfId="35572"/>
    <cellStyle name="Normal 37 2 3 4 2 2" xfId="35573"/>
    <cellStyle name="Normal 37 2 3 4 3" xfId="35574"/>
    <cellStyle name="Normal 37 2 3 4 3 2" xfId="35575"/>
    <cellStyle name="Normal 37 2 3 4 4" xfId="35576"/>
    <cellStyle name="Normal 37 2 3 5" xfId="35577"/>
    <cellStyle name="Normal 37 2 3 5 2" xfId="48139"/>
    <cellStyle name="Normal 37 2 3 6" xfId="35578"/>
    <cellStyle name="Normal 37 2 3 6 2" xfId="35579"/>
    <cellStyle name="Normal 37 2 3 7" xfId="35580"/>
    <cellStyle name="Normal 37 2 3_IAS" xfId="35581"/>
    <cellStyle name="Normal 37 2 4" xfId="35582"/>
    <cellStyle name="Normal 37 2 4 2" xfId="48140"/>
    <cellStyle name="Normal 37 2 5" xfId="35583"/>
    <cellStyle name="Normal 37 2 5 2" xfId="35584"/>
    <cellStyle name="Normal 37 2 5 2 2" xfId="35585"/>
    <cellStyle name="Normal 37 2 5 2 2 2" xfId="35586"/>
    <cellStyle name="Normal 37 2 5 2 2 2 2" xfId="35587"/>
    <cellStyle name="Normal 37 2 5 2 2 3" xfId="35588"/>
    <cellStyle name="Normal 37 2 5 2 2 3 2" xfId="35589"/>
    <cellStyle name="Normal 37 2 5 2 2 4" xfId="35590"/>
    <cellStyle name="Normal 37 2 5 2 3" xfId="35591"/>
    <cellStyle name="Normal 37 2 5 2 3 2" xfId="48141"/>
    <cellStyle name="Normal 37 2 5 2 4" xfId="35592"/>
    <cellStyle name="Normal 37 2 5 2 4 2" xfId="35593"/>
    <cellStyle name="Normal 37 2 5 2 5" xfId="35594"/>
    <cellStyle name="Normal 37 2 5 2_IAS" xfId="35595"/>
    <cellStyle name="Normal 37 2 5 3" xfId="35596"/>
    <cellStyle name="Normal 37 2 5 3 2" xfId="35597"/>
    <cellStyle name="Normal 37 2 5 3 2 2" xfId="35598"/>
    <cellStyle name="Normal 37 2 5 3 3" xfId="35599"/>
    <cellStyle name="Normal 37 2 5 3 3 2" xfId="35600"/>
    <cellStyle name="Normal 37 2 5 3 4" xfId="35601"/>
    <cellStyle name="Normal 37 2 5 4" xfId="35602"/>
    <cellStyle name="Normal 37 2 5 4 2" xfId="48142"/>
    <cellStyle name="Normal 37 2 5 5" xfId="35603"/>
    <cellStyle name="Normal 37 2 5 5 2" xfId="35604"/>
    <cellStyle name="Normal 37 2 5 6" xfId="35605"/>
    <cellStyle name="Normal 37 2 5_IAS" xfId="35606"/>
    <cellStyle name="Normal 37 2 6" xfId="35607"/>
    <cellStyle name="Normal 37 2 6 2" xfId="35608"/>
    <cellStyle name="Normal 37 2 6 2 2" xfId="35609"/>
    <cellStyle name="Normal 37 2 6 2 2 2" xfId="35610"/>
    <cellStyle name="Normal 37 2 6 2 3" xfId="35611"/>
    <cellStyle name="Normal 37 2 6 2 3 2" xfId="35612"/>
    <cellStyle name="Normal 37 2 6 2 4" xfId="35613"/>
    <cellStyle name="Normal 37 2 6 3" xfId="35614"/>
    <cellStyle name="Normal 37 2 6 3 2" xfId="48143"/>
    <cellStyle name="Normal 37 2 6 4" xfId="35615"/>
    <cellStyle name="Normal 37 2 6 4 2" xfId="35616"/>
    <cellStyle name="Normal 37 2 6 5" xfId="35617"/>
    <cellStyle name="Normal 37 2 6_IAS" xfId="35618"/>
    <cellStyle name="Normal 37 2 7" xfId="35619"/>
    <cellStyle name="Normal 37 2 7 2" xfId="35620"/>
    <cellStyle name="Normal 37 2 7 2 2" xfId="35621"/>
    <cellStyle name="Normal 37 2 7 3" xfId="35622"/>
    <cellStyle name="Normal 37 2 7 3 2" xfId="35623"/>
    <cellStyle name="Normal 37 2 7 4" xfId="35624"/>
    <cellStyle name="Normal 37 2 8" xfId="35625"/>
    <cellStyle name="Normal 37 2 8 2" xfId="35626"/>
    <cellStyle name="Normal 37 2 8 2 2" xfId="35627"/>
    <cellStyle name="Normal 37 2 8 3" xfId="35628"/>
    <cellStyle name="Normal 37 2 9" xfId="35629"/>
    <cellStyle name="Normal 37 2 9 2" xfId="35630"/>
    <cellStyle name="Normal 37 2 9 2 2" xfId="35631"/>
    <cellStyle name="Normal 37 2 9 3" xfId="35632"/>
    <cellStyle name="Normal 37 2_IAS" xfId="35633"/>
    <cellStyle name="Normal 37 3" xfId="35634"/>
    <cellStyle name="Normal 37 3 2" xfId="35635"/>
    <cellStyle name="Normal 37 3 2 2" xfId="35636"/>
    <cellStyle name="Normal 37 3 2 2 2" xfId="35637"/>
    <cellStyle name="Normal 37 3 2 2 2 2" xfId="35638"/>
    <cellStyle name="Normal 37 3 2 2 2 2 2" xfId="35639"/>
    <cellStyle name="Normal 37 3 2 2 2 3" xfId="35640"/>
    <cellStyle name="Normal 37 3 2 2 2 3 2" xfId="35641"/>
    <cellStyle name="Normal 37 3 2 2 2 4" xfId="35642"/>
    <cellStyle name="Normal 37 3 2 2 3" xfId="35643"/>
    <cellStyle name="Normal 37 3 2 2 3 2" xfId="48144"/>
    <cellStyle name="Normal 37 3 2 2 4" xfId="35644"/>
    <cellStyle name="Normal 37 3 2 2 4 2" xfId="35645"/>
    <cellStyle name="Normal 37 3 2 2 5" xfId="35646"/>
    <cellStyle name="Normal 37 3 2 2_IAS" xfId="35647"/>
    <cellStyle name="Normal 37 3 2 3" xfId="35648"/>
    <cellStyle name="Normal 37 3 2 3 2" xfId="35649"/>
    <cellStyle name="Normal 37 3 2 3 2 2" xfId="35650"/>
    <cellStyle name="Normal 37 3 2 3 3" xfId="35651"/>
    <cellStyle name="Normal 37 3 2 3 3 2" xfId="35652"/>
    <cellStyle name="Normal 37 3 2 3 4" xfId="35653"/>
    <cellStyle name="Normal 37 3 2 4" xfId="35654"/>
    <cellStyle name="Normal 37 3 2 4 2" xfId="48145"/>
    <cellStyle name="Normal 37 3 2 5" xfId="35655"/>
    <cellStyle name="Normal 37 3 2 5 2" xfId="35656"/>
    <cellStyle name="Normal 37 3 2 6" xfId="35657"/>
    <cellStyle name="Normal 37 3 2_IAS" xfId="35658"/>
    <cellStyle name="Normal 37 3 3" xfId="35659"/>
    <cellStyle name="Normal 37 3 3 2" xfId="35660"/>
    <cellStyle name="Normal 37 3 3 2 2" xfId="35661"/>
    <cellStyle name="Normal 37 3 3 2 2 2" xfId="35662"/>
    <cellStyle name="Normal 37 3 3 2 3" xfId="35663"/>
    <cellStyle name="Normal 37 3 3 2 3 2" xfId="35664"/>
    <cellStyle name="Normal 37 3 3 2 4" xfId="35665"/>
    <cellStyle name="Normal 37 3 3 3" xfId="35666"/>
    <cellStyle name="Normal 37 3 3 3 2" xfId="48146"/>
    <cellStyle name="Normal 37 3 3 4" xfId="35667"/>
    <cellStyle name="Normal 37 3 3 4 2" xfId="35668"/>
    <cellStyle name="Normal 37 3 3 5" xfId="35669"/>
    <cellStyle name="Normal 37 3 3_IAS" xfId="35670"/>
    <cellStyle name="Normal 37 3 4" xfId="35671"/>
    <cellStyle name="Normal 37 3 4 2" xfId="35672"/>
    <cellStyle name="Normal 37 3 4 2 2" xfId="35673"/>
    <cellStyle name="Normal 37 3 4 3" xfId="35674"/>
    <cellStyle name="Normal 37 3 4 3 2" xfId="35675"/>
    <cellStyle name="Normal 37 3 4 4" xfId="35676"/>
    <cellStyle name="Normal 37 3 5" xfId="35677"/>
    <cellStyle name="Normal 37 3 5 2" xfId="48147"/>
    <cellStyle name="Normal 37 3 6" xfId="35678"/>
    <cellStyle name="Normal 37 3 6 2" xfId="35679"/>
    <cellStyle name="Normal 37 3 7" xfId="35680"/>
    <cellStyle name="Normal 37 3_IAS" xfId="35681"/>
    <cellStyle name="Normal 37 4" xfId="35682"/>
    <cellStyle name="Normal 37 4 2" xfId="35683"/>
    <cellStyle name="Normal 37 4 2 2" xfId="35684"/>
    <cellStyle name="Normal 37 4 2 2 2" xfId="35685"/>
    <cellStyle name="Normal 37 4 2 2 2 2" xfId="35686"/>
    <cellStyle name="Normal 37 4 2 2 2 2 2" xfId="35687"/>
    <cellStyle name="Normal 37 4 2 2 2 3" xfId="35688"/>
    <cellStyle name="Normal 37 4 2 2 2 3 2" xfId="35689"/>
    <cellStyle name="Normal 37 4 2 2 2 4" xfId="35690"/>
    <cellStyle name="Normal 37 4 2 2 3" xfId="35691"/>
    <cellStyle name="Normal 37 4 2 2 3 2" xfId="48148"/>
    <cellStyle name="Normal 37 4 2 2 4" xfId="35692"/>
    <cellStyle name="Normal 37 4 2 2 4 2" xfId="35693"/>
    <cellStyle name="Normal 37 4 2 2 5" xfId="35694"/>
    <cellStyle name="Normal 37 4 2 2_IAS" xfId="35695"/>
    <cellStyle name="Normal 37 4 2 3" xfId="35696"/>
    <cellStyle name="Normal 37 4 2 3 2" xfId="35697"/>
    <cellStyle name="Normal 37 4 2 3 2 2" xfId="35698"/>
    <cellStyle name="Normal 37 4 2 3 3" xfId="35699"/>
    <cellStyle name="Normal 37 4 2 3 3 2" xfId="35700"/>
    <cellStyle name="Normal 37 4 2 3 4" xfId="35701"/>
    <cellStyle name="Normal 37 4 2 4" xfId="35702"/>
    <cellStyle name="Normal 37 4 2 4 2" xfId="48149"/>
    <cellStyle name="Normal 37 4 2 5" xfId="35703"/>
    <cellStyle name="Normal 37 4 2 5 2" xfId="35704"/>
    <cellStyle name="Normal 37 4 2 6" xfId="35705"/>
    <cellStyle name="Normal 37 4 2_IAS" xfId="35706"/>
    <cellStyle name="Normal 37 4 3" xfId="35707"/>
    <cellStyle name="Normal 37 4 3 2" xfId="35708"/>
    <cellStyle name="Normal 37 4 3 2 2" xfId="35709"/>
    <cellStyle name="Normal 37 4 3 2 2 2" xfId="35710"/>
    <cellStyle name="Normal 37 4 3 2 3" xfId="35711"/>
    <cellStyle name="Normal 37 4 3 2 3 2" xfId="35712"/>
    <cellStyle name="Normal 37 4 3 2 4" xfId="35713"/>
    <cellStyle name="Normal 37 4 3 3" xfId="35714"/>
    <cellStyle name="Normal 37 4 3 3 2" xfId="48150"/>
    <cellStyle name="Normal 37 4 3 4" xfId="35715"/>
    <cellStyle name="Normal 37 4 3 4 2" xfId="35716"/>
    <cellStyle name="Normal 37 4 3 5" xfId="35717"/>
    <cellStyle name="Normal 37 4 3_IAS" xfId="35718"/>
    <cellStyle name="Normal 37 4 4" xfId="35719"/>
    <cellStyle name="Normal 37 4 4 2" xfId="35720"/>
    <cellStyle name="Normal 37 4 4 2 2" xfId="35721"/>
    <cellStyle name="Normal 37 4 4 3" xfId="35722"/>
    <cellStyle name="Normal 37 4 4 3 2" xfId="35723"/>
    <cellStyle name="Normal 37 4 4 4" xfId="35724"/>
    <cellStyle name="Normal 37 4 5" xfId="35725"/>
    <cellStyle name="Normal 37 4 5 2" xfId="48151"/>
    <cellStyle name="Normal 37 4 6" xfId="35726"/>
    <cellStyle name="Normal 37 4 6 2" xfId="35727"/>
    <cellStyle name="Normal 37 4 7" xfId="35728"/>
    <cellStyle name="Normal 37 4_IAS" xfId="35729"/>
    <cellStyle name="Normal 37 5" xfId="35730"/>
    <cellStyle name="Normal 37 5 2" xfId="48152"/>
    <cellStyle name="Normal 37 6" xfId="35731"/>
    <cellStyle name="Normal 37 6 2" xfId="35732"/>
    <cellStyle name="Normal 37 6 2 2" xfId="35733"/>
    <cellStyle name="Normal 37 6 2 2 2" xfId="35734"/>
    <cellStyle name="Normal 37 6 2 2 2 2" xfId="35735"/>
    <cellStyle name="Normal 37 6 2 2 3" xfId="35736"/>
    <cellStyle name="Normal 37 6 2 2 3 2" xfId="35737"/>
    <cellStyle name="Normal 37 6 2 2 4" xfId="35738"/>
    <cellStyle name="Normal 37 6 2 3" xfId="35739"/>
    <cellStyle name="Normal 37 6 2 3 2" xfId="48153"/>
    <cellStyle name="Normal 37 6 2 4" xfId="35740"/>
    <cellStyle name="Normal 37 6 2 4 2" xfId="35741"/>
    <cellStyle name="Normal 37 6 2 5" xfId="35742"/>
    <cellStyle name="Normal 37 6 2_IAS" xfId="35743"/>
    <cellStyle name="Normal 37 6 3" xfId="35744"/>
    <cellStyle name="Normal 37 6 3 2" xfId="35745"/>
    <cellStyle name="Normal 37 6 3 2 2" xfId="35746"/>
    <cellStyle name="Normal 37 6 3 3" xfId="35747"/>
    <cellStyle name="Normal 37 6 3 3 2" xfId="35748"/>
    <cellStyle name="Normal 37 6 3 4" xfId="35749"/>
    <cellStyle name="Normal 37 6 4" xfId="35750"/>
    <cellStyle name="Normal 37 6 4 2" xfId="48154"/>
    <cellStyle name="Normal 37 6 5" xfId="35751"/>
    <cellStyle name="Normal 37 6 5 2" xfId="35752"/>
    <cellStyle name="Normal 37 6 6" xfId="35753"/>
    <cellStyle name="Normal 37 6_IAS" xfId="35754"/>
    <cellStyle name="Normal 37 7" xfId="35755"/>
    <cellStyle name="Normal 37 7 2" xfId="35756"/>
    <cellStyle name="Normal 37 7 2 2" xfId="35757"/>
    <cellStyle name="Normal 37 7 2 2 2" xfId="35758"/>
    <cellStyle name="Normal 37 7 2 3" xfId="35759"/>
    <cellStyle name="Normal 37 7 2 3 2" xfId="35760"/>
    <cellStyle name="Normal 37 7 2 4" xfId="35761"/>
    <cellStyle name="Normal 37 7 3" xfId="35762"/>
    <cellStyle name="Normal 37 7 3 2" xfId="48155"/>
    <cellStyle name="Normal 37 7 4" xfId="35763"/>
    <cellStyle name="Normal 37 7 4 2" xfId="35764"/>
    <cellStyle name="Normal 37 7 5" xfId="35765"/>
    <cellStyle name="Normal 37 7_IAS" xfId="35766"/>
    <cellStyle name="Normal 37 8" xfId="35767"/>
    <cellStyle name="Normal 37 8 2" xfId="35768"/>
    <cellStyle name="Normal 37 8 2 2" xfId="35769"/>
    <cellStyle name="Normal 37 8 3" xfId="35770"/>
    <cellStyle name="Normal 37 8 3 2" xfId="35771"/>
    <cellStyle name="Normal 37 8 4" xfId="35772"/>
    <cellStyle name="Normal 37 9" xfId="35773"/>
    <cellStyle name="Normal 37 9 2" xfId="35774"/>
    <cellStyle name="Normal 37 9 2 2" xfId="35775"/>
    <cellStyle name="Normal 37 9 3" xfId="35776"/>
    <cellStyle name="Normal 37_AGF" xfId="35777"/>
    <cellStyle name="Normal 38" xfId="7479"/>
    <cellStyle name="Normal 38 2" xfId="35779"/>
    <cellStyle name="Normal 38 2 2" xfId="48157"/>
    <cellStyle name="Normal 38 3" xfId="35780"/>
    <cellStyle name="Normal 38 3 2" xfId="48158"/>
    <cellStyle name="Normal 38 4" xfId="35781"/>
    <cellStyle name="Normal 38 4 2" xfId="48159"/>
    <cellStyle name="Normal 38 5" xfId="48156"/>
    <cellStyle name="Normal 38 6" xfId="35778"/>
    <cellStyle name="Normal 38_IAS" xfId="35782"/>
    <cellStyle name="Normal 39" xfId="12651"/>
    <cellStyle name="Normal 39 2" xfId="35784"/>
    <cellStyle name="Normal 39 2 2" xfId="48161"/>
    <cellStyle name="Normal 39 3" xfId="35785"/>
    <cellStyle name="Normal 39 3 2" xfId="48162"/>
    <cellStyle name="Normal 39 4" xfId="35786"/>
    <cellStyle name="Normal 39 4 2" xfId="48163"/>
    <cellStyle name="Normal 39 5" xfId="48160"/>
    <cellStyle name="Normal 39 6" xfId="35783"/>
    <cellStyle name="Normal 39_IAS" xfId="35787"/>
    <cellStyle name="Normal 4" xfId="3"/>
    <cellStyle name="Normal 4 10" xfId="35788"/>
    <cellStyle name="Normal 4 10 2" xfId="48165"/>
    <cellStyle name="Normal 4 11" xfId="35789"/>
    <cellStyle name="Normal 4 11 2" xfId="48166"/>
    <cellStyle name="Normal 4 12" xfId="35790"/>
    <cellStyle name="Normal 4 13" xfId="48164"/>
    <cellStyle name="Normal 4 14" xfId="52164"/>
    <cellStyle name="Normal 4 15" xfId="19968"/>
    <cellStyle name="Normal 4 2" xfId="998"/>
    <cellStyle name="Normal 4 2 10" xfId="13513"/>
    <cellStyle name="Normal 4 2 10 2" xfId="48167"/>
    <cellStyle name="Normal 4 2 10 3" xfId="35791"/>
    <cellStyle name="Normal 4 2 11" xfId="35792"/>
    <cellStyle name="Normal 4 2 11 2" xfId="35793"/>
    <cellStyle name="Normal 4 2 11 2 2" xfId="35794"/>
    <cellStyle name="Normal 4 2 11 3" xfId="35795"/>
    <cellStyle name="Normal 4 2 12" xfId="35796"/>
    <cellStyle name="Normal 4 2 12 2" xfId="35797"/>
    <cellStyle name="Normal 4 2 12 2 2" xfId="35798"/>
    <cellStyle name="Normal 4 2 12 3" xfId="35799"/>
    <cellStyle name="Normal 4 2 13" xfId="35800"/>
    <cellStyle name="Normal 4 2 13 2" xfId="35801"/>
    <cellStyle name="Normal 4 2 13 2 2" xfId="35802"/>
    <cellStyle name="Normal 4 2 13 3" xfId="35803"/>
    <cellStyle name="Normal 4 2 14" xfId="35804"/>
    <cellStyle name="Normal 4 2 14 2" xfId="35805"/>
    <cellStyle name="Normal 4 2 14 2 2" xfId="35806"/>
    <cellStyle name="Normal 4 2 14 3" xfId="35807"/>
    <cellStyle name="Normal 4 2 15" xfId="35808"/>
    <cellStyle name="Normal 4 2 15 2" xfId="35809"/>
    <cellStyle name="Normal 4 2 16" xfId="35810"/>
    <cellStyle name="Normal 4 2 16 2" xfId="48168"/>
    <cellStyle name="Normal 4 2 17" xfId="35811"/>
    <cellStyle name="Normal 4 2 17 2" xfId="35812"/>
    <cellStyle name="Normal 4 2 18" xfId="35813"/>
    <cellStyle name="Normal 4 2 19" xfId="35814"/>
    <cellStyle name="Normal 4 2 2" xfId="999"/>
    <cellStyle name="Normal 4 2 2 10" xfId="35816"/>
    <cellStyle name="Normal 4 2 2 10 2" xfId="35817"/>
    <cellStyle name="Normal 4 2 2 10 2 2" xfId="35818"/>
    <cellStyle name="Normal 4 2 2 10 3" xfId="35819"/>
    <cellStyle name="Normal 4 2 2 11" xfId="35820"/>
    <cellStyle name="Normal 4 2 2 11 2" xfId="35821"/>
    <cellStyle name="Normal 4 2 2 11 2 2" xfId="35822"/>
    <cellStyle name="Normal 4 2 2 11 3" xfId="35823"/>
    <cellStyle name="Normal 4 2 2 12" xfId="35824"/>
    <cellStyle name="Normal 4 2 2 12 2" xfId="35825"/>
    <cellStyle name="Normal 4 2 2 13" xfId="35826"/>
    <cellStyle name="Normal 4 2 2 13 2" xfId="35827"/>
    <cellStyle name="Normal 4 2 2 14" xfId="35828"/>
    <cellStyle name="Normal 4 2 2 15" xfId="35829"/>
    <cellStyle name="Normal 4 2 2 16" xfId="35815"/>
    <cellStyle name="Normal 4 2 2 2" xfId="1000"/>
    <cellStyle name="Normal 4 2 2 2 2" xfId="1001"/>
    <cellStyle name="Normal 4 2 2 2 2 2" xfId="1002"/>
    <cellStyle name="Normal 4 2 2 2 2 2 2" xfId="2282"/>
    <cellStyle name="Normal 4 2 2 2 2 2 2 2" xfId="5407"/>
    <cellStyle name="Normal 4 2 2 2 2 2 2 2 2" xfId="11610"/>
    <cellStyle name="Normal 4 2 2 2 2 2 2 2 2 2" xfId="35835"/>
    <cellStyle name="Normal 4 2 2 2 2 2 2 2 3" xfId="17812"/>
    <cellStyle name="Normal 4 2 2 2 2 2 2 2 4" xfId="35834"/>
    <cellStyle name="Normal 4 2 2 2 2 2 2 3" xfId="8510"/>
    <cellStyle name="Normal 4 2 2 2 2 2 2 3 2" xfId="35837"/>
    <cellStyle name="Normal 4 2 2 2 2 2 2 3 3" xfId="35836"/>
    <cellStyle name="Normal 4 2 2 2 2 2 2 4" xfId="14712"/>
    <cellStyle name="Normal 4 2 2 2 2 2 2 4 2" xfId="35838"/>
    <cellStyle name="Normal 4 2 2 2 2 2 2 5" xfId="35833"/>
    <cellStyle name="Normal 4 2 2 2 2 2 3" xfId="3172"/>
    <cellStyle name="Normal 4 2 2 2 2 2 3 2" xfId="6284"/>
    <cellStyle name="Normal 4 2 2 2 2 2 3 2 2" xfId="12487"/>
    <cellStyle name="Normal 4 2 2 2 2 2 3 2 2 2" xfId="57490"/>
    <cellStyle name="Normal 4 2 2 2 2 2 3 2 3" xfId="18689"/>
    <cellStyle name="Normal 4 2 2 2 2 2 3 2 4" xfId="48169"/>
    <cellStyle name="Normal 4 2 2 2 2 2 3 3" xfId="9387"/>
    <cellStyle name="Normal 4 2 2 2 2 2 3 4" xfId="15589"/>
    <cellStyle name="Normal 4 2 2 2 2 2 3 5" xfId="35839"/>
    <cellStyle name="Normal 4 2 2 2 2 2 4" xfId="4212"/>
    <cellStyle name="Normal 4 2 2 2 2 2 4 2" xfId="10416"/>
    <cellStyle name="Normal 4 2 2 2 2 2 4 2 2" xfId="35841"/>
    <cellStyle name="Normal 4 2 2 2 2 2 4 3" xfId="16618"/>
    <cellStyle name="Normal 4 2 2 2 2 2 4 4" xfId="35840"/>
    <cellStyle name="Normal 4 2 2 2 2 2 5" xfId="7315"/>
    <cellStyle name="Normal 4 2 2 2 2 2 5 2" xfId="19883"/>
    <cellStyle name="Normal 4 2 2 2 2 2 5 3" xfId="35842"/>
    <cellStyle name="Normal 4 2 2 2 2 2 6" xfId="13517"/>
    <cellStyle name="Normal 4 2 2 2 2 2 7" xfId="35832"/>
    <cellStyle name="Normal 4 2 2 2 2 2_IAS" xfId="35843"/>
    <cellStyle name="Normal 4 2 2 2 2 3" xfId="1758"/>
    <cellStyle name="Normal 4 2 2 2 2 3 2" xfId="4883"/>
    <cellStyle name="Normal 4 2 2 2 2 3 2 2" xfId="11086"/>
    <cellStyle name="Normal 4 2 2 2 2 3 2 2 2" xfId="35846"/>
    <cellStyle name="Normal 4 2 2 2 2 3 2 3" xfId="17288"/>
    <cellStyle name="Normal 4 2 2 2 2 3 2 4" xfId="35845"/>
    <cellStyle name="Normal 4 2 2 2 2 3 3" xfId="7986"/>
    <cellStyle name="Normal 4 2 2 2 2 3 3 2" xfId="35848"/>
    <cellStyle name="Normal 4 2 2 2 2 3 3 3" xfId="35847"/>
    <cellStyle name="Normal 4 2 2 2 2 3 4" xfId="14188"/>
    <cellStyle name="Normal 4 2 2 2 2 3 4 2" xfId="35849"/>
    <cellStyle name="Normal 4 2 2 2 2 3 5" xfId="35844"/>
    <cellStyle name="Normal 4 2 2 2 2 4" xfId="3171"/>
    <cellStyle name="Normal 4 2 2 2 2 4 2" xfId="6283"/>
    <cellStyle name="Normal 4 2 2 2 2 4 2 2" xfId="12486"/>
    <cellStyle name="Normal 4 2 2 2 2 4 2 2 2" xfId="57489"/>
    <cellStyle name="Normal 4 2 2 2 2 4 2 3" xfId="18688"/>
    <cellStyle name="Normal 4 2 2 2 2 4 2 4" xfId="48170"/>
    <cellStyle name="Normal 4 2 2 2 2 4 3" xfId="9386"/>
    <cellStyle name="Normal 4 2 2 2 2 4 4" xfId="15588"/>
    <cellStyle name="Normal 4 2 2 2 2 4 5" xfId="35850"/>
    <cellStyle name="Normal 4 2 2 2 2 5" xfId="4211"/>
    <cellStyle name="Normal 4 2 2 2 2 5 2" xfId="10415"/>
    <cellStyle name="Normal 4 2 2 2 2 5 2 2" xfId="35852"/>
    <cellStyle name="Normal 4 2 2 2 2 5 3" xfId="16617"/>
    <cellStyle name="Normal 4 2 2 2 2 5 4" xfId="35851"/>
    <cellStyle name="Normal 4 2 2 2 2 6" xfId="7314"/>
    <cellStyle name="Normal 4 2 2 2 2 6 2" xfId="19359"/>
    <cellStyle name="Normal 4 2 2 2 2 6 3" xfId="35853"/>
    <cellStyle name="Normal 4 2 2 2 2 7" xfId="13516"/>
    <cellStyle name="Normal 4 2 2 2 2 8" xfId="35831"/>
    <cellStyle name="Normal 4 2 2 2 2_IAS" xfId="35854"/>
    <cellStyle name="Normal 4 2 2 2 3" xfId="1003"/>
    <cellStyle name="Normal 4 2 2 2 3 2" xfId="2037"/>
    <cellStyle name="Normal 4 2 2 2 3 2 2" xfId="5162"/>
    <cellStyle name="Normal 4 2 2 2 3 2 2 2" xfId="11365"/>
    <cellStyle name="Normal 4 2 2 2 3 2 2 2 2" xfId="35858"/>
    <cellStyle name="Normal 4 2 2 2 3 2 2 3" xfId="17567"/>
    <cellStyle name="Normal 4 2 2 2 3 2 2 4" xfId="35857"/>
    <cellStyle name="Normal 4 2 2 2 3 2 3" xfId="8265"/>
    <cellStyle name="Normal 4 2 2 2 3 2 3 2" xfId="35860"/>
    <cellStyle name="Normal 4 2 2 2 3 2 3 3" xfId="35859"/>
    <cellStyle name="Normal 4 2 2 2 3 2 4" xfId="14467"/>
    <cellStyle name="Normal 4 2 2 2 3 2 4 2" xfId="35861"/>
    <cellStyle name="Normal 4 2 2 2 3 2 5" xfId="35856"/>
    <cellStyle name="Normal 4 2 2 2 3 3" xfId="3173"/>
    <cellStyle name="Normal 4 2 2 2 3 3 2" xfId="6285"/>
    <cellStyle name="Normal 4 2 2 2 3 3 2 2" xfId="12488"/>
    <cellStyle name="Normal 4 2 2 2 3 3 2 2 2" xfId="57491"/>
    <cellStyle name="Normal 4 2 2 2 3 3 2 3" xfId="18690"/>
    <cellStyle name="Normal 4 2 2 2 3 3 2 4" xfId="48171"/>
    <cellStyle name="Normal 4 2 2 2 3 3 3" xfId="9388"/>
    <cellStyle name="Normal 4 2 2 2 3 3 4" xfId="15590"/>
    <cellStyle name="Normal 4 2 2 2 3 3 5" xfId="35862"/>
    <cellStyle name="Normal 4 2 2 2 3 4" xfId="4213"/>
    <cellStyle name="Normal 4 2 2 2 3 4 2" xfId="10417"/>
    <cellStyle name="Normal 4 2 2 2 3 4 2 2" xfId="35864"/>
    <cellStyle name="Normal 4 2 2 2 3 4 3" xfId="16619"/>
    <cellStyle name="Normal 4 2 2 2 3 4 4" xfId="35863"/>
    <cellStyle name="Normal 4 2 2 2 3 5" xfId="7316"/>
    <cellStyle name="Normal 4 2 2 2 3 5 2" xfId="19638"/>
    <cellStyle name="Normal 4 2 2 2 3 5 3" xfId="35865"/>
    <cellStyle name="Normal 4 2 2 2 3 6" xfId="13518"/>
    <cellStyle name="Normal 4 2 2 2 3 7" xfId="35855"/>
    <cellStyle name="Normal 4 2 2 2 3_IAS" xfId="35866"/>
    <cellStyle name="Normal 4 2 2 2 4" xfId="1513"/>
    <cellStyle name="Normal 4 2 2 2 4 2" xfId="4638"/>
    <cellStyle name="Normal 4 2 2 2 4 2 2" xfId="10841"/>
    <cellStyle name="Normal 4 2 2 2 4 2 2 2" xfId="35869"/>
    <cellStyle name="Normal 4 2 2 2 4 2 3" xfId="17043"/>
    <cellStyle name="Normal 4 2 2 2 4 2 4" xfId="35868"/>
    <cellStyle name="Normal 4 2 2 2 4 3" xfId="7741"/>
    <cellStyle name="Normal 4 2 2 2 4 3 2" xfId="35871"/>
    <cellStyle name="Normal 4 2 2 2 4 3 3" xfId="35870"/>
    <cellStyle name="Normal 4 2 2 2 4 4" xfId="13943"/>
    <cellStyle name="Normal 4 2 2 2 4 4 2" xfId="35872"/>
    <cellStyle name="Normal 4 2 2 2 4 5" xfId="35867"/>
    <cellStyle name="Normal 4 2 2 2 5" xfId="3170"/>
    <cellStyle name="Normal 4 2 2 2 5 2" xfId="6282"/>
    <cellStyle name="Normal 4 2 2 2 5 2 2" xfId="12485"/>
    <cellStyle name="Normal 4 2 2 2 5 2 2 2" xfId="57488"/>
    <cellStyle name="Normal 4 2 2 2 5 2 3" xfId="18687"/>
    <cellStyle name="Normal 4 2 2 2 5 2 4" xfId="48172"/>
    <cellStyle name="Normal 4 2 2 2 5 3" xfId="9385"/>
    <cellStyle name="Normal 4 2 2 2 5 4" xfId="15587"/>
    <cellStyle name="Normal 4 2 2 2 5 5" xfId="35873"/>
    <cellStyle name="Normal 4 2 2 2 6" xfId="4210"/>
    <cellStyle name="Normal 4 2 2 2 6 2" xfId="10414"/>
    <cellStyle name="Normal 4 2 2 2 6 2 2" xfId="35875"/>
    <cellStyle name="Normal 4 2 2 2 6 3" xfId="16616"/>
    <cellStyle name="Normal 4 2 2 2 6 4" xfId="35874"/>
    <cellStyle name="Normal 4 2 2 2 7" xfId="7313"/>
    <cellStyle name="Normal 4 2 2 2 7 2" xfId="19114"/>
    <cellStyle name="Normal 4 2 2 2 7 3" xfId="35876"/>
    <cellStyle name="Normal 4 2 2 2 8" xfId="13515"/>
    <cellStyle name="Normal 4 2 2 2 9" xfId="35830"/>
    <cellStyle name="Normal 4 2 2 2_IAS" xfId="35877"/>
    <cellStyle name="Normal 4 2 2 3" xfId="1004"/>
    <cellStyle name="Normal 4 2 2 3 2" xfId="1005"/>
    <cellStyle name="Normal 4 2 2 3 2 2" xfId="2154"/>
    <cellStyle name="Normal 4 2 2 3 2 2 2" xfId="5279"/>
    <cellStyle name="Normal 4 2 2 3 2 2 2 2" xfId="11482"/>
    <cellStyle name="Normal 4 2 2 3 2 2 2 2 2" xfId="35883"/>
    <cellStyle name="Normal 4 2 2 3 2 2 2 2 3" xfId="35882"/>
    <cellStyle name="Normal 4 2 2 3 2 2 2 3" xfId="17684"/>
    <cellStyle name="Normal 4 2 2 3 2 2 2 3 2" xfId="35885"/>
    <cellStyle name="Normal 4 2 2 3 2 2 2 3 3" xfId="35884"/>
    <cellStyle name="Normal 4 2 2 3 2 2 2 4" xfId="35886"/>
    <cellStyle name="Normal 4 2 2 3 2 2 2 5" xfId="35881"/>
    <cellStyle name="Normal 4 2 2 3 2 2 3" xfId="8382"/>
    <cellStyle name="Normal 4 2 2 3 2 2 3 2" xfId="48173"/>
    <cellStyle name="Normal 4 2 2 3 2 2 3 3" xfId="35887"/>
    <cellStyle name="Normal 4 2 2 3 2 2 4" xfId="14584"/>
    <cellStyle name="Normal 4 2 2 3 2 2 4 2" xfId="35889"/>
    <cellStyle name="Normal 4 2 2 3 2 2 4 3" xfId="35888"/>
    <cellStyle name="Normal 4 2 2 3 2 2 5" xfId="35890"/>
    <cellStyle name="Normal 4 2 2 3 2 2 6" xfId="35880"/>
    <cellStyle name="Normal 4 2 2 3 2 2_IAS" xfId="35891"/>
    <cellStyle name="Normal 4 2 2 3 2 3" xfId="3175"/>
    <cellStyle name="Normal 4 2 2 3 2 3 2" xfId="6287"/>
    <cellStyle name="Normal 4 2 2 3 2 3 2 2" xfId="12490"/>
    <cellStyle name="Normal 4 2 2 3 2 3 2 2 2" xfId="35894"/>
    <cellStyle name="Normal 4 2 2 3 2 3 2 3" xfId="18692"/>
    <cellStyle name="Normal 4 2 2 3 2 3 2 4" xfId="35893"/>
    <cellStyle name="Normal 4 2 2 3 2 3 3" xfId="9390"/>
    <cellStyle name="Normal 4 2 2 3 2 3 3 2" xfId="35896"/>
    <cellStyle name="Normal 4 2 2 3 2 3 3 3" xfId="35895"/>
    <cellStyle name="Normal 4 2 2 3 2 3 4" xfId="15592"/>
    <cellStyle name="Normal 4 2 2 3 2 3 4 2" xfId="35897"/>
    <cellStyle name="Normal 4 2 2 3 2 3 5" xfId="35892"/>
    <cellStyle name="Normal 4 2 2 3 2 4" xfId="4215"/>
    <cellStyle name="Normal 4 2 2 3 2 4 2" xfId="10419"/>
    <cellStyle name="Normal 4 2 2 3 2 4 2 2" xfId="48174"/>
    <cellStyle name="Normal 4 2 2 3 2 4 3" xfId="16621"/>
    <cellStyle name="Normal 4 2 2 3 2 4 4" xfId="35898"/>
    <cellStyle name="Normal 4 2 2 3 2 5" xfId="7318"/>
    <cellStyle name="Normal 4 2 2 3 2 5 2" xfId="19755"/>
    <cellStyle name="Normal 4 2 2 3 2 5 2 2" xfId="35900"/>
    <cellStyle name="Normal 4 2 2 3 2 5 3" xfId="35899"/>
    <cellStyle name="Normal 4 2 2 3 2 6" xfId="13520"/>
    <cellStyle name="Normal 4 2 2 3 2 6 2" xfId="35901"/>
    <cellStyle name="Normal 4 2 2 3 2 7" xfId="35879"/>
    <cellStyle name="Normal 4 2 2 3 2_IAS" xfId="35902"/>
    <cellStyle name="Normal 4 2 2 3 3" xfId="1630"/>
    <cellStyle name="Normal 4 2 2 3 3 2" xfId="4755"/>
    <cellStyle name="Normal 4 2 2 3 3 2 2" xfId="10958"/>
    <cellStyle name="Normal 4 2 2 3 3 2 2 2" xfId="35906"/>
    <cellStyle name="Normal 4 2 2 3 3 2 2 3" xfId="35905"/>
    <cellStyle name="Normal 4 2 2 3 3 2 3" xfId="17160"/>
    <cellStyle name="Normal 4 2 2 3 3 2 3 2" xfId="35908"/>
    <cellStyle name="Normal 4 2 2 3 3 2 3 3" xfId="35907"/>
    <cellStyle name="Normal 4 2 2 3 3 2 4" xfId="35909"/>
    <cellStyle name="Normal 4 2 2 3 3 2 5" xfId="35904"/>
    <cellStyle name="Normal 4 2 2 3 3 3" xfId="7858"/>
    <cellStyle name="Normal 4 2 2 3 3 3 2" xfId="48175"/>
    <cellStyle name="Normal 4 2 2 3 3 3 3" xfId="35910"/>
    <cellStyle name="Normal 4 2 2 3 3 4" xfId="14060"/>
    <cellStyle name="Normal 4 2 2 3 3 4 2" xfId="35912"/>
    <cellStyle name="Normal 4 2 2 3 3 4 3" xfId="35911"/>
    <cellStyle name="Normal 4 2 2 3 3 5" xfId="35913"/>
    <cellStyle name="Normal 4 2 2 3 3 6" xfId="35903"/>
    <cellStyle name="Normal 4 2 2 3 3_IAS" xfId="35914"/>
    <cellStyle name="Normal 4 2 2 3 4" xfId="3174"/>
    <cellStyle name="Normal 4 2 2 3 4 2" xfId="6286"/>
    <cellStyle name="Normal 4 2 2 3 4 2 2" xfId="12489"/>
    <cellStyle name="Normal 4 2 2 3 4 2 2 2" xfId="35917"/>
    <cellStyle name="Normal 4 2 2 3 4 2 3" xfId="18691"/>
    <cellStyle name="Normal 4 2 2 3 4 2 4" xfId="35916"/>
    <cellStyle name="Normal 4 2 2 3 4 3" xfId="9389"/>
    <cellStyle name="Normal 4 2 2 3 4 3 2" xfId="35919"/>
    <cellStyle name="Normal 4 2 2 3 4 3 3" xfId="35918"/>
    <cellStyle name="Normal 4 2 2 3 4 4" xfId="15591"/>
    <cellStyle name="Normal 4 2 2 3 4 4 2" xfId="35920"/>
    <cellStyle name="Normal 4 2 2 3 4 5" xfId="35915"/>
    <cellStyle name="Normal 4 2 2 3 5" xfId="4214"/>
    <cellStyle name="Normal 4 2 2 3 5 2" xfId="10418"/>
    <cellStyle name="Normal 4 2 2 3 5 2 2" xfId="48176"/>
    <cellStyle name="Normal 4 2 2 3 5 3" xfId="16620"/>
    <cellStyle name="Normal 4 2 2 3 5 4" xfId="35921"/>
    <cellStyle name="Normal 4 2 2 3 6" xfId="7317"/>
    <cellStyle name="Normal 4 2 2 3 6 2" xfId="19231"/>
    <cellStyle name="Normal 4 2 2 3 6 2 2" xfId="35923"/>
    <cellStyle name="Normal 4 2 2 3 6 3" xfId="35922"/>
    <cellStyle name="Normal 4 2 2 3 7" xfId="13519"/>
    <cellStyle name="Normal 4 2 2 3 7 2" xfId="35924"/>
    <cellStyle name="Normal 4 2 2 3 8" xfId="35878"/>
    <cellStyle name="Normal 4 2 2 3_IAS" xfId="35925"/>
    <cellStyle name="Normal 4 2 2 4" xfId="1006"/>
    <cellStyle name="Normal 4 2 2 4 2" xfId="1895"/>
    <cellStyle name="Normal 4 2 2 4 2 2" xfId="5020"/>
    <cellStyle name="Normal 4 2 2 4 2 2 2" xfId="11223"/>
    <cellStyle name="Normal 4 2 2 4 2 2 3" xfId="17425"/>
    <cellStyle name="Normal 4 2 2 4 2 2 4" xfId="56281"/>
    <cellStyle name="Normal 4 2 2 4 2 3" xfId="8123"/>
    <cellStyle name="Normal 4 2 2 4 2 3 2" xfId="53387"/>
    <cellStyle name="Normal 4 2 2 4 2 4" xfId="14325"/>
    <cellStyle name="Normal 4 2 2 4 2 5" xfId="48177"/>
    <cellStyle name="Normal 4 2 2 4 3" xfId="3176"/>
    <cellStyle name="Normal 4 2 2 4 3 2" xfId="6288"/>
    <cellStyle name="Normal 4 2 2 4 3 2 2" xfId="12491"/>
    <cellStyle name="Normal 4 2 2 4 3 2 3" xfId="18693"/>
    <cellStyle name="Normal 4 2 2 4 3 2 4" xfId="57492"/>
    <cellStyle name="Normal 4 2 2 4 3 3" xfId="9391"/>
    <cellStyle name="Normal 4 2 2 4 3 4" xfId="15593"/>
    <cellStyle name="Normal 4 2 2 4 3 5" xfId="54585"/>
    <cellStyle name="Normal 4 2 2 4 4" xfId="4216"/>
    <cellStyle name="Normal 4 2 2 4 4 2" xfId="10420"/>
    <cellStyle name="Normal 4 2 2 4 4 3" xfId="16622"/>
    <cellStyle name="Normal 4 2 2 4 4 4" xfId="55539"/>
    <cellStyle name="Normal 4 2 2 4 5" xfId="7319"/>
    <cellStyle name="Normal 4 2 2 4 5 2" xfId="19496"/>
    <cellStyle name="Normal 4 2 2 4 6" xfId="13521"/>
    <cellStyle name="Normal 4 2 2 4 7" xfId="35926"/>
    <cellStyle name="Normal 4 2 2 5" xfId="1371"/>
    <cellStyle name="Normal 4 2 2 5 2" xfId="4496"/>
    <cellStyle name="Normal 4 2 2 5 2 2" xfId="10699"/>
    <cellStyle name="Normal 4 2 2 5 2 2 2" xfId="35930"/>
    <cellStyle name="Normal 4 2 2 5 2 2 2 2" xfId="35931"/>
    <cellStyle name="Normal 4 2 2 5 2 2 3" xfId="35932"/>
    <cellStyle name="Normal 4 2 2 5 2 2 3 2" xfId="35933"/>
    <cellStyle name="Normal 4 2 2 5 2 2 4" xfId="35934"/>
    <cellStyle name="Normal 4 2 2 5 2 2 5" xfId="35929"/>
    <cellStyle name="Normal 4 2 2 5 2 3" xfId="16901"/>
    <cellStyle name="Normal 4 2 2 5 2 3 2" xfId="48178"/>
    <cellStyle name="Normal 4 2 2 5 2 3 3" xfId="35935"/>
    <cellStyle name="Normal 4 2 2 5 2 4" xfId="35936"/>
    <cellStyle name="Normal 4 2 2 5 2 4 2" xfId="35937"/>
    <cellStyle name="Normal 4 2 2 5 2 5" xfId="35938"/>
    <cellStyle name="Normal 4 2 2 5 2 6" xfId="35928"/>
    <cellStyle name="Normal 4 2 2 5 2_IAS" xfId="35939"/>
    <cellStyle name="Normal 4 2 2 5 3" xfId="7599"/>
    <cellStyle name="Normal 4 2 2 5 3 2" xfId="35941"/>
    <cellStyle name="Normal 4 2 2 5 3 2 2" xfId="35942"/>
    <cellStyle name="Normal 4 2 2 5 3 3" xfId="35943"/>
    <cellStyle name="Normal 4 2 2 5 3 3 2" xfId="35944"/>
    <cellStyle name="Normal 4 2 2 5 3 4" xfId="35945"/>
    <cellStyle name="Normal 4 2 2 5 3 5" xfId="35940"/>
    <cellStyle name="Normal 4 2 2 5 4" xfId="13801"/>
    <cellStyle name="Normal 4 2 2 5 4 2" xfId="48179"/>
    <cellStyle name="Normal 4 2 2 5 4 3" xfId="35946"/>
    <cellStyle name="Normal 4 2 2 5 5" xfId="35947"/>
    <cellStyle name="Normal 4 2 2 5 5 2" xfId="35948"/>
    <cellStyle name="Normal 4 2 2 5 6" xfId="35949"/>
    <cellStyle name="Normal 4 2 2 5 7" xfId="35927"/>
    <cellStyle name="Normal 4 2 2 5_IAS" xfId="35950"/>
    <cellStyle name="Normal 4 2 2 6" xfId="3169"/>
    <cellStyle name="Normal 4 2 2 6 2" xfId="6281"/>
    <cellStyle name="Normal 4 2 2 6 2 2" xfId="12484"/>
    <cellStyle name="Normal 4 2 2 6 2 2 2" xfId="35954"/>
    <cellStyle name="Normal 4 2 2 6 2 2 3" xfId="35953"/>
    <cellStyle name="Normal 4 2 2 6 2 3" xfId="18686"/>
    <cellStyle name="Normal 4 2 2 6 2 3 2" xfId="35956"/>
    <cellStyle name="Normal 4 2 2 6 2 3 3" xfId="35955"/>
    <cellStyle name="Normal 4 2 2 6 2 4" xfId="35957"/>
    <cellStyle name="Normal 4 2 2 6 2 5" xfId="35952"/>
    <cellStyle name="Normal 4 2 2 6 3" xfId="9384"/>
    <cellStyle name="Normal 4 2 2 6 3 2" xfId="48180"/>
    <cellStyle name="Normal 4 2 2 6 3 3" xfId="35958"/>
    <cellStyle name="Normal 4 2 2 6 4" xfId="15586"/>
    <cellStyle name="Normal 4 2 2 6 4 2" xfId="35960"/>
    <cellStyle name="Normal 4 2 2 6 4 3" xfId="35959"/>
    <cellStyle name="Normal 4 2 2 6 5" xfId="35961"/>
    <cellStyle name="Normal 4 2 2 6 6" xfId="35951"/>
    <cellStyle name="Normal 4 2 2 6_IAS" xfId="35962"/>
    <cellStyle name="Normal 4 2 2 7" xfId="4209"/>
    <cellStyle name="Normal 4 2 2 7 2" xfId="10413"/>
    <cellStyle name="Normal 4 2 2 7 2 2" xfId="35965"/>
    <cellStyle name="Normal 4 2 2 7 2 3" xfId="35964"/>
    <cellStyle name="Normal 4 2 2 7 3" xfId="16615"/>
    <cellStyle name="Normal 4 2 2 7 3 2" xfId="48181"/>
    <cellStyle name="Normal 4 2 2 7 4" xfId="35963"/>
    <cellStyle name="Normal 4 2 2 8" xfId="7312"/>
    <cellStyle name="Normal 4 2 2 8 2" xfId="18972"/>
    <cellStyle name="Normal 4 2 2 8 2 2" xfId="35968"/>
    <cellStyle name="Normal 4 2 2 8 2 3" xfId="35967"/>
    <cellStyle name="Normal 4 2 2 8 3" xfId="35969"/>
    <cellStyle name="Normal 4 2 2 8 4" xfId="35966"/>
    <cellStyle name="Normal 4 2 2 9" xfId="13514"/>
    <cellStyle name="Normal 4 2 2 9 2" xfId="35971"/>
    <cellStyle name="Normal 4 2 2 9 2 2" xfId="35972"/>
    <cellStyle name="Normal 4 2 2 9 3" xfId="35973"/>
    <cellStyle name="Normal 4 2 2 9 4" xfId="35970"/>
    <cellStyle name="Normal 4 2 2_IAS" xfId="35974"/>
    <cellStyle name="Normal 4 2 20" xfId="35975"/>
    <cellStyle name="Normal 4 2 21" xfId="19969"/>
    <cellStyle name="Normal 4 2 3" xfId="1007"/>
    <cellStyle name="Normal 4 2 3 2" xfId="1008"/>
    <cellStyle name="Normal 4 2 3 2 2" xfId="1009"/>
    <cellStyle name="Normal 4 2 3 2 2 2" xfId="2214"/>
    <cellStyle name="Normal 4 2 3 2 2 2 2" xfId="5339"/>
    <cellStyle name="Normal 4 2 3 2 2 2 2 2" xfId="11542"/>
    <cellStyle name="Normal 4 2 3 2 2 2 2 2 2" xfId="35981"/>
    <cellStyle name="Normal 4 2 3 2 2 2 2 3" xfId="17744"/>
    <cellStyle name="Normal 4 2 3 2 2 2 2 4" xfId="35980"/>
    <cellStyle name="Normal 4 2 3 2 2 2 3" xfId="8442"/>
    <cellStyle name="Normal 4 2 3 2 2 2 3 2" xfId="35983"/>
    <cellStyle name="Normal 4 2 3 2 2 2 3 3" xfId="35982"/>
    <cellStyle name="Normal 4 2 3 2 2 2 4" xfId="14644"/>
    <cellStyle name="Normal 4 2 3 2 2 2 4 2" xfId="35984"/>
    <cellStyle name="Normal 4 2 3 2 2 2 5" xfId="35979"/>
    <cellStyle name="Normal 4 2 3 2 2 3" xfId="3179"/>
    <cellStyle name="Normal 4 2 3 2 2 3 2" xfId="6291"/>
    <cellStyle name="Normal 4 2 3 2 2 3 2 2" xfId="12494"/>
    <cellStyle name="Normal 4 2 3 2 2 3 2 2 2" xfId="57495"/>
    <cellStyle name="Normal 4 2 3 2 2 3 2 3" xfId="18696"/>
    <cellStyle name="Normal 4 2 3 2 2 3 2 4" xfId="48182"/>
    <cellStyle name="Normal 4 2 3 2 2 3 3" xfId="9394"/>
    <cellStyle name="Normal 4 2 3 2 2 3 4" xfId="15596"/>
    <cellStyle name="Normal 4 2 3 2 2 3 5" xfId="35985"/>
    <cellStyle name="Normal 4 2 3 2 2 4" xfId="4219"/>
    <cellStyle name="Normal 4 2 3 2 2 4 2" xfId="10423"/>
    <cellStyle name="Normal 4 2 3 2 2 4 2 2" xfId="35987"/>
    <cellStyle name="Normal 4 2 3 2 2 4 3" xfId="16625"/>
    <cellStyle name="Normal 4 2 3 2 2 4 4" xfId="35986"/>
    <cellStyle name="Normal 4 2 3 2 2 5" xfId="7322"/>
    <cellStyle name="Normal 4 2 3 2 2 5 2" xfId="19815"/>
    <cellStyle name="Normal 4 2 3 2 2 5 3" xfId="35988"/>
    <cellStyle name="Normal 4 2 3 2 2 6" xfId="13524"/>
    <cellStyle name="Normal 4 2 3 2 2 7" xfId="35978"/>
    <cellStyle name="Normal 4 2 3 2 2_IAS" xfId="35989"/>
    <cellStyle name="Normal 4 2 3 2 3" xfId="1690"/>
    <cellStyle name="Normal 4 2 3 2 3 2" xfId="4815"/>
    <cellStyle name="Normal 4 2 3 2 3 2 2" xfId="11018"/>
    <cellStyle name="Normal 4 2 3 2 3 2 2 2" xfId="35992"/>
    <cellStyle name="Normal 4 2 3 2 3 2 3" xfId="17220"/>
    <cellStyle name="Normal 4 2 3 2 3 2 4" xfId="35991"/>
    <cellStyle name="Normal 4 2 3 2 3 3" xfId="7918"/>
    <cellStyle name="Normal 4 2 3 2 3 3 2" xfId="35994"/>
    <cellStyle name="Normal 4 2 3 2 3 3 3" xfId="35993"/>
    <cellStyle name="Normal 4 2 3 2 3 4" xfId="14120"/>
    <cellStyle name="Normal 4 2 3 2 3 4 2" xfId="35995"/>
    <cellStyle name="Normal 4 2 3 2 3 5" xfId="35990"/>
    <cellStyle name="Normal 4 2 3 2 4" xfId="3178"/>
    <cellStyle name="Normal 4 2 3 2 4 2" xfId="6290"/>
    <cellStyle name="Normal 4 2 3 2 4 2 2" xfId="12493"/>
    <cellStyle name="Normal 4 2 3 2 4 2 2 2" xfId="57494"/>
    <cellStyle name="Normal 4 2 3 2 4 2 3" xfId="18695"/>
    <cellStyle name="Normal 4 2 3 2 4 2 4" xfId="48183"/>
    <cellStyle name="Normal 4 2 3 2 4 3" xfId="9393"/>
    <cellStyle name="Normal 4 2 3 2 4 4" xfId="15595"/>
    <cellStyle name="Normal 4 2 3 2 4 5" xfId="35996"/>
    <cellStyle name="Normal 4 2 3 2 5" xfId="4218"/>
    <cellStyle name="Normal 4 2 3 2 5 2" xfId="10422"/>
    <cellStyle name="Normal 4 2 3 2 5 2 2" xfId="35998"/>
    <cellStyle name="Normal 4 2 3 2 5 3" xfId="16624"/>
    <cellStyle name="Normal 4 2 3 2 5 4" xfId="35997"/>
    <cellStyle name="Normal 4 2 3 2 6" xfId="7321"/>
    <cellStyle name="Normal 4 2 3 2 6 2" xfId="19291"/>
    <cellStyle name="Normal 4 2 3 2 6 3" xfId="35999"/>
    <cellStyle name="Normal 4 2 3 2 7" xfId="13523"/>
    <cellStyle name="Normal 4 2 3 2 8" xfId="35977"/>
    <cellStyle name="Normal 4 2 3 2_IAS" xfId="36000"/>
    <cellStyle name="Normal 4 2 3 3" xfId="1010"/>
    <cellStyle name="Normal 4 2 3 3 2" xfId="1969"/>
    <cellStyle name="Normal 4 2 3 3 2 2" xfId="5094"/>
    <cellStyle name="Normal 4 2 3 3 2 2 2" xfId="11297"/>
    <cellStyle name="Normal 4 2 3 3 2 2 2 2" xfId="36004"/>
    <cellStyle name="Normal 4 2 3 3 2 2 3" xfId="17499"/>
    <cellStyle name="Normal 4 2 3 3 2 2 4" xfId="36003"/>
    <cellStyle name="Normal 4 2 3 3 2 3" xfId="8197"/>
    <cellStyle name="Normal 4 2 3 3 2 3 2" xfId="36006"/>
    <cellStyle name="Normal 4 2 3 3 2 3 3" xfId="36005"/>
    <cellStyle name="Normal 4 2 3 3 2 4" xfId="14399"/>
    <cellStyle name="Normal 4 2 3 3 2 4 2" xfId="36007"/>
    <cellStyle name="Normal 4 2 3 3 2 5" xfId="36002"/>
    <cellStyle name="Normal 4 2 3 3 3" xfId="3180"/>
    <cellStyle name="Normal 4 2 3 3 3 2" xfId="6292"/>
    <cellStyle name="Normal 4 2 3 3 3 2 2" xfId="12495"/>
    <cellStyle name="Normal 4 2 3 3 3 2 2 2" xfId="57496"/>
    <cellStyle name="Normal 4 2 3 3 3 2 3" xfId="18697"/>
    <cellStyle name="Normal 4 2 3 3 3 2 4" xfId="48184"/>
    <cellStyle name="Normal 4 2 3 3 3 3" xfId="9395"/>
    <cellStyle name="Normal 4 2 3 3 3 4" xfId="15597"/>
    <cellStyle name="Normal 4 2 3 3 3 5" xfId="36008"/>
    <cellStyle name="Normal 4 2 3 3 4" xfId="4220"/>
    <cellStyle name="Normal 4 2 3 3 4 2" xfId="10424"/>
    <cellStyle name="Normal 4 2 3 3 4 2 2" xfId="36010"/>
    <cellStyle name="Normal 4 2 3 3 4 3" xfId="16626"/>
    <cellStyle name="Normal 4 2 3 3 4 4" xfId="36009"/>
    <cellStyle name="Normal 4 2 3 3 5" xfId="7323"/>
    <cellStyle name="Normal 4 2 3 3 5 2" xfId="19570"/>
    <cellStyle name="Normal 4 2 3 3 5 3" xfId="36011"/>
    <cellStyle name="Normal 4 2 3 3 6" xfId="13525"/>
    <cellStyle name="Normal 4 2 3 3 7" xfId="36001"/>
    <cellStyle name="Normal 4 2 3 3_IAS" xfId="36012"/>
    <cellStyle name="Normal 4 2 3 4" xfId="1445"/>
    <cellStyle name="Normal 4 2 3 4 2" xfId="4570"/>
    <cellStyle name="Normal 4 2 3 4 2 2" xfId="10773"/>
    <cellStyle name="Normal 4 2 3 4 2 2 2" xfId="36015"/>
    <cellStyle name="Normal 4 2 3 4 2 3" xfId="16975"/>
    <cellStyle name="Normal 4 2 3 4 2 4" xfId="36014"/>
    <cellStyle name="Normal 4 2 3 4 3" xfId="7673"/>
    <cellStyle name="Normal 4 2 3 4 3 2" xfId="36017"/>
    <cellStyle name="Normal 4 2 3 4 3 3" xfId="36016"/>
    <cellStyle name="Normal 4 2 3 4 4" xfId="13875"/>
    <cellStyle name="Normal 4 2 3 4 4 2" xfId="36018"/>
    <cellStyle name="Normal 4 2 3 4 5" xfId="36013"/>
    <cellStyle name="Normal 4 2 3 5" xfId="3177"/>
    <cellStyle name="Normal 4 2 3 5 2" xfId="6289"/>
    <cellStyle name="Normal 4 2 3 5 2 2" xfId="12492"/>
    <cellStyle name="Normal 4 2 3 5 2 2 2" xfId="57493"/>
    <cellStyle name="Normal 4 2 3 5 2 3" xfId="18694"/>
    <cellStyle name="Normal 4 2 3 5 2 4" xfId="48185"/>
    <cellStyle name="Normal 4 2 3 5 3" xfId="9392"/>
    <cellStyle name="Normal 4 2 3 5 4" xfId="15594"/>
    <cellStyle name="Normal 4 2 3 5 5" xfId="36019"/>
    <cellStyle name="Normal 4 2 3 6" xfId="4217"/>
    <cellStyle name="Normal 4 2 3 6 2" xfId="10421"/>
    <cellStyle name="Normal 4 2 3 6 2 2" xfId="36021"/>
    <cellStyle name="Normal 4 2 3 6 3" xfId="16623"/>
    <cellStyle name="Normal 4 2 3 6 4" xfId="36020"/>
    <cellStyle name="Normal 4 2 3 7" xfId="7320"/>
    <cellStyle name="Normal 4 2 3 7 2" xfId="19046"/>
    <cellStyle name="Normal 4 2 3 7 3" xfId="36022"/>
    <cellStyle name="Normal 4 2 3 8" xfId="13522"/>
    <cellStyle name="Normal 4 2 3 9" xfId="35976"/>
    <cellStyle name="Normal 4 2 3_IAS" xfId="36023"/>
    <cellStyle name="Normal 4 2 4" xfId="1011"/>
    <cellStyle name="Normal 4 2 4 2" xfId="1012"/>
    <cellStyle name="Normal 4 2 4 2 2" xfId="2098"/>
    <cellStyle name="Normal 4 2 4 2 2 2" xfId="5223"/>
    <cellStyle name="Normal 4 2 4 2 2 2 2" xfId="11426"/>
    <cellStyle name="Normal 4 2 4 2 2 2 2 2" xfId="36029"/>
    <cellStyle name="Normal 4 2 4 2 2 2 2 3" xfId="36028"/>
    <cellStyle name="Normal 4 2 4 2 2 2 3" xfId="17628"/>
    <cellStyle name="Normal 4 2 4 2 2 2 3 2" xfId="36031"/>
    <cellStyle name="Normal 4 2 4 2 2 2 3 3" xfId="36030"/>
    <cellStyle name="Normal 4 2 4 2 2 2 4" xfId="36032"/>
    <cellStyle name="Normal 4 2 4 2 2 2 5" xfId="36027"/>
    <cellStyle name="Normal 4 2 4 2 2 3" xfId="8326"/>
    <cellStyle name="Normal 4 2 4 2 2 3 2" xfId="48186"/>
    <cellStyle name="Normal 4 2 4 2 2 3 3" xfId="36033"/>
    <cellStyle name="Normal 4 2 4 2 2 4" xfId="14528"/>
    <cellStyle name="Normal 4 2 4 2 2 4 2" xfId="36035"/>
    <cellStyle name="Normal 4 2 4 2 2 4 3" xfId="36034"/>
    <cellStyle name="Normal 4 2 4 2 2 5" xfId="36036"/>
    <cellStyle name="Normal 4 2 4 2 2 6" xfId="36026"/>
    <cellStyle name="Normal 4 2 4 2 2_IAS" xfId="36037"/>
    <cellStyle name="Normal 4 2 4 2 3" xfId="3182"/>
    <cellStyle name="Normal 4 2 4 2 3 2" xfId="6294"/>
    <cellStyle name="Normal 4 2 4 2 3 2 2" xfId="12497"/>
    <cellStyle name="Normal 4 2 4 2 3 2 2 2" xfId="36040"/>
    <cellStyle name="Normal 4 2 4 2 3 2 3" xfId="18699"/>
    <cellStyle name="Normal 4 2 4 2 3 2 4" xfId="36039"/>
    <cellStyle name="Normal 4 2 4 2 3 3" xfId="9397"/>
    <cellStyle name="Normal 4 2 4 2 3 3 2" xfId="36042"/>
    <cellStyle name="Normal 4 2 4 2 3 3 3" xfId="36041"/>
    <cellStyle name="Normal 4 2 4 2 3 4" xfId="15599"/>
    <cellStyle name="Normal 4 2 4 2 3 4 2" xfId="36043"/>
    <cellStyle name="Normal 4 2 4 2 3 5" xfId="36038"/>
    <cellStyle name="Normal 4 2 4 2 4" xfId="4222"/>
    <cellStyle name="Normal 4 2 4 2 4 2" xfId="10426"/>
    <cellStyle name="Normal 4 2 4 2 4 2 2" xfId="48187"/>
    <cellStyle name="Normal 4 2 4 2 4 3" xfId="16628"/>
    <cellStyle name="Normal 4 2 4 2 4 4" xfId="36044"/>
    <cellStyle name="Normal 4 2 4 2 5" xfId="7325"/>
    <cellStyle name="Normal 4 2 4 2 5 2" xfId="19699"/>
    <cellStyle name="Normal 4 2 4 2 5 2 2" xfId="36046"/>
    <cellStyle name="Normal 4 2 4 2 5 3" xfId="36045"/>
    <cellStyle name="Normal 4 2 4 2 6" xfId="13527"/>
    <cellStyle name="Normal 4 2 4 2 6 2" xfId="36047"/>
    <cellStyle name="Normal 4 2 4 2 7" xfId="36025"/>
    <cellStyle name="Normal 4 2 4 2_IAS" xfId="36048"/>
    <cellStyle name="Normal 4 2 4 3" xfId="1574"/>
    <cellStyle name="Normal 4 2 4 3 2" xfId="4699"/>
    <cellStyle name="Normal 4 2 4 3 2 2" xfId="10902"/>
    <cellStyle name="Normal 4 2 4 3 2 2 2" xfId="36052"/>
    <cellStyle name="Normal 4 2 4 3 2 2 3" xfId="36051"/>
    <cellStyle name="Normal 4 2 4 3 2 3" xfId="17104"/>
    <cellStyle name="Normal 4 2 4 3 2 3 2" xfId="36054"/>
    <cellStyle name="Normal 4 2 4 3 2 3 3" xfId="36053"/>
    <cellStyle name="Normal 4 2 4 3 2 4" xfId="36055"/>
    <cellStyle name="Normal 4 2 4 3 2 5" xfId="36050"/>
    <cellStyle name="Normal 4 2 4 3 3" xfId="7802"/>
    <cellStyle name="Normal 4 2 4 3 3 2" xfId="48188"/>
    <cellStyle name="Normal 4 2 4 3 3 3" xfId="36056"/>
    <cellStyle name="Normal 4 2 4 3 4" xfId="14004"/>
    <cellStyle name="Normal 4 2 4 3 4 2" xfId="36058"/>
    <cellStyle name="Normal 4 2 4 3 4 3" xfId="36057"/>
    <cellStyle name="Normal 4 2 4 3 5" xfId="36059"/>
    <cellStyle name="Normal 4 2 4 3 6" xfId="36049"/>
    <cellStyle name="Normal 4 2 4 3_IAS" xfId="36060"/>
    <cellStyle name="Normal 4 2 4 4" xfId="3181"/>
    <cellStyle name="Normal 4 2 4 4 2" xfId="6293"/>
    <cellStyle name="Normal 4 2 4 4 2 2" xfId="12496"/>
    <cellStyle name="Normal 4 2 4 4 2 2 2" xfId="36063"/>
    <cellStyle name="Normal 4 2 4 4 2 3" xfId="18698"/>
    <cellStyle name="Normal 4 2 4 4 2 4" xfId="36062"/>
    <cellStyle name="Normal 4 2 4 4 3" xfId="9396"/>
    <cellStyle name="Normal 4 2 4 4 3 2" xfId="36065"/>
    <cellStyle name="Normal 4 2 4 4 3 3" xfId="36064"/>
    <cellStyle name="Normal 4 2 4 4 4" xfId="15598"/>
    <cellStyle name="Normal 4 2 4 4 4 2" xfId="36066"/>
    <cellStyle name="Normal 4 2 4 4 5" xfId="36061"/>
    <cellStyle name="Normal 4 2 4 5" xfId="4221"/>
    <cellStyle name="Normal 4 2 4 5 2" xfId="10425"/>
    <cellStyle name="Normal 4 2 4 5 2 2" xfId="48189"/>
    <cellStyle name="Normal 4 2 4 5 3" xfId="16627"/>
    <cellStyle name="Normal 4 2 4 5 4" xfId="36067"/>
    <cellStyle name="Normal 4 2 4 6" xfId="7324"/>
    <cellStyle name="Normal 4 2 4 6 2" xfId="19175"/>
    <cellStyle name="Normal 4 2 4 6 2 2" xfId="36069"/>
    <cellStyle name="Normal 4 2 4 6 3" xfId="36068"/>
    <cellStyle name="Normal 4 2 4 7" xfId="13526"/>
    <cellStyle name="Normal 4 2 4 7 2" xfId="36070"/>
    <cellStyle name="Normal 4 2 4 8" xfId="36024"/>
    <cellStyle name="Normal 4 2 4_IAS" xfId="36071"/>
    <cellStyle name="Normal 4 2 5" xfId="1013"/>
    <cellStyle name="Normal 4 2 5 2" xfId="1828"/>
    <cellStyle name="Normal 4 2 5 2 2" xfId="4953"/>
    <cellStyle name="Normal 4 2 5 2 2 2" xfId="11156"/>
    <cellStyle name="Normal 4 2 5 2 2 3" xfId="17358"/>
    <cellStyle name="Normal 4 2 5 2 2 4" xfId="56217"/>
    <cellStyle name="Normal 4 2 5 2 3" xfId="8056"/>
    <cellStyle name="Normal 4 2 5 2 3 2" xfId="53323"/>
    <cellStyle name="Normal 4 2 5 2 4" xfId="14258"/>
    <cellStyle name="Normal 4 2 5 2 5" xfId="48190"/>
    <cellStyle name="Normal 4 2 5 3" xfId="3183"/>
    <cellStyle name="Normal 4 2 5 3 2" xfId="6295"/>
    <cellStyle name="Normal 4 2 5 3 2 2" xfId="12498"/>
    <cellStyle name="Normal 4 2 5 3 2 3" xfId="18700"/>
    <cellStyle name="Normal 4 2 5 3 2 4" xfId="57497"/>
    <cellStyle name="Normal 4 2 5 3 3" xfId="9398"/>
    <cellStyle name="Normal 4 2 5 3 4" xfId="15600"/>
    <cellStyle name="Normal 4 2 5 3 5" xfId="54586"/>
    <cellStyle name="Normal 4 2 5 4" xfId="4223"/>
    <cellStyle name="Normal 4 2 5 4 2" xfId="10427"/>
    <cellStyle name="Normal 4 2 5 4 3" xfId="16629"/>
    <cellStyle name="Normal 4 2 5 4 4" xfId="55540"/>
    <cellStyle name="Normal 4 2 5 5" xfId="7326"/>
    <cellStyle name="Normal 4 2 5 5 2" xfId="19429"/>
    <cellStyle name="Normal 4 2 5 6" xfId="13528"/>
    <cellStyle name="Normal 4 2 5 7" xfId="36072"/>
    <cellStyle name="Normal 4 2 6" xfId="1303"/>
    <cellStyle name="Normal 4 2 6 2" xfId="4428"/>
    <cellStyle name="Normal 4 2 6 2 2" xfId="10631"/>
    <cellStyle name="Normal 4 2 6 2 2 2" xfId="36076"/>
    <cellStyle name="Normal 4 2 6 2 2 2 2" xfId="36077"/>
    <cellStyle name="Normal 4 2 6 2 2 3" xfId="36078"/>
    <cellStyle name="Normal 4 2 6 2 2 3 2" xfId="36079"/>
    <cellStyle name="Normal 4 2 6 2 2 4" xfId="36080"/>
    <cellStyle name="Normal 4 2 6 2 2 5" xfId="36075"/>
    <cellStyle name="Normal 4 2 6 2 3" xfId="16833"/>
    <cellStyle name="Normal 4 2 6 2 3 2" xfId="48191"/>
    <cellStyle name="Normal 4 2 6 2 3 3" xfId="36081"/>
    <cellStyle name="Normal 4 2 6 2 4" xfId="36082"/>
    <cellStyle name="Normal 4 2 6 2 4 2" xfId="36083"/>
    <cellStyle name="Normal 4 2 6 2 5" xfId="36084"/>
    <cellStyle name="Normal 4 2 6 2 6" xfId="36074"/>
    <cellStyle name="Normal 4 2 6 2_IAS" xfId="36085"/>
    <cellStyle name="Normal 4 2 6 3" xfId="7531"/>
    <cellStyle name="Normal 4 2 6 3 2" xfId="36087"/>
    <cellStyle name="Normal 4 2 6 3 2 2" xfId="36088"/>
    <cellStyle name="Normal 4 2 6 3 3" xfId="36089"/>
    <cellStyle name="Normal 4 2 6 3 3 2" xfId="36090"/>
    <cellStyle name="Normal 4 2 6 3 4" xfId="36091"/>
    <cellStyle name="Normal 4 2 6 3 5" xfId="36086"/>
    <cellStyle name="Normal 4 2 6 4" xfId="13733"/>
    <cellStyle name="Normal 4 2 6 4 2" xfId="48192"/>
    <cellStyle name="Normal 4 2 6 4 3" xfId="36092"/>
    <cellStyle name="Normal 4 2 6 5" xfId="36093"/>
    <cellStyle name="Normal 4 2 6 5 2" xfId="36094"/>
    <cellStyle name="Normal 4 2 6 6" xfId="36095"/>
    <cellStyle name="Normal 4 2 6 7" xfId="36073"/>
    <cellStyle name="Normal 4 2 6_IAS" xfId="36096"/>
    <cellStyle name="Normal 4 2 7" xfId="3168"/>
    <cellStyle name="Normal 4 2 7 2" xfId="6280"/>
    <cellStyle name="Normal 4 2 7 2 2" xfId="12483"/>
    <cellStyle name="Normal 4 2 7 2 2 2" xfId="36100"/>
    <cellStyle name="Normal 4 2 7 2 2 3" xfId="36099"/>
    <cellStyle name="Normal 4 2 7 2 3" xfId="18685"/>
    <cellStyle name="Normal 4 2 7 2 3 2" xfId="36102"/>
    <cellStyle name="Normal 4 2 7 2 3 3" xfId="36101"/>
    <cellStyle name="Normal 4 2 7 2 4" xfId="36103"/>
    <cellStyle name="Normal 4 2 7 2 5" xfId="36098"/>
    <cellStyle name="Normal 4 2 7 3" xfId="9383"/>
    <cellStyle name="Normal 4 2 7 3 2" xfId="48193"/>
    <cellStyle name="Normal 4 2 7 3 3" xfId="36104"/>
    <cellStyle name="Normal 4 2 7 4" xfId="15585"/>
    <cellStyle name="Normal 4 2 7 4 2" xfId="36106"/>
    <cellStyle name="Normal 4 2 7 4 3" xfId="36105"/>
    <cellStyle name="Normal 4 2 7 5" xfId="36107"/>
    <cellStyle name="Normal 4 2 7 6" xfId="36097"/>
    <cellStyle name="Normal 4 2 7_IAS" xfId="36108"/>
    <cellStyle name="Normal 4 2 8" xfId="4208"/>
    <cellStyle name="Normal 4 2 8 2" xfId="10412"/>
    <cellStyle name="Normal 4 2 8 2 2" xfId="36111"/>
    <cellStyle name="Normal 4 2 8 2 3" xfId="36110"/>
    <cellStyle name="Normal 4 2 8 3" xfId="16614"/>
    <cellStyle name="Normal 4 2 8 3 2" xfId="48194"/>
    <cellStyle name="Normal 4 2 8 4" xfId="36109"/>
    <cellStyle name="Normal 4 2 9" xfId="7311"/>
    <cellStyle name="Normal 4 2 9 2" xfId="18904"/>
    <cellStyle name="Normal 4 2 9 2 2" xfId="48195"/>
    <cellStyle name="Normal 4 2 9 3" xfId="36112"/>
    <cellStyle name="Normal 4 2_AGF" xfId="36113"/>
    <cellStyle name="Normal 4 3" xfId="1014"/>
    <cellStyle name="Normal 4 3 10" xfId="36115"/>
    <cellStyle name="Normal 4 3 10 2" xfId="36116"/>
    <cellStyle name="Normal 4 3 10 2 2" xfId="36117"/>
    <cellStyle name="Normal 4 3 10 3" xfId="36118"/>
    <cellStyle name="Normal 4 3 11" xfId="36119"/>
    <cellStyle name="Normal 4 3 11 2" xfId="36120"/>
    <cellStyle name="Normal 4 3 11 2 2" xfId="36121"/>
    <cellStyle name="Normal 4 3 11 3" xfId="36122"/>
    <cellStyle name="Normal 4 3 12" xfId="36123"/>
    <cellStyle name="Normal 4 3 12 2" xfId="36124"/>
    <cellStyle name="Normal 4 3 13" xfId="36125"/>
    <cellStyle name="Normal 4 3 13 2" xfId="48196"/>
    <cellStyle name="Normal 4 3 14" xfId="36126"/>
    <cellStyle name="Normal 4 3 14 2" xfId="36127"/>
    <cellStyle name="Normal 4 3 15" xfId="36128"/>
    <cellStyle name="Normal 4 3 16" xfId="36129"/>
    <cellStyle name="Normal 4 3 17" xfId="36130"/>
    <cellStyle name="Normal 4 3 18" xfId="36114"/>
    <cellStyle name="Normal 4 3 2" xfId="1015"/>
    <cellStyle name="Normal 4 3 2 2" xfId="1016"/>
    <cellStyle name="Normal 4 3 2 2 2" xfId="1017"/>
    <cellStyle name="Normal 4 3 2 2 2 2" xfId="2254"/>
    <cellStyle name="Normal 4 3 2 2 2 2 2" xfId="5379"/>
    <cellStyle name="Normal 4 3 2 2 2 2 2 2" xfId="11582"/>
    <cellStyle name="Normal 4 3 2 2 2 2 2 2 2" xfId="36136"/>
    <cellStyle name="Normal 4 3 2 2 2 2 2 3" xfId="17784"/>
    <cellStyle name="Normal 4 3 2 2 2 2 2 4" xfId="36135"/>
    <cellStyle name="Normal 4 3 2 2 2 2 3" xfId="8482"/>
    <cellStyle name="Normal 4 3 2 2 2 2 3 2" xfId="36138"/>
    <cellStyle name="Normal 4 3 2 2 2 2 3 3" xfId="36137"/>
    <cellStyle name="Normal 4 3 2 2 2 2 4" xfId="14684"/>
    <cellStyle name="Normal 4 3 2 2 2 2 4 2" xfId="36139"/>
    <cellStyle name="Normal 4 3 2 2 2 2 5" xfId="36134"/>
    <cellStyle name="Normal 4 3 2 2 2 3" xfId="3187"/>
    <cellStyle name="Normal 4 3 2 2 2 3 2" xfId="6299"/>
    <cellStyle name="Normal 4 3 2 2 2 3 2 2" xfId="12502"/>
    <cellStyle name="Normal 4 3 2 2 2 3 2 2 2" xfId="57500"/>
    <cellStyle name="Normal 4 3 2 2 2 3 2 3" xfId="18704"/>
    <cellStyle name="Normal 4 3 2 2 2 3 2 4" xfId="48197"/>
    <cellStyle name="Normal 4 3 2 2 2 3 3" xfId="9402"/>
    <cellStyle name="Normal 4 3 2 2 2 3 4" xfId="15604"/>
    <cellStyle name="Normal 4 3 2 2 2 3 5" xfId="36140"/>
    <cellStyle name="Normal 4 3 2 2 2 4" xfId="4227"/>
    <cellStyle name="Normal 4 3 2 2 2 4 2" xfId="10431"/>
    <cellStyle name="Normal 4 3 2 2 2 4 2 2" xfId="36142"/>
    <cellStyle name="Normal 4 3 2 2 2 4 3" xfId="16633"/>
    <cellStyle name="Normal 4 3 2 2 2 4 4" xfId="36141"/>
    <cellStyle name="Normal 4 3 2 2 2 5" xfId="7330"/>
    <cellStyle name="Normal 4 3 2 2 2 5 2" xfId="19855"/>
    <cellStyle name="Normal 4 3 2 2 2 5 3" xfId="36143"/>
    <cellStyle name="Normal 4 3 2 2 2 6" xfId="13532"/>
    <cellStyle name="Normal 4 3 2 2 2 7" xfId="36133"/>
    <cellStyle name="Normal 4 3 2 2 2_IAS" xfId="36144"/>
    <cellStyle name="Normal 4 3 2 2 3" xfId="1730"/>
    <cellStyle name="Normal 4 3 2 2 3 2" xfId="4855"/>
    <cellStyle name="Normal 4 3 2 2 3 2 2" xfId="11058"/>
    <cellStyle name="Normal 4 3 2 2 3 2 2 2" xfId="36147"/>
    <cellStyle name="Normal 4 3 2 2 3 2 3" xfId="17260"/>
    <cellStyle name="Normal 4 3 2 2 3 2 4" xfId="36146"/>
    <cellStyle name="Normal 4 3 2 2 3 3" xfId="7958"/>
    <cellStyle name="Normal 4 3 2 2 3 3 2" xfId="36149"/>
    <cellStyle name="Normal 4 3 2 2 3 3 3" xfId="36148"/>
    <cellStyle name="Normal 4 3 2 2 3 4" xfId="14160"/>
    <cellStyle name="Normal 4 3 2 2 3 4 2" xfId="36150"/>
    <cellStyle name="Normal 4 3 2 2 3 5" xfId="36145"/>
    <cellStyle name="Normal 4 3 2 2 4" xfId="3186"/>
    <cellStyle name="Normal 4 3 2 2 4 2" xfId="6298"/>
    <cellStyle name="Normal 4 3 2 2 4 2 2" xfId="12501"/>
    <cellStyle name="Normal 4 3 2 2 4 2 2 2" xfId="57499"/>
    <cellStyle name="Normal 4 3 2 2 4 2 3" xfId="18703"/>
    <cellStyle name="Normal 4 3 2 2 4 2 4" xfId="48198"/>
    <cellStyle name="Normal 4 3 2 2 4 3" xfId="9401"/>
    <cellStyle name="Normal 4 3 2 2 4 4" xfId="15603"/>
    <cellStyle name="Normal 4 3 2 2 4 5" xfId="36151"/>
    <cellStyle name="Normal 4 3 2 2 5" xfId="4226"/>
    <cellStyle name="Normal 4 3 2 2 5 2" xfId="10430"/>
    <cellStyle name="Normal 4 3 2 2 5 2 2" xfId="36153"/>
    <cellStyle name="Normal 4 3 2 2 5 3" xfId="16632"/>
    <cellStyle name="Normal 4 3 2 2 5 4" xfId="36152"/>
    <cellStyle name="Normal 4 3 2 2 6" xfId="7329"/>
    <cellStyle name="Normal 4 3 2 2 6 2" xfId="19331"/>
    <cellStyle name="Normal 4 3 2 2 6 3" xfId="36154"/>
    <cellStyle name="Normal 4 3 2 2 7" xfId="13531"/>
    <cellStyle name="Normal 4 3 2 2 8" xfId="36132"/>
    <cellStyle name="Normal 4 3 2 2_IAS" xfId="36155"/>
    <cellStyle name="Normal 4 3 2 3" xfId="1018"/>
    <cellStyle name="Normal 4 3 2 3 2" xfId="2009"/>
    <cellStyle name="Normal 4 3 2 3 2 2" xfId="5134"/>
    <cellStyle name="Normal 4 3 2 3 2 2 2" xfId="11337"/>
    <cellStyle name="Normal 4 3 2 3 2 2 2 2" xfId="36159"/>
    <cellStyle name="Normal 4 3 2 3 2 2 3" xfId="17539"/>
    <cellStyle name="Normal 4 3 2 3 2 2 4" xfId="36158"/>
    <cellStyle name="Normal 4 3 2 3 2 3" xfId="8237"/>
    <cellStyle name="Normal 4 3 2 3 2 3 2" xfId="36161"/>
    <cellStyle name="Normal 4 3 2 3 2 3 3" xfId="36160"/>
    <cellStyle name="Normal 4 3 2 3 2 4" xfId="14439"/>
    <cellStyle name="Normal 4 3 2 3 2 4 2" xfId="36162"/>
    <cellStyle name="Normal 4 3 2 3 2 5" xfId="36157"/>
    <cellStyle name="Normal 4 3 2 3 3" xfId="3188"/>
    <cellStyle name="Normal 4 3 2 3 3 2" xfId="6300"/>
    <cellStyle name="Normal 4 3 2 3 3 2 2" xfId="12503"/>
    <cellStyle name="Normal 4 3 2 3 3 2 2 2" xfId="57501"/>
    <cellStyle name="Normal 4 3 2 3 3 2 3" xfId="18705"/>
    <cellStyle name="Normal 4 3 2 3 3 2 4" xfId="48199"/>
    <cellStyle name="Normal 4 3 2 3 3 3" xfId="9403"/>
    <cellStyle name="Normal 4 3 2 3 3 4" xfId="15605"/>
    <cellStyle name="Normal 4 3 2 3 3 5" xfId="36163"/>
    <cellStyle name="Normal 4 3 2 3 4" xfId="4228"/>
    <cellStyle name="Normal 4 3 2 3 4 2" xfId="10432"/>
    <cellStyle name="Normal 4 3 2 3 4 2 2" xfId="36165"/>
    <cellStyle name="Normal 4 3 2 3 4 3" xfId="16634"/>
    <cellStyle name="Normal 4 3 2 3 4 4" xfId="36164"/>
    <cellStyle name="Normal 4 3 2 3 5" xfId="7331"/>
    <cellStyle name="Normal 4 3 2 3 5 2" xfId="19610"/>
    <cellStyle name="Normal 4 3 2 3 5 3" xfId="36166"/>
    <cellStyle name="Normal 4 3 2 3 6" xfId="13533"/>
    <cellStyle name="Normal 4 3 2 3 7" xfId="36156"/>
    <cellStyle name="Normal 4 3 2 3_IAS" xfId="36167"/>
    <cellStyle name="Normal 4 3 2 4" xfId="1485"/>
    <cellStyle name="Normal 4 3 2 4 2" xfId="4610"/>
    <cellStyle name="Normal 4 3 2 4 2 2" xfId="10813"/>
    <cellStyle name="Normal 4 3 2 4 2 2 2" xfId="36170"/>
    <cellStyle name="Normal 4 3 2 4 2 3" xfId="17015"/>
    <cellStyle name="Normal 4 3 2 4 2 4" xfId="36169"/>
    <cellStyle name="Normal 4 3 2 4 3" xfId="7713"/>
    <cellStyle name="Normal 4 3 2 4 3 2" xfId="36172"/>
    <cellStyle name="Normal 4 3 2 4 3 3" xfId="36171"/>
    <cellStyle name="Normal 4 3 2 4 4" xfId="13915"/>
    <cellStyle name="Normal 4 3 2 4 4 2" xfId="36173"/>
    <cellStyle name="Normal 4 3 2 4 5" xfId="36168"/>
    <cellStyle name="Normal 4 3 2 5" xfId="3185"/>
    <cellStyle name="Normal 4 3 2 5 2" xfId="6297"/>
    <cellStyle name="Normal 4 3 2 5 2 2" xfId="12500"/>
    <cellStyle name="Normal 4 3 2 5 2 2 2" xfId="57498"/>
    <cellStyle name="Normal 4 3 2 5 2 3" xfId="18702"/>
    <cellStyle name="Normal 4 3 2 5 2 4" xfId="48200"/>
    <cellStyle name="Normal 4 3 2 5 3" xfId="9400"/>
    <cellStyle name="Normal 4 3 2 5 4" xfId="15602"/>
    <cellStyle name="Normal 4 3 2 5 5" xfId="36174"/>
    <cellStyle name="Normal 4 3 2 6" xfId="4225"/>
    <cellStyle name="Normal 4 3 2 6 2" xfId="10429"/>
    <cellStyle name="Normal 4 3 2 6 2 2" xfId="36176"/>
    <cellStyle name="Normal 4 3 2 6 3" xfId="16631"/>
    <cellStyle name="Normal 4 3 2 6 4" xfId="36175"/>
    <cellStyle name="Normal 4 3 2 7" xfId="7328"/>
    <cellStyle name="Normal 4 3 2 7 2" xfId="19086"/>
    <cellStyle name="Normal 4 3 2 7 3" xfId="36177"/>
    <cellStyle name="Normal 4 3 2 8" xfId="13530"/>
    <cellStyle name="Normal 4 3 2 9" xfId="36131"/>
    <cellStyle name="Normal 4 3 2_IAS" xfId="36178"/>
    <cellStyle name="Normal 4 3 3" xfId="1019"/>
    <cellStyle name="Normal 4 3 3 2" xfId="1020"/>
    <cellStyle name="Normal 4 3 3 2 2" xfId="2126"/>
    <cellStyle name="Normal 4 3 3 2 2 2" xfId="5251"/>
    <cellStyle name="Normal 4 3 3 2 2 2 2" xfId="11454"/>
    <cellStyle name="Normal 4 3 3 2 2 2 2 2" xfId="36184"/>
    <cellStyle name="Normal 4 3 3 2 2 2 2 3" xfId="36183"/>
    <cellStyle name="Normal 4 3 3 2 2 2 3" xfId="17656"/>
    <cellStyle name="Normal 4 3 3 2 2 2 3 2" xfId="36186"/>
    <cellStyle name="Normal 4 3 3 2 2 2 3 3" xfId="36185"/>
    <cellStyle name="Normal 4 3 3 2 2 2 4" xfId="36187"/>
    <cellStyle name="Normal 4 3 3 2 2 2 5" xfId="36182"/>
    <cellStyle name="Normal 4 3 3 2 2 3" xfId="8354"/>
    <cellStyle name="Normal 4 3 3 2 2 3 2" xfId="48201"/>
    <cellStyle name="Normal 4 3 3 2 2 3 3" xfId="36188"/>
    <cellStyle name="Normal 4 3 3 2 2 4" xfId="14556"/>
    <cellStyle name="Normal 4 3 3 2 2 4 2" xfId="36190"/>
    <cellStyle name="Normal 4 3 3 2 2 4 3" xfId="36189"/>
    <cellStyle name="Normal 4 3 3 2 2 5" xfId="36191"/>
    <cellStyle name="Normal 4 3 3 2 2 6" xfId="36181"/>
    <cellStyle name="Normal 4 3 3 2 2_IAS" xfId="36192"/>
    <cellStyle name="Normal 4 3 3 2 3" xfId="3190"/>
    <cellStyle name="Normal 4 3 3 2 3 2" xfId="6302"/>
    <cellStyle name="Normal 4 3 3 2 3 2 2" xfId="12505"/>
    <cellStyle name="Normal 4 3 3 2 3 2 2 2" xfId="36195"/>
    <cellStyle name="Normal 4 3 3 2 3 2 3" xfId="18707"/>
    <cellStyle name="Normal 4 3 3 2 3 2 4" xfId="36194"/>
    <cellStyle name="Normal 4 3 3 2 3 3" xfId="9405"/>
    <cellStyle name="Normal 4 3 3 2 3 3 2" xfId="36197"/>
    <cellStyle name="Normal 4 3 3 2 3 3 3" xfId="36196"/>
    <cellStyle name="Normal 4 3 3 2 3 4" xfId="15607"/>
    <cellStyle name="Normal 4 3 3 2 3 4 2" xfId="36198"/>
    <cellStyle name="Normal 4 3 3 2 3 5" xfId="36193"/>
    <cellStyle name="Normal 4 3 3 2 4" xfId="4230"/>
    <cellStyle name="Normal 4 3 3 2 4 2" xfId="10434"/>
    <cellStyle name="Normal 4 3 3 2 4 2 2" xfId="48202"/>
    <cellStyle name="Normal 4 3 3 2 4 3" xfId="16636"/>
    <cellStyle name="Normal 4 3 3 2 4 4" xfId="36199"/>
    <cellStyle name="Normal 4 3 3 2 5" xfId="7333"/>
    <cellStyle name="Normal 4 3 3 2 5 2" xfId="19727"/>
    <cellStyle name="Normal 4 3 3 2 5 2 2" xfId="36201"/>
    <cellStyle name="Normal 4 3 3 2 5 3" xfId="36200"/>
    <cellStyle name="Normal 4 3 3 2 6" xfId="13535"/>
    <cellStyle name="Normal 4 3 3 2 6 2" xfId="36202"/>
    <cellStyle name="Normal 4 3 3 2 7" xfId="36180"/>
    <cellStyle name="Normal 4 3 3 2_IAS" xfId="36203"/>
    <cellStyle name="Normal 4 3 3 3" xfId="1602"/>
    <cellStyle name="Normal 4 3 3 3 2" xfId="4727"/>
    <cellStyle name="Normal 4 3 3 3 2 2" xfId="10930"/>
    <cellStyle name="Normal 4 3 3 3 2 2 2" xfId="36207"/>
    <cellStyle name="Normal 4 3 3 3 2 2 3" xfId="36206"/>
    <cellStyle name="Normal 4 3 3 3 2 3" xfId="17132"/>
    <cellStyle name="Normal 4 3 3 3 2 3 2" xfId="36209"/>
    <cellStyle name="Normal 4 3 3 3 2 3 3" xfId="36208"/>
    <cellStyle name="Normal 4 3 3 3 2 4" xfId="36210"/>
    <cellStyle name="Normal 4 3 3 3 2 5" xfId="36205"/>
    <cellStyle name="Normal 4 3 3 3 3" xfId="7830"/>
    <cellStyle name="Normal 4 3 3 3 3 2" xfId="48203"/>
    <cellStyle name="Normal 4 3 3 3 3 3" xfId="36211"/>
    <cellStyle name="Normal 4 3 3 3 4" xfId="14032"/>
    <cellStyle name="Normal 4 3 3 3 4 2" xfId="36213"/>
    <cellStyle name="Normal 4 3 3 3 4 3" xfId="36212"/>
    <cellStyle name="Normal 4 3 3 3 5" xfId="36214"/>
    <cellStyle name="Normal 4 3 3 3 6" xfId="36204"/>
    <cellStyle name="Normal 4 3 3 3_IAS" xfId="36215"/>
    <cellStyle name="Normal 4 3 3 4" xfId="3189"/>
    <cellStyle name="Normal 4 3 3 4 2" xfId="6301"/>
    <cellStyle name="Normal 4 3 3 4 2 2" xfId="12504"/>
    <cellStyle name="Normal 4 3 3 4 2 2 2" xfId="36218"/>
    <cellStyle name="Normal 4 3 3 4 2 3" xfId="18706"/>
    <cellStyle name="Normal 4 3 3 4 2 4" xfId="36217"/>
    <cellStyle name="Normal 4 3 3 4 3" xfId="9404"/>
    <cellStyle name="Normal 4 3 3 4 3 2" xfId="36220"/>
    <cellStyle name="Normal 4 3 3 4 3 3" xfId="36219"/>
    <cellStyle name="Normal 4 3 3 4 4" xfId="15606"/>
    <cellStyle name="Normal 4 3 3 4 4 2" xfId="36221"/>
    <cellStyle name="Normal 4 3 3 4 5" xfId="36216"/>
    <cellStyle name="Normal 4 3 3 5" xfId="4229"/>
    <cellStyle name="Normal 4 3 3 5 2" xfId="10433"/>
    <cellStyle name="Normal 4 3 3 5 2 2" xfId="48204"/>
    <cellStyle name="Normal 4 3 3 5 3" xfId="16635"/>
    <cellStyle name="Normal 4 3 3 5 4" xfId="36222"/>
    <cellStyle name="Normal 4 3 3 6" xfId="7332"/>
    <cellStyle name="Normal 4 3 3 6 2" xfId="19203"/>
    <cellStyle name="Normal 4 3 3 6 2 2" xfId="36224"/>
    <cellStyle name="Normal 4 3 3 6 3" xfId="36223"/>
    <cellStyle name="Normal 4 3 3 7" xfId="13534"/>
    <cellStyle name="Normal 4 3 3 7 2" xfId="36225"/>
    <cellStyle name="Normal 4 3 3 8" xfId="36179"/>
    <cellStyle name="Normal 4 3 3_IAS" xfId="36226"/>
    <cellStyle name="Normal 4 3 4" xfId="1021"/>
    <cellStyle name="Normal 4 3 4 2" xfId="1867"/>
    <cellStyle name="Normal 4 3 4 2 2" xfId="4992"/>
    <cellStyle name="Normal 4 3 4 2 2 2" xfId="11195"/>
    <cellStyle name="Normal 4 3 4 2 2 3" xfId="17397"/>
    <cellStyle name="Normal 4 3 4 2 2 4" xfId="56255"/>
    <cellStyle name="Normal 4 3 4 2 3" xfId="8095"/>
    <cellStyle name="Normal 4 3 4 2 3 2" xfId="53361"/>
    <cellStyle name="Normal 4 3 4 2 4" xfId="14297"/>
    <cellStyle name="Normal 4 3 4 2 5" xfId="48205"/>
    <cellStyle name="Normal 4 3 4 3" xfId="3191"/>
    <cellStyle name="Normal 4 3 4 3 2" xfId="6303"/>
    <cellStyle name="Normal 4 3 4 3 2 2" xfId="12506"/>
    <cellStyle name="Normal 4 3 4 3 2 3" xfId="18708"/>
    <cellStyle name="Normal 4 3 4 3 2 4" xfId="57502"/>
    <cellStyle name="Normal 4 3 4 3 3" xfId="9406"/>
    <cellStyle name="Normal 4 3 4 3 4" xfId="15608"/>
    <cellStyle name="Normal 4 3 4 3 5" xfId="54587"/>
    <cellStyle name="Normal 4 3 4 4" xfId="4231"/>
    <cellStyle name="Normal 4 3 4 4 2" xfId="10435"/>
    <cellStyle name="Normal 4 3 4 4 3" xfId="16637"/>
    <cellStyle name="Normal 4 3 4 4 4" xfId="55541"/>
    <cellStyle name="Normal 4 3 4 5" xfId="7334"/>
    <cellStyle name="Normal 4 3 4 5 2" xfId="19468"/>
    <cellStyle name="Normal 4 3 4 6" xfId="13536"/>
    <cellStyle name="Normal 4 3 4 7" xfId="36227"/>
    <cellStyle name="Normal 4 3 5" xfId="1343"/>
    <cellStyle name="Normal 4 3 5 2" xfId="4468"/>
    <cellStyle name="Normal 4 3 5 2 2" xfId="10671"/>
    <cellStyle name="Normal 4 3 5 2 2 2" xfId="36231"/>
    <cellStyle name="Normal 4 3 5 2 2 2 2" xfId="36232"/>
    <cellStyle name="Normal 4 3 5 2 2 3" xfId="36233"/>
    <cellStyle name="Normal 4 3 5 2 2 3 2" xfId="36234"/>
    <cellStyle name="Normal 4 3 5 2 2 4" xfId="36235"/>
    <cellStyle name="Normal 4 3 5 2 2 5" xfId="36230"/>
    <cellStyle name="Normal 4 3 5 2 3" xfId="16873"/>
    <cellStyle name="Normal 4 3 5 2 3 2" xfId="48206"/>
    <cellStyle name="Normal 4 3 5 2 3 3" xfId="36236"/>
    <cellStyle name="Normal 4 3 5 2 4" xfId="36237"/>
    <cellStyle name="Normal 4 3 5 2 4 2" xfId="36238"/>
    <cellStyle name="Normal 4 3 5 2 5" xfId="36239"/>
    <cellStyle name="Normal 4 3 5 2 6" xfId="36229"/>
    <cellStyle name="Normal 4 3 5 2_IAS" xfId="36240"/>
    <cellStyle name="Normal 4 3 5 3" xfId="7571"/>
    <cellStyle name="Normal 4 3 5 3 2" xfId="36242"/>
    <cellStyle name="Normal 4 3 5 3 2 2" xfId="36243"/>
    <cellStyle name="Normal 4 3 5 3 3" xfId="36244"/>
    <cellStyle name="Normal 4 3 5 3 3 2" xfId="36245"/>
    <cellStyle name="Normal 4 3 5 3 4" xfId="36246"/>
    <cellStyle name="Normal 4 3 5 3 5" xfId="36241"/>
    <cellStyle name="Normal 4 3 5 4" xfId="13773"/>
    <cellStyle name="Normal 4 3 5 4 2" xfId="48207"/>
    <cellStyle name="Normal 4 3 5 4 3" xfId="36247"/>
    <cellStyle name="Normal 4 3 5 5" xfId="36248"/>
    <cellStyle name="Normal 4 3 5 5 2" xfId="36249"/>
    <cellStyle name="Normal 4 3 5 6" xfId="36250"/>
    <cellStyle name="Normal 4 3 5 7" xfId="36228"/>
    <cellStyle name="Normal 4 3 5_IAS" xfId="36251"/>
    <cellStyle name="Normal 4 3 6" xfId="3184"/>
    <cellStyle name="Normal 4 3 6 2" xfId="6296"/>
    <cellStyle name="Normal 4 3 6 2 2" xfId="12499"/>
    <cellStyle name="Normal 4 3 6 2 2 2" xfId="36255"/>
    <cellStyle name="Normal 4 3 6 2 2 3" xfId="36254"/>
    <cellStyle name="Normal 4 3 6 2 3" xfId="18701"/>
    <cellStyle name="Normal 4 3 6 2 3 2" xfId="36257"/>
    <cellStyle name="Normal 4 3 6 2 3 3" xfId="36256"/>
    <cellStyle name="Normal 4 3 6 2 4" xfId="36258"/>
    <cellStyle name="Normal 4 3 6 2 5" xfId="36253"/>
    <cellStyle name="Normal 4 3 6 3" xfId="9399"/>
    <cellStyle name="Normal 4 3 6 3 2" xfId="48208"/>
    <cellStyle name="Normal 4 3 6 3 3" xfId="36259"/>
    <cellStyle name="Normal 4 3 6 4" xfId="15601"/>
    <cellStyle name="Normal 4 3 6 4 2" xfId="36261"/>
    <cellStyle name="Normal 4 3 6 4 3" xfId="36260"/>
    <cellStyle name="Normal 4 3 6 5" xfId="36262"/>
    <cellStyle name="Normal 4 3 6 6" xfId="36252"/>
    <cellStyle name="Normal 4 3 6_IAS" xfId="36263"/>
    <cellStyle name="Normal 4 3 7" xfId="4224"/>
    <cellStyle name="Normal 4 3 7 2" xfId="10428"/>
    <cellStyle name="Normal 4 3 7 2 2" xfId="36266"/>
    <cellStyle name="Normal 4 3 7 2 3" xfId="36265"/>
    <cellStyle name="Normal 4 3 7 3" xfId="16630"/>
    <cellStyle name="Normal 4 3 7 3 2" xfId="48209"/>
    <cellStyle name="Normal 4 3 7 4" xfId="36264"/>
    <cellStyle name="Normal 4 3 8" xfId="7327"/>
    <cellStyle name="Normal 4 3 8 2" xfId="18944"/>
    <cellStyle name="Normal 4 3 8 2 2" xfId="36269"/>
    <cellStyle name="Normal 4 3 8 2 3" xfId="36268"/>
    <cellStyle name="Normal 4 3 8 3" xfId="36270"/>
    <cellStyle name="Normal 4 3 8 4" xfId="36267"/>
    <cellStyle name="Normal 4 3 9" xfId="13529"/>
    <cellStyle name="Normal 4 3 9 2" xfId="36272"/>
    <cellStyle name="Normal 4 3 9 2 2" xfId="36273"/>
    <cellStyle name="Normal 4 3 9 3" xfId="36274"/>
    <cellStyle name="Normal 4 3 9 4" xfId="36271"/>
    <cellStyle name="Normal 4 3_IAS" xfId="36275"/>
    <cellStyle name="Normal 4 4" xfId="1022"/>
    <cellStyle name="Normal 4 4 2" xfId="1023"/>
    <cellStyle name="Normal 4 4 2 2" xfId="1024"/>
    <cellStyle name="Normal 4 4 2 2 2" xfId="2178"/>
    <cellStyle name="Normal 4 4 2 2 2 2" xfId="5303"/>
    <cellStyle name="Normal 4 4 2 2 2 2 2" xfId="11506"/>
    <cellStyle name="Normal 4 4 2 2 2 2 3" xfId="17708"/>
    <cellStyle name="Normal 4 4 2 2 2 2 4" xfId="56545"/>
    <cellStyle name="Normal 4 4 2 2 2 3" xfId="8406"/>
    <cellStyle name="Normal 4 4 2 2 2 4" xfId="14608"/>
    <cellStyle name="Normal 4 4 2 2 2 5" xfId="53649"/>
    <cellStyle name="Normal 4 4 2 2 3" xfId="3194"/>
    <cellStyle name="Normal 4 4 2 2 3 2" xfId="6306"/>
    <cellStyle name="Normal 4 4 2 2 3 2 2" xfId="12509"/>
    <cellStyle name="Normal 4 4 2 2 3 2 3" xfId="18711"/>
    <cellStyle name="Normal 4 4 2 2 3 2 4" xfId="57505"/>
    <cellStyle name="Normal 4 4 2 2 3 3" xfId="9409"/>
    <cellStyle name="Normal 4 4 2 2 3 4" xfId="15611"/>
    <cellStyle name="Normal 4 4 2 2 3 5" xfId="54590"/>
    <cellStyle name="Normal 4 4 2 2 4" xfId="4234"/>
    <cellStyle name="Normal 4 4 2 2 4 2" xfId="10438"/>
    <cellStyle name="Normal 4 4 2 2 4 3" xfId="16640"/>
    <cellStyle name="Normal 4 4 2 2 4 4" xfId="55544"/>
    <cellStyle name="Normal 4 4 2 2 5" xfId="7337"/>
    <cellStyle name="Normal 4 4 2 2 5 2" xfId="19779"/>
    <cellStyle name="Normal 4 4 2 2 5 3" xfId="52710"/>
    <cellStyle name="Normal 4 4 2 2 6" xfId="13539"/>
    <cellStyle name="Normal 4 4 2 2 7" xfId="48211"/>
    <cellStyle name="Normal 4 4 2 3" xfId="1654"/>
    <cellStyle name="Normal 4 4 2 3 2" xfId="4779"/>
    <cellStyle name="Normal 4 4 2 3 2 2" xfId="10982"/>
    <cellStyle name="Normal 4 4 2 3 2 3" xfId="17184"/>
    <cellStyle name="Normal 4 4 2 3 2 4" xfId="56054"/>
    <cellStyle name="Normal 4 4 2 3 3" xfId="7882"/>
    <cellStyle name="Normal 4 4 2 3 4" xfId="14084"/>
    <cellStyle name="Normal 4 4 2 3 5" xfId="53164"/>
    <cellStyle name="Normal 4 4 2 4" xfId="3193"/>
    <cellStyle name="Normal 4 4 2 4 2" xfId="6305"/>
    <cellStyle name="Normal 4 4 2 4 2 2" xfId="12508"/>
    <cellStyle name="Normal 4 4 2 4 2 3" xfId="18710"/>
    <cellStyle name="Normal 4 4 2 4 2 4" xfId="57504"/>
    <cellStyle name="Normal 4 4 2 4 3" xfId="9408"/>
    <cellStyle name="Normal 4 4 2 4 4" xfId="15610"/>
    <cellStyle name="Normal 4 4 2 4 5" xfId="54589"/>
    <cellStyle name="Normal 4 4 2 5" xfId="4233"/>
    <cellStyle name="Normal 4 4 2 5 2" xfId="10437"/>
    <cellStyle name="Normal 4 4 2 5 3" xfId="16639"/>
    <cellStyle name="Normal 4 4 2 5 4" xfId="55543"/>
    <cellStyle name="Normal 4 4 2 6" xfId="7336"/>
    <cellStyle name="Normal 4 4 2 6 2" xfId="19255"/>
    <cellStyle name="Normal 4 4 2 7" xfId="13538"/>
    <cellStyle name="Normal 4 4 2 8" xfId="36277"/>
    <cellStyle name="Normal 4 4 3" xfId="1025"/>
    <cellStyle name="Normal 4 4 3 2" xfId="1932"/>
    <cellStyle name="Normal 4 4 3 2 2" xfId="5057"/>
    <cellStyle name="Normal 4 4 3 2 2 2" xfId="11260"/>
    <cellStyle name="Normal 4 4 3 2 2 3" xfId="17462"/>
    <cellStyle name="Normal 4 4 3 2 2 4" xfId="56317"/>
    <cellStyle name="Normal 4 4 3 2 3" xfId="8160"/>
    <cellStyle name="Normal 4 4 3 2 3 2" xfId="53423"/>
    <cellStyle name="Normal 4 4 3 2 4" xfId="14362"/>
    <cellStyle name="Normal 4 4 3 2 5" xfId="48212"/>
    <cellStyle name="Normal 4 4 3 3" xfId="3195"/>
    <cellStyle name="Normal 4 4 3 3 2" xfId="6307"/>
    <cellStyle name="Normal 4 4 3 3 2 2" xfId="12510"/>
    <cellStyle name="Normal 4 4 3 3 2 3" xfId="18712"/>
    <cellStyle name="Normal 4 4 3 3 2 4" xfId="57506"/>
    <cellStyle name="Normal 4 4 3 3 3" xfId="9410"/>
    <cellStyle name="Normal 4 4 3 3 4" xfId="15612"/>
    <cellStyle name="Normal 4 4 3 3 5" xfId="54591"/>
    <cellStyle name="Normal 4 4 3 4" xfId="4235"/>
    <cellStyle name="Normal 4 4 3 4 2" xfId="10439"/>
    <cellStyle name="Normal 4 4 3 4 3" xfId="16641"/>
    <cellStyle name="Normal 4 4 3 4 4" xfId="55545"/>
    <cellStyle name="Normal 4 4 3 5" xfId="7338"/>
    <cellStyle name="Normal 4 4 3 5 2" xfId="19533"/>
    <cellStyle name="Normal 4 4 3 6" xfId="13540"/>
    <cellStyle name="Normal 4 4 3 7" xfId="36278"/>
    <cellStyle name="Normal 4 4 4" xfId="1408"/>
    <cellStyle name="Normal 4 4 4 2" xfId="4533"/>
    <cellStyle name="Normal 4 4 4 2 2" xfId="10736"/>
    <cellStyle name="Normal 4 4 4 2 3" xfId="16938"/>
    <cellStyle name="Normal 4 4 4 2 4" xfId="55821"/>
    <cellStyle name="Normal 4 4 4 3" xfId="7636"/>
    <cellStyle name="Normal 4 4 4 3 2" xfId="52939"/>
    <cellStyle name="Normal 4 4 4 4" xfId="13838"/>
    <cellStyle name="Normal 4 4 4 5" xfId="48210"/>
    <cellStyle name="Normal 4 4 5" xfId="3192"/>
    <cellStyle name="Normal 4 4 5 2" xfId="6304"/>
    <cellStyle name="Normal 4 4 5 2 2" xfId="12507"/>
    <cellStyle name="Normal 4 4 5 2 3" xfId="18709"/>
    <cellStyle name="Normal 4 4 5 2 4" xfId="57503"/>
    <cellStyle name="Normal 4 4 5 3" xfId="9407"/>
    <cellStyle name="Normal 4 4 5 4" xfId="15609"/>
    <cellStyle name="Normal 4 4 5 5" xfId="54588"/>
    <cellStyle name="Normal 4 4 6" xfId="4232"/>
    <cellStyle name="Normal 4 4 6 2" xfId="10436"/>
    <cellStyle name="Normal 4 4 6 3" xfId="16638"/>
    <cellStyle name="Normal 4 4 6 4" xfId="55542"/>
    <cellStyle name="Normal 4 4 7" xfId="7335"/>
    <cellStyle name="Normal 4 4 7 2" xfId="19009"/>
    <cellStyle name="Normal 4 4 8" xfId="13537"/>
    <cellStyle name="Normal 4 4 9" xfId="36276"/>
    <cellStyle name="Normal 4 5" xfId="1026"/>
    <cellStyle name="Normal 4 5 2" xfId="1027"/>
    <cellStyle name="Normal 4 5 2 2" xfId="2072"/>
    <cellStyle name="Normal 4 5 2 2 2" xfId="5197"/>
    <cellStyle name="Normal 4 5 2 2 2 2" xfId="11400"/>
    <cellStyle name="Normal 4 5 2 2 2 3" xfId="17602"/>
    <cellStyle name="Normal 4 5 2 2 2 4" xfId="56448"/>
    <cellStyle name="Normal 4 5 2 2 3" xfId="8300"/>
    <cellStyle name="Normal 4 5 2 2 4" xfId="14502"/>
    <cellStyle name="Normal 4 5 2 2 5" xfId="53552"/>
    <cellStyle name="Normal 4 5 2 3" xfId="3197"/>
    <cellStyle name="Normal 4 5 2 3 2" xfId="6309"/>
    <cellStyle name="Normal 4 5 2 3 2 2" xfId="12512"/>
    <cellStyle name="Normal 4 5 2 3 2 3" xfId="18714"/>
    <cellStyle name="Normal 4 5 2 3 2 4" xfId="57508"/>
    <cellStyle name="Normal 4 5 2 3 3" xfId="9412"/>
    <cellStyle name="Normal 4 5 2 3 4" xfId="15614"/>
    <cellStyle name="Normal 4 5 2 3 5" xfId="54593"/>
    <cellStyle name="Normal 4 5 2 4" xfId="4237"/>
    <cellStyle name="Normal 4 5 2 4 2" xfId="10441"/>
    <cellStyle name="Normal 4 5 2 4 3" xfId="16643"/>
    <cellStyle name="Normal 4 5 2 4 4" xfId="55547"/>
    <cellStyle name="Normal 4 5 2 5" xfId="7340"/>
    <cellStyle name="Normal 4 5 2 5 2" xfId="19673"/>
    <cellStyle name="Normal 4 5 2 5 3" xfId="52711"/>
    <cellStyle name="Normal 4 5 2 6" xfId="13542"/>
    <cellStyle name="Normal 4 5 2 7" xfId="48213"/>
    <cellStyle name="Normal 4 5 3" xfId="1548"/>
    <cellStyle name="Normal 4 5 3 2" xfId="4673"/>
    <cellStyle name="Normal 4 5 3 2 2" xfId="10876"/>
    <cellStyle name="Normal 4 5 3 2 3" xfId="17078"/>
    <cellStyle name="Normal 4 5 3 2 4" xfId="55953"/>
    <cellStyle name="Normal 4 5 3 3" xfId="7776"/>
    <cellStyle name="Normal 4 5 3 4" xfId="13978"/>
    <cellStyle name="Normal 4 5 3 5" xfId="53067"/>
    <cellStyle name="Normal 4 5 4" xfId="3196"/>
    <cellStyle name="Normal 4 5 4 2" xfId="6308"/>
    <cellStyle name="Normal 4 5 4 2 2" xfId="12511"/>
    <cellStyle name="Normal 4 5 4 2 3" xfId="18713"/>
    <cellStyle name="Normal 4 5 4 2 4" xfId="57507"/>
    <cellStyle name="Normal 4 5 4 3" xfId="9411"/>
    <cellStyle name="Normal 4 5 4 4" xfId="15613"/>
    <cellStyle name="Normal 4 5 4 5" xfId="54592"/>
    <cellStyle name="Normal 4 5 5" xfId="4236"/>
    <cellStyle name="Normal 4 5 5 2" xfId="10440"/>
    <cellStyle name="Normal 4 5 5 3" xfId="16642"/>
    <cellStyle name="Normal 4 5 5 4" xfId="55546"/>
    <cellStyle name="Normal 4 5 6" xfId="7339"/>
    <cellStyle name="Normal 4 5 6 2" xfId="19149"/>
    <cellStyle name="Normal 4 5 7" xfId="13541"/>
    <cellStyle name="Normal 4 5 8" xfId="36279"/>
    <cellStyle name="Normal 4 6" xfId="1028"/>
    <cellStyle name="Normal 4 6 2" xfId="1801"/>
    <cellStyle name="Normal 4 6 2 2" xfId="4926"/>
    <cellStyle name="Normal 4 6 2 2 2" xfId="11129"/>
    <cellStyle name="Normal 4 6 2 2 3" xfId="17331"/>
    <cellStyle name="Normal 4 6 2 2 4" xfId="56195"/>
    <cellStyle name="Normal 4 6 2 3" xfId="8029"/>
    <cellStyle name="Normal 4 6 2 3 2" xfId="53301"/>
    <cellStyle name="Normal 4 6 2 4" xfId="14231"/>
    <cellStyle name="Normal 4 6 2 5" xfId="48214"/>
    <cellStyle name="Normal 4 6 3" xfId="3198"/>
    <cellStyle name="Normal 4 6 3 2" xfId="6310"/>
    <cellStyle name="Normal 4 6 3 2 2" xfId="12513"/>
    <cellStyle name="Normal 4 6 3 2 3" xfId="18715"/>
    <cellStyle name="Normal 4 6 3 2 4" xfId="57509"/>
    <cellStyle name="Normal 4 6 3 3" xfId="9413"/>
    <cellStyle name="Normal 4 6 3 4" xfId="15615"/>
    <cellStyle name="Normal 4 6 3 5" xfId="54594"/>
    <cellStyle name="Normal 4 6 4" xfId="4238"/>
    <cellStyle name="Normal 4 6 4 2" xfId="10442"/>
    <cellStyle name="Normal 4 6 4 3" xfId="16644"/>
    <cellStyle name="Normal 4 6 4 4" xfId="55548"/>
    <cellStyle name="Normal 4 6 5" xfId="7341"/>
    <cellStyle name="Normal 4 6 5 2" xfId="19402"/>
    <cellStyle name="Normal 4 6 6" xfId="13543"/>
    <cellStyle name="Normal 4 6 7" xfId="36280"/>
    <cellStyle name="Normal 4 7" xfId="1275"/>
    <cellStyle name="Normal 4 7 2" xfId="4400"/>
    <cellStyle name="Normal 4 7 2 2" xfId="10603"/>
    <cellStyle name="Normal 4 7 2 2 2" xfId="55695"/>
    <cellStyle name="Normal 4 7 2 3" xfId="16805"/>
    <cellStyle name="Normal 4 7 2 4" xfId="48215"/>
    <cellStyle name="Normal 4 7 3" xfId="7503"/>
    <cellStyle name="Normal 4 7 4" xfId="13705"/>
    <cellStyle name="Normal 4 7 5" xfId="36281"/>
    <cellStyle name="Normal 4 8" xfId="18876"/>
    <cellStyle name="Normal 4 8 2" xfId="48216"/>
    <cellStyle name="Normal 4 8 3" xfId="36282"/>
    <cellStyle name="Normal 4 9" xfId="36283"/>
    <cellStyle name="Normal 4 9 2" xfId="48217"/>
    <cellStyle name="Normal 4_Plan by Lob" xfId="36284"/>
    <cellStyle name="Normal 40" xfId="12652"/>
    <cellStyle name="Normal 40 2" xfId="36286"/>
    <cellStyle name="Normal 40 2 2" xfId="48219"/>
    <cellStyle name="Normal 40 3" xfId="36287"/>
    <cellStyle name="Normal 40 3 2" xfId="48220"/>
    <cellStyle name="Normal 40 4" xfId="36288"/>
    <cellStyle name="Normal 40 4 2" xfId="48221"/>
    <cellStyle name="Normal 40 5" xfId="48218"/>
    <cellStyle name="Normal 40 6" xfId="36285"/>
    <cellStyle name="Normal 40_IAS" xfId="36289"/>
    <cellStyle name="Normal 41" xfId="12653"/>
    <cellStyle name="Normal 41 2" xfId="36291"/>
    <cellStyle name="Normal 41 2 2" xfId="48223"/>
    <cellStyle name="Normal 41 3" xfId="36292"/>
    <cellStyle name="Normal 41 3 2" xfId="48224"/>
    <cellStyle name="Normal 41 4" xfId="36293"/>
    <cellStyle name="Normal 41 4 2" xfId="48225"/>
    <cellStyle name="Normal 41 5" xfId="48222"/>
    <cellStyle name="Normal 41 6" xfId="36290"/>
    <cellStyle name="Normal 41_IAS" xfId="36294"/>
    <cellStyle name="Normal 42" xfId="13681"/>
    <cellStyle name="Normal 42 2" xfId="36296"/>
    <cellStyle name="Normal 42 2 2" xfId="48227"/>
    <cellStyle name="Normal 42 3" xfId="36297"/>
    <cellStyle name="Normal 42 3 2" xfId="48228"/>
    <cellStyle name="Normal 42 4" xfId="36298"/>
    <cellStyle name="Normal 42 4 2" xfId="48229"/>
    <cellStyle name="Normal 42 5" xfId="48226"/>
    <cellStyle name="Normal 42 6" xfId="36295"/>
    <cellStyle name="Normal 42_IAS" xfId="36299"/>
    <cellStyle name="Normal 43" xfId="19897"/>
    <cellStyle name="Normal 43 2" xfId="36301"/>
    <cellStyle name="Normal 43 2 2" xfId="48231"/>
    <cellStyle name="Normal 43 3" xfId="36302"/>
    <cellStyle name="Normal 43 3 2" xfId="48232"/>
    <cellStyle name="Normal 43 4" xfId="36303"/>
    <cellStyle name="Normal 43 4 2" xfId="48233"/>
    <cellStyle name="Normal 43 5" xfId="48230"/>
    <cellStyle name="Normal 43 6" xfId="36300"/>
    <cellStyle name="Normal 43_IAS" xfId="36304"/>
    <cellStyle name="Normal 44" xfId="36305"/>
    <cellStyle name="Normal 44 2" xfId="48234"/>
    <cellStyle name="Normal 45" xfId="36306"/>
    <cellStyle name="Normal 45 2" xfId="48235"/>
    <cellStyle name="Normal 46" xfId="36307"/>
    <cellStyle name="Normal 46 2" xfId="36308"/>
    <cellStyle name="Normal 46 2 2" xfId="48237"/>
    <cellStyle name="Normal 46 3" xfId="36309"/>
    <cellStyle name="Normal 46 3 2" xfId="48238"/>
    <cellStyle name="Normal 46 4" xfId="36310"/>
    <cellStyle name="Normal 46 4 2" xfId="48239"/>
    <cellStyle name="Normal 46 5" xfId="36311"/>
    <cellStyle name="Normal 46 5 2" xfId="36312"/>
    <cellStyle name="Normal 46 5 2 2" xfId="36313"/>
    <cellStyle name="Normal 46 5 3" xfId="36314"/>
    <cellStyle name="Normal 46 6" xfId="48236"/>
    <cellStyle name="Normal 46_IAS" xfId="36315"/>
    <cellStyle name="Normal 47" xfId="36316"/>
    <cellStyle name="Normal 47 2" xfId="36317"/>
    <cellStyle name="Normal 47 2 2" xfId="48241"/>
    <cellStyle name="Normal 47 3" xfId="36318"/>
    <cellStyle name="Normal 47 3 2" xfId="48242"/>
    <cellStyle name="Normal 47 4" xfId="36319"/>
    <cellStyle name="Normal 47 4 2" xfId="48243"/>
    <cellStyle name="Normal 47 5" xfId="36320"/>
    <cellStyle name="Normal 47 5 2" xfId="36321"/>
    <cellStyle name="Normal 47 5 2 2" xfId="36322"/>
    <cellStyle name="Normal 47 5 3" xfId="36323"/>
    <cellStyle name="Normal 47 6" xfId="48240"/>
    <cellStyle name="Normal 47_IAS" xfId="36324"/>
    <cellStyle name="Normal 48" xfId="36325"/>
    <cellStyle name="Normal 48 2" xfId="36326"/>
    <cellStyle name="Normal 48 2 2" xfId="48245"/>
    <cellStyle name="Normal 48 3" xfId="36327"/>
    <cellStyle name="Normal 48 3 2" xfId="48246"/>
    <cellStyle name="Normal 48 4" xfId="36328"/>
    <cellStyle name="Normal 48 4 2" xfId="48247"/>
    <cellStyle name="Normal 48 5" xfId="48244"/>
    <cellStyle name="Normal 48_IAS" xfId="36329"/>
    <cellStyle name="Normal 49" xfId="36330"/>
    <cellStyle name="Normal 49 2" xfId="36331"/>
    <cellStyle name="Normal 49 2 2" xfId="48249"/>
    <cellStyle name="Normal 49 3" xfId="36332"/>
    <cellStyle name="Normal 49 3 2" xfId="48250"/>
    <cellStyle name="Normal 49 4" xfId="36333"/>
    <cellStyle name="Normal 49 4 2" xfId="48251"/>
    <cellStyle name="Normal 49 5" xfId="36334"/>
    <cellStyle name="Normal 49 5 2" xfId="36335"/>
    <cellStyle name="Normal 49 5 2 2" xfId="36336"/>
    <cellStyle name="Normal 49 5 3" xfId="36337"/>
    <cellStyle name="Normal 49 6" xfId="48248"/>
    <cellStyle name="Normal 49_IAS" xfId="36338"/>
    <cellStyle name="Normal 5" xfId="4"/>
    <cellStyle name="Normal 5 10" xfId="36340"/>
    <cellStyle name="Normal 5 10 2" xfId="36341"/>
    <cellStyle name="Normal 5 10 2 2" xfId="36342"/>
    <cellStyle name="Normal 5 10 3" xfId="48253"/>
    <cellStyle name="Normal 5 11" xfId="36343"/>
    <cellStyle name="Normal 5 11 2" xfId="36344"/>
    <cellStyle name="Normal 5 11 2 2" xfId="36345"/>
    <cellStyle name="Normal 5 11 3" xfId="36346"/>
    <cellStyle name="Normal 5 12" xfId="36347"/>
    <cellStyle name="Normal 5 12 2" xfId="36348"/>
    <cellStyle name="Normal 5 12 2 2" xfId="36349"/>
    <cellStyle name="Normal 5 12 3" xfId="36350"/>
    <cellStyle name="Normal 5 13" xfId="36351"/>
    <cellStyle name="Normal 5 13 2" xfId="36352"/>
    <cellStyle name="Normal 5 13 2 2" xfId="36353"/>
    <cellStyle name="Normal 5 13 3" xfId="36354"/>
    <cellStyle name="Normal 5 14" xfId="36355"/>
    <cellStyle name="Normal 5 14 2" xfId="36356"/>
    <cellStyle name="Normal 5 14 2 2" xfId="36357"/>
    <cellStyle name="Normal 5 14 3" xfId="36358"/>
    <cellStyle name="Normal 5 15" xfId="36359"/>
    <cellStyle name="Normal 5 15 2" xfId="36360"/>
    <cellStyle name="Normal 5 16" xfId="36361"/>
    <cellStyle name="Normal 5 16 2" xfId="48254"/>
    <cellStyle name="Normal 5 17" xfId="36362"/>
    <cellStyle name="Normal 5 18" xfId="36363"/>
    <cellStyle name="Normal 5 19" xfId="36364"/>
    <cellStyle name="Normal 5 2" xfId="1029"/>
    <cellStyle name="Normal 5 2 10" xfId="36366"/>
    <cellStyle name="Normal 5 2 10 2" xfId="48255"/>
    <cellStyle name="Normal 5 2 11" xfId="36367"/>
    <cellStyle name="Normal 5 2 11 2" xfId="36368"/>
    <cellStyle name="Normal 5 2 11 2 2" xfId="36369"/>
    <cellStyle name="Normal 5 2 11 3" xfId="36370"/>
    <cellStyle name="Normal 5 2 12" xfId="36371"/>
    <cellStyle name="Normal 5 2 12 2" xfId="36372"/>
    <cellStyle name="Normal 5 2 12 2 2" xfId="36373"/>
    <cellStyle name="Normal 5 2 12 3" xfId="36374"/>
    <cellStyle name="Normal 5 2 13" xfId="36375"/>
    <cellStyle name="Normal 5 2 13 2" xfId="36376"/>
    <cellStyle name="Normal 5 2 13 2 2" xfId="36377"/>
    <cellStyle name="Normal 5 2 13 3" xfId="36378"/>
    <cellStyle name="Normal 5 2 14" xfId="36379"/>
    <cellStyle name="Normal 5 2 14 2" xfId="36380"/>
    <cellStyle name="Normal 5 2 14 2 2" xfId="36381"/>
    <cellStyle name="Normal 5 2 14 3" xfId="36382"/>
    <cellStyle name="Normal 5 2 15" xfId="36383"/>
    <cellStyle name="Normal 5 2 15 2" xfId="36384"/>
    <cellStyle name="Normal 5 2 16" xfId="36385"/>
    <cellStyle name="Normal 5 2 16 2" xfId="36386"/>
    <cellStyle name="Normal 5 2 17" xfId="36387"/>
    <cellStyle name="Normal 5 2 18" xfId="36388"/>
    <cellStyle name="Normal 5 2 19" xfId="36389"/>
    <cellStyle name="Normal 5 2 2" xfId="36390"/>
    <cellStyle name="Normal 5 2 2 10" xfId="36391"/>
    <cellStyle name="Normal 5 2 2 10 2" xfId="36392"/>
    <cellStyle name="Normal 5 2 2 10 2 2" xfId="36393"/>
    <cellStyle name="Normal 5 2 2 10 3" xfId="36394"/>
    <cellStyle name="Normal 5 2 2 11" xfId="36395"/>
    <cellStyle name="Normal 5 2 2 11 2" xfId="36396"/>
    <cellStyle name="Normal 5 2 2 12" xfId="36397"/>
    <cellStyle name="Normal 5 2 2 12 2" xfId="36398"/>
    <cellStyle name="Normal 5 2 2 13" xfId="36399"/>
    <cellStyle name="Normal 5 2 2 14" xfId="36400"/>
    <cellStyle name="Normal 5 2 2 2" xfId="36401"/>
    <cellStyle name="Normal 5 2 2 2 2" xfId="36402"/>
    <cellStyle name="Normal 5 2 2 2 2 2" xfId="36403"/>
    <cellStyle name="Normal 5 2 2 2 2 2 2" xfId="36404"/>
    <cellStyle name="Normal 5 2 2 2 2 2 2 2" xfId="36405"/>
    <cellStyle name="Normal 5 2 2 2 2 2 2 2 2" xfId="36406"/>
    <cellStyle name="Normal 5 2 2 2 2 2 2 3" xfId="36407"/>
    <cellStyle name="Normal 5 2 2 2 2 2 2 3 2" xfId="36408"/>
    <cellStyle name="Normal 5 2 2 2 2 2 2 4" xfId="36409"/>
    <cellStyle name="Normal 5 2 2 2 2 2 3" xfId="36410"/>
    <cellStyle name="Normal 5 2 2 2 2 2 3 2" xfId="48256"/>
    <cellStyle name="Normal 5 2 2 2 2 2 4" xfId="36411"/>
    <cellStyle name="Normal 5 2 2 2 2 2 4 2" xfId="36412"/>
    <cellStyle name="Normal 5 2 2 2 2 2 5" xfId="36413"/>
    <cellStyle name="Normal 5 2 2 2 2 2_IAS" xfId="36414"/>
    <cellStyle name="Normal 5 2 2 2 2 3" xfId="36415"/>
    <cellStyle name="Normal 5 2 2 2 2 3 2" xfId="36416"/>
    <cellStyle name="Normal 5 2 2 2 2 3 2 2" xfId="36417"/>
    <cellStyle name="Normal 5 2 2 2 2 3 3" xfId="36418"/>
    <cellStyle name="Normal 5 2 2 2 2 3 3 2" xfId="36419"/>
    <cellStyle name="Normal 5 2 2 2 2 3 4" xfId="36420"/>
    <cellStyle name="Normal 5 2 2 2 2 4" xfId="36421"/>
    <cellStyle name="Normal 5 2 2 2 2 4 2" xfId="48257"/>
    <cellStyle name="Normal 5 2 2 2 2 5" xfId="36422"/>
    <cellStyle name="Normal 5 2 2 2 2 5 2" xfId="36423"/>
    <cellStyle name="Normal 5 2 2 2 2 6" xfId="36424"/>
    <cellStyle name="Normal 5 2 2 2 2_IAS" xfId="36425"/>
    <cellStyle name="Normal 5 2 2 2 3" xfId="36426"/>
    <cellStyle name="Normal 5 2 2 2 3 2" xfId="36427"/>
    <cellStyle name="Normal 5 2 2 2 3 2 2" xfId="36428"/>
    <cellStyle name="Normal 5 2 2 2 3 2 2 2" xfId="36429"/>
    <cellStyle name="Normal 5 2 2 2 3 2 3" xfId="36430"/>
    <cellStyle name="Normal 5 2 2 2 3 2 3 2" xfId="36431"/>
    <cellStyle name="Normal 5 2 2 2 3 2 4" xfId="36432"/>
    <cellStyle name="Normal 5 2 2 2 3 3" xfId="36433"/>
    <cellStyle name="Normal 5 2 2 2 3 3 2" xfId="48258"/>
    <cellStyle name="Normal 5 2 2 2 3 4" xfId="36434"/>
    <cellStyle name="Normal 5 2 2 2 3 4 2" xfId="36435"/>
    <cellStyle name="Normal 5 2 2 2 3 5" xfId="36436"/>
    <cellStyle name="Normal 5 2 2 2 3_IAS" xfId="36437"/>
    <cellStyle name="Normal 5 2 2 2 4" xfId="36438"/>
    <cellStyle name="Normal 5 2 2 2 4 2" xfId="36439"/>
    <cellStyle name="Normal 5 2 2 2 4 2 2" xfId="36440"/>
    <cellStyle name="Normal 5 2 2 2 4 3" xfId="36441"/>
    <cellStyle name="Normal 5 2 2 2 4 3 2" xfId="36442"/>
    <cellStyle name="Normal 5 2 2 2 4 4" xfId="36443"/>
    <cellStyle name="Normal 5 2 2 2 5" xfId="36444"/>
    <cellStyle name="Normal 5 2 2 2 5 2" xfId="48259"/>
    <cellStyle name="Normal 5 2 2 2 6" xfId="36445"/>
    <cellStyle name="Normal 5 2 2 2 6 2" xfId="36446"/>
    <cellStyle name="Normal 5 2 2 2 7" xfId="36447"/>
    <cellStyle name="Normal 5 2 2 2_IAS" xfId="36448"/>
    <cellStyle name="Normal 5 2 2 3" xfId="36449"/>
    <cellStyle name="Normal 5 2 2 3 2" xfId="36450"/>
    <cellStyle name="Normal 5 2 2 3 2 2" xfId="36451"/>
    <cellStyle name="Normal 5 2 2 3 2 2 2" xfId="36452"/>
    <cellStyle name="Normal 5 2 2 3 2 2 2 2" xfId="36453"/>
    <cellStyle name="Normal 5 2 2 3 2 2 2 2 2" xfId="36454"/>
    <cellStyle name="Normal 5 2 2 3 2 2 2 3" xfId="36455"/>
    <cellStyle name="Normal 5 2 2 3 2 2 2 3 2" xfId="36456"/>
    <cellStyle name="Normal 5 2 2 3 2 2 2 4" xfId="36457"/>
    <cellStyle name="Normal 5 2 2 3 2 2 3" xfId="36458"/>
    <cellStyle name="Normal 5 2 2 3 2 2 3 2" xfId="48260"/>
    <cellStyle name="Normal 5 2 2 3 2 2 4" xfId="36459"/>
    <cellStyle name="Normal 5 2 2 3 2 2 4 2" xfId="36460"/>
    <cellStyle name="Normal 5 2 2 3 2 2 5" xfId="36461"/>
    <cellStyle name="Normal 5 2 2 3 2 2_IAS" xfId="36462"/>
    <cellStyle name="Normal 5 2 2 3 2 3" xfId="36463"/>
    <cellStyle name="Normal 5 2 2 3 2 3 2" xfId="36464"/>
    <cellStyle name="Normal 5 2 2 3 2 3 2 2" xfId="36465"/>
    <cellStyle name="Normal 5 2 2 3 2 3 3" xfId="36466"/>
    <cellStyle name="Normal 5 2 2 3 2 3 3 2" xfId="36467"/>
    <cellStyle name="Normal 5 2 2 3 2 3 4" xfId="36468"/>
    <cellStyle name="Normal 5 2 2 3 2 4" xfId="36469"/>
    <cellStyle name="Normal 5 2 2 3 2 4 2" xfId="48261"/>
    <cellStyle name="Normal 5 2 2 3 2 5" xfId="36470"/>
    <cellStyle name="Normal 5 2 2 3 2 5 2" xfId="36471"/>
    <cellStyle name="Normal 5 2 2 3 2 6" xfId="36472"/>
    <cellStyle name="Normal 5 2 2 3 2_IAS" xfId="36473"/>
    <cellStyle name="Normal 5 2 2 3 3" xfId="36474"/>
    <cellStyle name="Normal 5 2 2 3 3 2" xfId="36475"/>
    <cellStyle name="Normal 5 2 2 3 3 2 2" xfId="36476"/>
    <cellStyle name="Normal 5 2 2 3 3 2 2 2" xfId="36477"/>
    <cellStyle name="Normal 5 2 2 3 3 2 3" xfId="36478"/>
    <cellStyle name="Normal 5 2 2 3 3 2 3 2" xfId="36479"/>
    <cellStyle name="Normal 5 2 2 3 3 2 4" xfId="36480"/>
    <cellStyle name="Normal 5 2 2 3 3 3" xfId="36481"/>
    <cellStyle name="Normal 5 2 2 3 3 3 2" xfId="48262"/>
    <cellStyle name="Normal 5 2 2 3 3 4" xfId="36482"/>
    <cellStyle name="Normal 5 2 2 3 3 4 2" xfId="36483"/>
    <cellStyle name="Normal 5 2 2 3 3 5" xfId="36484"/>
    <cellStyle name="Normal 5 2 2 3 3_IAS" xfId="36485"/>
    <cellStyle name="Normal 5 2 2 3 4" xfId="36486"/>
    <cellStyle name="Normal 5 2 2 3 4 2" xfId="36487"/>
    <cellStyle name="Normal 5 2 2 3 4 2 2" xfId="36488"/>
    <cellStyle name="Normal 5 2 2 3 4 3" xfId="36489"/>
    <cellStyle name="Normal 5 2 2 3 4 3 2" xfId="36490"/>
    <cellStyle name="Normal 5 2 2 3 4 4" xfId="36491"/>
    <cellStyle name="Normal 5 2 2 3 5" xfId="36492"/>
    <cellStyle name="Normal 5 2 2 3 5 2" xfId="48263"/>
    <cellStyle name="Normal 5 2 2 3 6" xfId="36493"/>
    <cellStyle name="Normal 5 2 2 3 6 2" xfId="36494"/>
    <cellStyle name="Normal 5 2 2 3 7" xfId="36495"/>
    <cellStyle name="Normal 5 2 2 3_IAS" xfId="36496"/>
    <cellStyle name="Normal 5 2 2 4" xfId="36497"/>
    <cellStyle name="Normal 5 2 2 4 2" xfId="48264"/>
    <cellStyle name="Normal 5 2 2 5" xfId="36498"/>
    <cellStyle name="Normal 5 2 2 5 2" xfId="36499"/>
    <cellStyle name="Normal 5 2 2 5 2 2" xfId="36500"/>
    <cellStyle name="Normal 5 2 2 5 2 2 2" xfId="36501"/>
    <cellStyle name="Normal 5 2 2 5 2 2 2 2" xfId="36502"/>
    <cellStyle name="Normal 5 2 2 5 2 2 3" xfId="36503"/>
    <cellStyle name="Normal 5 2 2 5 2 2 3 2" xfId="36504"/>
    <cellStyle name="Normal 5 2 2 5 2 2 4" xfId="36505"/>
    <cellStyle name="Normal 5 2 2 5 2 3" xfId="36506"/>
    <cellStyle name="Normal 5 2 2 5 2 3 2" xfId="48265"/>
    <cellStyle name="Normal 5 2 2 5 2 4" xfId="36507"/>
    <cellStyle name="Normal 5 2 2 5 2 4 2" xfId="36508"/>
    <cellStyle name="Normal 5 2 2 5 2 5" xfId="36509"/>
    <cellStyle name="Normal 5 2 2 5 2_IAS" xfId="36510"/>
    <cellStyle name="Normal 5 2 2 5 3" xfId="36511"/>
    <cellStyle name="Normal 5 2 2 5 3 2" xfId="36512"/>
    <cellStyle name="Normal 5 2 2 5 3 2 2" xfId="36513"/>
    <cellStyle name="Normal 5 2 2 5 3 3" xfId="36514"/>
    <cellStyle name="Normal 5 2 2 5 3 3 2" xfId="36515"/>
    <cellStyle name="Normal 5 2 2 5 3 4" xfId="36516"/>
    <cellStyle name="Normal 5 2 2 5 4" xfId="36517"/>
    <cellStyle name="Normal 5 2 2 5 4 2" xfId="48266"/>
    <cellStyle name="Normal 5 2 2 5 5" xfId="36518"/>
    <cellStyle name="Normal 5 2 2 5 5 2" xfId="36519"/>
    <cellStyle name="Normal 5 2 2 5 6" xfId="36520"/>
    <cellStyle name="Normal 5 2 2 5_IAS" xfId="36521"/>
    <cellStyle name="Normal 5 2 2 6" xfId="36522"/>
    <cellStyle name="Normal 5 2 2 6 2" xfId="36523"/>
    <cellStyle name="Normal 5 2 2 6 2 2" xfId="36524"/>
    <cellStyle name="Normal 5 2 2 6 2 2 2" xfId="36525"/>
    <cellStyle name="Normal 5 2 2 6 2 3" xfId="36526"/>
    <cellStyle name="Normal 5 2 2 6 2 3 2" xfId="36527"/>
    <cellStyle name="Normal 5 2 2 6 2 4" xfId="36528"/>
    <cellStyle name="Normal 5 2 2 6 3" xfId="36529"/>
    <cellStyle name="Normal 5 2 2 6 3 2" xfId="48267"/>
    <cellStyle name="Normal 5 2 2 6 4" xfId="36530"/>
    <cellStyle name="Normal 5 2 2 6 4 2" xfId="36531"/>
    <cellStyle name="Normal 5 2 2 6 5" xfId="36532"/>
    <cellStyle name="Normal 5 2 2 6_IAS" xfId="36533"/>
    <cellStyle name="Normal 5 2 2 7" xfId="36534"/>
    <cellStyle name="Normal 5 2 2 7 2" xfId="36535"/>
    <cellStyle name="Normal 5 2 2 7 2 2" xfId="36536"/>
    <cellStyle name="Normal 5 2 2 7 3" xfId="36537"/>
    <cellStyle name="Normal 5 2 2 7 3 2" xfId="36538"/>
    <cellStyle name="Normal 5 2 2 7 4" xfId="36539"/>
    <cellStyle name="Normal 5 2 2 8" xfId="36540"/>
    <cellStyle name="Normal 5 2 2 8 2" xfId="36541"/>
    <cellStyle name="Normal 5 2 2 8 2 2" xfId="36542"/>
    <cellStyle name="Normal 5 2 2 8 3" xfId="36543"/>
    <cellStyle name="Normal 5 2 2 9" xfId="36544"/>
    <cellStyle name="Normal 5 2 2 9 2" xfId="36545"/>
    <cellStyle name="Normal 5 2 2 9 2 2" xfId="36546"/>
    <cellStyle name="Normal 5 2 2 9 3" xfId="36547"/>
    <cellStyle name="Normal 5 2 2_IAS" xfId="36548"/>
    <cellStyle name="Normal 5 2 20" xfId="36365"/>
    <cellStyle name="Normal 5 2 3" xfId="36549"/>
    <cellStyle name="Normal 5 2 3 2" xfId="36550"/>
    <cellStyle name="Normal 5 2 3 2 2" xfId="36551"/>
    <cellStyle name="Normal 5 2 3 2 2 2" xfId="36552"/>
    <cellStyle name="Normal 5 2 3 2 2 2 2" xfId="36553"/>
    <cellStyle name="Normal 5 2 3 2 2 2 2 2" xfId="36554"/>
    <cellStyle name="Normal 5 2 3 2 2 2 3" xfId="36555"/>
    <cellStyle name="Normal 5 2 3 2 2 2 3 2" xfId="36556"/>
    <cellStyle name="Normal 5 2 3 2 2 2 4" xfId="36557"/>
    <cellStyle name="Normal 5 2 3 2 2 3" xfId="36558"/>
    <cellStyle name="Normal 5 2 3 2 2 3 2" xfId="48268"/>
    <cellStyle name="Normal 5 2 3 2 2 4" xfId="36559"/>
    <cellStyle name="Normal 5 2 3 2 2 4 2" xfId="36560"/>
    <cellStyle name="Normal 5 2 3 2 2 5" xfId="36561"/>
    <cellStyle name="Normal 5 2 3 2 2_IAS" xfId="36562"/>
    <cellStyle name="Normal 5 2 3 2 3" xfId="36563"/>
    <cellStyle name="Normal 5 2 3 2 3 2" xfId="36564"/>
    <cellStyle name="Normal 5 2 3 2 3 2 2" xfId="36565"/>
    <cellStyle name="Normal 5 2 3 2 3 3" xfId="36566"/>
    <cellStyle name="Normal 5 2 3 2 3 3 2" xfId="36567"/>
    <cellStyle name="Normal 5 2 3 2 3 4" xfId="36568"/>
    <cellStyle name="Normal 5 2 3 2 4" xfId="36569"/>
    <cellStyle name="Normal 5 2 3 2 4 2" xfId="48269"/>
    <cellStyle name="Normal 5 2 3 2 5" xfId="36570"/>
    <cellStyle name="Normal 5 2 3 2 5 2" xfId="36571"/>
    <cellStyle name="Normal 5 2 3 2 6" xfId="36572"/>
    <cellStyle name="Normal 5 2 3 2_IAS" xfId="36573"/>
    <cellStyle name="Normal 5 2 3 3" xfId="36574"/>
    <cellStyle name="Normal 5 2 3 3 2" xfId="36575"/>
    <cellStyle name="Normal 5 2 3 3 2 2" xfId="36576"/>
    <cellStyle name="Normal 5 2 3 3 2 2 2" xfId="36577"/>
    <cellStyle name="Normal 5 2 3 3 2 3" xfId="36578"/>
    <cellStyle name="Normal 5 2 3 3 2 3 2" xfId="36579"/>
    <cellStyle name="Normal 5 2 3 3 2 4" xfId="36580"/>
    <cellStyle name="Normal 5 2 3 3 3" xfId="36581"/>
    <cellStyle name="Normal 5 2 3 3 3 2" xfId="48270"/>
    <cellStyle name="Normal 5 2 3 3 4" xfId="36582"/>
    <cellStyle name="Normal 5 2 3 3 4 2" xfId="36583"/>
    <cellStyle name="Normal 5 2 3 3 5" xfId="36584"/>
    <cellStyle name="Normal 5 2 3 3_IAS" xfId="36585"/>
    <cellStyle name="Normal 5 2 3 4" xfId="36586"/>
    <cellStyle name="Normal 5 2 3 4 2" xfId="36587"/>
    <cellStyle name="Normal 5 2 3 4 2 2" xfId="36588"/>
    <cellStyle name="Normal 5 2 3 4 3" xfId="36589"/>
    <cellStyle name="Normal 5 2 3 4 3 2" xfId="36590"/>
    <cellStyle name="Normal 5 2 3 4 4" xfId="36591"/>
    <cellStyle name="Normal 5 2 3 5" xfId="36592"/>
    <cellStyle name="Normal 5 2 3 5 2" xfId="48271"/>
    <cellStyle name="Normal 5 2 3 6" xfId="36593"/>
    <cellStyle name="Normal 5 2 3 6 2" xfId="36594"/>
    <cellStyle name="Normal 5 2 3 7" xfId="36595"/>
    <cellStyle name="Normal 5 2 3_IAS" xfId="36596"/>
    <cellStyle name="Normal 5 2 4" xfId="36597"/>
    <cellStyle name="Normal 5 2 4 2" xfId="36598"/>
    <cellStyle name="Normal 5 2 4 2 2" xfId="36599"/>
    <cellStyle name="Normal 5 2 4 2 2 2" xfId="36600"/>
    <cellStyle name="Normal 5 2 4 2 2 2 2" xfId="36601"/>
    <cellStyle name="Normal 5 2 4 2 2 2 2 2" xfId="36602"/>
    <cellStyle name="Normal 5 2 4 2 2 2 3" xfId="36603"/>
    <cellStyle name="Normal 5 2 4 2 2 2 3 2" xfId="36604"/>
    <cellStyle name="Normal 5 2 4 2 2 2 4" xfId="36605"/>
    <cellStyle name="Normal 5 2 4 2 2 3" xfId="36606"/>
    <cellStyle name="Normal 5 2 4 2 2 3 2" xfId="48272"/>
    <cellStyle name="Normal 5 2 4 2 2 4" xfId="36607"/>
    <cellStyle name="Normal 5 2 4 2 2 4 2" xfId="36608"/>
    <cellStyle name="Normal 5 2 4 2 2 5" xfId="36609"/>
    <cellStyle name="Normal 5 2 4 2 2_IAS" xfId="36610"/>
    <cellStyle name="Normal 5 2 4 2 3" xfId="36611"/>
    <cellStyle name="Normal 5 2 4 2 3 2" xfId="36612"/>
    <cellStyle name="Normal 5 2 4 2 3 2 2" xfId="36613"/>
    <cellStyle name="Normal 5 2 4 2 3 3" xfId="36614"/>
    <cellStyle name="Normal 5 2 4 2 3 3 2" xfId="36615"/>
    <cellStyle name="Normal 5 2 4 2 3 4" xfId="36616"/>
    <cellStyle name="Normal 5 2 4 2 4" xfId="36617"/>
    <cellStyle name="Normal 5 2 4 2 4 2" xfId="48273"/>
    <cellStyle name="Normal 5 2 4 2 5" xfId="36618"/>
    <cellStyle name="Normal 5 2 4 2 5 2" xfId="36619"/>
    <cellStyle name="Normal 5 2 4 2 6" xfId="36620"/>
    <cellStyle name="Normal 5 2 4 2_IAS" xfId="36621"/>
    <cellStyle name="Normal 5 2 4 3" xfId="36622"/>
    <cellStyle name="Normal 5 2 4 3 2" xfId="36623"/>
    <cellStyle name="Normal 5 2 4 3 2 2" xfId="36624"/>
    <cellStyle name="Normal 5 2 4 3 2 2 2" xfId="36625"/>
    <cellStyle name="Normal 5 2 4 3 2 3" xfId="36626"/>
    <cellStyle name="Normal 5 2 4 3 2 3 2" xfId="36627"/>
    <cellStyle name="Normal 5 2 4 3 2 4" xfId="36628"/>
    <cellStyle name="Normal 5 2 4 3 3" xfId="36629"/>
    <cellStyle name="Normal 5 2 4 3 3 2" xfId="48274"/>
    <cellStyle name="Normal 5 2 4 3 4" xfId="36630"/>
    <cellStyle name="Normal 5 2 4 3 4 2" xfId="36631"/>
    <cellStyle name="Normal 5 2 4 3 5" xfId="36632"/>
    <cellStyle name="Normal 5 2 4 3_IAS" xfId="36633"/>
    <cellStyle name="Normal 5 2 4 4" xfId="36634"/>
    <cellStyle name="Normal 5 2 4 4 2" xfId="36635"/>
    <cellStyle name="Normal 5 2 4 4 2 2" xfId="36636"/>
    <cellStyle name="Normal 5 2 4 4 3" xfId="36637"/>
    <cellStyle name="Normal 5 2 4 4 3 2" xfId="36638"/>
    <cellStyle name="Normal 5 2 4 4 4" xfId="36639"/>
    <cellStyle name="Normal 5 2 4 5" xfId="36640"/>
    <cellStyle name="Normal 5 2 4 5 2" xfId="48275"/>
    <cellStyle name="Normal 5 2 4 6" xfId="36641"/>
    <cellStyle name="Normal 5 2 4 6 2" xfId="36642"/>
    <cellStyle name="Normal 5 2 4 7" xfId="36643"/>
    <cellStyle name="Normal 5 2 4_IAS" xfId="36644"/>
    <cellStyle name="Normal 5 2 5" xfId="36645"/>
    <cellStyle name="Normal 5 2 5 2" xfId="48276"/>
    <cellStyle name="Normal 5 2 6" xfId="36646"/>
    <cellStyle name="Normal 5 2 6 2" xfId="36647"/>
    <cellStyle name="Normal 5 2 6 2 2" xfId="36648"/>
    <cellStyle name="Normal 5 2 6 2 2 2" xfId="36649"/>
    <cellStyle name="Normal 5 2 6 2 2 2 2" xfId="36650"/>
    <cellStyle name="Normal 5 2 6 2 2 3" xfId="36651"/>
    <cellStyle name="Normal 5 2 6 2 2 3 2" xfId="36652"/>
    <cellStyle name="Normal 5 2 6 2 2 4" xfId="36653"/>
    <cellStyle name="Normal 5 2 6 2 3" xfId="36654"/>
    <cellStyle name="Normal 5 2 6 2 3 2" xfId="48277"/>
    <cellStyle name="Normal 5 2 6 2 4" xfId="36655"/>
    <cellStyle name="Normal 5 2 6 2 4 2" xfId="36656"/>
    <cellStyle name="Normal 5 2 6 2 5" xfId="36657"/>
    <cellStyle name="Normal 5 2 6 2_IAS" xfId="36658"/>
    <cellStyle name="Normal 5 2 6 3" xfId="36659"/>
    <cellStyle name="Normal 5 2 6 3 2" xfId="36660"/>
    <cellStyle name="Normal 5 2 6 3 2 2" xfId="36661"/>
    <cellStyle name="Normal 5 2 6 3 3" xfId="36662"/>
    <cellStyle name="Normal 5 2 6 3 3 2" xfId="36663"/>
    <cellStyle name="Normal 5 2 6 3 4" xfId="36664"/>
    <cellStyle name="Normal 5 2 6 4" xfId="36665"/>
    <cellStyle name="Normal 5 2 6 4 2" xfId="48278"/>
    <cellStyle name="Normal 5 2 6 5" xfId="36666"/>
    <cellStyle name="Normal 5 2 6 5 2" xfId="36667"/>
    <cellStyle name="Normal 5 2 6 6" xfId="36668"/>
    <cellStyle name="Normal 5 2 6_IAS" xfId="36669"/>
    <cellStyle name="Normal 5 2 7" xfId="36670"/>
    <cellStyle name="Normal 5 2 7 2" xfId="36671"/>
    <cellStyle name="Normal 5 2 7 2 2" xfId="36672"/>
    <cellStyle name="Normal 5 2 7 2 2 2" xfId="36673"/>
    <cellStyle name="Normal 5 2 7 2 3" xfId="36674"/>
    <cellStyle name="Normal 5 2 7 2 3 2" xfId="36675"/>
    <cellStyle name="Normal 5 2 7 2 4" xfId="36676"/>
    <cellStyle name="Normal 5 2 7 3" xfId="36677"/>
    <cellStyle name="Normal 5 2 7 3 2" xfId="48279"/>
    <cellStyle name="Normal 5 2 7 4" xfId="36678"/>
    <cellStyle name="Normal 5 2 7 4 2" xfId="36679"/>
    <cellStyle name="Normal 5 2 7 5" xfId="36680"/>
    <cellStyle name="Normal 5 2 7_IAS" xfId="36681"/>
    <cellStyle name="Normal 5 2 8" xfId="36682"/>
    <cellStyle name="Normal 5 2 8 2" xfId="36683"/>
    <cellStyle name="Normal 5 2 8 2 2" xfId="36684"/>
    <cellStyle name="Normal 5 2 8 3" xfId="48280"/>
    <cellStyle name="Normal 5 2 9" xfId="36685"/>
    <cellStyle name="Normal 5 2 9 2" xfId="48281"/>
    <cellStyle name="Normal 5 2_AGF" xfId="36686"/>
    <cellStyle name="Normal 5 20" xfId="36687"/>
    <cellStyle name="Normal 5 21" xfId="36339"/>
    <cellStyle name="Normal 5 22" xfId="48252"/>
    <cellStyle name="Normal 5 23" xfId="51808"/>
    <cellStyle name="Normal 5 24" xfId="47654"/>
    <cellStyle name="Normal 5 25" xfId="51809"/>
    <cellStyle name="Normal 5 26" xfId="47655"/>
    <cellStyle name="Normal 5 27" xfId="52165"/>
    <cellStyle name="Normal 5 28" xfId="57640"/>
    <cellStyle name="Normal 5 29" xfId="57659"/>
    <cellStyle name="Normal 5 3" xfId="1030"/>
    <cellStyle name="Normal 5 3 10" xfId="36689"/>
    <cellStyle name="Normal 5 3 10 2" xfId="36690"/>
    <cellStyle name="Normal 5 3 10 2 2" xfId="36691"/>
    <cellStyle name="Normal 5 3 10 3" xfId="36692"/>
    <cellStyle name="Normal 5 3 11" xfId="36693"/>
    <cellStyle name="Normal 5 3 11 2" xfId="36694"/>
    <cellStyle name="Normal 5 3 11 2 2" xfId="36695"/>
    <cellStyle name="Normal 5 3 11 3" xfId="36696"/>
    <cellStyle name="Normal 5 3 12" xfId="36697"/>
    <cellStyle name="Normal 5 3 12 2" xfId="36698"/>
    <cellStyle name="Normal 5 3 13" xfId="36699"/>
    <cellStyle name="Normal 5 3 13 2" xfId="36700"/>
    <cellStyle name="Normal 5 3 14" xfId="36701"/>
    <cellStyle name="Normal 5 3 15" xfId="36702"/>
    <cellStyle name="Normal 5 3 16" xfId="36703"/>
    <cellStyle name="Normal 5 3 16 2" xfId="48282"/>
    <cellStyle name="Normal 5 3 17" xfId="36688"/>
    <cellStyle name="Normal 5 3 2" xfId="1031"/>
    <cellStyle name="Normal 5 3 2 10" xfId="36705"/>
    <cellStyle name="Normal 5 3 2 10 2" xfId="36706"/>
    <cellStyle name="Normal 5 3 2 10 2 2" xfId="36707"/>
    <cellStyle name="Normal 5 3 2 10 3" xfId="36708"/>
    <cellStyle name="Normal 5 3 2 11" xfId="36709"/>
    <cellStyle name="Normal 5 3 2 11 2" xfId="36710"/>
    <cellStyle name="Normal 5 3 2 12" xfId="36711"/>
    <cellStyle name="Normal 5 3 2 12 2" xfId="36712"/>
    <cellStyle name="Normal 5 3 2 13" xfId="36713"/>
    <cellStyle name="Normal 5 3 2 14" xfId="36714"/>
    <cellStyle name="Normal 5 3 2 15" xfId="36704"/>
    <cellStyle name="Normal 5 3 2 2" xfId="1032"/>
    <cellStyle name="Normal 5 3 2 2 2" xfId="2175"/>
    <cellStyle name="Normal 5 3 2 2 2 2" xfId="5300"/>
    <cellStyle name="Normal 5 3 2 2 2 2 2" xfId="11503"/>
    <cellStyle name="Normal 5 3 2 2 2 2 2 2" xfId="36719"/>
    <cellStyle name="Normal 5 3 2 2 2 2 2 2 2" xfId="36720"/>
    <cellStyle name="Normal 5 3 2 2 2 2 2 3" xfId="36721"/>
    <cellStyle name="Normal 5 3 2 2 2 2 2 3 2" xfId="36722"/>
    <cellStyle name="Normal 5 3 2 2 2 2 2 4" xfId="36723"/>
    <cellStyle name="Normal 5 3 2 2 2 2 2 5" xfId="36718"/>
    <cellStyle name="Normal 5 3 2 2 2 2 3" xfId="17705"/>
    <cellStyle name="Normal 5 3 2 2 2 2 3 2" xfId="48283"/>
    <cellStyle name="Normal 5 3 2 2 2 2 3 3" xfId="36724"/>
    <cellStyle name="Normal 5 3 2 2 2 2 4" xfId="36725"/>
    <cellStyle name="Normal 5 3 2 2 2 2 4 2" xfId="36726"/>
    <cellStyle name="Normal 5 3 2 2 2 2 5" xfId="36727"/>
    <cellStyle name="Normal 5 3 2 2 2 2 6" xfId="36717"/>
    <cellStyle name="Normal 5 3 2 2 2 2_IAS" xfId="36728"/>
    <cellStyle name="Normal 5 3 2 2 2 3" xfId="8403"/>
    <cellStyle name="Normal 5 3 2 2 2 3 2" xfId="36730"/>
    <cellStyle name="Normal 5 3 2 2 2 3 2 2" xfId="36731"/>
    <cellStyle name="Normal 5 3 2 2 2 3 3" xfId="36732"/>
    <cellStyle name="Normal 5 3 2 2 2 3 3 2" xfId="36733"/>
    <cellStyle name="Normal 5 3 2 2 2 3 4" xfId="36734"/>
    <cellStyle name="Normal 5 3 2 2 2 3 5" xfId="36729"/>
    <cellStyle name="Normal 5 3 2 2 2 4" xfId="14605"/>
    <cellStyle name="Normal 5 3 2 2 2 4 2" xfId="48284"/>
    <cellStyle name="Normal 5 3 2 2 2 4 3" xfId="36735"/>
    <cellStyle name="Normal 5 3 2 2 2 5" xfId="36736"/>
    <cellStyle name="Normal 5 3 2 2 2 5 2" xfId="36737"/>
    <cellStyle name="Normal 5 3 2 2 2 6" xfId="36738"/>
    <cellStyle name="Normal 5 3 2 2 2 7" xfId="36716"/>
    <cellStyle name="Normal 5 3 2 2 2_IAS" xfId="36739"/>
    <cellStyle name="Normal 5 3 2 2 3" xfId="3201"/>
    <cellStyle name="Normal 5 3 2 2 3 2" xfId="6313"/>
    <cellStyle name="Normal 5 3 2 2 3 2 2" xfId="12516"/>
    <cellStyle name="Normal 5 3 2 2 3 2 2 2" xfId="36743"/>
    <cellStyle name="Normal 5 3 2 2 3 2 2 3" xfId="36742"/>
    <cellStyle name="Normal 5 3 2 2 3 2 3" xfId="18718"/>
    <cellStyle name="Normal 5 3 2 2 3 2 3 2" xfId="36745"/>
    <cellStyle name="Normal 5 3 2 2 3 2 3 3" xfId="36744"/>
    <cellStyle name="Normal 5 3 2 2 3 2 4" xfId="36746"/>
    <cellStyle name="Normal 5 3 2 2 3 2 5" xfId="36741"/>
    <cellStyle name="Normal 5 3 2 2 3 3" xfId="9416"/>
    <cellStyle name="Normal 5 3 2 2 3 3 2" xfId="48285"/>
    <cellStyle name="Normal 5 3 2 2 3 3 3" xfId="36747"/>
    <cellStyle name="Normal 5 3 2 2 3 4" xfId="15618"/>
    <cellStyle name="Normal 5 3 2 2 3 4 2" xfId="36749"/>
    <cellStyle name="Normal 5 3 2 2 3 4 3" xfId="36748"/>
    <cellStyle name="Normal 5 3 2 2 3 5" xfId="36750"/>
    <cellStyle name="Normal 5 3 2 2 3 6" xfId="36740"/>
    <cellStyle name="Normal 5 3 2 2 3_IAS" xfId="36751"/>
    <cellStyle name="Normal 5 3 2 2 4" xfId="4241"/>
    <cellStyle name="Normal 5 3 2 2 4 2" xfId="10445"/>
    <cellStyle name="Normal 5 3 2 2 4 2 2" xfId="36754"/>
    <cellStyle name="Normal 5 3 2 2 4 2 3" xfId="36753"/>
    <cellStyle name="Normal 5 3 2 2 4 3" xfId="16647"/>
    <cellStyle name="Normal 5 3 2 2 4 3 2" xfId="36756"/>
    <cellStyle name="Normal 5 3 2 2 4 3 3" xfId="36755"/>
    <cellStyle name="Normal 5 3 2 2 4 4" xfId="36757"/>
    <cellStyle name="Normal 5 3 2 2 4 5" xfId="36752"/>
    <cellStyle name="Normal 5 3 2 2 5" xfId="7344"/>
    <cellStyle name="Normal 5 3 2 2 5 2" xfId="19776"/>
    <cellStyle name="Normal 5 3 2 2 5 2 2" xfId="48286"/>
    <cellStyle name="Normal 5 3 2 2 5 3" xfId="36758"/>
    <cellStyle name="Normal 5 3 2 2 6" xfId="13546"/>
    <cellStyle name="Normal 5 3 2 2 6 2" xfId="36760"/>
    <cellStyle name="Normal 5 3 2 2 6 3" xfId="36759"/>
    <cellStyle name="Normal 5 3 2 2 7" xfId="36761"/>
    <cellStyle name="Normal 5 3 2 2 8" xfId="36715"/>
    <cellStyle name="Normal 5 3 2 2_IAS" xfId="36762"/>
    <cellStyle name="Normal 5 3 2 3" xfId="1651"/>
    <cellStyle name="Normal 5 3 2 3 2" xfId="4776"/>
    <cellStyle name="Normal 5 3 2 3 2 2" xfId="10979"/>
    <cellStyle name="Normal 5 3 2 3 2 2 2" xfId="36766"/>
    <cellStyle name="Normal 5 3 2 3 2 2 2 2" xfId="36767"/>
    <cellStyle name="Normal 5 3 2 3 2 2 2 2 2" xfId="36768"/>
    <cellStyle name="Normal 5 3 2 3 2 2 2 3" xfId="36769"/>
    <cellStyle name="Normal 5 3 2 3 2 2 2 3 2" xfId="36770"/>
    <cellStyle name="Normal 5 3 2 3 2 2 2 4" xfId="36771"/>
    <cellStyle name="Normal 5 3 2 3 2 2 3" xfId="36772"/>
    <cellStyle name="Normal 5 3 2 3 2 2 3 2" xfId="48287"/>
    <cellStyle name="Normal 5 3 2 3 2 2 4" xfId="36773"/>
    <cellStyle name="Normal 5 3 2 3 2 2 4 2" xfId="36774"/>
    <cellStyle name="Normal 5 3 2 3 2 2 5" xfId="36775"/>
    <cellStyle name="Normal 5 3 2 3 2 2 6" xfId="36765"/>
    <cellStyle name="Normal 5 3 2 3 2 2_IAS" xfId="36776"/>
    <cellStyle name="Normal 5 3 2 3 2 3" xfId="17181"/>
    <cellStyle name="Normal 5 3 2 3 2 3 2" xfId="36778"/>
    <cellStyle name="Normal 5 3 2 3 2 3 2 2" xfId="36779"/>
    <cellStyle name="Normal 5 3 2 3 2 3 3" xfId="36780"/>
    <cellStyle name="Normal 5 3 2 3 2 3 3 2" xfId="36781"/>
    <cellStyle name="Normal 5 3 2 3 2 3 4" xfId="36782"/>
    <cellStyle name="Normal 5 3 2 3 2 3 5" xfId="36777"/>
    <cellStyle name="Normal 5 3 2 3 2 4" xfId="36783"/>
    <cellStyle name="Normal 5 3 2 3 2 4 2" xfId="48288"/>
    <cellStyle name="Normal 5 3 2 3 2 5" xfId="36784"/>
    <cellStyle name="Normal 5 3 2 3 2 5 2" xfId="36785"/>
    <cellStyle name="Normal 5 3 2 3 2 6" xfId="36786"/>
    <cellStyle name="Normal 5 3 2 3 2 7" xfId="36764"/>
    <cellStyle name="Normal 5 3 2 3 2_IAS" xfId="36787"/>
    <cellStyle name="Normal 5 3 2 3 3" xfId="7879"/>
    <cellStyle name="Normal 5 3 2 3 3 2" xfId="36789"/>
    <cellStyle name="Normal 5 3 2 3 3 2 2" xfId="36790"/>
    <cellStyle name="Normal 5 3 2 3 3 2 2 2" xfId="36791"/>
    <cellStyle name="Normal 5 3 2 3 3 2 3" xfId="36792"/>
    <cellStyle name="Normal 5 3 2 3 3 2 3 2" xfId="36793"/>
    <cellStyle name="Normal 5 3 2 3 3 2 4" xfId="36794"/>
    <cellStyle name="Normal 5 3 2 3 3 3" xfId="36795"/>
    <cellStyle name="Normal 5 3 2 3 3 3 2" xfId="48289"/>
    <cellStyle name="Normal 5 3 2 3 3 4" xfId="36796"/>
    <cellStyle name="Normal 5 3 2 3 3 4 2" xfId="36797"/>
    <cellStyle name="Normal 5 3 2 3 3 5" xfId="36798"/>
    <cellStyle name="Normal 5 3 2 3 3 6" xfId="36788"/>
    <cellStyle name="Normal 5 3 2 3 3_IAS" xfId="36799"/>
    <cellStyle name="Normal 5 3 2 3 4" xfId="14081"/>
    <cellStyle name="Normal 5 3 2 3 4 2" xfId="36801"/>
    <cellStyle name="Normal 5 3 2 3 4 2 2" xfId="36802"/>
    <cellStyle name="Normal 5 3 2 3 4 3" xfId="36803"/>
    <cellStyle name="Normal 5 3 2 3 4 3 2" xfId="36804"/>
    <cellStyle name="Normal 5 3 2 3 4 4" xfId="36805"/>
    <cellStyle name="Normal 5 3 2 3 4 5" xfId="36800"/>
    <cellStyle name="Normal 5 3 2 3 5" xfId="36806"/>
    <cellStyle name="Normal 5 3 2 3 5 2" xfId="48290"/>
    <cellStyle name="Normal 5 3 2 3 6" xfId="36807"/>
    <cellStyle name="Normal 5 3 2 3 6 2" xfId="36808"/>
    <cellStyle name="Normal 5 3 2 3 7" xfId="36809"/>
    <cellStyle name="Normal 5 3 2 3 8" xfId="36763"/>
    <cellStyle name="Normal 5 3 2 3_IAS" xfId="36810"/>
    <cellStyle name="Normal 5 3 2 4" xfId="3200"/>
    <cellStyle name="Normal 5 3 2 4 2" xfId="6312"/>
    <cellStyle name="Normal 5 3 2 4 2 2" xfId="12515"/>
    <cellStyle name="Normal 5 3 2 4 2 2 2" xfId="57511"/>
    <cellStyle name="Normal 5 3 2 4 2 3" xfId="18717"/>
    <cellStyle name="Normal 5 3 2 4 2 4" xfId="48291"/>
    <cellStyle name="Normal 5 3 2 4 3" xfId="9415"/>
    <cellStyle name="Normal 5 3 2 4 4" xfId="15617"/>
    <cellStyle name="Normal 5 3 2 4 5" xfId="36811"/>
    <cellStyle name="Normal 5 3 2 5" xfId="4240"/>
    <cellStyle name="Normal 5 3 2 5 2" xfId="10444"/>
    <cellStyle name="Normal 5 3 2 5 2 2" xfId="36814"/>
    <cellStyle name="Normal 5 3 2 5 2 2 2" xfId="36815"/>
    <cellStyle name="Normal 5 3 2 5 2 2 2 2" xfId="36816"/>
    <cellStyle name="Normal 5 3 2 5 2 2 3" xfId="36817"/>
    <cellStyle name="Normal 5 3 2 5 2 2 3 2" xfId="36818"/>
    <cellStyle name="Normal 5 3 2 5 2 2 4" xfId="36819"/>
    <cellStyle name="Normal 5 3 2 5 2 3" xfId="36820"/>
    <cellStyle name="Normal 5 3 2 5 2 3 2" xfId="48292"/>
    <cellStyle name="Normal 5 3 2 5 2 4" xfId="36821"/>
    <cellStyle name="Normal 5 3 2 5 2 4 2" xfId="36822"/>
    <cellStyle name="Normal 5 3 2 5 2 5" xfId="36823"/>
    <cellStyle name="Normal 5 3 2 5 2 6" xfId="36813"/>
    <cellStyle name="Normal 5 3 2 5 2_IAS" xfId="36824"/>
    <cellStyle name="Normal 5 3 2 5 3" xfId="16646"/>
    <cellStyle name="Normal 5 3 2 5 3 2" xfId="36826"/>
    <cellStyle name="Normal 5 3 2 5 3 2 2" xfId="36827"/>
    <cellStyle name="Normal 5 3 2 5 3 3" xfId="36828"/>
    <cellStyle name="Normal 5 3 2 5 3 3 2" xfId="36829"/>
    <cellStyle name="Normal 5 3 2 5 3 4" xfId="36830"/>
    <cellStyle name="Normal 5 3 2 5 3 5" xfId="36825"/>
    <cellStyle name="Normal 5 3 2 5 4" xfId="36831"/>
    <cellStyle name="Normal 5 3 2 5 4 2" xfId="48293"/>
    <cellStyle name="Normal 5 3 2 5 5" xfId="36832"/>
    <cellStyle name="Normal 5 3 2 5 5 2" xfId="36833"/>
    <cellStyle name="Normal 5 3 2 5 6" xfId="36834"/>
    <cellStyle name="Normal 5 3 2 5 7" xfId="36812"/>
    <cellStyle name="Normal 5 3 2 5_IAS" xfId="36835"/>
    <cellStyle name="Normal 5 3 2 6" xfId="7343"/>
    <cellStyle name="Normal 5 3 2 6 2" xfId="19252"/>
    <cellStyle name="Normal 5 3 2 6 2 2" xfId="36838"/>
    <cellStyle name="Normal 5 3 2 6 2 2 2" xfId="36839"/>
    <cellStyle name="Normal 5 3 2 6 2 3" xfId="36840"/>
    <cellStyle name="Normal 5 3 2 6 2 3 2" xfId="36841"/>
    <cellStyle name="Normal 5 3 2 6 2 4" xfId="36842"/>
    <cellStyle name="Normal 5 3 2 6 2 5" xfId="36837"/>
    <cellStyle name="Normal 5 3 2 6 3" xfId="36843"/>
    <cellStyle name="Normal 5 3 2 6 3 2" xfId="48294"/>
    <cellStyle name="Normal 5 3 2 6 4" xfId="36844"/>
    <cellStyle name="Normal 5 3 2 6 4 2" xfId="36845"/>
    <cellStyle name="Normal 5 3 2 6 5" xfId="36846"/>
    <cellStyle name="Normal 5 3 2 6 6" xfId="36836"/>
    <cellStyle name="Normal 5 3 2 6_IAS" xfId="36847"/>
    <cellStyle name="Normal 5 3 2 7" xfId="13545"/>
    <cellStyle name="Normal 5 3 2 7 2" xfId="36849"/>
    <cellStyle name="Normal 5 3 2 7 2 2" xfId="36850"/>
    <cellStyle name="Normal 5 3 2 7 3" xfId="36851"/>
    <cellStyle name="Normal 5 3 2 7 3 2" xfId="36852"/>
    <cellStyle name="Normal 5 3 2 7 4" xfId="36853"/>
    <cellStyle name="Normal 5 3 2 7 5" xfId="36848"/>
    <cellStyle name="Normal 5 3 2 8" xfId="36854"/>
    <cellStyle name="Normal 5 3 2 8 2" xfId="36855"/>
    <cellStyle name="Normal 5 3 2 8 2 2" xfId="36856"/>
    <cellStyle name="Normal 5 3 2 8 3" xfId="36857"/>
    <cellStyle name="Normal 5 3 2 9" xfId="36858"/>
    <cellStyle name="Normal 5 3 2 9 2" xfId="36859"/>
    <cellStyle name="Normal 5 3 2 9 2 2" xfId="36860"/>
    <cellStyle name="Normal 5 3 2 9 3" xfId="36861"/>
    <cellStyle name="Normal 5 3 2_IAS" xfId="36862"/>
    <cellStyle name="Normal 5 3 3" xfId="1033"/>
    <cellStyle name="Normal 5 3 3 2" xfId="1929"/>
    <cellStyle name="Normal 5 3 3 2 2" xfId="5054"/>
    <cellStyle name="Normal 5 3 3 2 2 2" xfId="11257"/>
    <cellStyle name="Normal 5 3 3 2 2 2 2" xfId="36867"/>
    <cellStyle name="Normal 5 3 3 2 2 2 2 2" xfId="36868"/>
    <cellStyle name="Normal 5 3 3 2 2 2 3" xfId="36869"/>
    <cellStyle name="Normal 5 3 3 2 2 2 3 2" xfId="36870"/>
    <cellStyle name="Normal 5 3 3 2 2 2 4" xfId="36871"/>
    <cellStyle name="Normal 5 3 3 2 2 2 5" xfId="36866"/>
    <cellStyle name="Normal 5 3 3 2 2 3" xfId="17459"/>
    <cellStyle name="Normal 5 3 3 2 2 3 2" xfId="48295"/>
    <cellStyle name="Normal 5 3 3 2 2 3 3" xfId="36872"/>
    <cellStyle name="Normal 5 3 3 2 2 4" xfId="36873"/>
    <cellStyle name="Normal 5 3 3 2 2 4 2" xfId="36874"/>
    <cellStyle name="Normal 5 3 3 2 2 5" xfId="36875"/>
    <cellStyle name="Normal 5 3 3 2 2 6" xfId="36865"/>
    <cellStyle name="Normal 5 3 3 2 2_IAS" xfId="36876"/>
    <cellStyle name="Normal 5 3 3 2 3" xfId="8157"/>
    <cellStyle name="Normal 5 3 3 2 3 2" xfId="36878"/>
    <cellStyle name="Normal 5 3 3 2 3 2 2" xfId="36879"/>
    <cellStyle name="Normal 5 3 3 2 3 3" xfId="36880"/>
    <cellStyle name="Normal 5 3 3 2 3 3 2" xfId="36881"/>
    <cellStyle name="Normal 5 3 3 2 3 4" xfId="36882"/>
    <cellStyle name="Normal 5 3 3 2 3 5" xfId="36877"/>
    <cellStyle name="Normal 5 3 3 2 4" xfId="14359"/>
    <cellStyle name="Normal 5 3 3 2 4 2" xfId="48296"/>
    <cellStyle name="Normal 5 3 3 2 4 3" xfId="36883"/>
    <cellStyle name="Normal 5 3 3 2 5" xfId="36884"/>
    <cellStyle name="Normal 5 3 3 2 5 2" xfId="36885"/>
    <cellStyle name="Normal 5 3 3 2 6" xfId="36886"/>
    <cellStyle name="Normal 5 3 3 2 7" xfId="36864"/>
    <cellStyle name="Normal 5 3 3 2_IAS" xfId="36887"/>
    <cellStyle name="Normal 5 3 3 3" xfId="3202"/>
    <cellStyle name="Normal 5 3 3 3 2" xfId="6314"/>
    <cellStyle name="Normal 5 3 3 3 2 2" xfId="12517"/>
    <cellStyle name="Normal 5 3 3 3 2 2 2" xfId="36891"/>
    <cellStyle name="Normal 5 3 3 3 2 2 3" xfId="36890"/>
    <cellStyle name="Normal 5 3 3 3 2 3" xfId="18719"/>
    <cellStyle name="Normal 5 3 3 3 2 3 2" xfId="36893"/>
    <cellStyle name="Normal 5 3 3 3 2 3 3" xfId="36892"/>
    <cellStyle name="Normal 5 3 3 3 2 4" xfId="36894"/>
    <cellStyle name="Normal 5 3 3 3 2 5" xfId="36889"/>
    <cellStyle name="Normal 5 3 3 3 3" xfId="9417"/>
    <cellStyle name="Normal 5 3 3 3 3 2" xfId="48297"/>
    <cellStyle name="Normal 5 3 3 3 3 3" xfId="36895"/>
    <cellStyle name="Normal 5 3 3 3 4" xfId="15619"/>
    <cellStyle name="Normal 5 3 3 3 4 2" xfId="36897"/>
    <cellStyle name="Normal 5 3 3 3 4 3" xfId="36896"/>
    <cellStyle name="Normal 5 3 3 3 5" xfId="36898"/>
    <cellStyle name="Normal 5 3 3 3 6" xfId="36888"/>
    <cellStyle name="Normal 5 3 3 3_IAS" xfId="36899"/>
    <cellStyle name="Normal 5 3 3 4" xfId="4242"/>
    <cellStyle name="Normal 5 3 3 4 2" xfId="10446"/>
    <cellStyle name="Normal 5 3 3 4 2 2" xfId="36902"/>
    <cellStyle name="Normal 5 3 3 4 2 3" xfId="36901"/>
    <cellStyle name="Normal 5 3 3 4 3" xfId="16648"/>
    <cellStyle name="Normal 5 3 3 4 3 2" xfId="36904"/>
    <cellStyle name="Normal 5 3 3 4 3 3" xfId="36903"/>
    <cellStyle name="Normal 5 3 3 4 4" xfId="36905"/>
    <cellStyle name="Normal 5 3 3 4 5" xfId="36900"/>
    <cellStyle name="Normal 5 3 3 5" xfId="7345"/>
    <cellStyle name="Normal 5 3 3 5 2" xfId="19530"/>
    <cellStyle name="Normal 5 3 3 5 2 2" xfId="48298"/>
    <cellStyle name="Normal 5 3 3 5 3" xfId="36906"/>
    <cellStyle name="Normal 5 3 3 6" xfId="13547"/>
    <cellStyle name="Normal 5 3 3 6 2" xfId="36908"/>
    <cellStyle name="Normal 5 3 3 6 3" xfId="36907"/>
    <cellStyle name="Normal 5 3 3 7" xfId="36909"/>
    <cellStyle name="Normal 5 3 3 8" xfId="36863"/>
    <cellStyle name="Normal 5 3 3_IAS" xfId="36910"/>
    <cellStyle name="Normal 5 3 4" xfId="1405"/>
    <cellStyle name="Normal 5 3 4 2" xfId="4530"/>
    <cellStyle name="Normal 5 3 4 2 2" xfId="10733"/>
    <cellStyle name="Normal 5 3 4 2 2 2" xfId="36914"/>
    <cellStyle name="Normal 5 3 4 2 2 2 2" xfId="36915"/>
    <cellStyle name="Normal 5 3 4 2 2 2 2 2" xfId="36916"/>
    <cellStyle name="Normal 5 3 4 2 2 2 3" xfId="36917"/>
    <cellStyle name="Normal 5 3 4 2 2 2 3 2" xfId="36918"/>
    <cellStyle name="Normal 5 3 4 2 2 2 4" xfId="36919"/>
    <cellStyle name="Normal 5 3 4 2 2 3" xfId="36920"/>
    <cellStyle name="Normal 5 3 4 2 2 3 2" xfId="48299"/>
    <cellStyle name="Normal 5 3 4 2 2 4" xfId="36921"/>
    <cellStyle name="Normal 5 3 4 2 2 4 2" xfId="36922"/>
    <cellStyle name="Normal 5 3 4 2 2 5" xfId="36923"/>
    <cellStyle name="Normal 5 3 4 2 2 6" xfId="36913"/>
    <cellStyle name="Normal 5 3 4 2 2_IAS" xfId="36924"/>
    <cellStyle name="Normal 5 3 4 2 3" xfId="16935"/>
    <cellStyle name="Normal 5 3 4 2 3 2" xfId="36926"/>
    <cellStyle name="Normal 5 3 4 2 3 2 2" xfId="36927"/>
    <cellStyle name="Normal 5 3 4 2 3 3" xfId="36928"/>
    <cellStyle name="Normal 5 3 4 2 3 3 2" xfId="36929"/>
    <cellStyle name="Normal 5 3 4 2 3 4" xfId="36930"/>
    <cellStyle name="Normal 5 3 4 2 3 5" xfId="36925"/>
    <cellStyle name="Normal 5 3 4 2 4" xfId="36931"/>
    <cellStyle name="Normal 5 3 4 2 4 2" xfId="48300"/>
    <cellStyle name="Normal 5 3 4 2 5" xfId="36932"/>
    <cellStyle name="Normal 5 3 4 2 5 2" xfId="36933"/>
    <cellStyle name="Normal 5 3 4 2 6" xfId="36934"/>
    <cellStyle name="Normal 5 3 4 2 7" xfId="36912"/>
    <cellStyle name="Normal 5 3 4 2_IAS" xfId="36935"/>
    <cellStyle name="Normal 5 3 4 3" xfId="7633"/>
    <cellStyle name="Normal 5 3 4 3 2" xfId="36937"/>
    <cellStyle name="Normal 5 3 4 3 2 2" xfId="36938"/>
    <cellStyle name="Normal 5 3 4 3 2 2 2" xfId="36939"/>
    <cellStyle name="Normal 5 3 4 3 2 3" xfId="36940"/>
    <cellStyle name="Normal 5 3 4 3 2 3 2" xfId="36941"/>
    <cellStyle name="Normal 5 3 4 3 2 4" xfId="36942"/>
    <cellStyle name="Normal 5 3 4 3 3" xfId="36943"/>
    <cellStyle name="Normal 5 3 4 3 3 2" xfId="48301"/>
    <cellStyle name="Normal 5 3 4 3 4" xfId="36944"/>
    <cellStyle name="Normal 5 3 4 3 4 2" xfId="36945"/>
    <cellStyle name="Normal 5 3 4 3 5" xfId="36946"/>
    <cellStyle name="Normal 5 3 4 3 6" xfId="36936"/>
    <cellStyle name="Normal 5 3 4 3_IAS" xfId="36947"/>
    <cellStyle name="Normal 5 3 4 4" xfId="13835"/>
    <cellStyle name="Normal 5 3 4 4 2" xfId="36949"/>
    <cellStyle name="Normal 5 3 4 4 2 2" xfId="36950"/>
    <cellStyle name="Normal 5 3 4 4 3" xfId="36951"/>
    <cellStyle name="Normal 5 3 4 4 3 2" xfId="36952"/>
    <cellStyle name="Normal 5 3 4 4 4" xfId="36953"/>
    <cellStyle name="Normal 5 3 4 4 5" xfId="36948"/>
    <cellStyle name="Normal 5 3 4 5" xfId="36954"/>
    <cellStyle name="Normal 5 3 4 5 2" xfId="48302"/>
    <cellStyle name="Normal 5 3 4 6" xfId="36955"/>
    <cellStyle name="Normal 5 3 4 6 2" xfId="36956"/>
    <cellStyle name="Normal 5 3 4 7" xfId="36957"/>
    <cellStyle name="Normal 5 3 4 8" xfId="36911"/>
    <cellStyle name="Normal 5 3 4_IAS" xfId="36958"/>
    <cellStyle name="Normal 5 3 5" xfId="3199"/>
    <cellStyle name="Normal 5 3 5 2" xfId="6311"/>
    <cellStyle name="Normal 5 3 5 2 2" xfId="12514"/>
    <cellStyle name="Normal 5 3 5 2 2 2" xfId="57510"/>
    <cellStyle name="Normal 5 3 5 2 3" xfId="18716"/>
    <cellStyle name="Normal 5 3 5 2 4" xfId="48303"/>
    <cellStyle name="Normal 5 3 5 3" xfId="9414"/>
    <cellStyle name="Normal 5 3 5 4" xfId="15616"/>
    <cellStyle name="Normal 5 3 5 5" xfId="36959"/>
    <cellStyle name="Normal 5 3 6" xfId="4239"/>
    <cellStyle name="Normal 5 3 6 2" xfId="10443"/>
    <cellStyle name="Normal 5 3 6 2 2" xfId="36962"/>
    <cellStyle name="Normal 5 3 6 2 2 2" xfId="36963"/>
    <cellStyle name="Normal 5 3 6 2 2 2 2" xfId="36964"/>
    <cellStyle name="Normal 5 3 6 2 2 3" xfId="36965"/>
    <cellStyle name="Normal 5 3 6 2 2 3 2" xfId="36966"/>
    <cellStyle name="Normal 5 3 6 2 2 4" xfId="36967"/>
    <cellStyle name="Normal 5 3 6 2 3" xfId="36968"/>
    <cellStyle name="Normal 5 3 6 2 3 2" xfId="48304"/>
    <cellStyle name="Normal 5 3 6 2 4" xfId="36969"/>
    <cellStyle name="Normal 5 3 6 2 4 2" xfId="36970"/>
    <cellStyle name="Normal 5 3 6 2 5" xfId="36971"/>
    <cellStyle name="Normal 5 3 6 2 6" xfId="36961"/>
    <cellStyle name="Normal 5 3 6 2_IAS" xfId="36972"/>
    <cellStyle name="Normal 5 3 6 3" xfId="16645"/>
    <cellStyle name="Normal 5 3 6 3 2" xfId="36974"/>
    <cellStyle name="Normal 5 3 6 3 2 2" xfId="36975"/>
    <cellStyle name="Normal 5 3 6 3 3" xfId="36976"/>
    <cellStyle name="Normal 5 3 6 3 3 2" xfId="36977"/>
    <cellStyle name="Normal 5 3 6 3 4" xfId="36978"/>
    <cellStyle name="Normal 5 3 6 3 5" xfId="36973"/>
    <cellStyle name="Normal 5 3 6 4" xfId="36979"/>
    <cellStyle name="Normal 5 3 6 4 2" xfId="48305"/>
    <cellStyle name="Normal 5 3 6 5" xfId="36980"/>
    <cellStyle name="Normal 5 3 6 5 2" xfId="36981"/>
    <cellStyle name="Normal 5 3 6 6" xfId="36982"/>
    <cellStyle name="Normal 5 3 6 7" xfId="36960"/>
    <cellStyle name="Normal 5 3 6_IAS" xfId="36983"/>
    <cellStyle name="Normal 5 3 7" xfId="7342"/>
    <cellStyle name="Normal 5 3 7 2" xfId="19006"/>
    <cellStyle name="Normal 5 3 7 2 2" xfId="36986"/>
    <cellStyle name="Normal 5 3 7 2 2 2" xfId="36987"/>
    <cellStyle name="Normal 5 3 7 2 3" xfId="36988"/>
    <cellStyle name="Normal 5 3 7 2 3 2" xfId="36989"/>
    <cellStyle name="Normal 5 3 7 2 4" xfId="36990"/>
    <cellStyle name="Normal 5 3 7 2 5" xfId="36985"/>
    <cellStyle name="Normal 5 3 7 3" xfId="36991"/>
    <cellStyle name="Normal 5 3 7 3 2" xfId="48306"/>
    <cellStyle name="Normal 5 3 7 4" xfId="36992"/>
    <cellStyle name="Normal 5 3 7 4 2" xfId="36993"/>
    <cellStyle name="Normal 5 3 7 5" xfId="36994"/>
    <cellStyle name="Normal 5 3 7 6" xfId="36984"/>
    <cellStyle name="Normal 5 3 7_IAS" xfId="36995"/>
    <cellStyle name="Normal 5 3 8" xfId="13544"/>
    <cellStyle name="Normal 5 3 8 2" xfId="36997"/>
    <cellStyle name="Normal 5 3 8 2 2" xfId="36998"/>
    <cellStyle name="Normal 5 3 8 3" xfId="36999"/>
    <cellStyle name="Normal 5 3 8 3 2" xfId="37000"/>
    <cellStyle name="Normal 5 3 8 4" xfId="37001"/>
    <cellStyle name="Normal 5 3 8 5" xfId="36996"/>
    <cellStyle name="Normal 5 3 9" xfId="37002"/>
    <cellStyle name="Normal 5 3 9 2" xfId="37003"/>
    <cellStyle name="Normal 5 3 9 2 2" xfId="37004"/>
    <cellStyle name="Normal 5 3 9 3" xfId="37005"/>
    <cellStyle name="Normal 5 3_AGF" xfId="37006"/>
    <cellStyle name="Normal 5 30" xfId="57661"/>
    <cellStyle name="Normal 5 31" xfId="57696"/>
    <cellStyle name="Normal 5 4" xfId="1034"/>
    <cellStyle name="Normal 5 4 2" xfId="1035"/>
    <cellStyle name="Normal 5 4 2 2" xfId="2073"/>
    <cellStyle name="Normal 5 4 2 2 2" xfId="5198"/>
    <cellStyle name="Normal 5 4 2 2 2 2" xfId="11401"/>
    <cellStyle name="Normal 5 4 2 2 2 3" xfId="17603"/>
    <cellStyle name="Normal 5 4 2 2 2 4" xfId="56449"/>
    <cellStyle name="Normal 5 4 2 2 3" xfId="8301"/>
    <cellStyle name="Normal 5 4 2 2 3 2" xfId="53553"/>
    <cellStyle name="Normal 5 4 2 2 4" xfId="14503"/>
    <cellStyle name="Normal 5 4 2 2 5" xfId="48308"/>
    <cellStyle name="Normal 5 4 2 3" xfId="3204"/>
    <cellStyle name="Normal 5 4 2 3 2" xfId="6316"/>
    <cellStyle name="Normal 5 4 2 3 2 2" xfId="12519"/>
    <cellStyle name="Normal 5 4 2 3 2 3" xfId="18721"/>
    <cellStyle name="Normal 5 4 2 3 2 4" xfId="57513"/>
    <cellStyle name="Normal 5 4 2 3 3" xfId="9419"/>
    <cellStyle name="Normal 5 4 2 3 4" xfId="15621"/>
    <cellStyle name="Normal 5 4 2 3 5" xfId="54596"/>
    <cellStyle name="Normal 5 4 2 4" xfId="4244"/>
    <cellStyle name="Normal 5 4 2 4 2" xfId="10448"/>
    <cellStyle name="Normal 5 4 2 4 3" xfId="16650"/>
    <cellStyle name="Normal 5 4 2 4 4" xfId="55550"/>
    <cellStyle name="Normal 5 4 2 5" xfId="7347"/>
    <cellStyle name="Normal 5 4 2 5 2" xfId="19674"/>
    <cellStyle name="Normal 5 4 2 6" xfId="13549"/>
    <cellStyle name="Normal 5 4 2 7" xfId="37008"/>
    <cellStyle name="Normal 5 4 3" xfId="1549"/>
    <cellStyle name="Normal 5 4 3 2" xfId="4674"/>
    <cellStyle name="Normal 5 4 3 2 2" xfId="10877"/>
    <cellStyle name="Normal 5 4 3 2 3" xfId="17079"/>
    <cellStyle name="Normal 5 4 3 2 4" xfId="55954"/>
    <cellStyle name="Normal 5 4 3 3" xfId="7777"/>
    <cellStyle name="Normal 5 4 3 3 2" xfId="53068"/>
    <cellStyle name="Normal 5 4 3 4" xfId="13979"/>
    <cellStyle name="Normal 5 4 3 5" xfId="48307"/>
    <cellStyle name="Normal 5 4 4" xfId="3203"/>
    <cellStyle name="Normal 5 4 4 2" xfId="6315"/>
    <cellStyle name="Normal 5 4 4 2 2" xfId="12518"/>
    <cellStyle name="Normal 5 4 4 2 3" xfId="18720"/>
    <cellStyle name="Normal 5 4 4 2 4" xfId="57512"/>
    <cellStyle name="Normal 5 4 4 3" xfId="9418"/>
    <cellStyle name="Normal 5 4 4 4" xfId="15620"/>
    <cellStyle name="Normal 5 4 4 5" xfId="54595"/>
    <cellStyle name="Normal 5 4 5" xfId="4243"/>
    <cellStyle name="Normal 5 4 5 2" xfId="10447"/>
    <cellStyle name="Normal 5 4 5 3" xfId="16649"/>
    <cellStyle name="Normal 5 4 5 4" xfId="55549"/>
    <cellStyle name="Normal 5 4 6" xfId="7346"/>
    <cellStyle name="Normal 5 4 6 2" xfId="19150"/>
    <cellStyle name="Normal 5 4 7" xfId="13548"/>
    <cellStyle name="Normal 5 4 8" xfId="37007"/>
    <cellStyle name="Normal 5 5" xfId="1036"/>
    <cellStyle name="Normal 5 5 10" xfId="37010"/>
    <cellStyle name="Normal 5 5 10 2" xfId="37011"/>
    <cellStyle name="Normal 5 5 11" xfId="37012"/>
    <cellStyle name="Normal 5 5 12" xfId="52712"/>
    <cellStyle name="Normal 5 5 13" xfId="37009"/>
    <cellStyle name="Normal 5 5 2" xfId="37013"/>
    <cellStyle name="Normal 5 5 2 2" xfId="37014"/>
    <cellStyle name="Normal 5 5 2 2 2" xfId="37015"/>
    <cellStyle name="Normal 5 5 2 2 2 2" xfId="37016"/>
    <cellStyle name="Normal 5 5 2 2 2 2 2" xfId="37017"/>
    <cellStyle name="Normal 5 5 2 2 2 3" xfId="37018"/>
    <cellStyle name="Normal 5 5 2 2 2 3 2" xfId="37019"/>
    <cellStyle name="Normal 5 5 2 2 2 4" xfId="37020"/>
    <cellStyle name="Normal 5 5 2 2 3" xfId="37021"/>
    <cellStyle name="Normal 5 5 2 2 3 2" xfId="48309"/>
    <cellStyle name="Normal 5 5 2 2 4" xfId="37022"/>
    <cellStyle name="Normal 5 5 2 2 4 2" xfId="37023"/>
    <cellStyle name="Normal 5 5 2 2 5" xfId="37024"/>
    <cellStyle name="Normal 5 5 2 2_IAS" xfId="37025"/>
    <cellStyle name="Normal 5 5 2 3" xfId="37026"/>
    <cellStyle name="Normal 5 5 2 3 2" xfId="37027"/>
    <cellStyle name="Normal 5 5 2 3 2 2" xfId="37028"/>
    <cellStyle name="Normal 5 5 2 3 3" xfId="37029"/>
    <cellStyle name="Normal 5 5 2 3 3 2" xfId="37030"/>
    <cellStyle name="Normal 5 5 2 3 4" xfId="37031"/>
    <cellStyle name="Normal 5 5 2 4" xfId="37032"/>
    <cellStyle name="Normal 5 5 2 4 2" xfId="48310"/>
    <cellStyle name="Normal 5 5 2 5" xfId="37033"/>
    <cellStyle name="Normal 5 5 2 5 2" xfId="37034"/>
    <cellStyle name="Normal 5 5 2 6" xfId="37035"/>
    <cellStyle name="Normal 5 5 2_IAS" xfId="37036"/>
    <cellStyle name="Normal 5 5 3" xfId="37037"/>
    <cellStyle name="Normal 5 5 3 2" xfId="37038"/>
    <cellStyle name="Normal 5 5 3 2 2" xfId="37039"/>
    <cellStyle name="Normal 5 5 3 2 2 2" xfId="37040"/>
    <cellStyle name="Normal 5 5 3 2 3" xfId="37041"/>
    <cellStyle name="Normal 5 5 3 2 3 2" xfId="37042"/>
    <cellStyle name="Normal 5 5 3 2 4" xfId="37043"/>
    <cellStyle name="Normal 5 5 3 3" xfId="37044"/>
    <cellStyle name="Normal 5 5 3 3 2" xfId="48311"/>
    <cellStyle name="Normal 5 5 3 4" xfId="37045"/>
    <cellStyle name="Normal 5 5 3 4 2" xfId="37046"/>
    <cellStyle name="Normal 5 5 3 5" xfId="37047"/>
    <cellStyle name="Normal 5 5 3_IAS" xfId="37048"/>
    <cellStyle name="Normal 5 5 4" xfId="37049"/>
    <cellStyle name="Normal 5 5 4 2" xfId="37050"/>
    <cellStyle name="Normal 5 5 4 2 2" xfId="37051"/>
    <cellStyle name="Normal 5 5 4 3" xfId="48312"/>
    <cellStyle name="Normal 5 5 5" xfId="37052"/>
    <cellStyle name="Normal 5 5 5 2" xfId="37053"/>
    <cellStyle name="Normal 5 5 5 2 2" xfId="37054"/>
    <cellStyle name="Normal 5 5 5 3" xfId="37055"/>
    <cellStyle name="Normal 5 5 6" xfId="37056"/>
    <cellStyle name="Normal 5 5 6 2" xfId="37057"/>
    <cellStyle name="Normal 5 5 6 2 2" xfId="37058"/>
    <cellStyle name="Normal 5 5 6 3" xfId="37059"/>
    <cellStyle name="Normal 5 5 7" xfId="37060"/>
    <cellStyle name="Normal 5 5 7 2" xfId="37061"/>
    <cellStyle name="Normal 5 5 7 2 2" xfId="37062"/>
    <cellStyle name="Normal 5 5 7 3" xfId="37063"/>
    <cellStyle name="Normal 5 5 8" xfId="37064"/>
    <cellStyle name="Normal 5 5 8 2" xfId="37065"/>
    <cellStyle name="Normal 5 5 8 2 2" xfId="37066"/>
    <cellStyle name="Normal 5 5 8 3" xfId="37067"/>
    <cellStyle name="Normal 5 5 9" xfId="37068"/>
    <cellStyle name="Normal 5 5 9 2" xfId="48313"/>
    <cellStyle name="Normal 5 5_IAS" xfId="37069"/>
    <cellStyle name="Normal 5 6" xfId="1037"/>
    <cellStyle name="Normal 5 6 2" xfId="1038"/>
    <cellStyle name="Normal 5 6 2 10" xfId="57691"/>
    <cellStyle name="Normal 5 6 2 11" xfId="37071"/>
    <cellStyle name="Normal 5 6 2 2" xfId="37072"/>
    <cellStyle name="Normal 5 6 2 2 2" xfId="37073"/>
    <cellStyle name="Normal 5 6 2 2 2 2" xfId="37074"/>
    <cellStyle name="Normal 5 6 2 2 2 2 2" xfId="37075"/>
    <cellStyle name="Normal 5 6 2 2 2 3" xfId="37076"/>
    <cellStyle name="Normal 5 6 2 2 2 3 2" xfId="37077"/>
    <cellStyle name="Normal 5 6 2 2 2 4" xfId="37078"/>
    <cellStyle name="Normal 5 6 2 2 3" xfId="37079"/>
    <cellStyle name="Normal 5 6 2 2 3 2" xfId="48314"/>
    <cellStyle name="Normal 5 6 2 2 4" xfId="37080"/>
    <cellStyle name="Normal 5 6 2 2 4 2" xfId="37081"/>
    <cellStyle name="Normal 5 6 2 2 5" xfId="37082"/>
    <cellStyle name="Normal 5 6 2 2_IAS" xfId="37083"/>
    <cellStyle name="Normal 5 6 2 3" xfId="37084"/>
    <cellStyle name="Normal 5 6 2 3 2" xfId="37085"/>
    <cellStyle name="Normal 5 6 2 3 2 2" xfId="37086"/>
    <cellStyle name="Normal 5 6 2 3 3" xfId="37087"/>
    <cellStyle name="Normal 5 6 2 3 3 2" xfId="37088"/>
    <cellStyle name="Normal 5 6 2 3 4" xfId="37089"/>
    <cellStyle name="Normal 5 6 2 4" xfId="37090"/>
    <cellStyle name="Normal 5 6 2 4 2" xfId="48315"/>
    <cellStyle name="Normal 5 6 2 5" xfId="37091"/>
    <cellStyle name="Normal 5 6 2 5 2" xfId="37092"/>
    <cellStyle name="Normal 5 6 2 6" xfId="37093"/>
    <cellStyle name="Normal 5 6 2 7" xfId="52713"/>
    <cellStyle name="Normal 5 6 2 8" xfId="57645"/>
    <cellStyle name="Normal 5 6 2 9" xfId="57667"/>
    <cellStyle name="Normal 5 6 2_IAS" xfId="37094"/>
    <cellStyle name="Normal 5 6 3" xfId="1802"/>
    <cellStyle name="Normal 5 6 3 2" xfId="4927"/>
    <cellStyle name="Normal 5 6 3 2 2" xfId="11130"/>
    <cellStyle name="Normal 5 6 3 2 2 2" xfId="37098"/>
    <cellStyle name="Normal 5 6 3 2 2 3" xfId="37097"/>
    <cellStyle name="Normal 5 6 3 2 3" xfId="17332"/>
    <cellStyle name="Normal 5 6 3 2 3 2" xfId="37100"/>
    <cellStyle name="Normal 5 6 3 2 3 3" xfId="37099"/>
    <cellStyle name="Normal 5 6 3 2 4" xfId="37101"/>
    <cellStyle name="Normal 5 6 3 2 5" xfId="37096"/>
    <cellStyle name="Normal 5 6 3 3" xfId="8030"/>
    <cellStyle name="Normal 5 6 3 3 2" xfId="48316"/>
    <cellStyle name="Normal 5 6 3 3 3" xfId="37102"/>
    <cellStyle name="Normal 5 6 3 4" xfId="14232"/>
    <cellStyle name="Normal 5 6 3 4 2" xfId="37104"/>
    <cellStyle name="Normal 5 6 3 4 3" xfId="37103"/>
    <cellStyle name="Normal 5 6 3 5" xfId="37105"/>
    <cellStyle name="Normal 5 6 3 6" xfId="37095"/>
    <cellStyle name="Normal 5 6 3_IAS" xfId="37106"/>
    <cellStyle name="Normal 5 6 4" xfId="3205"/>
    <cellStyle name="Normal 5 6 4 2" xfId="6317"/>
    <cellStyle name="Normal 5 6 4 2 2" xfId="12520"/>
    <cellStyle name="Normal 5 6 4 2 2 2" xfId="37109"/>
    <cellStyle name="Normal 5 6 4 2 3" xfId="18722"/>
    <cellStyle name="Normal 5 6 4 2 4" xfId="37108"/>
    <cellStyle name="Normal 5 6 4 3" xfId="9420"/>
    <cellStyle name="Normal 5 6 4 3 2" xfId="37111"/>
    <cellStyle name="Normal 5 6 4 3 3" xfId="37110"/>
    <cellStyle name="Normal 5 6 4 4" xfId="15622"/>
    <cellStyle name="Normal 5 6 4 4 2" xfId="37112"/>
    <cellStyle name="Normal 5 6 4 5" xfId="37107"/>
    <cellStyle name="Normal 5 6 5" xfId="4245"/>
    <cellStyle name="Normal 5 6 5 2" xfId="10449"/>
    <cellStyle name="Normal 5 6 5 2 2" xfId="48317"/>
    <cellStyle name="Normal 5 6 5 3" xfId="16651"/>
    <cellStyle name="Normal 5 6 5 4" xfId="37113"/>
    <cellStyle name="Normal 5 6 6" xfId="7348"/>
    <cellStyle name="Normal 5 6 6 2" xfId="19403"/>
    <cellStyle name="Normal 5 6 6 2 2" xfId="37115"/>
    <cellStyle name="Normal 5 6 6 3" xfId="37114"/>
    <cellStyle name="Normal 5 6 7" xfId="13550"/>
    <cellStyle name="Normal 5 6 7 2" xfId="37116"/>
    <cellStyle name="Normal 5 6 8" xfId="37070"/>
    <cellStyle name="Normal 5 6_IAS" xfId="37117"/>
    <cellStyle name="Normal 5 7" xfId="37118"/>
    <cellStyle name="Normal 5 7 2" xfId="48318"/>
    <cellStyle name="Normal 5 8" xfId="37119"/>
    <cellStyle name="Normal 5 8 2" xfId="37120"/>
    <cellStyle name="Normal 5 8 2 2" xfId="37121"/>
    <cellStyle name="Normal 5 8 2 2 2" xfId="37122"/>
    <cellStyle name="Normal 5 8 2 2 2 2" xfId="37123"/>
    <cellStyle name="Normal 5 8 2 2 3" xfId="37124"/>
    <cellStyle name="Normal 5 8 2 2 3 2" xfId="37125"/>
    <cellStyle name="Normal 5 8 2 2 4" xfId="37126"/>
    <cellStyle name="Normal 5 8 2 3" xfId="37127"/>
    <cellStyle name="Normal 5 8 2 3 2" xfId="48319"/>
    <cellStyle name="Normal 5 8 2 4" xfId="37128"/>
    <cellStyle name="Normal 5 8 2 4 2" xfId="37129"/>
    <cellStyle name="Normal 5 8 2 5" xfId="37130"/>
    <cellStyle name="Normal 5 8 2_IAS" xfId="37131"/>
    <cellStyle name="Normal 5 8 3" xfId="37132"/>
    <cellStyle name="Normal 5 8 3 2" xfId="37133"/>
    <cellStyle name="Normal 5 8 3 2 2" xfId="37134"/>
    <cellStyle name="Normal 5 8 3 3" xfId="37135"/>
    <cellStyle name="Normal 5 8 3 3 2" xfId="37136"/>
    <cellStyle name="Normal 5 8 3 4" xfId="37137"/>
    <cellStyle name="Normal 5 8 4" xfId="37138"/>
    <cellStyle name="Normal 5 8 4 2" xfId="48320"/>
    <cellStyle name="Normal 5 8 5" xfId="37139"/>
    <cellStyle name="Normal 5 8 5 2" xfId="37140"/>
    <cellStyle name="Normal 5 8 6" xfId="37141"/>
    <cellStyle name="Normal 5 8_IAS" xfId="37142"/>
    <cellStyle name="Normal 5 9" xfId="37143"/>
    <cellStyle name="Normal 5 9 2" xfId="37144"/>
    <cellStyle name="Normal 5 9 2 2" xfId="37145"/>
    <cellStyle name="Normal 5 9 2 2 2" xfId="37146"/>
    <cellStyle name="Normal 5 9 2 3" xfId="37147"/>
    <cellStyle name="Normal 5 9 2 3 2" xfId="37148"/>
    <cellStyle name="Normal 5 9 2 4" xfId="37149"/>
    <cellStyle name="Normal 5 9 3" xfId="37150"/>
    <cellStyle name="Normal 5 9 3 2" xfId="48321"/>
    <cellStyle name="Normal 5 9 4" xfId="37151"/>
    <cellStyle name="Normal 5 9 4 2" xfId="37152"/>
    <cellStyle name="Normal 5 9 5" xfId="37153"/>
    <cellStyle name="Normal 5 9_IAS" xfId="37154"/>
    <cellStyle name="Normal 5_2012" xfId="37155"/>
    <cellStyle name="Normal 50" xfId="37156"/>
    <cellStyle name="Normal 50 2" xfId="37157"/>
    <cellStyle name="Normal 50 2 2" xfId="48323"/>
    <cellStyle name="Normal 50 3" xfId="37158"/>
    <cellStyle name="Normal 50 3 2" xfId="48324"/>
    <cellStyle name="Normal 50 4" xfId="37159"/>
    <cellStyle name="Normal 50 4 2" xfId="48325"/>
    <cellStyle name="Normal 50 5" xfId="48322"/>
    <cellStyle name="Normal 50_IAS" xfId="37160"/>
    <cellStyle name="Normal 51" xfId="37161"/>
    <cellStyle name="Normal 51 2" xfId="37162"/>
    <cellStyle name="Normal 51 2 2" xfId="37163"/>
    <cellStyle name="Normal 51 2 2 2" xfId="37164"/>
    <cellStyle name="Normal 51 2 3" xfId="37165"/>
    <cellStyle name="Normal 51 3" xfId="48326"/>
    <cellStyle name="Normal 52" xfId="37166"/>
    <cellStyle name="Normal 52 2" xfId="37167"/>
    <cellStyle name="Normal 52 2 2" xfId="48328"/>
    <cellStyle name="Normal 52 3" xfId="37168"/>
    <cellStyle name="Normal 52 3 2" xfId="48329"/>
    <cellStyle name="Normal 52 4" xfId="37169"/>
    <cellStyle name="Normal 52 4 2" xfId="48330"/>
    <cellStyle name="Normal 52 5" xfId="48327"/>
    <cellStyle name="Normal 52_GL" xfId="37170"/>
    <cellStyle name="Normal 53" xfId="37171"/>
    <cellStyle name="Normal 53 2" xfId="48331"/>
    <cellStyle name="Normal 54" xfId="37172"/>
    <cellStyle name="Normal 54 2" xfId="48332"/>
    <cellStyle name="Normal 55" xfId="37173"/>
    <cellStyle name="Normal 55 2" xfId="48333"/>
    <cellStyle name="Normal 56" xfId="37174"/>
    <cellStyle name="Normal 56 2" xfId="48334"/>
    <cellStyle name="Normal 57" xfId="37175"/>
    <cellStyle name="Normal 57 2" xfId="37176"/>
    <cellStyle name="Normal 57 2 2" xfId="37177"/>
    <cellStyle name="Normal 57 2 2 2" xfId="37178"/>
    <cellStyle name="Normal 57 2 3" xfId="37179"/>
    <cellStyle name="Normal 57 3" xfId="48335"/>
    <cellStyle name="Normal 58" xfId="37180"/>
    <cellStyle name="Normal 58 2" xfId="37181"/>
    <cellStyle name="Normal 58 2 2" xfId="37182"/>
    <cellStyle name="Normal 58 2 2 2" xfId="37183"/>
    <cellStyle name="Normal 58 2 3" xfId="37184"/>
    <cellStyle name="Normal 58 3" xfId="48336"/>
    <cellStyle name="Normal 59" xfId="37185"/>
    <cellStyle name="Normal 59 2" xfId="37186"/>
    <cellStyle name="Normal 59 2 2" xfId="37187"/>
    <cellStyle name="Normal 59 2 2 2" xfId="37188"/>
    <cellStyle name="Normal 59 2 3" xfId="37189"/>
    <cellStyle name="Normal 59 3" xfId="48337"/>
    <cellStyle name="Normal 6" xfId="5"/>
    <cellStyle name="Normal 6 10" xfId="37190"/>
    <cellStyle name="Normal 6 10 2" xfId="37191"/>
    <cellStyle name="Normal 6 10 2 2" xfId="37192"/>
    <cellStyle name="Normal 6 10 3" xfId="37193"/>
    <cellStyle name="Normal 6 11" xfId="37194"/>
    <cellStyle name="Normal 6 11 2" xfId="37195"/>
    <cellStyle name="Normal 6 11 2 2" xfId="37196"/>
    <cellStyle name="Normal 6 11 3" xfId="37197"/>
    <cellStyle name="Normal 6 12" xfId="37198"/>
    <cellStyle name="Normal 6 12 2" xfId="37199"/>
    <cellStyle name="Normal 6 12 2 2" xfId="37200"/>
    <cellStyle name="Normal 6 12 3" xfId="37201"/>
    <cellStyle name="Normal 6 13" xfId="37202"/>
    <cellStyle name="Normal 6 13 2" xfId="37203"/>
    <cellStyle name="Normal 6 13 2 2" xfId="37204"/>
    <cellStyle name="Normal 6 13 3" xfId="37205"/>
    <cellStyle name="Normal 6 14" xfId="37206"/>
    <cellStyle name="Normal 6 14 2" xfId="48339"/>
    <cellStyle name="Normal 6 15" xfId="37207"/>
    <cellStyle name="Normal 6 15 2" xfId="37208"/>
    <cellStyle name="Normal 6 16" xfId="37209"/>
    <cellStyle name="Normal 6 16 2" xfId="37210"/>
    <cellStyle name="Normal 6 17" xfId="37211"/>
    <cellStyle name="Normal 6 18" xfId="37212"/>
    <cellStyle name="Normal 6 19" xfId="37213"/>
    <cellStyle name="Normal 6 2" xfId="1039"/>
    <cellStyle name="Normal 6 2 10" xfId="37214"/>
    <cellStyle name="Normal 6 2 10 2" xfId="37215"/>
    <cellStyle name="Normal 6 2 11" xfId="37216"/>
    <cellStyle name="Normal 6 2 12" xfId="37217"/>
    <cellStyle name="Normal 6 2 13" xfId="20011"/>
    <cellStyle name="Normal 6 2 2" xfId="1040"/>
    <cellStyle name="Normal 6 2 2 2" xfId="1041"/>
    <cellStyle name="Normal 6 2 2 2 2" xfId="1042"/>
    <cellStyle name="Normal 6 2 2 2 2 2" xfId="2259"/>
    <cellStyle name="Normal 6 2 2 2 2 2 2" xfId="5384"/>
    <cellStyle name="Normal 6 2 2 2 2 2 2 2" xfId="11587"/>
    <cellStyle name="Normal 6 2 2 2 2 2 2 3" xfId="17789"/>
    <cellStyle name="Normal 6 2 2 2 2 2 2 4" xfId="37222"/>
    <cellStyle name="Normal 6 2 2 2 2 2 3" xfId="8487"/>
    <cellStyle name="Normal 6 2 2 2 2 2 4" xfId="14689"/>
    <cellStyle name="Normal 6 2 2 2 2 2 5" xfId="37221"/>
    <cellStyle name="Normal 6 2 2 2 2 3" xfId="3209"/>
    <cellStyle name="Normal 6 2 2 2 2 3 2" xfId="6321"/>
    <cellStyle name="Normal 6 2 2 2 2 3 2 2" xfId="12524"/>
    <cellStyle name="Normal 6 2 2 2 2 3 2 3" xfId="18726"/>
    <cellStyle name="Normal 6 2 2 2 2 3 2 4" xfId="37224"/>
    <cellStyle name="Normal 6 2 2 2 2 3 3" xfId="9424"/>
    <cellStyle name="Normal 6 2 2 2 2 3 4" xfId="15626"/>
    <cellStyle name="Normal 6 2 2 2 2 3 5" xfId="37223"/>
    <cellStyle name="Normal 6 2 2 2 2 4" xfId="4249"/>
    <cellStyle name="Normal 6 2 2 2 2 4 2" xfId="10453"/>
    <cellStyle name="Normal 6 2 2 2 2 4 3" xfId="16655"/>
    <cellStyle name="Normal 6 2 2 2 2 4 4" xfId="37225"/>
    <cellStyle name="Normal 6 2 2 2 2 5" xfId="7352"/>
    <cellStyle name="Normal 6 2 2 2 2 5 2" xfId="19860"/>
    <cellStyle name="Normal 6 2 2 2 2 6" xfId="13554"/>
    <cellStyle name="Normal 6 2 2 2 2 7" xfId="37220"/>
    <cellStyle name="Normal 6 2 2 2 3" xfId="1735"/>
    <cellStyle name="Normal 6 2 2 2 3 2" xfId="4860"/>
    <cellStyle name="Normal 6 2 2 2 3 2 2" xfId="11063"/>
    <cellStyle name="Normal 6 2 2 2 3 2 2 2" xfId="56131"/>
    <cellStyle name="Normal 6 2 2 2 3 2 3" xfId="17265"/>
    <cellStyle name="Normal 6 2 2 2 3 2 4" xfId="48340"/>
    <cellStyle name="Normal 6 2 2 2 3 3" xfId="7963"/>
    <cellStyle name="Normal 6 2 2 2 3 4" xfId="14165"/>
    <cellStyle name="Normal 6 2 2 2 3 5" xfId="37226"/>
    <cellStyle name="Normal 6 2 2 2 4" xfId="3208"/>
    <cellStyle name="Normal 6 2 2 2 4 2" xfId="6320"/>
    <cellStyle name="Normal 6 2 2 2 4 2 2" xfId="12523"/>
    <cellStyle name="Normal 6 2 2 2 4 2 3" xfId="18725"/>
    <cellStyle name="Normal 6 2 2 2 4 2 4" xfId="37228"/>
    <cellStyle name="Normal 6 2 2 2 4 3" xfId="9423"/>
    <cellStyle name="Normal 6 2 2 2 4 4" xfId="15625"/>
    <cellStyle name="Normal 6 2 2 2 4 5" xfId="37227"/>
    <cellStyle name="Normal 6 2 2 2 5" xfId="4248"/>
    <cellStyle name="Normal 6 2 2 2 5 2" xfId="10452"/>
    <cellStyle name="Normal 6 2 2 2 5 3" xfId="16654"/>
    <cellStyle name="Normal 6 2 2 2 5 4" xfId="37229"/>
    <cellStyle name="Normal 6 2 2 2 6" xfId="7351"/>
    <cellStyle name="Normal 6 2 2 2 6 2" xfId="19336"/>
    <cellStyle name="Normal 6 2 2 2 7" xfId="13553"/>
    <cellStyle name="Normal 6 2 2 2 8" xfId="37219"/>
    <cellStyle name="Normal 6 2 2 2_IAS" xfId="37230"/>
    <cellStyle name="Normal 6 2 2 3" xfId="1043"/>
    <cellStyle name="Normal 6 2 2 3 2" xfId="2014"/>
    <cellStyle name="Normal 6 2 2 3 2 2" xfId="5139"/>
    <cellStyle name="Normal 6 2 2 3 2 2 2" xfId="11342"/>
    <cellStyle name="Normal 6 2 2 3 2 2 3" xfId="17544"/>
    <cellStyle name="Normal 6 2 2 3 2 2 4" xfId="37233"/>
    <cellStyle name="Normal 6 2 2 3 2 3" xfId="8242"/>
    <cellStyle name="Normal 6 2 2 3 2 4" xfId="14444"/>
    <cellStyle name="Normal 6 2 2 3 2 5" xfId="37232"/>
    <cellStyle name="Normal 6 2 2 3 3" xfId="3210"/>
    <cellStyle name="Normal 6 2 2 3 3 2" xfId="6322"/>
    <cellStyle name="Normal 6 2 2 3 3 2 2" xfId="12525"/>
    <cellStyle name="Normal 6 2 2 3 3 2 3" xfId="18727"/>
    <cellStyle name="Normal 6 2 2 3 3 2 4" xfId="57516"/>
    <cellStyle name="Normal 6 2 2 3 3 3" xfId="9425"/>
    <cellStyle name="Normal 6 2 2 3 3 3 2" xfId="54597"/>
    <cellStyle name="Normal 6 2 2 3 3 4" xfId="15627"/>
    <cellStyle name="Normal 6 2 2 3 3 5" xfId="48341"/>
    <cellStyle name="Normal 6 2 2 3 4" xfId="4250"/>
    <cellStyle name="Normal 6 2 2 3 4 2" xfId="10454"/>
    <cellStyle name="Normal 6 2 2 3 4 3" xfId="16656"/>
    <cellStyle name="Normal 6 2 2 3 4 4" xfId="55551"/>
    <cellStyle name="Normal 6 2 2 3 5" xfId="7353"/>
    <cellStyle name="Normal 6 2 2 3 5 2" xfId="19615"/>
    <cellStyle name="Normal 6 2 2 3 6" xfId="13555"/>
    <cellStyle name="Normal 6 2 2 3 7" xfId="37231"/>
    <cellStyle name="Normal 6 2 2 4" xfId="1490"/>
    <cellStyle name="Normal 6 2 2 4 2" xfId="4615"/>
    <cellStyle name="Normal 6 2 2 4 2 2" xfId="10818"/>
    <cellStyle name="Normal 6 2 2 4 2 2 2" xfId="37236"/>
    <cellStyle name="Normal 6 2 2 4 2 3" xfId="17020"/>
    <cellStyle name="Normal 6 2 2 4 2 4" xfId="37235"/>
    <cellStyle name="Normal 6 2 2 4 3" xfId="7718"/>
    <cellStyle name="Normal 6 2 2 4 3 2" xfId="37237"/>
    <cellStyle name="Normal 6 2 2 4 4" xfId="13920"/>
    <cellStyle name="Normal 6 2 2 4 5" xfId="37234"/>
    <cellStyle name="Normal 6 2 2 5" xfId="3207"/>
    <cellStyle name="Normal 6 2 2 5 2" xfId="6319"/>
    <cellStyle name="Normal 6 2 2 5 2 2" xfId="12522"/>
    <cellStyle name="Normal 6 2 2 5 2 2 2" xfId="57515"/>
    <cellStyle name="Normal 6 2 2 5 2 3" xfId="18724"/>
    <cellStyle name="Normal 6 2 2 5 2 4" xfId="48342"/>
    <cellStyle name="Normal 6 2 2 5 3" xfId="9422"/>
    <cellStyle name="Normal 6 2 2 5 4" xfId="15624"/>
    <cellStyle name="Normal 6 2 2 5 5" xfId="37238"/>
    <cellStyle name="Normal 6 2 2 6" xfId="4247"/>
    <cellStyle name="Normal 6 2 2 6 2" xfId="10451"/>
    <cellStyle name="Normal 6 2 2 6 2 2" xfId="37240"/>
    <cellStyle name="Normal 6 2 2 6 3" xfId="16653"/>
    <cellStyle name="Normal 6 2 2 6 4" xfId="37239"/>
    <cellStyle name="Normal 6 2 2 7" xfId="7350"/>
    <cellStyle name="Normal 6 2 2 7 2" xfId="19091"/>
    <cellStyle name="Normal 6 2 2 7 3" xfId="37241"/>
    <cellStyle name="Normal 6 2 2 8" xfId="13552"/>
    <cellStyle name="Normal 6 2 2 9" xfId="37218"/>
    <cellStyle name="Normal 6 2 2_IAS" xfId="37242"/>
    <cellStyle name="Normal 6 2 3" xfId="1044"/>
    <cellStyle name="Normal 6 2 3 2" xfId="1045"/>
    <cellStyle name="Normal 6 2 3 2 2" xfId="2131"/>
    <cellStyle name="Normal 6 2 3 2 2 2" xfId="5256"/>
    <cellStyle name="Normal 6 2 3 2 2 2 2" xfId="11459"/>
    <cellStyle name="Normal 6 2 3 2 2 2 3" xfId="17661"/>
    <cellStyle name="Normal 6 2 3 2 2 2 4" xfId="37246"/>
    <cellStyle name="Normal 6 2 3 2 2 3" xfId="8359"/>
    <cellStyle name="Normal 6 2 3 2 2 4" xfId="14561"/>
    <cellStyle name="Normal 6 2 3 2 2 5" xfId="37245"/>
    <cellStyle name="Normal 6 2 3 2 3" xfId="3212"/>
    <cellStyle name="Normal 6 2 3 2 3 2" xfId="6324"/>
    <cellStyle name="Normal 6 2 3 2 3 2 2" xfId="12527"/>
    <cellStyle name="Normal 6 2 3 2 3 2 3" xfId="18729"/>
    <cellStyle name="Normal 6 2 3 2 3 2 4" xfId="37248"/>
    <cellStyle name="Normal 6 2 3 2 3 3" xfId="9427"/>
    <cellStyle name="Normal 6 2 3 2 3 4" xfId="15629"/>
    <cellStyle name="Normal 6 2 3 2 3 5" xfId="37247"/>
    <cellStyle name="Normal 6 2 3 2 4" xfId="4252"/>
    <cellStyle name="Normal 6 2 3 2 4 2" xfId="10456"/>
    <cellStyle name="Normal 6 2 3 2 4 3" xfId="16658"/>
    <cellStyle name="Normal 6 2 3 2 4 4" xfId="37249"/>
    <cellStyle name="Normal 6 2 3 2 5" xfId="7355"/>
    <cellStyle name="Normal 6 2 3 2 5 2" xfId="19732"/>
    <cellStyle name="Normal 6 2 3 2 6" xfId="13557"/>
    <cellStyle name="Normal 6 2 3 2 7" xfId="37244"/>
    <cellStyle name="Normal 6 2 3 3" xfId="1607"/>
    <cellStyle name="Normal 6 2 3 3 2" xfId="4732"/>
    <cellStyle name="Normal 6 2 3 3 2 2" xfId="10935"/>
    <cellStyle name="Normal 6 2 3 3 2 2 2" xfId="56009"/>
    <cellStyle name="Normal 6 2 3 3 2 3" xfId="17137"/>
    <cellStyle name="Normal 6 2 3 3 2 4" xfId="48343"/>
    <cellStyle name="Normal 6 2 3 3 3" xfId="7835"/>
    <cellStyle name="Normal 6 2 3 3 4" xfId="14037"/>
    <cellStyle name="Normal 6 2 3 3 5" xfId="37250"/>
    <cellStyle name="Normal 6 2 3 4" xfId="3211"/>
    <cellStyle name="Normal 6 2 3 4 2" xfId="6323"/>
    <cellStyle name="Normal 6 2 3 4 2 2" xfId="12526"/>
    <cellStyle name="Normal 6 2 3 4 2 3" xfId="18728"/>
    <cellStyle name="Normal 6 2 3 4 2 4" xfId="37252"/>
    <cellStyle name="Normal 6 2 3 4 3" xfId="9426"/>
    <cellStyle name="Normal 6 2 3 4 4" xfId="15628"/>
    <cellStyle name="Normal 6 2 3 4 5" xfId="37251"/>
    <cellStyle name="Normal 6 2 3 5" xfId="4251"/>
    <cellStyle name="Normal 6 2 3 5 2" xfId="10455"/>
    <cellStyle name="Normal 6 2 3 5 3" xfId="16657"/>
    <cellStyle name="Normal 6 2 3 5 4" xfId="37253"/>
    <cellStyle name="Normal 6 2 3 6" xfId="7354"/>
    <cellStyle name="Normal 6 2 3 6 2" xfId="19208"/>
    <cellStyle name="Normal 6 2 3 7" xfId="13556"/>
    <cellStyle name="Normal 6 2 3 8" xfId="37243"/>
    <cellStyle name="Normal 6 2 3_IAS" xfId="37254"/>
    <cellStyle name="Normal 6 2 4" xfId="1046"/>
    <cellStyle name="Normal 6 2 4 2" xfId="1872"/>
    <cellStyle name="Normal 6 2 4 2 2" xfId="4997"/>
    <cellStyle name="Normal 6 2 4 2 2 2" xfId="11200"/>
    <cellStyle name="Normal 6 2 4 2 2 3" xfId="17402"/>
    <cellStyle name="Normal 6 2 4 2 2 4" xfId="37257"/>
    <cellStyle name="Normal 6 2 4 2 3" xfId="8100"/>
    <cellStyle name="Normal 6 2 4 2 4" xfId="14302"/>
    <cellStyle name="Normal 6 2 4 2 5" xfId="37256"/>
    <cellStyle name="Normal 6 2 4 3" xfId="3213"/>
    <cellStyle name="Normal 6 2 4 3 2" xfId="6325"/>
    <cellStyle name="Normal 6 2 4 3 2 2" xfId="12528"/>
    <cellStyle name="Normal 6 2 4 3 2 3" xfId="18730"/>
    <cellStyle name="Normal 6 2 4 3 2 4" xfId="57517"/>
    <cellStyle name="Normal 6 2 4 3 3" xfId="9428"/>
    <cellStyle name="Normal 6 2 4 3 3 2" xfId="54598"/>
    <cellStyle name="Normal 6 2 4 3 4" xfId="15630"/>
    <cellStyle name="Normal 6 2 4 3 5" xfId="48344"/>
    <cellStyle name="Normal 6 2 4 4" xfId="4253"/>
    <cellStyle name="Normal 6 2 4 4 2" xfId="10457"/>
    <cellStyle name="Normal 6 2 4 4 3" xfId="16659"/>
    <cellStyle name="Normal 6 2 4 4 4" xfId="55552"/>
    <cellStyle name="Normal 6 2 4 5" xfId="7356"/>
    <cellStyle name="Normal 6 2 4 5 2" xfId="19473"/>
    <cellStyle name="Normal 6 2 4 6" xfId="13558"/>
    <cellStyle name="Normal 6 2 4 7" xfId="37255"/>
    <cellStyle name="Normal 6 2 5" xfId="1348"/>
    <cellStyle name="Normal 6 2 5 2" xfId="4473"/>
    <cellStyle name="Normal 6 2 5 2 2" xfId="10676"/>
    <cellStyle name="Normal 6 2 5 2 2 2" xfId="55763"/>
    <cellStyle name="Normal 6 2 5 2 3" xfId="16878"/>
    <cellStyle name="Normal 6 2 5 2 4" xfId="48345"/>
    <cellStyle name="Normal 6 2 5 3" xfId="7576"/>
    <cellStyle name="Normal 6 2 5 4" xfId="13778"/>
    <cellStyle name="Normal 6 2 5 5" xfId="37258"/>
    <cellStyle name="Normal 6 2 6" xfId="3206"/>
    <cellStyle name="Normal 6 2 6 2" xfId="6318"/>
    <cellStyle name="Normal 6 2 6 2 2" xfId="12521"/>
    <cellStyle name="Normal 6 2 6 2 2 2" xfId="57514"/>
    <cellStyle name="Normal 6 2 6 2 3" xfId="18723"/>
    <cellStyle name="Normal 6 2 6 2 4" xfId="48346"/>
    <cellStyle name="Normal 6 2 6 3" xfId="9421"/>
    <cellStyle name="Normal 6 2 6 4" xfId="15623"/>
    <cellStyle name="Normal 6 2 6 5" xfId="37259"/>
    <cellStyle name="Normal 6 2 7" xfId="4246"/>
    <cellStyle name="Normal 6 2 7 2" xfId="10450"/>
    <cellStyle name="Normal 6 2 7 2 2" xfId="37262"/>
    <cellStyle name="Normal 6 2 7 2 3" xfId="37261"/>
    <cellStyle name="Normal 6 2 7 3" xfId="16652"/>
    <cellStyle name="Normal 6 2 7 3 2" xfId="37263"/>
    <cellStyle name="Normal 6 2 7 4" xfId="37260"/>
    <cellStyle name="Normal 6 2 8" xfId="7349"/>
    <cellStyle name="Normal 6 2 8 2" xfId="18949"/>
    <cellStyle name="Normal 6 2 8 2 2" xfId="48347"/>
    <cellStyle name="Normal 6 2 8 3" xfId="37264"/>
    <cellStyle name="Normal 6 2 9" xfId="13551"/>
    <cellStyle name="Normal 6 2 9 2" xfId="37266"/>
    <cellStyle name="Normal 6 2 9 3" xfId="37265"/>
    <cellStyle name="Normal 6 2_Ajuste Inv-CM (2)" xfId="37267"/>
    <cellStyle name="Normal 6 20" xfId="37268"/>
    <cellStyle name="Normal 6 21" xfId="37269"/>
    <cellStyle name="Normal 6 22" xfId="37270"/>
    <cellStyle name="Normal 6 23" xfId="37271"/>
    <cellStyle name="Normal 6 24" xfId="37272"/>
    <cellStyle name="Normal 6 25" xfId="37273"/>
    <cellStyle name="Normal 6 26" xfId="37274"/>
    <cellStyle name="Normal 6 27" xfId="37275"/>
    <cellStyle name="Normal 6 28" xfId="37276"/>
    <cellStyle name="Normal 6 29" xfId="37277"/>
    <cellStyle name="Normal 6 3" xfId="1047"/>
    <cellStyle name="Normal 6 3 10" xfId="37279"/>
    <cellStyle name="Normal 6 3 11" xfId="52024"/>
    <cellStyle name="Normal 6 3 12" xfId="37278"/>
    <cellStyle name="Normal 6 3 2" xfId="37280"/>
    <cellStyle name="Normal 6 3 2 2" xfId="37281"/>
    <cellStyle name="Normal 6 3 2 2 2" xfId="37282"/>
    <cellStyle name="Normal 6 3 2 2 2 2" xfId="37283"/>
    <cellStyle name="Normal 6 3 2 2 2 2 2" xfId="37284"/>
    <cellStyle name="Normal 6 3 2 2 2 3" xfId="37285"/>
    <cellStyle name="Normal 6 3 2 2 2 3 2" xfId="37286"/>
    <cellStyle name="Normal 6 3 2 2 2 4" xfId="37287"/>
    <cellStyle name="Normal 6 3 2 2 3" xfId="37288"/>
    <cellStyle name="Normal 6 3 2 2 3 2" xfId="48348"/>
    <cellStyle name="Normal 6 3 2 2 4" xfId="37289"/>
    <cellStyle name="Normal 6 3 2 2 4 2" xfId="37290"/>
    <cellStyle name="Normal 6 3 2 2 5" xfId="37291"/>
    <cellStyle name="Normal 6 3 2 2_IAS" xfId="37292"/>
    <cellStyle name="Normal 6 3 2 3" xfId="37293"/>
    <cellStyle name="Normal 6 3 2 3 2" xfId="37294"/>
    <cellStyle name="Normal 6 3 2 3 2 2" xfId="37295"/>
    <cellStyle name="Normal 6 3 2 3 3" xfId="37296"/>
    <cellStyle name="Normal 6 3 2 3 3 2" xfId="37297"/>
    <cellStyle name="Normal 6 3 2 3 4" xfId="37298"/>
    <cellStyle name="Normal 6 3 2 4" xfId="37299"/>
    <cellStyle name="Normal 6 3 2 4 2" xfId="48349"/>
    <cellStyle name="Normal 6 3 2 5" xfId="37300"/>
    <cellStyle name="Normal 6 3 2 5 2" xfId="37301"/>
    <cellStyle name="Normal 6 3 2 6" xfId="37302"/>
    <cellStyle name="Normal 6 3 2_IAS" xfId="37303"/>
    <cellStyle name="Normal 6 3 3" xfId="37304"/>
    <cellStyle name="Normal 6 3 3 2" xfId="37305"/>
    <cellStyle name="Normal 6 3 3 2 2" xfId="37306"/>
    <cellStyle name="Normal 6 3 3 2 2 2" xfId="37307"/>
    <cellStyle name="Normal 6 3 3 2 3" xfId="37308"/>
    <cellStyle name="Normal 6 3 3 2 3 2" xfId="37309"/>
    <cellStyle name="Normal 6 3 3 2 4" xfId="37310"/>
    <cellStyle name="Normal 6 3 3 3" xfId="37311"/>
    <cellStyle name="Normal 6 3 3 3 2" xfId="48350"/>
    <cellStyle name="Normal 6 3 3 4" xfId="37312"/>
    <cellStyle name="Normal 6 3 3 4 2" xfId="37313"/>
    <cellStyle name="Normal 6 3 3 5" xfId="37314"/>
    <cellStyle name="Normal 6 3 3_IAS" xfId="37315"/>
    <cellStyle name="Normal 6 3 4" xfId="37316"/>
    <cellStyle name="Normal 6 3 4 2" xfId="37317"/>
    <cellStyle name="Normal 6 3 4 2 2" xfId="37318"/>
    <cellStyle name="Normal 6 3 4 3" xfId="48351"/>
    <cellStyle name="Normal 6 3 5" xfId="37319"/>
    <cellStyle name="Normal 6 3 5 2" xfId="37320"/>
    <cellStyle name="Normal 6 3 5 2 2" xfId="37321"/>
    <cellStyle name="Normal 6 3 5 3" xfId="37322"/>
    <cellStyle name="Normal 6 3 6" xfId="37323"/>
    <cellStyle name="Normal 6 3 6 2" xfId="48352"/>
    <cellStyle name="Normal 6 3 7" xfId="37324"/>
    <cellStyle name="Normal 6 3 7 2" xfId="37325"/>
    <cellStyle name="Normal 6 3 8" xfId="37326"/>
    <cellStyle name="Normal 6 3 9" xfId="37327"/>
    <cellStyle name="Normal 6 3_IAS" xfId="37328"/>
    <cellStyle name="Normal 6 30" xfId="37329"/>
    <cellStyle name="Normal 6 31" xfId="48338"/>
    <cellStyle name="Normal 6 32" xfId="51810"/>
    <cellStyle name="Normal 6 33" xfId="47746"/>
    <cellStyle name="Normal 6 34" xfId="51811"/>
    <cellStyle name="Normal 6 35" xfId="47748"/>
    <cellStyle name="Normal 6 36" xfId="52166"/>
    <cellStyle name="Normal 6 37" xfId="57641"/>
    <cellStyle name="Normal 6 38" xfId="57660"/>
    <cellStyle name="Normal 6 39" xfId="57671"/>
    <cellStyle name="Normal 6 4" xfId="1048"/>
    <cellStyle name="Normal 6 4 2" xfId="1049"/>
    <cellStyle name="Normal 6 4 2 2" xfId="1050"/>
    <cellStyle name="Normal 6 4 2 2 2" xfId="2191"/>
    <cellStyle name="Normal 6 4 2 2 2 2" xfId="5316"/>
    <cellStyle name="Normal 6 4 2 2 2 2 2" xfId="11519"/>
    <cellStyle name="Normal 6 4 2 2 2 2 3" xfId="17721"/>
    <cellStyle name="Normal 6 4 2 2 2 2 4" xfId="56557"/>
    <cellStyle name="Normal 6 4 2 2 2 3" xfId="8419"/>
    <cellStyle name="Normal 6 4 2 2 2 4" xfId="14621"/>
    <cellStyle name="Normal 6 4 2 2 2 5" xfId="53661"/>
    <cellStyle name="Normal 6 4 2 2 3" xfId="3217"/>
    <cellStyle name="Normal 6 4 2 2 3 2" xfId="6328"/>
    <cellStyle name="Normal 6 4 2 2 3 2 2" xfId="12531"/>
    <cellStyle name="Normal 6 4 2 2 3 2 3" xfId="18733"/>
    <cellStyle name="Normal 6 4 2 2 3 2 4" xfId="57520"/>
    <cellStyle name="Normal 6 4 2 2 3 3" xfId="9431"/>
    <cellStyle name="Normal 6 4 2 2 3 4" xfId="15633"/>
    <cellStyle name="Normal 6 4 2 2 3 5" xfId="54602"/>
    <cellStyle name="Normal 6 4 2 2 4" xfId="4256"/>
    <cellStyle name="Normal 6 4 2 2 4 2" xfId="10460"/>
    <cellStyle name="Normal 6 4 2 2 4 3" xfId="16662"/>
    <cellStyle name="Normal 6 4 2 2 4 4" xfId="55555"/>
    <cellStyle name="Normal 6 4 2 2 5" xfId="7359"/>
    <cellStyle name="Normal 6 4 2 2 5 2" xfId="19792"/>
    <cellStyle name="Normal 6 4 2 2 5 3" xfId="52714"/>
    <cellStyle name="Normal 6 4 2 2 6" xfId="13561"/>
    <cellStyle name="Normal 6 4 2 2 7" xfId="48354"/>
    <cellStyle name="Normal 6 4 2 3" xfId="1667"/>
    <cellStyle name="Normal 6 4 2 3 2" xfId="4792"/>
    <cellStyle name="Normal 6 4 2 3 2 2" xfId="10995"/>
    <cellStyle name="Normal 6 4 2 3 2 3" xfId="17197"/>
    <cellStyle name="Normal 6 4 2 3 2 4" xfId="56066"/>
    <cellStyle name="Normal 6 4 2 3 3" xfId="7895"/>
    <cellStyle name="Normal 6 4 2 3 4" xfId="14097"/>
    <cellStyle name="Normal 6 4 2 3 5" xfId="53176"/>
    <cellStyle name="Normal 6 4 2 4" xfId="3216"/>
    <cellStyle name="Normal 6 4 2 4 2" xfId="6327"/>
    <cellStyle name="Normal 6 4 2 4 2 2" xfId="12530"/>
    <cellStyle name="Normal 6 4 2 4 2 3" xfId="18732"/>
    <cellStyle name="Normal 6 4 2 4 2 4" xfId="57519"/>
    <cellStyle name="Normal 6 4 2 4 3" xfId="9430"/>
    <cellStyle name="Normal 6 4 2 4 4" xfId="15632"/>
    <cellStyle name="Normal 6 4 2 4 5" xfId="54601"/>
    <cellStyle name="Normal 6 4 2 5" xfId="4255"/>
    <cellStyle name="Normal 6 4 2 5 2" xfId="10459"/>
    <cellStyle name="Normal 6 4 2 5 3" xfId="16661"/>
    <cellStyle name="Normal 6 4 2 5 4" xfId="55554"/>
    <cellStyle name="Normal 6 4 2 6" xfId="7358"/>
    <cellStyle name="Normal 6 4 2 6 2" xfId="19268"/>
    <cellStyle name="Normal 6 4 2 7" xfId="13560"/>
    <cellStyle name="Normal 6 4 2 8" xfId="37331"/>
    <cellStyle name="Normal 6 4 3" xfId="1051"/>
    <cellStyle name="Normal 6 4 3 2" xfId="1946"/>
    <cellStyle name="Normal 6 4 3 2 2" xfId="5071"/>
    <cellStyle name="Normal 6 4 3 2 2 2" xfId="11274"/>
    <cellStyle name="Normal 6 4 3 2 2 3" xfId="17476"/>
    <cellStyle name="Normal 6 4 3 2 2 4" xfId="56330"/>
    <cellStyle name="Normal 6 4 3 2 3" xfId="8174"/>
    <cellStyle name="Normal 6 4 3 2 4" xfId="14376"/>
    <cellStyle name="Normal 6 4 3 2 5" xfId="53436"/>
    <cellStyle name="Normal 6 4 3 3" xfId="3218"/>
    <cellStyle name="Normal 6 4 3 3 2" xfId="6329"/>
    <cellStyle name="Normal 6 4 3 3 2 2" xfId="12532"/>
    <cellStyle name="Normal 6 4 3 3 2 3" xfId="18734"/>
    <cellStyle name="Normal 6 4 3 3 2 4" xfId="57521"/>
    <cellStyle name="Normal 6 4 3 3 3" xfId="9432"/>
    <cellStyle name="Normal 6 4 3 3 4" xfId="15634"/>
    <cellStyle name="Normal 6 4 3 3 5" xfId="54603"/>
    <cellStyle name="Normal 6 4 3 4" xfId="4257"/>
    <cellStyle name="Normal 6 4 3 4 2" xfId="10461"/>
    <cellStyle name="Normal 6 4 3 4 3" xfId="16663"/>
    <cellStyle name="Normal 6 4 3 4 4" xfId="55556"/>
    <cellStyle name="Normal 6 4 3 5" xfId="7360"/>
    <cellStyle name="Normal 6 4 3 5 2" xfId="19547"/>
    <cellStyle name="Normal 6 4 3 5 3" xfId="52715"/>
    <cellStyle name="Normal 6 4 3 6" xfId="13562"/>
    <cellStyle name="Normal 6 4 3 7" xfId="48353"/>
    <cellStyle name="Normal 6 4 4" xfId="1422"/>
    <cellStyle name="Normal 6 4 4 2" xfId="4547"/>
    <cellStyle name="Normal 6 4 4 2 2" xfId="10750"/>
    <cellStyle name="Normal 6 4 4 2 3" xfId="16952"/>
    <cellStyle name="Normal 6 4 4 2 4" xfId="55834"/>
    <cellStyle name="Normal 6 4 4 3" xfId="7650"/>
    <cellStyle name="Normal 6 4 4 4" xfId="13852"/>
    <cellStyle name="Normal 6 4 4 5" xfId="52952"/>
    <cellStyle name="Normal 6 4 5" xfId="3215"/>
    <cellStyle name="Normal 6 4 5 2" xfId="6326"/>
    <cellStyle name="Normal 6 4 5 2 2" xfId="12529"/>
    <cellStyle name="Normal 6 4 5 2 3" xfId="18731"/>
    <cellStyle name="Normal 6 4 5 2 4" xfId="57518"/>
    <cellStyle name="Normal 6 4 5 3" xfId="9429"/>
    <cellStyle name="Normal 6 4 5 4" xfId="15631"/>
    <cellStyle name="Normal 6 4 5 5" xfId="54600"/>
    <cellStyle name="Normal 6 4 6" xfId="4254"/>
    <cellStyle name="Normal 6 4 6 2" xfId="10458"/>
    <cellStyle name="Normal 6 4 6 3" xfId="16660"/>
    <cellStyle name="Normal 6 4 6 4" xfId="55553"/>
    <cellStyle name="Normal 6 4 7" xfId="7357"/>
    <cellStyle name="Normal 6 4 7 2" xfId="19023"/>
    <cellStyle name="Normal 6 4 8" xfId="13559"/>
    <cellStyle name="Normal 6 4 9" xfId="37330"/>
    <cellStyle name="Normal 6 40" xfId="57697"/>
    <cellStyle name="Normal 6 41" xfId="19970"/>
    <cellStyle name="Normal 6 5" xfId="1052"/>
    <cellStyle name="Normal 6 5 10" xfId="57679"/>
    <cellStyle name="Normal 6 5 11" xfId="37332"/>
    <cellStyle name="Normal 6 5 2" xfId="37333"/>
    <cellStyle name="Normal 6 5 2 2" xfId="37334"/>
    <cellStyle name="Normal 6 5 2 2 2" xfId="37335"/>
    <cellStyle name="Normal 6 5 2 2 2 2" xfId="37336"/>
    <cellStyle name="Normal 6 5 2 2 3" xfId="37337"/>
    <cellStyle name="Normal 6 5 2 2 3 2" xfId="37338"/>
    <cellStyle name="Normal 6 5 2 2 4" xfId="37339"/>
    <cellStyle name="Normal 6 5 2 3" xfId="37340"/>
    <cellStyle name="Normal 6 5 2 3 2" xfId="48355"/>
    <cellStyle name="Normal 6 5 2 4" xfId="37341"/>
    <cellStyle name="Normal 6 5 2 4 2" xfId="37342"/>
    <cellStyle name="Normal 6 5 2 5" xfId="37343"/>
    <cellStyle name="Normal 6 5 2_IAS" xfId="37344"/>
    <cellStyle name="Normal 6 5 3" xfId="37345"/>
    <cellStyle name="Normal 6 5 3 2" xfId="37346"/>
    <cellStyle name="Normal 6 5 3 2 2" xfId="37347"/>
    <cellStyle name="Normal 6 5 3 3" xfId="37348"/>
    <cellStyle name="Normal 6 5 3 3 2" xfId="37349"/>
    <cellStyle name="Normal 6 5 3 4" xfId="37350"/>
    <cellStyle name="Normal 6 5 4" xfId="37351"/>
    <cellStyle name="Normal 6 5 4 2" xfId="48356"/>
    <cellStyle name="Normal 6 5 5" xfId="37352"/>
    <cellStyle name="Normal 6 5 5 2" xfId="37353"/>
    <cellStyle name="Normal 6 5 6" xfId="37354"/>
    <cellStyle name="Normal 6 5 7" xfId="52716"/>
    <cellStyle name="Normal 6 5 8" xfId="57646"/>
    <cellStyle name="Normal 6 5 9" xfId="57668"/>
    <cellStyle name="Normal 6 5_IAS" xfId="37355"/>
    <cellStyle name="Normal 6 6" xfId="1053"/>
    <cellStyle name="Normal 6 6 2" xfId="1054"/>
    <cellStyle name="Normal 6 6 2 2" xfId="2087"/>
    <cellStyle name="Normal 6 6 2 2 2" xfId="5212"/>
    <cellStyle name="Normal 6 6 2 2 2 2" xfId="11415"/>
    <cellStyle name="Normal 6 6 2 2 2 3" xfId="17617"/>
    <cellStyle name="Normal 6 6 2 2 2 4" xfId="37359"/>
    <cellStyle name="Normal 6 6 2 2 3" xfId="8315"/>
    <cellStyle name="Normal 6 6 2 2 4" xfId="14517"/>
    <cellStyle name="Normal 6 6 2 2 5" xfId="37358"/>
    <cellStyle name="Normal 6 6 2 3" xfId="3220"/>
    <cellStyle name="Normal 6 6 2 3 2" xfId="6331"/>
    <cellStyle name="Normal 6 6 2 3 2 2" xfId="12534"/>
    <cellStyle name="Normal 6 6 2 3 2 3" xfId="18736"/>
    <cellStyle name="Normal 6 6 2 3 2 4" xfId="37361"/>
    <cellStyle name="Normal 6 6 2 3 3" xfId="9434"/>
    <cellStyle name="Normal 6 6 2 3 4" xfId="15636"/>
    <cellStyle name="Normal 6 6 2 3 5" xfId="37360"/>
    <cellStyle name="Normal 6 6 2 4" xfId="4259"/>
    <cellStyle name="Normal 6 6 2 4 2" xfId="10463"/>
    <cellStyle name="Normal 6 6 2 4 3" xfId="16665"/>
    <cellStyle name="Normal 6 6 2 4 4" xfId="37362"/>
    <cellStyle name="Normal 6 6 2 5" xfId="7362"/>
    <cellStyle name="Normal 6 6 2 5 2" xfId="19688"/>
    <cellStyle name="Normal 6 6 2 6" xfId="13564"/>
    <cellStyle name="Normal 6 6 2 7" xfId="37357"/>
    <cellStyle name="Normal 6 6 3" xfId="1563"/>
    <cellStyle name="Normal 6 6 3 2" xfId="4688"/>
    <cellStyle name="Normal 6 6 3 2 2" xfId="10891"/>
    <cellStyle name="Normal 6 6 3 2 2 2" xfId="55967"/>
    <cellStyle name="Normal 6 6 3 2 3" xfId="17093"/>
    <cellStyle name="Normal 6 6 3 2 4" xfId="48357"/>
    <cellStyle name="Normal 6 6 3 3" xfId="7791"/>
    <cellStyle name="Normal 6 6 3 4" xfId="13993"/>
    <cellStyle name="Normal 6 6 3 5" xfId="37363"/>
    <cellStyle name="Normal 6 6 4" xfId="3219"/>
    <cellStyle name="Normal 6 6 4 2" xfId="6330"/>
    <cellStyle name="Normal 6 6 4 2 2" xfId="12533"/>
    <cellStyle name="Normal 6 6 4 2 3" xfId="18735"/>
    <cellStyle name="Normal 6 6 4 2 4" xfId="37365"/>
    <cellStyle name="Normal 6 6 4 3" xfId="9433"/>
    <cellStyle name="Normal 6 6 4 4" xfId="15635"/>
    <cellStyle name="Normal 6 6 4 5" xfId="37364"/>
    <cellStyle name="Normal 6 6 5" xfId="4258"/>
    <cellStyle name="Normal 6 6 5 2" xfId="10462"/>
    <cellStyle name="Normal 6 6 5 3" xfId="16664"/>
    <cellStyle name="Normal 6 6 5 4" xfId="37366"/>
    <cellStyle name="Normal 6 6 6" xfId="7361"/>
    <cellStyle name="Normal 6 6 6 2" xfId="19164"/>
    <cellStyle name="Normal 6 6 7" xfId="13563"/>
    <cellStyle name="Normal 6 6 8" xfId="37356"/>
    <cellStyle name="Normal 6 6_IAS" xfId="37367"/>
    <cellStyle name="Normal 6 7" xfId="1055"/>
    <cellStyle name="Normal 6 7 2" xfId="1817"/>
    <cellStyle name="Normal 6 7 2 2" xfId="4942"/>
    <cellStyle name="Normal 6 7 2 2 2" xfId="11145"/>
    <cellStyle name="Normal 6 7 2 2 3" xfId="17347"/>
    <cellStyle name="Normal 6 7 2 2 4" xfId="37370"/>
    <cellStyle name="Normal 6 7 2 3" xfId="8045"/>
    <cellStyle name="Normal 6 7 2 4" xfId="14247"/>
    <cellStyle name="Normal 6 7 2 5" xfId="37369"/>
    <cellStyle name="Normal 6 7 3" xfId="3221"/>
    <cellStyle name="Normal 6 7 3 2" xfId="6332"/>
    <cellStyle name="Normal 6 7 3 2 2" xfId="12535"/>
    <cellStyle name="Normal 6 7 3 2 3" xfId="18737"/>
    <cellStyle name="Normal 6 7 3 2 4" xfId="57522"/>
    <cellStyle name="Normal 6 7 3 3" xfId="9435"/>
    <cellStyle name="Normal 6 7 3 3 2" xfId="54604"/>
    <cellStyle name="Normal 6 7 3 4" xfId="15637"/>
    <cellStyle name="Normal 6 7 3 5" xfId="48358"/>
    <cellStyle name="Normal 6 7 4" xfId="4260"/>
    <cellStyle name="Normal 6 7 4 2" xfId="10464"/>
    <cellStyle name="Normal 6 7 4 3" xfId="16666"/>
    <cellStyle name="Normal 6 7 4 4" xfId="55557"/>
    <cellStyle name="Normal 6 7 5" xfId="7363"/>
    <cellStyle name="Normal 6 7 5 2" xfId="19418"/>
    <cellStyle name="Normal 6 7 6" xfId="13565"/>
    <cellStyle name="Normal 6 7 7" xfId="37368"/>
    <cellStyle name="Normal 6 8" xfId="1280"/>
    <cellStyle name="Normal 6 8 2" xfId="4405"/>
    <cellStyle name="Normal 6 8 2 2" xfId="10608"/>
    <cellStyle name="Normal 6 8 2 2 2" xfId="55698"/>
    <cellStyle name="Normal 6 8 2 3" xfId="16810"/>
    <cellStyle name="Normal 6 8 2 4" xfId="48359"/>
    <cellStyle name="Normal 6 8 3" xfId="7508"/>
    <cellStyle name="Normal 6 8 4" xfId="13710"/>
    <cellStyle name="Normal 6 8 5" xfId="37371"/>
    <cellStyle name="Normal 6 9" xfId="18881"/>
    <cellStyle name="Normal 6 9 2" xfId="48360"/>
    <cellStyle name="Normal 6 9 3" xfId="37372"/>
    <cellStyle name="Normal 6_Ajuste Inv-CM (2)" xfId="37373"/>
    <cellStyle name="Normal 60" xfId="37374"/>
    <cellStyle name="Normal 60 2" xfId="48361"/>
    <cellStyle name="Normal 61" xfId="37375"/>
    <cellStyle name="Normal 61 2" xfId="37376"/>
    <cellStyle name="Normal 61 2 2" xfId="37377"/>
    <cellStyle name="Normal 61 2 2 2" xfId="37378"/>
    <cellStyle name="Normal 61 2 3" xfId="37379"/>
    <cellStyle name="Normal 61 3" xfId="48362"/>
    <cellStyle name="Normal 62" xfId="37380"/>
    <cellStyle name="Normal 62 2" xfId="48363"/>
    <cellStyle name="Normal 63" xfId="37381"/>
    <cellStyle name="Normal 63 2" xfId="37382"/>
    <cellStyle name="Normal 63 2 2" xfId="37383"/>
    <cellStyle name="Normal 63 2 2 2" xfId="37384"/>
    <cellStyle name="Normal 63 2 3" xfId="37385"/>
    <cellStyle name="Normal 63 3" xfId="48364"/>
    <cellStyle name="Normal 64" xfId="37386"/>
    <cellStyle name="Normal 64 2" xfId="37387"/>
    <cellStyle name="Normal 64 2 2" xfId="37388"/>
    <cellStyle name="Normal 64 2 2 2" xfId="37389"/>
    <cellStyle name="Normal 64 2 3" xfId="37390"/>
    <cellStyle name="Normal 64 3" xfId="48365"/>
    <cellStyle name="Normal 65" xfId="37391"/>
    <cellStyle name="Normal 65 2" xfId="37392"/>
    <cellStyle name="Normal 65 2 2" xfId="48367"/>
    <cellStyle name="Normal 65 3" xfId="37393"/>
    <cellStyle name="Normal 65 3 2" xfId="37394"/>
    <cellStyle name="Normal 65 3 2 2" xfId="37395"/>
    <cellStyle name="Normal 65 3 3" xfId="37396"/>
    <cellStyle name="Normal 65 4" xfId="48366"/>
    <cellStyle name="Normal 65_Plan by Lob" xfId="37397"/>
    <cellStyle name="Normal 66" xfId="37398"/>
    <cellStyle name="Normal 66 2" xfId="37399"/>
    <cellStyle name="Normal 66 2 2" xfId="48369"/>
    <cellStyle name="Normal 66 3" xfId="48368"/>
    <cellStyle name="Normal 67" xfId="37400"/>
    <cellStyle name="Normal 67 2" xfId="37401"/>
    <cellStyle name="Normal 67 2 2" xfId="48371"/>
    <cellStyle name="Normal 67 3" xfId="37402"/>
    <cellStyle name="Normal 67 3 2" xfId="37403"/>
    <cellStyle name="Normal 67 3 2 2" xfId="37404"/>
    <cellStyle name="Normal 67 3 3" xfId="37405"/>
    <cellStyle name="Normal 67 4" xfId="48370"/>
    <cellStyle name="Normal 67_Plan by Lob" xfId="37406"/>
    <cellStyle name="Normal 68" xfId="37407"/>
    <cellStyle name="Normal 68 2" xfId="37408"/>
    <cellStyle name="Normal 68 2 2" xfId="48373"/>
    <cellStyle name="Normal 68 3" xfId="48372"/>
    <cellStyle name="Normal 69" xfId="37409"/>
    <cellStyle name="Normal 69 2" xfId="37410"/>
    <cellStyle name="Normal 69 2 2" xfId="48375"/>
    <cellStyle name="Normal 69 3" xfId="37411"/>
    <cellStyle name="Normal 69 3 2" xfId="37412"/>
    <cellStyle name="Normal 69 3 2 2" xfId="37413"/>
    <cellStyle name="Normal 69 3 3" xfId="37414"/>
    <cellStyle name="Normal 69 4" xfId="48374"/>
    <cellStyle name="Normal 69_Plan by Lob" xfId="37415"/>
    <cellStyle name="Normal 7" xfId="15"/>
    <cellStyle name="Normal 7 10" xfId="19971"/>
    <cellStyle name="Normal 7 2" xfId="1056"/>
    <cellStyle name="Normal 7 2 2" xfId="37418"/>
    <cellStyle name="Normal 7 2 2 2" xfId="48379"/>
    <cellStyle name="Normal 7 2 3" xfId="48378"/>
    <cellStyle name="Normal 7 2 4" xfId="37417"/>
    <cellStyle name="Normal 7 3" xfId="2297"/>
    <cellStyle name="Normal 7 3 2" xfId="5421"/>
    <cellStyle name="Normal 7 3 2 2" xfId="11624"/>
    <cellStyle name="Normal 7 3 2 2 2" xfId="37421"/>
    <cellStyle name="Normal 7 3 2 3" xfId="17826"/>
    <cellStyle name="Normal 7 3 2 4" xfId="37420"/>
    <cellStyle name="Normal 7 3 3" xfId="8524"/>
    <cellStyle name="Normal 7 3 3 2" xfId="37422"/>
    <cellStyle name="Normal 7 3 4" xfId="14726"/>
    <cellStyle name="Normal 7 3 5" xfId="37419"/>
    <cellStyle name="Normal 7 4" xfId="3349"/>
    <cellStyle name="Normal 7 4 2" xfId="9553"/>
    <cellStyle name="Normal 7 4 2 2" xfId="48380"/>
    <cellStyle name="Normal 7 4 3" xfId="15755"/>
    <cellStyle name="Normal 7 4 4" xfId="37423"/>
    <cellStyle name="Normal 7 5" xfId="6452"/>
    <cellStyle name="Normal 7 5 2" xfId="48381"/>
    <cellStyle name="Normal 7 5 3" xfId="37424"/>
    <cellStyle name="Normal 7 6" xfId="12654"/>
    <cellStyle name="Normal 7 6 2" xfId="37425"/>
    <cellStyle name="Normal 7 7" xfId="37426"/>
    <cellStyle name="Normal 7 8" xfId="37416"/>
    <cellStyle name="Normal 7 9" xfId="48377"/>
    <cellStyle name="Normal 7_Plan by Lob" xfId="37427"/>
    <cellStyle name="Normal 70" xfId="37428"/>
    <cellStyle name="Normal 70 2" xfId="37429"/>
    <cellStyle name="Normal 70 2 2" xfId="48383"/>
    <cellStyle name="Normal 70 3" xfId="37430"/>
    <cellStyle name="Normal 70 3 2" xfId="37431"/>
    <cellStyle name="Normal 70 3 2 2" xfId="37432"/>
    <cellStyle name="Normal 70 3 3" xfId="37433"/>
    <cellStyle name="Normal 70 4" xfId="48382"/>
    <cellStyle name="Normal 70_Plan by Lob" xfId="37434"/>
    <cellStyle name="Normal 71" xfId="37435"/>
    <cellStyle name="Normal 71 2" xfId="37436"/>
    <cellStyle name="Normal 71 2 2" xfId="48386"/>
    <cellStyle name="Normal 71 3" xfId="48385"/>
    <cellStyle name="Normal 72" xfId="37437"/>
    <cellStyle name="Normal 72 2" xfId="37438"/>
    <cellStyle name="Normal 72 2 2" xfId="48388"/>
    <cellStyle name="Normal 72 3" xfId="48387"/>
    <cellStyle name="Normal 73" xfId="37439"/>
    <cellStyle name="Normal 73 2" xfId="37440"/>
    <cellStyle name="Normal 73 2 2" xfId="48390"/>
    <cellStyle name="Normal 73 3" xfId="48389"/>
    <cellStyle name="Normal 74" xfId="37441"/>
    <cellStyle name="Normal 74 2" xfId="37442"/>
    <cellStyle name="Normal 74 2 2" xfId="48392"/>
    <cellStyle name="Normal 74 3" xfId="37443"/>
    <cellStyle name="Normal 74 3 2" xfId="37444"/>
    <cellStyle name="Normal 74 3 2 2" xfId="37445"/>
    <cellStyle name="Normal 74 3 3" xfId="37446"/>
    <cellStyle name="Normal 74 4" xfId="48391"/>
    <cellStyle name="Normal 74_Plan by Lob" xfId="37447"/>
    <cellStyle name="Normal 75" xfId="37448"/>
    <cellStyle name="Normal 75 2" xfId="37449"/>
    <cellStyle name="Normal 75 2 2" xfId="37450"/>
    <cellStyle name="Normal 75 2 2 2" xfId="37451"/>
    <cellStyle name="Normal 75 2 3" xfId="37452"/>
    <cellStyle name="Normal 75 3" xfId="48393"/>
    <cellStyle name="Normal 76" xfId="37453"/>
    <cellStyle name="Normal 76 2" xfId="37454"/>
    <cellStyle name="Normal 76 2 2" xfId="48395"/>
    <cellStyle name="Normal 76 3" xfId="37455"/>
    <cellStyle name="Normal 76 3 2" xfId="37456"/>
    <cellStyle name="Normal 76 3 2 2" xfId="37457"/>
    <cellStyle name="Normal 76 3 3" xfId="37458"/>
    <cellStyle name="Normal 76 4" xfId="48394"/>
    <cellStyle name="Normal 76_Plan by Lob" xfId="37459"/>
    <cellStyle name="Normal 77" xfId="37460"/>
    <cellStyle name="Normal 77 2" xfId="37461"/>
    <cellStyle name="Normal 77 2 2" xfId="48397"/>
    <cellStyle name="Normal 77 3" xfId="48396"/>
    <cellStyle name="Normal 78" xfId="37462"/>
    <cellStyle name="Normal 78 2" xfId="37463"/>
    <cellStyle name="Normal 78 2 2" xfId="48399"/>
    <cellStyle name="Normal 78 3" xfId="48398"/>
    <cellStyle name="Normal 79" xfId="37464"/>
    <cellStyle name="Normal 79 2" xfId="37465"/>
    <cellStyle name="Normal 79 2 2" xfId="48401"/>
    <cellStyle name="Normal 79 3" xfId="48400"/>
    <cellStyle name="Normal 8" xfId="1057"/>
    <cellStyle name="Normal 8 2" xfId="1058"/>
    <cellStyle name="Normal 8 2 2" xfId="37468"/>
    <cellStyle name="Normal 8 2 2 2" xfId="37469"/>
    <cellStyle name="Normal 8 2 2 3" xfId="37470"/>
    <cellStyle name="Normal 8 2 3" xfId="37471"/>
    <cellStyle name="Normal 8 2 3 2" xfId="37472"/>
    <cellStyle name="Normal 8 2 4" xfId="37473"/>
    <cellStyle name="Normal 8 2 4 2" xfId="37474"/>
    <cellStyle name="Normal 8 2 5" xfId="37475"/>
    <cellStyle name="Normal 8 2 6" xfId="37476"/>
    <cellStyle name="Normal 8 2 7" xfId="51965"/>
    <cellStyle name="Normal 8 2 8" xfId="37467"/>
    <cellStyle name="Normal 8 3" xfId="37477"/>
    <cellStyle name="Normal 8 3 2" xfId="37478"/>
    <cellStyle name="Normal 8 3 3" xfId="37479"/>
    <cellStyle name="Normal 8 4" xfId="37480"/>
    <cellStyle name="Normal 8 5" xfId="37466"/>
    <cellStyle name="Normal 8 6" xfId="48402"/>
    <cellStyle name="Normal 8 7" xfId="51949"/>
    <cellStyle name="Normal 8 8" xfId="19984"/>
    <cellStyle name="Normal 80" xfId="37481"/>
    <cellStyle name="Normal 80 2" xfId="37482"/>
    <cellStyle name="Normal 80 2 2" xfId="48404"/>
    <cellStyle name="Normal 80 3" xfId="48403"/>
    <cellStyle name="Normal 81" xfId="37483"/>
    <cellStyle name="Normal 81 2" xfId="37484"/>
    <cellStyle name="Normal 81 2 2" xfId="48406"/>
    <cellStyle name="Normal 81 3" xfId="48405"/>
    <cellStyle name="Normal 82" xfId="37485"/>
    <cellStyle name="Normal 82 2" xfId="37486"/>
    <cellStyle name="Normal 82 2 2" xfId="48408"/>
    <cellStyle name="Normal 82 3" xfId="48407"/>
    <cellStyle name="Normal 83" xfId="37487"/>
    <cellStyle name="Normal 83 2" xfId="37488"/>
    <cellStyle name="Normal 83 2 2" xfId="48410"/>
    <cellStyle name="Normal 83 3" xfId="48409"/>
    <cellStyle name="Normal 84" xfId="37489"/>
    <cellStyle name="Normal 84 2" xfId="37490"/>
    <cellStyle name="Normal 84 2 2" xfId="48412"/>
    <cellStyle name="Normal 84 3" xfId="48411"/>
    <cellStyle name="Normal 85" xfId="37491"/>
    <cellStyle name="Normal 85 2" xfId="37492"/>
    <cellStyle name="Normal 85 2 2" xfId="48414"/>
    <cellStyle name="Normal 85 3" xfId="48413"/>
    <cellStyle name="Normal 86" xfId="37493"/>
    <cellStyle name="Normal 86 2" xfId="37494"/>
    <cellStyle name="Normal 86 2 2" xfId="48416"/>
    <cellStyle name="Normal 86 3" xfId="48415"/>
    <cellStyle name="Normal 87" xfId="37495"/>
    <cellStyle name="Normal 87 2" xfId="37496"/>
    <cellStyle name="Normal 87 2 2" xfId="48418"/>
    <cellStyle name="Normal 87 3" xfId="48417"/>
    <cellStyle name="Normal 88" xfId="37497"/>
    <cellStyle name="Normal 88 2" xfId="37498"/>
    <cellStyle name="Normal 88 2 2" xfId="48420"/>
    <cellStyle name="Normal 88 3" xfId="48419"/>
    <cellStyle name="Normal 89" xfId="37499"/>
    <cellStyle name="Normal 89 2" xfId="37500"/>
    <cellStyle name="Normal 89 2 2" xfId="48422"/>
    <cellStyle name="Normal 89 3" xfId="48421"/>
    <cellStyle name="Normal 9" xfId="1059"/>
    <cellStyle name="Normal 9 2" xfId="37502"/>
    <cellStyle name="Normal 9 2 2" xfId="37503"/>
    <cellStyle name="Normal 9 2 2 2" xfId="37504"/>
    <cellStyle name="Normal 9 2 3" xfId="37505"/>
    <cellStyle name="Normal 9 2 4" xfId="37506"/>
    <cellStyle name="Normal 9 2 4 2" xfId="48424"/>
    <cellStyle name="Normal 9 3" xfId="37507"/>
    <cellStyle name="Normal 9 4" xfId="37508"/>
    <cellStyle name="Normal 9 5" xfId="48423"/>
    <cellStyle name="Normal 9 6" xfId="51963"/>
    <cellStyle name="Normal 9 7" xfId="37501"/>
    <cellStyle name="Normal 90" xfId="37509"/>
    <cellStyle name="Normal 90 2" xfId="37510"/>
    <cellStyle name="Normal 90 2 2" xfId="48426"/>
    <cellStyle name="Normal 90 3" xfId="48425"/>
    <cellStyle name="Normal 91" xfId="37511"/>
    <cellStyle name="Normal 91 2" xfId="37512"/>
    <cellStyle name="Normal 91 2 2" xfId="48428"/>
    <cellStyle name="Normal 91 3" xfId="48427"/>
    <cellStyle name="Normal 92" xfId="37513"/>
    <cellStyle name="Normal 92 2" xfId="37514"/>
    <cellStyle name="Normal 92 2 2" xfId="48430"/>
    <cellStyle name="Normal 92 3" xfId="48429"/>
    <cellStyle name="Normal 93" xfId="37515"/>
    <cellStyle name="Normal 93 2" xfId="37516"/>
    <cellStyle name="Normal 93 2 2" xfId="48432"/>
    <cellStyle name="Normal 93 3" xfId="48431"/>
    <cellStyle name="Normal 94" xfId="37517"/>
    <cellStyle name="Normal 94 2" xfId="37518"/>
    <cellStyle name="Normal 94 2 2" xfId="48434"/>
    <cellStyle name="Normal 94 3" xfId="48433"/>
    <cellStyle name="Normal 95" xfId="37519"/>
    <cellStyle name="Normal 95 2" xfId="37520"/>
    <cellStyle name="Normal 95 2 2" xfId="48436"/>
    <cellStyle name="Normal 95 3" xfId="48435"/>
    <cellStyle name="Normal 96" xfId="37521"/>
    <cellStyle name="Normal 96 2" xfId="37522"/>
    <cellStyle name="Normal 96 2 2" xfId="48438"/>
    <cellStyle name="Normal 96 3" xfId="48437"/>
    <cellStyle name="Normal 97" xfId="37523"/>
    <cellStyle name="Normal 97 2" xfId="37524"/>
    <cellStyle name="Normal 97 2 2" xfId="48440"/>
    <cellStyle name="Normal 97 3" xfId="48439"/>
    <cellStyle name="Normal 98" xfId="37525"/>
    <cellStyle name="Normal 98 2" xfId="37526"/>
    <cellStyle name="Normal 98 2 2" xfId="48442"/>
    <cellStyle name="Normal 98 3" xfId="48441"/>
    <cellStyle name="Normal 99" xfId="37527"/>
    <cellStyle name="Normal 99 2" xfId="37528"/>
    <cellStyle name="Normal 99 2 2" xfId="48444"/>
    <cellStyle name="Normal 99 3" xfId="48443"/>
    <cellStyle name="Normal_00 Consolidado FECU V200806" xfId="16"/>
    <cellStyle name="Normale_Cartel19" xfId="37529"/>
    <cellStyle name="Nota" xfId="37530"/>
    <cellStyle name="Nota 2" xfId="48445"/>
    <cellStyle name="Notas 10" xfId="37531"/>
    <cellStyle name="Notas 10 2" xfId="37532"/>
    <cellStyle name="Notas 10 2 2" xfId="48447"/>
    <cellStyle name="Notas 10 3" xfId="37533"/>
    <cellStyle name="Notas 10 3 2" xfId="48448"/>
    <cellStyle name="Notas 10 4" xfId="48446"/>
    <cellStyle name="Notas 11" xfId="37534"/>
    <cellStyle name="Notas 11 2" xfId="37535"/>
    <cellStyle name="Notas 11 2 2" xfId="37536"/>
    <cellStyle name="Notas 11 2 2 2" xfId="48451"/>
    <cellStyle name="Notas 11 2 3" xfId="48450"/>
    <cellStyle name="Notas 11 3" xfId="37537"/>
    <cellStyle name="Notas 11 3 2" xfId="48452"/>
    <cellStyle name="Notas 11 4" xfId="48449"/>
    <cellStyle name="Notas 12" xfId="37538"/>
    <cellStyle name="Notas 12 2" xfId="37539"/>
    <cellStyle name="Notas 12 2 2" xfId="48454"/>
    <cellStyle name="Notas 12 3" xfId="48453"/>
    <cellStyle name="Notas 13" xfId="51822"/>
    <cellStyle name="Notas 2" xfId="1060"/>
    <cellStyle name="Notas 2 10" xfId="7364"/>
    <cellStyle name="Notas 2 10 2" xfId="18878"/>
    <cellStyle name="Notas 2 10 2 2" xfId="48457"/>
    <cellStyle name="Notas 2 10 2 3" xfId="37542"/>
    <cellStyle name="Notas 2 10 3" xfId="48456"/>
    <cellStyle name="Notas 2 10 4" xfId="37541"/>
    <cellStyle name="Notas 2 11" xfId="13566"/>
    <cellStyle name="Notas 2 11 2" xfId="48458"/>
    <cellStyle name="Notas 2 11 3" xfId="37543"/>
    <cellStyle name="Notas 2 12" xfId="37544"/>
    <cellStyle name="Notas 2 13" xfId="37540"/>
    <cellStyle name="Notas 2 14" xfId="48455"/>
    <cellStyle name="Notas 2 15" xfId="19972"/>
    <cellStyle name="Notas 2 2" xfId="1061"/>
    <cellStyle name="Notas 2 2 10" xfId="13567"/>
    <cellStyle name="Notas 2 2 11" xfId="20005"/>
    <cellStyle name="Notas 2 2 2" xfId="1062"/>
    <cellStyle name="Notas 2 2 2 10" xfId="37546"/>
    <cellStyle name="Notas 2 2 2 2" xfId="1063"/>
    <cellStyle name="Notas 2 2 2 2 2" xfId="1064"/>
    <cellStyle name="Notas 2 2 2 2 2 2" xfId="1065"/>
    <cellStyle name="Notas 2 2 2 2 2 2 2" xfId="2284"/>
    <cellStyle name="Notas 2 2 2 2 2 2 2 2" xfId="5409"/>
    <cellStyle name="Notas 2 2 2 2 2 2 2 2 2" xfId="11612"/>
    <cellStyle name="Notas 2 2 2 2 2 2 2 2 3" xfId="17814"/>
    <cellStyle name="Notas 2 2 2 2 2 2 2 2 4" xfId="56643"/>
    <cellStyle name="Notas 2 2 2 2 2 2 2 3" xfId="8512"/>
    <cellStyle name="Notas 2 2 2 2 2 2 2 4" xfId="14714"/>
    <cellStyle name="Notas 2 2 2 2 2 2 2 5" xfId="53747"/>
    <cellStyle name="Notas 2 2 2 2 2 2 3" xfId="3227"/>
    <cellStyle name="Notas 2 2 2 2 2 2 3 2" xfId="6338"/>
    <cellStyle name="Notas 2 2 2 2 2 2 3 2 2" xfId="12541"/>
    <cellStyle name="Notas 2 2 2 2 2 2 3 2 3" xfId="18743"/>
    <cellStyle name="Notas 2 2 2 2 2 2 3 2 4" xfId="57528"/>
    <cellStyle name="Notas 2 2 2 2 2 2 3 3" xfId="9441"/>
    <cellStyle name="Notas 2 2 2 2 2 2 3 4" xfId="15643"/>
    <cellStyle name="Notas 2 2 2 2 2 2 3 5" xfId="54610"/>
    <cellStyle name="Notas 2 2 2 2 2 2 4" xfId="4266"/>
    <cellStyle name="Notas 2 2 2 2 2 2 4 2" xfId="10470"/>
    <cellStyle name="Notas 2 2 2 2 2 2 4 3" xfId="16672"/>
    <cellStyle name="Notas 2 2 2 2 2 2 4 4" xfId="55563"/>
    <cellStyle name="Notas 2 2 2 2 2 2 5" xfId="7369"/>
    <cellStyle name="Notas 2 2 2 2 2 2 5 2" xfId="19885"/>
    <cellStyle name="Notas 2 2 2 2 2 2 6" xfId="13571"/>
    <cellStyle name="Notas 2 2 2 2 2 2 7" xfId="52718"/>
    <cellStyle name="Notas 2 2 2 2 2 3" xfId="1760"/>
    <cellStyle name="Notas 2 2 2 2 2 3 2" xfId="4885"/>
    <cellStyle name="Notas 2 2 2 2 2 3 2 2" xfId="11088"/>
    <cellStyle name="Notas 2 2 2 2 2 3 2 3" xfId="17290"/>
    <cellStyle name="Notas 2 2 2 2 2 3 2 4" xfId="56155"/>
    <cellStyle name="Notas 2 2 2 2 2 3 3" xfId="7988"/>
    <cellStyle name="Notas 2 2 2 2 2 3 4" xfId="14190"/>
    <cellStyle name="Notas 2 2 2 2 2 3 5" xfId="53262"/>
    <cellStyle name="Notas 2 2 2 2 2 4" xfId="3226"/>
    <cellStyle name="Notas 2 2 2 2 2 4 2" xfId="6337"/>
    <cellStyle name="Notas 2 2 2 2 2 4 2 2" xfId="12540"/>
    <cellStyle name="Notas 2 2 2 2 2 4 2 3" xfId="18742"/>
    <cellStyle name="Notas 2 2 2 2 2 4 2 4" xfId="57527"/>
    <cellStyle name="Notas 2 2 2 2 2 4 3" xfId="9440"/>
    <cellStyle name="Notas 2 2 2 2 2 4 4" xfId="15642"/>
    <cellStyle name="Notas 2 2 2 2 2 4 5" xfId="54609"/>
    <cellStyle name="Notas 2 2 2 2 2 5" xfId="4265"/>
    <cellStyle name="Notas 2 2 2 2 2 5 2" xfId="10469"/>
    <cellStyle name="Notas 2 2 2 2 2 5 3" xfId="16671"/>
    <cellStyle name="Notas 2 2 2 2 2 5 4" xfId="55562"/>
    <cellStyle name="Notas 2 2 2 2 2 6" xfId="7368"/>
    <cellStyle name="Notas 2 2 2 2 2 6 2" xfId="19361"/>
    <cellStyle name="Notas 2 2 2 2 2 7" xfId="13570"/>
    <cellStyle name="Notas 2 2 2 2 2 8" xfId="52717"/>
    <cellStyle name="Notas 2 2 2 2 3" xfId="1066"/>
    <cellStyle name="Notas 2 2 2 2 3 2" xfId="2039"/>
    <cellStyle name="Notas 2 2 2 2 3 2 2" xfId="5164"/>
    <cellStyle name="Notas 2 2 2 2 3 2 2 2" xfId="11367"/>
    <cellStyle name="Notas 2 2 2 2 3 2 2 3" xfId="17569"/>
    <cellStyle name="Notas 2 2 2 2 3 2 2 4" xfId="56416"/>
    <cellStyle name="Notas 2 2 2 2 3 2 3" xfId="8267"/>
    <cellStyle name="Notas 2 2 2 2 3 2 4" xfId="14469"/>
    <cellStyle name="Notas 2 2 2 2 3 2 5" xfId="53521"/>
    <cellStyle name="Notas 2 2 2 2 3 3" xfId="3228"/>
    <cellStyle name="Notas 2 2 2 2 3 3 2" xfId="6339"/>
    <cellStyle name="Notas 2 2 2 2 3 3 2 2" xfId="12542"/>
    <cellStyle name="Notas 2 2 2 2 3 3 2 3" xfId="18744"/>
    <cellStyle name="Notas 2 2 2 2 3 3 2 4" xfId="57529"/>
    <cellStyle name="Notas 2 2 2 2 3 3 3" xfId="9442"/>
    <cellStyle name="Notas 2 2 2 2 3 3 4" xfId="15644"/>
    <cellStyle name="Notas 2 2 2 2 3 3 5" xfId="54611"/>
    <cellStyle name="Notas 2 2 2 2 3 4" xfId="4267"/>
    <cellStyle name="Notas 2 2 2 2 3 4 2" xfId="10471"/>
    <cellStyle name="Notas 2 2 2 2 3 4 3" xfId="16673"/>
    <cellStyle name="Notas 2 2 2 2 3 4 4" xfId="55564"/>
    <cellStyle name="Notas 2 2 2 2 3 5" xfId="7370"/>
    <cellStyle name="Notas 2 2 2 2 3 5 2" xfId="19640"/>
    <cellStyle name="Notas 2 2 2 2 3 6" xfId="13572"/>
    <cellStyle name="Notas 2 2 2 2 3 7" xfId="52719"/>
    <cellStyle name="Notas 2 2 2 2 4" xfId="1515"/>
    <cellStyle name="Notas 2 2 2 2 4 2" xfId="4640"/>
    <cellStyle name="Notas 2 2 2 2 4 2 2" xfId="10843"/>
    <cellStyle name="Notas 2 2 2 2 4 2 3" xfId="17045"/>
    <cellStyle name="Notas 2 2 2 2 4 2 4" xfId="55922"/>
    <cellStyle name="Notas 2 2 2 2 4 3" xfId="7743"/>
    <cellStyle name="Notas 2 2 2 2 4 4" xfId="13945"/>
    <cellStyle name="Notas 2 2 2 2 4 5" xfId="53037"/>
    <cellStyle name="Notas 2 2 2 2 5" xfId="3225"/>
    <cellStyle name="Notas 2 2 2 2 5 2" xfId="6336"/>
    <cellStyle name="Notas 2 2 2 2 5 2 2" xfId="12539"/>
    <cellStyle name="Notas 2 2 2 2 5 2 3" xfId="18741"/>
    <cellStyle name="Notas 2 2 2 2 5 2 4" xfId="57526"/>
    <cellStyle name="Notas 2 2 2 2 5 3" xfId="9439"/>
    <cellStyle name="Notas 2 2 2 2 5 4" xfId="15641"/>
    <cellStyle name="Notas 2 2 2 2 5 5" xfId="54608"/>
    <cellStyle name="Notas 2 2 2 2 6" xfId="4264"/>
    <cellStyle name="Notas 2 2 2 2 6 2" xfId="10468"/>
    <cellStyle name="Notas 2 2 2 2 6 3" xfId="16670"/>
    <cellStyle name="Notas 2 2 2 2 6 4" xfId="55561"/>
    <cellStyle name="Notas 2 2 2 2 7" xfId="7367"/>
    <cellStyle name="Notas 2 2 2 2 7 2" xfId="19116"/>
    <cellStyle name="Notas 2 2 2 2 8" xfId="13569"/>
    <cellStyle name="Notas 2 2 2 2 9" xfId="52155"/>
    <cellStyle name="Notas 2 2 2 3" xfId="1067"/>
    <cellStyle name="Notas 2 2 2 3 2" xfId="1068"/>
    <cellStyle name="Notas 2 2 2 3 2 2" xfId="2156"/>
    <cellStyle name="Notas 2 2 2 3 2 2 2" xfId="5281"/>
    <cellStyle name="Notas 2 2 2 3 2 2 2 2" xfId="11484"/>
    <cellStyle name="Notas 2 2 2 3 2 2 2 3" xfId="17686"/>
    <cellStyle name="Notas 2 2 2 3 2 2 2 4" xfId="56524"/>
    <cellStyle name="Notas 2 2 2 3 2 2 3" xfId="8384"/>
    <cellStyle name="Notas 2 2 2 3 2 2 4" xfId="14586"/>
    <cellStyle name="Notas 2 2 2 3 2 2 5" xfId="53628"/>
    <cellStyle name="Notas 2 2 2 3 2 3" xfId="3230"/>
    <cellStyle name="Notas 2 2 2 3 2 3 2" xfId="6341"/>
    <cellStyle name="Notas 2 2 2 3 2 3 2 2" xfId="12544"/>
    <cellStyle name="Notas 2 2 2 3 2 3 2 3" xfId="18746"/>
    <cellStyle name="Notas 2 2 2 3 2 3 2 4" xfId="57531"/>
    <cellStyle name="Notas 2 2 2 3 2 3 3" xfId="9444"/>
    <cellStyle name="Notas 2 2 2 3 2 3 4" xfId="15646"/>
    <cellStyle name="Notas 2 2 2 3 2 3 5" xfId="54613"/>
    <cellStyle name="Notas 2 2 2 3 2 4" xfId="4269"/>
    <cellStyle name="Notas 2 2 2 3 2 4 2" xfId="10473"/>
    <cellStyle name="Notas 2 2 2 3 2 4 3" xfId="16675"/>
    <cellStyle name="Notas 2 2 2 3 2 4 4" xfId="55566"/>
    <cellStyle name="Notas 2 2 2 3 2 5" xfId="7372"/>
    <cellStyle name="Notas 2 2 2 3 2 5 2" xfId="19757"/>
    <cellStyle name="Notas 2 2 2 3 2 6" xfId="13574"/>
    <cellStyle name="Notas 2 2 2 3 2 7" xfId="52720"/>
    <cellStyle name="Notas 2 2 2 3 3" xfId="1632"/>
    <cellStyle name="Notas 2 2 2 3 3 2" xfId="4757"/>
    <cellStyle name="Notas 2 2 2 3 3 2 2" xfId="10960"/>
    <cellStyle name="Notas 2 2 2 3 3 2 3" xfId="17162"/>
    <cellStyle name="Notas 2 2 2 3 3 2 4" xfId="56033"/>
    <cellStyle name="Notas 2 2 2 3 3 3" xfId="7860"/>
    <cellStyle name="Notas 2 2 2 3 3 4" xfId="14062"/>
    <cellStyle name="Notas 2 2 2 3 3 5" xfId="53143"/>
    <cellStyle name="Notas 2 2 2 3 4" xfId="3229"/>
    <cellStyle name="Notas 2 2 2 3 4 2" xfId="6340"/>
    <cellStyle name="Notas 2 2 2 3 4 2 2" xfId="12543"/>
    <cellStyle name="Notas 2 2 2 3 4 2 3" xfId="18745"/>
    <cellStyle name="Notas 2 2 2 3 4 2 4" xfId="57530"/>
    <cellStyle name="Notas 2 2 2 3 4 3" xfId="9443"/>
    <cellStyle name="Notas 2 2 2 3 4 4" xfId="15645"/>
    <cellStyle name="Notas 2 2 2 3 4 5" xfId="54612"/>
    <cellStyle name="Notas 2 2 2 3 5" xfId="4268"/>
    <cellStyle name="Notas 2 2 2 3 5 2" xfId="10472"/>
    <cellStyle name="Notas 2 2 2 3 5 3" xfId="16674"/>
    <cellStyle name="Notas 2 2 2 3 5 4" xfId="55565"/>
    <cellStyle name="Notas 2 2 2 3 6" xfId="7371"/>
    <cellStyle name="Notas 2 2 2 3 6 2" xfId="19233"/>
    <cellStyle name="Notas 2 2 2 3 7" xfId="13573"/>
    <cellStyle name="Notas 2 2 2 3 8" xfId="52020"/>
    <cellStyle name="Notas 2 2 2 4" xfId="1069"/>
    <cellStyle name="Notas 2 2 2 4 2" xfId="1897"/>
    <cellStyle name="Notas 2 2 2 4 2 2" xfId="5022"/>
    <cellStyle name="Notas 2 2 2 4 2 2 2" xfId="11225"/>
    <cellStyle name="Notas 2 2 2 4 2 2 3" xfId="17427"/>
    <cellStyle name="Notas 2 2 2 4 2 2 4" xfId="56283"/>
    <cellStyle name="Notas 2 2 2 4 2 3" xfId="8125"/>
    <cellStyle name="Notas 2 2 2 4 2 4" xfId="14327"/>
    <cellStyle name="Notas 2 2 2 4 2 5" xfId="53389"/>
    <cellStyle name="Notas 2 2 2 4 3" xfId="3231"/>
    <cellStyle name="Notas 2 2 2 4 3 2" xfId="6342"/>
    <cellStyle name="Notas 2 2 2 4 3 2 2" xfId="12545"/>
    <cellStyle name="Notas 2 2 2 4 3 2 3" xfId="18747"/>
    <cellStyle name="Notas 2 2 2 4 3 2 4" xfId="57532"/>
    <cellStyle name="Notas 2 2 2 4 3 3" xfId="9445"/>
    <cellStyle name="Notas 2 2 2 4 3 4" xfId="15647"/>
    <cellStyle name="Notas 2 2 2 4 3 5" xfId="54614"/>
    <cellStyle name="Notas 2 2 2 4 4" xfId="4270"/>
    <cellStyle name="Notas 2 2 2 4 4 2" xfId="10474"/>
    <cellStyle name="Notas 2 2 2 4 4 3" xfId="16676"/>
    <cellStyle name="Notas 2 2 2 4 4 4" xfId="55567"/>
    <cellStyle name="Notas 2 2 2 4 5" xfId="7373"/>
    <cellStyle name="Notas 2 2 2 4 5 2" xfId="19498"/>
    <cellStyle name="Notas 2 2 2 4 6" xfId="13575"/>
    <cellStyle name="Notas 2 2 2 4 7" xfId="52721"/>
    <cellStyle name="Notas 2 2 2 5" xfId="1373"/>
    <cellStyle name="Notas 2 2 2 5 2" xfId="4498"/>
    <cellStyle name="Notas 2 2 2 5 2 2" xfId="10701"/>
    <cellStyle name="Notas 2 2 2 5 2 3" xfId="16903"/>
    <cellStyle name="Notas 2 2 2 5 2 4" xfId="55787"/>
    <cellStyle name="Notas 2 2 2 5 3" xfId="7601"/>
    <cellStyle name="Notas 2 2 2 5 4" xfId="13803"/>
    <cellStyle name="Notas 2 2 2 5 5" xfId="52911"/>
    <cellStyle name="Notas 2 2 2 6" xfId="3224"/>
    <cellStyle name="Notas 2 2 2 6 2" xfId="6335"/>
    <cellStyle name="Notas 2 2 2 6 2 2" xfId="12538"/>
    <cellStyle name="Notas 2 2 2 6 2 3" xfId="18740"/>
    <cellStyle name="Notas 2 2 2 6 2 4" xfId="57525"/>
    <cellStyle name="Notas 2 2 2 6 3" xfId="9438"/>
    <cellStyle name="Notas 2 2 2 6 4" xfId="15640"/>
    <cellStyle name="Notas 2 2 2 6 5" xfId="54607"/>
    <cellStyle name="Notas 2 2 2 7" xfId="4263"/>
    <cellStyle name="Notas 2 2 2 7 2" xfId="10467"/>
    <cellStyle name="Notas 2 2 2 7 3" xfId="16669"/>
    <cellStyle name="Notas 2 2 2 7 4" xfId="55560"/>
    <cellStyle name="Notas 2 2 2 8" xfId="7366"/>
    <cellStyle name="Notas 2 2 2 8 2" xfId="18974"/>
    <cellStyle name="Notas 2 2 2 9" xfId="13568"/>
    <cellStyle name="Notas 2 2 3" xfId="1070"/>
    <cellStyle name="Notas 2 2 3 2" xfId="1071"/>
    <cellStyle name="Notas 2 2 3 2 2" xfId="1072"/>
    <cellStyle name="Notas 2 2 3 2 2 2" xfId="2216"/>
    <cellStyle name="Notas 2 2 3 2 2 2 2" xfId="5341"/>
    <cellStyle name="Notas 2 2 3 2 2 2 2 2" xfId="11544"/>
    <cellStyle name="Notas 2 2 3 2 2 2 2 3" xfId="17746"/>
    <cellStyle name="Notas 2 2 3 2 2 2 2 4" xfId="56580"/>
    <cellStyle name="Notas 2 2 3 2 2 2 3" xfId="8444"/>
    <cellStyle name="Notas 2 2 3 2 2 2 4" xfId="14646"/>
    <cellStyle name="Notas 2 2 3 2 2 2 5" xfId="53684"/>
    <cellStyle name="Notas 2 2 3 2 2 3" xfId="3234"/>
    <cellStyle name="Notas 2 2 3 2 2 3 2" xfId="6345"/>
    <cellStyle name="Notas 2 2 3 2 2 3 2 2" xfId="12548"/>
    <cellStyle name="Notas 2 2 3 2 2 3 2 3" xfId="18750"/>
    <cellStyle name="Notas 2 2 3 2 2 3 2 4" xfId="57535"/>
    <cellStyle name="Notas 2 2 3 2 2 3 3" xfId="9448"/>
    <cellStyle name="Notas 2 2 3 2 2 3 4" xfId="15650"/>
    <cellStyle name="Notas 2 2 3 2 2 3 5" xfId="54617"/>
    <cellStyle name="Notas 2 2 3 2 2 4" xfId="4273"/>
    <cellStyle name="Notas 2 2 3 2 2 4 2" xfId="10477"/>
    <cellStyle name="Notas 2 2 3 2 2 4 3" xfId="16679"/>
    <cellStyle name="Notas 2 2 3 2 2 4 4" xfId="55570"/>
    <cellStyle name="Notas 2 2 3 2 2 5" xfId="7376"/>
    <cellStyle name="Notas 2 2 3 2 2 5 2" xfId="19817"/>
    <cellStyle name="Notas 2 2 3 2 2 6" xfId="13578"/>
    <cellStyle name="Notas 2 2 3 2 2 7" xfId="52722"/>
    <cellStyle name="Notas 2 2 3 2 3" xfId="1692"/>
    <cellStyle name="Notas 2 2 3 2 3 2" xfId="4817"/>
    <cellStyle name="Notas 2 2 3 2 3 2 2" xfId="11020"/>
    <cellStyle name="Notas 2 2 3 2 3 2 3" xfId="17222"/>
    <cellStyle name="Notas 2 2 3 2 3 2 4" xfId="56089"/>
    <cellStyle name="Notas 2 2 3 2 3 3" xfId="7920"/>
    <cellStyle name="Notas 2 2 3 2 3 4" xfId="14122"/>
    <cellStyle name="Notas 2 2 3 2 3 5" xfId="53199"/>
    <cellStyle name="Notas 2 2 3 2 4" xfId="3233"/>
    <cellStyle name="Notas 2 2 3 2 4 2" xfId="6344"/>
    <cellStyle name="Notas 2 2 3 2 4 2 2" xfId="12547"/>
    <cellStyle name="Notas 2 2 3 2 4 2 3" xfId="18749"/>
    <cellStyle name="Notas 2 2 3 2 4 2 4" xfId="57534"/>
    <cellStyle name="Notas 2 2 3 2 4 3" xfId="9447"/>
    <cellStyle name="Notas 2 2 3 2 4 4" xfId="15649"/>
    <cellStyle name="Notas 2 2 3 2 4 5" xfId="54616"/>
    <cellStyle name="Notas 2 2 3 2 5" xfId="4272"/>
    <cellStyle name="Notas 2 2 3 2 5 2" xfId="10476"/>
    <cellStyle name="Notas 2 2 3 2 5 3" xfId="16678"/>
    <cellStyle name="Notas 2 2 3 2 5 4" xfId="55569"/>
    <cellStyle name="Notas 2 2 3 2 6" xfId="7375"/>
    <cellStyle name="Notas 2 2 3 2 6 2" xfId="19293"/>
    <cellStyle name="Notas 2 2 3 2 7" xfId="13577"/>
    <cellStyle name="Notas 2 2 3 2 8" xfId="52091"/>
    <cellStyle name="Notas 2 2 3 3" xfId="1073"/>
    <cellStyle name="Notas 2 2 3 3 2" xfId="1971"/>
    <cellStyle name="Notas 2 2 3 3 2 2" xfId="5096"/>
    <cellStyle name="Notas 2 2 3 3 2 2 2" xfId="11299"/>
    <cellStyle name="Notas 2 2 3 3 2 2 3" xfId="17501"/>
    <cellStyle name="Notas 2 2 3 3 2 2 4" xfId="56353"/>
    <cellStyle name="Notas 2 2 3 3 2 3" xfId="8199"/>
    <cellStyle name="Notas 2 2 3 3 2 4" xfId="14401"/>
    <cellStyle name="Notas 2 2 3 3 2 5" xfId="53459"/>
    <cellStyle name="Notas 2 2 3 3 3" xfId="3235"/>
    <cellStyle name="Notas 2 2 3 3 3 2" xfId="6346"/>
    <cellStyle name="Notas 2 2 3 3 3 2 2" xfId="12549"/>
    <cellStyle name="Notas 2 2 3 3 3 2 3" xfId="18751"/>
    <cellStyle name="Notas 2 2 3 3 3 2 4" xfId="57536"/>
    <cellStyle name="Notas 2 2 3 3 3 3" xfId="9449"/>
    <cellStyle name="Notas 2 2 3 3 3 4" xfId="15651"/>
    <cellStyle name="Notas 2 2 3 3 3 5" xfId="54618"/>
    <cellStyle name="Notas 2 2 3 3 4" xfId="4274"/>
    <cellStyle name="Notas 2 2 3 3 4 2" xfId="10478"/>
    <cellStyle name="Notas 2 2 3 3 4 3" xfId="16680"/>
    <cellStyle name="Notas 2 2 3 3 4 4" xfId="55571"/>
    <cellStyle name="Notas 2 2 3 3 5" xfId="7377"/>
    <cellStyle name="Notas 2 2 3 3 5 2" xfId="19572"/>
    <cellStyle name="Notas 2 2 3 3 6" xfId="13579"/>
    <cellStyle name="Notas 2 2 3 3 7" xfId="52723"/>
    <cellStyle name="Notas 2 2 3 4" xfId="1447"/>
    <cellStyle name="Notas 2 2 3 4 2" xfId="4572"/>
    <cellStyle name="Notas 2 2 3 4 2 2" xfId="10775"/>
    <cellStyle name="Notas 2 2 3 4 2 3" xfId="16977"/>
    <cellStyle name="Notas 2 2 3 4 2 4" xfId="55857"/>
    <cellStyle name="Notas 2 2 3 4 3" xfId="7675"/>
    <cellStyle name="Notas 2 2 3 4 4" xfId="13877"/>
    <cellStyle name="Notas 2 2 3 4 5" xfId="52975"/>
    <cellStyle name="Notas 2 2 3 5" xfId="3232"/>
    <cellStyle name="Notas 2 2 3 5 2" xfId="6343"/>
    <cellStyle name="Notas 2 2 3 5 2 2" xfId="12546"/>
    <cellStyle name="Notas 2 2 3 5 2 3" xfId="18748"/>
    <cellStyle name="Notas 2 2 3 5 2 4" xfId="57533"/>
    <cellStyle name="Notas 2 2 3 5 3" xfId="9446"/>
    <cellStyle name="Notas 2 2 3 5 4" xfId="15648"/>
    <cellStyle name="Notas 2 2 3 5 5" xfId="54615"/>
    <cellStyle name="Notas 2 2 3 6" xfId="4271"/>
    <cellStyle name="Notas 2 2 3 6 2" xfId="10475"/>
    <cellStyle name="Notas 2 2 3 6 3" xfId="16677"/>
    <cellStyle name="Notas 2 2 3 6 4" xfId="55568"/>
    <cellStyle name="Notas 2 2 3 7" xfId="7374"/>
    <cellStyle name="Notas 2 2 3 7 2" xfId="19048"/>
    <cellStyle name="Notas 2 2 3 8" xfId="13576"/>
    <cellStyle name="Notas 2 2 3 9" xfId="37545"/>
    <cellStyle name="Notas 2 2 4" xfId="1074"/>
    <cellStyle name="Notas 2 2 4 2" xfId="1075"/>
    <cellStyle name="Notas 2 2 4 2 2" xfId="2099"/>
    <cellStyle name="Notas 2 2 4 2 2 2" xfId="5224"/>
    <cellStyle name="Notas 2 2 4 2 2 2 2" xfId="11427"/>
    <cellStyle name="Notas 2 2 4 2 2 2 3" xfId="17629"/>
    <cellStyle name="Notas 2 2 4 2 2 2 4" xfId="56472"/>
    <cellStyle name="Notas 2 2 4 2 2 3" xfId="8327"/>
    <cellStyle name="Notas 2 2 4 2 2 4" xfId="14529"/>
    <cellStyle name="Notas 2 2 4 2 2 5" xfId="53576"/>
    <cellStyle name="Notas 2 2 4 2 3" xfId="3237"/>
    <cellStyle name="Notas 2 2 4 2 3 2" xfId="6348"/>
    <cellStyle name="Notas 2 2 4 2 3 2 2" xfId="12551"/>
    <cellStyle name="Notas 2 2 4 2 3 2 3" xfId="18753"/>
    <cellStyle name="Notas 2 2 4 2 3 2 4" xfId="57538"/>
    <cellStyle name="Notas 2 2 4 2 3 3" xfId="9451"/>
    <cellStyle name="Notas 2 2 4 2 3 4" xfId="15653"/>
    <cellStyle name="Notas 2 2 4 2 3 5" xfId="54620"/>
    <cellStyle name="Notas 2 2 4 2 4" xfId="4276"/>
    <cellStyle name="Notas 2 2 4 2 4 2" xfId="10480"/>
    <cellStyle name="Notas 2 2 4 2 4 3" xfId="16682"/>
    <cellStyle name="Notas 2 2 4 2 4 4" xfId="55573"/>
    <cellStyle name="Notas 2 2 4 2 5" xfId="7379"/>
    <cellStyle name="Notas 2 2 4 2 5 2" xfId="19700"/>
    <cellStyle name="Notas 2 2 4 2 6" xfId="13581"/>
    <cellStyle name="Notas 2 2 4 2 7" xfId="52725"/>
    <cellStyle name="Notas 2 2 4 3" xfId="1575"/>
    <cellStyle name="Notas 2 2 4 3 2" xfId="4700"/>
    <cellStyle name="Notas 2 2 4 3 2 2" xfId="10903"/>
    <cellStyle name="Notas 2 2 4 3 2 3" xfId="17105"/>
    <cellStyle name="Notas 2 2 4 3 2 4" xfId="55978"/>
    <cellStyle name="Notas 2 2 4 3 3" xfId="7803"/>
    <cellStyle name="Notas 2 2 4 3 4" xfId="14005"/>
    <cellStyle name="Notas 2 2 4 3 5" xfId="53091"/>
    <cellStyle name="Notas 2 2 4 4" xfId="3236"/>
    <cellStyle name="Notas 2 2 4 4 2" xfId="6347"/>
    <cellStyle name="Notas 2 2 4 4 2 2" xfId="12550"/>
    <cellStyle name="Notas 2 2 4 4 2 3" xfId="18752"/>
    <cellStyle name="Notas 2 2 4 4 2 4" xfId="57537"/>
    <cellStyle name="Notas 2 2 4 4 3" xfId="9450"/>
    <cellStyle name="Notas 2 2 4 4 4" xfId="15652"/>
    <cellStyle name="Notas 2 2 4 4 5" xfId="54619"/>
    <cellStyle name="Notas 2 2 4 5" xfId="4275"/>
    <cellStyle name="Notas 2 2 4 5 2" xfId="10479"/>
    <cellStyle name="Notas 2 2 4 5 3" xfId="16681"/>
    <cellStyle name="Notas 2 2 4 5 4" xfId="55572"/>
    <cellStyle name="Notas 2 2 4 6" xfId="7378"/>
    <cellStyle name="Notas 2 2 4 6 2" xfId="19176"/>
    <cellStyle name="Notas 2 2 4 6 3" xfId="52724"/>
    <cellStyle name="Notas 2 2 4 7" xfId="13580"/>
    <cellStyle name="Notas 2 2 4 8" xfId="48459"/>
    <cellStyle name="Notas 2 2 5" xfId="1076"/>
    <cellStyle name="Notas 2 2 5 2" xfId="1829"/>
    <cellStyle name="Notas 2 2 5 2 2" xfId="4954"/>
    <cellStyle name="Notas 2 2 5 2 2 2" xfId="11157"/>
    <cellStyle name="Notas 2 2 5 2 2 3" xfId="17359"/>
    <cellStyle name="Notas 2 2 5 2 2 4" xfId="56218"/>
    <cellStyle name="Notas 2 2 5 2 3" xfId="8057"/>
    <cellStyle name="Notas 2 2 5 2 4" xfId="14259"/>
    <cellStyle name="Notas 2 2 5 2 5" xfId="53324"/>
    <cellStyle name="Notas 2 2 5 3" xfId="3238"/>
    <cellStyle name="Notas 2 2 5 3 2" xfId="6349"/>
    <cellStyle name="Notas 2 2 5 3 2 2" xfId="12552"/>
    <cellStyle name="Notas 2 2 5 3 2 3" xfId="18754"/>
    <cellStyle name="Notas 2 2 5 3 2 4" xfId="57539"/>
    <cellStyle name="Notas 2 2 5 3 3" xfId="9452"/>
    <cellStyle name="Notas 2 2 5 3 4" xfId="15654"/>
    <cellStyle name="Notas 2 2 5 3 5" xfId="54621"/>
    <cellStyle name="Notas 2 2 5 4" xfId="4277"/>
    <cellStyle name="Notas 2 2 5 4 2" xfId="10481"/>
    <cellStyle name="Notas 2 2 5 4 3" xfId="16683"/>
    <cellStyle name="Notas 2 2 5 4 4" xfId="55574"/>
    <cellStyle name="Notas 2 2 5 5" xfId="7380"/>
    <cellStyle name="Notas 2 2 5 5 2" xfId="19430"/>
    <cellStyle name="Notas 2 2 5 6" xfId="13582"/>
    <cellStyle name="Notas 2 2 5 7" xfId="51948"/>
    <cellStyle name="Notas 2 2 6" xfId="1305"/>
    <cellStyle name="Notas 2 2 6 2" xfId="4430"/>
    <cellStyle name="Notas 2 2 6 2 2" xfId="10633"/>
    <cellStyle name="Notas 2 2 6 2 3" xfId="16835"/>
    <cellStyle name="Notas 2 2 6 2 4" xfId="55721"/>
    <cellStyle name="Notas 2 2 6 3" xfId="7533"/>
    <cellStyle name="Notas 2 2 6 4" xfId="13735"/>
    <cellStyle name="Notas 2 2 6 5" xfId="52850"/>
    <cellStyle name="Notas 2 2 7" xfId="3223"/>
    <cellStyle name="Notas 2 2 7 2" xfId="6334"/>
    <cellStyle name="Notas 2 2 7 2 2" xfId="12537"/>
    <cellStyle name="Notas 2 2 7 2 3" xfId="18739"/>
    <cellStyle name="Notas 2 2 7 2 4" xfId="57524"/>
    <cellStyle name="Notas 2 2 7 3" xfId="9437"/>
    <cellStyle name="Notas 2 2 7 4" xfId="15639"/>
    <cellStyle name="Notas 2 2 7 5" xfId="54606"/>
    <cellStyle name="Notas 2 2 8" xfId="4262"/>
    <cellStyle name="Notas 2 2 8 2" xfId="10466"/>
    <cellStyle name="Notas 2 2 8 3" xfId="16668"/>
    <cellStyle name="Notas 2 2 8 4" xfId="55559"/>
    <cellStyle name="Notas 2 2 9" xfId="7365"/>
    <cellStyle name="Notas 2 2 9 2" xfId="18906"/>
    <cellStyle name="Notas 2 3" xfId="1077"/>
    <cellStyle name="Notas 2 3 10" xfId="20013"/>
    <cellStyle name="Notas 2 3 2" xfId="1078"/>
    <cellStyle name="Notas 2 3 2 2" xfId="1079"/>
    <cellStyle name="Notas 2 3 2 2 2" xfId="1080"/>
    <cellStyle name="Notas 2 3 2 2 2 2" xfId="2256"/>
    <cellStyle name="Notas 2 3 2 2 2 2 2" xfId="5381"/>
    <cellStyle name="Notas 2 3 2 2 2 2 2 2" xfId="11584"/>
    <cellStyle name="Notas 2 3 2 2 2 2 2 3" xfId="17786"/>
    <cellStyle name="Notas 2 3 2 2 2 2 2 4" xfId="56618"/>
    <cellStyle name="Notas 2 3 2 2 2 2 3" xfId="8484"/>
    <cellStyle name="Notas 2 3 2 2 2 2 4" xfId="14686"/>
    <cellStyle name="Notas 2 3 2 2 2 2 5" xfId="53722"/>
    <cellStyle name="Notas 2 3 2 2 2 3" xfId="3242"/>
    <cellStyle name="Notas 2 3 2 2 2 3 2" xfId="6353"/>
    <cellStyle name="Notas 2 3 2 2 2 3 2 2" xfId="12556"/>
    <cellStyle name="Notas 2 3 2 2 2 3 2 3" xfId="18758"/>
    <cellStyle name="Notas 2 3 2 2 2 3 2 4" xfId="57543"/>
    <cellStyle name="Notas 2 3 2 2 2 3 3" xfId="9456"/>
    <cellStyle name="Notas 2 3 2 2 2 3 4" xfId="15658"/>
    <cellStyle name="Notas 2 3 2 2 2 3 5" xfId="54625"/>
    <cellStyle name="Notas 2 3 2 2 2 4" xfId="4281"/>
    <cellStyle name="Notas 2 3 2 2 2 4 2" xfId="10485"/>
    <cellStyle name="Notas 2 3 2 2 2 4 3" xfId="16687"/>
    <cellStyle name="Notas 2 3 2 2 2 4 4" xfId="55578"/>
    <cellStyle name="Notas 2 3 2 2 2 5" xfId="7384"/>
    <cellStyle name="Notas 2 3 2 2 2 5 2" xfId="19857"/>
    <cellStyle name="Notas 2 3 2 2 2 6" xfId="13586"/>
    <cellStyle name="Notas 2 3 2 2 2 7" xfId="52727"/>
    <cellStyle name="Notas 2 3 2 2 3" xfId="1732"/>
    <cellStyle name="Notas 2 3 2 2 3 2" xfId="4857"/>
    <cellStyle name="Notas 2 3 2 2 3 2 2" xfId="11060"/>
    <cellStyle name="Notas 2 3 2 2 3 2 3" xfId="17262"/>
    <cellStyle name="Notas 2 3 2 2 3 2 4" xfId="56128"/>
    <cellStyle name="Notas 2 3 2 2 3 3" xfId="7960"/>
    <cellStyle name="Notas 2 3 2 2 3 4" xfId="14162"/>
    <cellStyle name="Notas 2 3 2 2 3 5" xfId="53237"/>
    <cellStyle name="Notas 2 3 2 2 4" xfId="3241"/>
    <cellStyle name="Notas 2 3 2 2 4 2" xfId="6352"/>
    <cellStyle name="Notas 2 3 2 2 4 2 2" xfId="12555"/>
    <cellStyle name="Notas 2 3 2 2 4 2 3" xfId="18757"/>
    <cellStyle name="Notas 2 3 2 2 4 2 4" xfId="57542"/>
    <cellStyle name="Notas 2 3 2 2 4 3" xfId="9455"/>
    <cellStyle name="Notas 2 3 2 2 4 4" xfId="15657"/>
    <cellStyle name="Notas 2 3 2 2 4 5" xfId="54624"/>
    <cellStyle name="Notas 2 3 2 2 5" xfId="4280"/>
    <cellStyle name="Notas 2 3 2 2 5 2" xfId="10484"/>
    <cellStyle name="Notas 2 3 2 2 5 3" xfId="16686"/>
    <cellStyle name="Notas 2 3 2 2 5 4" xfId="55577"/>
    <cellStyle name="Notas 2 3 2 2 6" xfId="7383"/>
    <cellStyle name="Notas 2 3 2 2 6 2" xfId="19333"/>
    <cellStyle name="Notas 2 3 2 2 6 3" xfId="52726"/>
    <cellStyle name="Notas 2 3 2 2 7" xfId="13585"/>
    <cellStyle name="Notas 2 3 2 2 8" xfId="48461"/>
    <cellStyle name="Notas 2 3 2 3" xfId="1081"/>
    <cellStyle name="Notas 2 3 2 3 2" xfId="2011"/>
    <cellStyle name="Notas 2 3 2 3 2 2" xfId="5136"/>
    <cellStyle name="Notas 2 3 2 3 2 2 2" xfId="11339"/>
    <cellStyle name="Notas 2 3 2 3 2 2 3" xfId="17541"/>
    <cellStyle name="Notas 2 3 2 3 2 2 4" xfId="56391"/>
    <cellStyle name="Notas 2 3 2 3 2 3" xfId="8239"/>
    <cellStyle name="Notas 2 3 2 3 2 4" xfId="14441"/>
    <cellStyle name="Notas 2 3 2 3 2 5" xfId="53496"/>
    <cellStyle name="Notas 2 3 2 3 3" xfId="3243"/>
    <cellStyle name="Notas 2 3 2 3 3 2" xfId="6354"/>
    <cellStyle name="Notas 2 3 2 3 3 2 2" xfId="12557"/>
    <cellStyle name="Notas 2 3 2 3 3 2 3" xfId="18759"/>
    <cellStyle name="Notas 2 3 2 3 3 2 4" xfId="57544"/>
    <cellStyle name="Notas 2 3 2 3 3 3" xfId="9457"/>
    <cellStyle name="Notas 2 3 2 3 3 4" xfId="15659"/>
    <cellStyle name="Notas 2 3 2 3 3 5" xfId="54626"/>
    <cellStyle name="Notas 2 3 2 3 4" xfId="4282"/>
    <cellStyle name="Notas 2 3 2 3 4 2" xfId="10486"/>
    <cellStyle name="Notas 2 3 2 3 4 3" xfId="16688"/>
    <cellStyle name="Notas 2 3 2 3 4 4" xfId="55579"/>
    <cellStyle name="Notas 2 3 2 3 5" xfId="7385"/>
    <cellStyle name="Notas 2 3 2 3 5 2" xfId="19612"/>
    <cellStyle name="Notas 2 3 2 3 6" xfId="13587"/>
    <cellStyle name="Notas 2 3 2 3 7" xfId="52130"/>
    <cellStyle name="Notas 2 3 2 4" xfId="1487"/>
    <cellStyle name="Notas 2 3 2 4 2" xfId="4612"/>
    <cellStyle name="Notas 2 3 2 4 2 2" xfId="10815"/>
    <cellStyle name="Notas 2 3 2 4 2 3" xfId="17017"/>
    <cellStyle name="Notas 2 3 2 4 2 4" xfId="55896"/>
    <cellStyle name="Notas 2 3 2 4 3" xfId="7715"/>
    <cellStyle name="Notas 2 3 2 4 4" xfId="13917"/>
    <cellStyle name="Notas 2 3 2 4 5" xfId="53012"/>
    <cellStyle name="Notas 2 3 2 5" xfId="3240"/>
    <cellStyle name="Notas 2 3 2 5 2" xfId="6351"/>
    <cellStyle name="Notas 2 3 2 5 2 2" xfId="12554"/>
    <cellStyle name="Notas 2 3 2 5 2 3" xfId="18756"/>
    <cellStyle name="Notas 2 3 2 5 2 4" xfId="57541"/>
    <cellStyle name="Notas 2 3 2 5 3" xfId="9454"/>
    <cellStyle name="Notas 2 3 2 5 4" xfId="15656"/>
    <cellStyle name="Notas 2 3 2 5 5" xfId="54623"/>
    <cellStyle name="Notas 2 3 2 6" xfId="4279"/>
    <cellStyle name="Notas 2 3 2 6 2" xfId="10483"/>
    <cellStyle name="Notas 2 3 2 6 3" xfId="16685"/>
    <cellStyle name="Notas 2 3 2 6 4" xfId="55576"/>
    <cellStyle name="Notas 2 3 2 7" xfId="7382"/>
    <cellStyle name="Notas 2 3 2 7 2" xfId="19088"/>
    <cellStyle name="Notas 2 3 2 8" xfId="13584"/>
    <cellStyle name="Notas 2 3 2 9" xfId="37548"/>
    <cellStyle name="Notas 2 3 3" xfId="1082"/>
    <cellStyle name="Notas 2 3 3 2" xfId="1083"/>
    <cellStyle name="Notas 2 3 3 2 2" xfId="2128"/>
    <cellStyle name="Notas 2 3 3 2 2 2" xfId="5253"/>
    <cellStyle name="Notas 2 3 3 2 2 2 2" xfId="11456"/>
    <cellStyle name="Notas 2 3 3 2 2 2 3" xfId="17658"/>
    <cellStyle name="Notas 2 3 3 2 2 2 4" xfId="56499"/>
    <cellStyle name="Notas 2 3 3 2 2 3" xfId="8356"/>
    <cellStyle name="Notas 2 3 3 2 2 4" xfId="14558"/>
    <cellStyle name="Notas 2 3 3 2 2 5" xfId="53603"/>
    <cellStyle name="Notas 2 3 3 2 3" xfId="3245"/>
    <cellStyle name="Notas 2 3 3 2 3 2" xfId="6356"/>
    <cellStyle name="Notas 2 3 3 2 3 2 2" xfId="12559"/>
    <cellStyle name="Notas 2 3 3 2 3 2 3" xfId="18761"/>
    <cellStyle name="Notas 2 3 3 2 3 2 4" xfId="57546"/>
    <cellStyle name="Notas 2 3 3 2 3 3" xfId="9459"/>
    <cellStyle name="Notas 2 3 3 2 3 4" xfId="15661"/>
    <cellStyle name="Notas 2 3 3 2 3 5" xfId="54628"/>
    <cellStyle name="Notas 2 3 3 2 4" xfId="4284"/>
    <cellStyle name="Notas 2 3 3 2 4 2" xfId="10488"/>
    <cellStyle name="Notas 2 3 3 2 4 3" xfId="16690"/>
    <cellStyle name="Notas 2 3 3 2 4 4" xfId="55581"/>
    <cellStyle name="Notas 2 3 3 2 5" xfId="7387"/>
    <cellStyle name="Notas 2 3 3 2 5 2" xfId="19729"/>
    <cellStyle name="Notas 2 3 3 2 6" xfId="13589"/>
    <cellStyle name="Notas 2 3 3 2 7" xfId="52729"/>
    <cellStyle name="Notas 2 3 3 3" xfId="1604"/>
    <cellStyle name="Notas 2 3 3 3 2" xfId="4729"/>
    <cellStyle name="Notas 2 3 3 3 2 2" xfId="10932"/>
    <cellStyle name="Notas 2 3 3 3 2 3" xfId="17134"/>
    <cellStyle name="Notas 2 3 3 3 2 4" xfId="56006"/>
    <cellStyle name="Notas 2 3 3 3 3" xfId="7832"/>
    <cellStyle name="Notas 2 3 3 3 4" xfId="14034"/>
    <cellStyle name="Notas 2 3 3 3 5" xfId="53118"/>
    <cellStyle name="Notas 2 3 3 4" xfId="3244"/>
    <cellStyle name="Notas 2 3 3 4 2" xfId="6355"/>
    <cellStyle name="Notas 2 3 3 4 2 2" xfId="12558"/>
    <cellStyle name="Notas 2 3 3 4 2 3" xfId="18760"/>
    <cellStyle name="Notas 2 3 3 4 2 4" xfId="57545"/>
    <cellStyle name="Notas 2 3 3 4 3" xfId="9458"/>
    <cellStyle name="Notas 2 3 3 4 4" xfId="15660"/>
    <cellStyle name="Notas 2 3 3 4 5" xfId="54627"/>
    <cellStyle name="Notas 2 3 3 5" xfId="4283"/>
    <cellStyle name="Notas 2 3 3 5 2" xfId="10487"/>
    <cellStyle name="Notas 2 3 3 5 3" xfId="16689"/>
    <cellStyle name="Notas 2 3 3 5 4" xfId="55580"/>
    <cellStyle name="Notas 2 3 3 6" xfId="7386"/>
    <cellStyle name="Notas 2 3 3 6 2" xfId="19205"/>
    <cellStyle name="Notas 2 3 3 6 3" xfId="52728"/>
    <cellStyle name="Notas 2 3 3 7" xfId="13588"/>
    <cellStyle name="Notas 2 3 3 8" xfId="37547"/>
    <cellStyle name="Notas 2 3 4" xfId="1084"/>
    <cellStyle name="Notas 2 3 4 2" xfId="1869"/>
    <cellStyle name="Notas 2 3 4 2 2" xfId="4994"/>
    <cellStyle name="Notas 2 3 4 2 2 2" xfId="11197"/>
    <cellStyle name="Notas 2 3 4 2 2 3" xfId="17399"/>
    <cellStyle name="Notas 2 3 4 2 2 4" xfId="56257"/>
    <cellStyle name="Notas 2 3 4 2 3" xfId="8097"/>
    <cellStyle name="Notas 2 3 4 2 4" xfId="14299"/>
    <cellStyle name="Notas 2 3 4 2 5" xfId="53363"/>
    <cellStyle name="Notas 2 3 4 3" xfId="3246"/>
    <cellStyle name="Notas 2 3 4 3 2" xfId="6357"/>
    <cellStyle name="Notas 2 3 4 3 2 2" xfId="12560"/>
    <cellStyle name="Notas 2 3 4 3 2 3" xfId="18762"/>
    <cellStyle name="Notas 2 3 4 3 2 4" xfId="57547"/>
    <cellStyle name="Notas 2 3 4 3 3" xfId="9460"/>
    <cellStyle name="Notas 2 3 4 3 4" xfId="15662"/>
    <cellStyle name="Notas 2 3 4 3 5" xfId="54629"/>
    <cellStyle name="Notas 2 3 4 4" xfId="4285"/>
    <cellStyle name="Notas 2 3 4 4 2" xfId="10489"/>
    <cellStyle name="Notas 2 3 4 4 3" xfId="16691"/>
    <cellStyle name="Notas 2 3 4 4 4" xfId="55582"/>
    <cellStyle name="Notas 2 3 4 5" xfId="7388"/>
    <cellStyle name="Notas 2 3 4 5 2" xfId="19470"/>
    <cellStyle name="Notas 2 3 4 5 3" xfId="52730"/>
    <cellStyle name="Notas 2 3 4 6" xfId="13590"/>
    <cellStyle name="Notas 2 3 4 7" xfId="48460"/>
    <cellStyle name="Notas 2 3 5" xfId="1345"/>
    <cellStyle name="Notas 2 3 5 2" xfId="4470"/>
    <cellStyle name="Notas 2 3 5 2 2" xfId="10673"/>
    <cellStyle name="Notas 2 3 5 2 3" xfId="16875"/>
    <cellStyle name="Notas 2 3 5 2 4" xfId="55760"/>
    <cellStyle name="Notas 2 3 5 3" xfId="7573"/>
    <cellStyle name="Notas 2 3 5 4" xfId="13775"/>
    <cellStyle name="Notas 2 3 5 5" xfId="52886"/>
    <cellStyle name="Notas 2 3 6" xfId="3239"/>
    <cellStyle name="Notas 2 3 6 2" xfId="6350"/>
    <cellStyle name="Notas 2 3 6 2 2" xfId="12553"/>
    <cellStyle name="Notas 2 3 6 2 3" xfId="18755"/>
    <cellStyle name="Notas 2 3 6 2 4" xfId="57540"/>
    <cellStyle name="Notas 2 3 6 3" xfId="9453"/>
    <cellStyle name="Notas 2 3 6 4" xfId="15655"/>
    <cellStyle name="Notas 2 3 6 5" xfId="54622"/>
    <cellStyle name="Notas 2 3 7" xfId="4278"/>
    <cellStyle name="Notas 2 3 7 2" xfId="10482"/>
    <cellStyle name="Notas 2 3 7 3" xfId="16684"/>
    <cellStyle name="Notas 2 3 7 4" xfId="55575"/>
    <cellStyle name="Notas 2 3 8" xfId="7381"/>
    <cellStyle name="Notas 2 3 8 2" xfId="18946"/>
    <cellStyle name="Notas 2 3 9" xfId="13583"/>
    <cellStyle name="Notas 2 4" xfId="1085"/>
    <cellStyle name="Notas 2 4 2" xfId="1086"/>
    <cellStyle name="Notas 2 4 2 2" xfId="1087"/>
    <cellStyle name="Notas 2 4 2 2 2" xfId="2180"/>
    <cellStyle name="Notas 2 4 2 2 2 2" xfId="5305"/>
    <cellStyle name="Notas 2 4 2 2 2 2 2" xfId="11508"/>
    <cellStyle name="Notas 2 4 2 2 2 2 3" xfId="17710"/>
    <cellStyle name="Notas 2 4 2 2 2 2 4" xfId="56547"/>
    <cellStyle name="Notas 2 4 2 2 2 3" xfId="8408"/>
    <cellStyle name="Notas 2 4 2 2 2 4" xfId="14610"/>
    <cellStyle name="Notas 2 4 2 2 2 5" xfId="53651"/>
    <cellStyle name="Notas 2 4 2 2 3" xfId="3249"/>
    <cellStyle name="Notas 2 4 2 2 3 2" xfId="6360"/>
    <cellStyle name="Notas 2 4 2 2 3 2 2" xfId="12563"/>
    <cellStyle name="Notas 2 4 2 2 3 2 3" xfId="18765"/>
    <cellStyle name="Notas 2 4 2 2 3 2 4" xfId="57550"/>
    <cellStyle name="Notas 2 4 2 2 3 3" xfId="9463"/>
    <cellStyle name="Notas 2 4 2 2 3 4" xfId="15665"/>
    <cellStyle name="Notas 2 4 2 2 3 5" xfId="54632"/>
    <cellStyle name="Notas 2 4 2 2 4" xfId="4288"/>
    <cellStyle name="Notas 2 4 2 2 4 2" xfId="10492"/>
    <cellStyle name="Notas 2 4 2 2 4 3" xfId="16694"/>
    <cellStyle name="Notas 2 4 2 2 4 4" xfId="55585"/>
    <cellStyle name="Notas 2 4 2 2 5" xfId="7391"/>
    <cellStyle name="Notas 2 4 2 2 5 2" xfId="19781"/>
    <cellStyle name="Notas 2 4 2 2 6" xfId="13593"/>
    <cellStyle name="Notas 2 4 2 2 7" xfId="52732"/>
    <cellStyle name="Notas 2 4 2 3" xfId="1656"/>
    <cellStyle name="Notas 2 4 2 3 2" xfId="4781"/>
    <cellStyle name="Notas 2 4 2 3 2 2" xfId="10984"/>
    <cellStyle name="Notas 2 4 2 3 2 3" xfId="17186"/>
    <cellStyle name="Notas 2 4 2 3 2 4" xfId="56056"/>
    <cellStyle name="Notas 2 4 2 3 3" xfId="7884"/>
    <cellStyle name="Notas 2 4 2 3 4" xfId="14086"/>
    <cellStyle name="Notas 2 4 2 3 5" xfId="53166"/>
    <cellStyle name="Notas 2 4 2 4" xfId="3248"/>
    <cellStyle name="Notas 2 4 2 4 2" xfId="6359"/>
    <cellStyle name="Notas 2 4 2 4 2 2" xfId="12562"/>
    <cellStyle name="Notas 2 4 2 4 2 3" xfId="18764"/>
    <cellStyle name="Notas 2 4 2 4 2 4" xfId="57549"/>
    <cellStyle name="Notas 2 4 2 4 3" xfId="9462"/>
    <cellStyle name="Notas 2 4 2 4 4" xfId="15664"/>
    <cellStyle name="Notas 2 4 2 4 5" xfId="54631"/>
    <cellStyle name="Notas 2 4 2 5" xfId="4287"/>
    <cellStyle name="Notas 2 4 2 5 2" xfId="10491"/>
    <cellStyle name="Notas 2 4 2 5 3" xfId="16693"/>
    <cellStyle name="Notas 2 4 2 5 4" xfId="55584"/>
    <cellStyle name="Notas 2 4 2 6" xfId="7390"/>
    <cellStyle name="Notas 2 4 2 6 2" xfId="19257"/>
    <cellStyle name="Notas 2 4 2 6 3" xfId="52731"/>
    <cellStyle name="Notas 2 4 2 7" xfId="13592"/>
    <cellStyle name="Notas 2 4 2 8" xfId="48462"/>
    <cellStyle name="Notas 2 4 3" xfId="1088"/>
    <cellStyle name="Notas 2 4 3 2" xfId="1935"/>
    <cellStyle name="Notas 2 4 3 2 2" xfId="5060"/>
    <cellStyle name="Notas 2 4 3 2 2 2" xfId="11263"/>
    <cellStyle name="Notas 2 4 3 2 2 3" xfId="17465"/>
    <cellStyle name="Notas 2 4 3 2 2 4" xfId="56320"/>
    <cellStyle name="Notas 2 4 3 2 3" xfId="8163"/>
    <cellStyle name="Notas 2 4 3 2 4" xfId="14365"/>
    <cellStyle name="Notas 2 4 3 2 5" xfId="53426"/>
    <cellStyle name="Notas 2 4 3 3" xfId="3250"/>
    <cellStyle name="Notas 2 4 3 3 2" xfId="6361"/>
    <cellStyle name="Notas 2 4 3 3 2 2" xfId="12564"/>
    <cellStyle name="Notas 2 4 3 3 2 3" xfId="18766"/>
    <cellStyle name="Notas 2 4 3 3 2 4" xfId="57551"/>
    <cellStyle name="Notas 2 4 3 3 3" xfId="9464"/>
    <cellStyle name="Notas 2 4 3 3 4" xfId="15666"/>
    <cellStyle name="Notas 2 4 3 3 5" xfId="54633"/>
    <cellStyle name="Notas 2 4 3 4" xfId="4289"/>
    <cellStyle name="Notas 2 4 3 4 2" xfId="10493"/>
    <cellStyle name="Notas 2 4 3 4 3" xfId="16695"/>
    <cellStyle name="Notas 2 4 3 4 4" xfId="55586"/>
    <cellStyle name="Notas 2 4 3 5" xfId="7392"/>
    <cellStyle name="Notas 2 4 3 5 2" xfId="19536"/>
    <cellStyle name="Notas 2 4 3 6" xfId="13594"/>
    <cellStyle name="Notas 2 4 3 7" xfId="52063"/>
    <cellStyle name="Notas 2 4 4" xfId="1411"/>
    <cellStyle name="Notas 2 4 4 2" xfId="4536"/>
    <cellStyle name="Notas 2 4 4 2 2" xfId="10739"/>
    <cellStyle name="Notas 2 4 4 2 3" xfId="16941"/>
    <cellStyle name="Notas 2 4 4 2 4" xfId="55824"/>
    <cellStyle name="Notas 2 4 4 3" xfId="7639"/>
    <cellStyle name="Notas 2 4 4 4" xfId="13841"/>
    <cellStyle name="Notas 2 4 4 5" xfId="52942"/>
    <cellStyle name="Notas 2 4 5" xfId="3247"/>
    <cellStyle name="Notas 2 4 5 2" xfId="6358"/>
    <cellStyle name="Notas 2 4 5 2 2" xfId="12561"/>
    <cellStyle name="Notas 2 4 5 2 3" xfId="18763"/>
    <cellStyle name="Notas 2 4 5 2 4" xfId="57548"/>
    <cellStyle name="Notas 2 4 5 3" xfId="9461"/>
    <cellStyle name="Notas 2 4 5 4" xfId="15663"/>
    <cellStyle name="Notas 2 4 5 5" xfId="54630"/>
    <cellStyle name="Notas 2 4 6" xfId="4286"/>
    <cellStyle name="Notas 2 4 6 2" xfId="10490"/>
    <cellStyle name="Notas 2 4 6 3" xfId="16692"/>
    <cellStyle name="Notas 2 4 6 4" xfId="55583"/>
    <cellStyle name="Notas 2 4 7" xfId="7389"/>
    <cellStyle name="Notas 2 4 7 2" xfId="19012"/>
    <cellStyle name="Notas 2 4 8" xfId="13591"/>
    <cellStyle name="Notas 2 4 9" xfId="37549"/>
    <cellStyle name="Notas 2 5" xfId="1089"/>
    <cellStyle name="Notas 2 5 10" xfId="37551"/>
    <cellStyle name="Notas 2 5 10 2" xfId="37552"/>
    <cellStyle name="Notas 2 5 10 2 2" xfId="37553"/>
    <cellStyle name="Notas 2 5 10 2 2 2" xfId="48466"/>
    <cellStyle name="Notas 2 5 10 2 3" xfId="48465"/>
    <cellStyle name="Notas 2 5 10 3" xfId="37554"/>
    <cellStyle name="Notas 2 5 10 3 2" xfId="48467"/>
    <cellStyle name="Notas 2 5 10 4" xfId="48464"/>
    <cellStyle name="Notas 2 5 11" xfId="37555"/>
    <cellStyle name="Notas 2 5 11 2" xfId="37556"/>
    <cellStyle name="Notas 2 5 11 2 2" xfId="37557"/>
    <cellStyle name="Notas 2 5 11 2 2 2" xfId="48470"/>
    <cellStyle name="Notas 2 5 11 2 3" xfId="48469"/>
    <cellStyle name="Notas 2 5 11 3" xfId="37558"/>
    <cellStyle name="Notas 2 5 11 3 2" xfId="48471"/>
    <cellStyle name="Notas 2 5 11 4" xfId="48468"/>
    <cellStyle name="Notas 2 5 12" xfId="37559"/>
    <cellStyle name="Notas 2 5 12 2" xfId="37560"/>
    <cellStyle name="Notas 2 5 12 2 2" xfId="48473"/>
    <cellStyle name="Notas 2 5 12 3" xfId="48472"/>
    <cellStyle name="Notas 2 5 13" xfId="37561"/>
    <cellStyle name="Notas 2 5 13 2" xfId="37562"/>
    <cellStyle name="Notas 2 5 13 2 2" xfId="48475"/>
    <cellStyle name="Notas 2 5 13 3" xfId="48474"/>
    <cellStyle name="Notas 2 5 14" xfId="37563"/>
    <cellStyle name="Notas 2 5 14 2" xfId="48476"/>
    <cellStyle name="Notas 2 5 15" xfId="37564"/>
    <cellStyle name="Notas 2 5 15 2" xfId="48477"/>
    <cellStyle name="Notas 2 5 16" xfId="48463"/>
    <cellStyle name="Notas 2 5 17" xfId="37550"/>
    <cellStyle name="Notas 2 5 2" xfId="1090"/>
    <cellStyle name="Notas 2 5 2 10" xfId="37566"/>
    <cellStyle name="Notas 2 5 2 10 2" xfId="37567"/>
    <cellStyle name="Notas 2 5 2 10 2 2" xfId="37568"/>
    <cellStyle name="Notas 2 5 2 10 2 2 2" xfId="48481"/>
    <cellStyle name="Notas 2 5 2 10 2 3" xfId="48480"/>
    <cellStyle name="Notas 2 5 2 10 3" xfId="37569"/>
    <cellStyle name="Notas 2 5 2 10 3 2" xfId="48482"/>
    <cellStyle name="Notas 2 5 2 10 4" xfId="48479"/>
    <cellStyle name="Notas 2 5 2 11" xfId="37570"/>
    <cellStyle name="Notas 2 5 2 11 2" xfId="37571"/>
    <cellStyle name="Notas 2 5 2 11 2 2" xfId="48484"/>
    <cellStyle name="Notas 2 5 2 11 3" xfId="48483"/>
    <cellStyle name="Notas 2 5 2 12" xfId="37572"/>
    <cellStyle name="Notas 2 5 2 12 2" xfId="37573"/>
    <cellStyle name="Notas 2 5 2 12 2 2" xfId="48486"/>
    <cellStyle name="Notas 2 5 2 12 3" xfId="48485"/>
    <cellStyle name="Notas 2 5 2 13" xfId="37574"/>
    <cellStyle name="Notas 2 5 2 13 2" xfId="48487"/>
    <cellStyle name="Notas 2 5 2 14" xfId="37575"/>
    <cellStyle name="Notas 2 5 2 14 2" xfId="48488"/>
    <cellStyle name="Notas 2 5 2 15" xfId="48478"/>
    <cellStyle name="Notas 2 5 2 16" xfId="37565"/>
    <cellStyle name="Notas 2 5 2 2" xfId="2075"/>
    <cellStyle name="Notas 2 5 2 2 2" xfId="5200"/>
    <cellStyle name="Notas 2 5 2 2 2 2" xfId="11403"/>
    <cellStyle name="Notas 2 5 2 2 2 2 2" xfId="37579"/>
    <cellStyle name="Notas 2 5 2 2 2 2 2 2" xfId="37580"/>
    <cellStyle name="Notas 2 5 2 2 2 2 2 2 2" xfId="37581"/>
    <cellStyle name="Notas 2 5 2 2 2 2 2 2 2 2" xfId="48494"/>
    <cellStyle name="Notas 2 5 2 2 2 2 2 2 3" xfId="48493"/>
    <cellStyle name="Notas 2 5 2 2 2 2 2 3" xfId="37582"/>
    <cellStyle name="Notas 2 5 2 2 2 2 2 3 2" xfId="37583"/>
    <cellStyle name="Notas 2 5 2 2 2 2 2 3 2 2" xfId="48496"/>
    <cellStyle name="Notas 2 5 2 2 2 2 2 3 3" xfId="48495"/>
    <cellStyle name="Notas 2 5 2 2 2 2 2 4" xfId="37584"/>
    <cellStyle name="Notas 2 5 2 2 2 2 2 4 2" xfId="48497"/>
    <cellStyle name="Notas 2 5 2 2 2 2 2 5" xfId="48492"/>
    <cellStyle name="Notas 2 5 2 2 2 2 3" xfId="37585"/>
    <cellStyle name="Notas 2 5 2 2 2 2 3 2" xfId="48498"/>
    <cellStyle name="Notas 2 5 2 2 2 2 4" xfId="37586"/>
    <cellStyle name="Notas 2 5 2 2 2 2 4 2" xfId="37587"/>
    <cellStyle name="Notas 2 5 2 2 2 2 4 2 2" xfId="48500"/>
    <cellStyle name="Notas 2 5 2 2 2 2 4 3" xfId="48499"/>
    <cellStyle name="Notas 2 5 2 2 2 2 5" xfId="37588"/>
    <cellStyle name="Notas 2 5 2 2 2 2 5 2" xfId="48501"/>
    <cellStyle name="Notas 2 5 2 2 2 2 6" xfId="48491"/>
    <cellStyle name="Notas 2 5 2 2 2 2 7" xfId="37578"/>
    <cellStyle name="Notas 2 5 2 2 2 3" xfId="17605"/>
    <cellStyle name="Notas 2 5 2 2 2 3 2" xfId="37590"/>
    <cellStyle name="Notas 2 5 2 2 2 3 2 2" xfId="37591"/>
    <cellStyle name="Notas 2 5 2 2 2 3 2 2 2" xfId="48504"/>
    <cellStyle name="Notas 2 5 2 2 2 3 2 3" xfId="48503"/>
    <cellStyle name="Notas 2 5 2 2 2 3 3" xfId="37592"/>
    <cellStyle name="Notas 2 5 2 2 2 3 3 2" xfId="37593"/>
    <cellStyle name="Notas 2 5 2 2 2 3 3 2 2" xfId="48506"/>
    <cellStyle name="Notas 2 5 2 2 2 3 3 3" xfId="48505"/>
    <cellStyle name="Notas 2 5 2 2 2 3 4" xfId="37594"/>
    <cellStyle name="Notas 2 5 2 2 2 3 4 2" xfId="48507"/>
    <cellStyle name="Notas 2 5 2 2 2 3 5" xfId="48502"/>
    <cellStyle name="Notas 2 5 2 2 2 3 6" xfId="37589"/>
    <cellStyle name="Notas 2 5 2 2 2 4" xfId="37595"/>
    <cellStyle name="Notas 2 5 2 2 2 4 2" xfId="48508"/>
    <cellStyle name="Notas 2 5 2 2 2 5" xfId="37596"/>
    <cellStyle name="Notas 2 5 2 2 2 5 2" xfId="37597"/>
    <cellStyle name="Notas 2 5 2 2 2 5 2 2" xfId="48510"/>
    <cellStyle name="Notas 2 5 2 2 2 5 3" xfId="48509"/>
    <cellStyle name="Notas 2 5 2 2 2 6" xfId="37598"/>
    <cellStyle name="Notas 2 5 2 2 2 6 2" xfId="48511"/>
    <cellStyle name="Notas 2 5 2 2 2 7" xfId="48490"/>
    <cellStyle name="Notas 2 5 2 2 2 8" xfId="37577"/>
    <cellStyle name="Notas 2 5 2 2 3" xfId="8303"/>
    <cellStyle name="Notas 2 5 2 2 3 2" xfId="37600"/>
    <cellStyle name="Notas 2 5 2 2 3 2 2" xfId="37601"/>
    <cellStyle name="Notas 2 5 2 2 3 2 2 2" xfId="37602"/>
    <cellStyle name="Notas 2 5 2 2 3 2 2 2 2" xfId="48515"/>
    <cellStyle name="Notas 2 5 2 2 3 2 2 3" xfId="48514"/>
    <cellStyle name="Notas 2 5 2 2 3 2 3" xfId="37603"/>
    <cellStyle name="Notas 2 5 2 2 3 2 3 2" xfId="37604"/>
    <cellStyle name="Notas 2 5 2 2 3 2 3 2 2" xfId="48517"/>
    <cellStyle name="Notas 2 5 2 2 3 2 3 3" xfId="48516"/>
    <cellStyle name="Notas 2 5 2 2 3 2 4" xfId="37605"/>
    <cellStyle name="Notas 2 5 2 2 3 2 4 2" xfId="48518"/>
    <cellStyle name="Notas 2 5 2 2 3 2 5" xfId="48513"/>
    <cellStyle name="Notas 2 5 2 2 3 3" xfId="37606"/>
    <cellStyle name="Notas 2 5 2 2 3 3 2" xfId="48519"/>
    <cellStyle name="Notas 2 5 2 2 3 4" xfId="37607"/>
    <cellStyle name="Notas 2 5 2 2 3 4 2" xfId="37608"/>
    <cellStyle name="Notas 2 5 2 2 3 4 2 2" xfId="48521"/>
    <cellStyle name="Notas 2 5 2 2 3 4 3" xfId="48520"/>
    <cellStyle name="Notas 2 5 2 2 3 5" xfId="37609"/>
    <cellStyle name="Notas 2 5 2 2 3 5 2" xfId="48522"/>
    <cellStyle name="Notas 2 5 2 2 3 6" xfId="48512"/>
    <cellStyle name="Notas 2 5 2 2 3 7" xfId="37599"/>
    <cellStyle name="Notas 2 5 2 2 4" xfId="14505"/>
    <cellStyle name="Notas 2 5 2 2 4 2" xfId="37611"/>
    <cellStyle name="Notas 2 5 2 2 4 2 2" xfId="37612"/>
    <cellStyle name="Notas 2 5 2 2 4 2 2 2" xfId="48525"/>
    <cellStyle name="Notas 2 5 2 2 4 2 3" xfId="48524"/>
    <cellStyle name="Notas 2 5 2 2 4 3" xfId="37613"/>
    <cellStyle name="Notas 2 5 2 2 4 3 2" xfId="37614"/>
    <cellStyle name="Notas 2 5 2 2 4 3 2 2" xfId="48527"/>
    <cellStyle name="Notas 2 5 2 2 4 3 3" xfId="48526"/>
    <cellStyle name="Notas 2 5 2 2 4 4" xfId="37615"/>
    <cellStyle name="Notas 2 5 2 2 4 4 2" xfId="48528"/>
    <cellStyle name="Notas 2 5 2 2 4 5" xfId="48523"/>
    <cellStyle name="Notas 2 5 2 2 4 6" xfId="37610"/>
    <cellStyle name="Notas 2 5 2 2 5" xfId="37616"/>
    <cellStyle name="Notas 2 5 2 2 5 2" xfId="48529"/>
    <cellStyle name="Notas 2 5 2 2 6" xfId="37617"/>
    <cellStyle name="Notas 2 5 2 2 6 2" xfId="37618"/>
    <cellStyle name="Notas 2 5 2 2 6 2 2" xfId="48531"/>
    <cellStyle name="Notas 2 5 2 2 6 3" xfId="48530"/>
    <cellStyle name="Notas 2 5 2 2 7" xfId="37619"/>
    <cellStyle name="Notas 2 5 2 2 7 2" xfId="48532"/>
    <cellStyle name="Notas 2 5 2 2 8" xfId="48489"/>
    <cellStyle name="Notas 2 5 2 2 9" xfId="37576"/>
    <cellStyle name="Notas 2 5 2 3" xfId="3252"/>
    <cellStyle name="Notas 2 5 2 3 2" xfId="6363"/>
    <cellStyle name="Notas 2 5 2 3 2 2" xfId="12566"/>
    <cellStyle name="Notas 2 5 2 3 2 2 2" xfId="37623"/>
    <cellStyle name="Notas 2 5 2 3 2 2 2 2" xfId="37624"/>
    <cellStyle name="Notas 2 5 2 3 2 2 2 2 2" xfId="37625"/>
    <cellStyle name="Notas 2 5 2 3 2 2 2 2 2 2" xfId="48538"/>
    <cellStyle name="Notas 2 5 2 3 2 2 2 2 3" xfId="48537"/>
    <cellStyle name="Notas 2 5 2 3 2 2 2 3" xfId="37626"/>
    <cellStyle name="Notas 2 5 2 3 2 2 2 3 2" xfId="37627"/>
    <cellStyle name="Notas 2 5 2 3 2 2 2 3 2 2" xfId="48540"/>
    <cellStyle name="Notas 2 5 2 3 2 2 2 3 3" xfId="48539"/>
    <cellStyle name="Notas 2 5 2 3 2 2 2 4" xfId="37628"/>
    <cellStyle name="Notas 2 5 2 3 2 2 2 4 2" xfId="48541"/>
    <cellStyle name="Notas 2 5 2 3 2 2 2 5" xfId="48536"/>
    <cellStyle name="Notas 2 5 2 3 2 2 3" xfId="37629"/>
    <cellStyle name="Notas 2 5 2 3 2 2 3 2" xfId="48542"/>
    <cellStyle name="Notas 2 5 2 3 2 2 4" xfId="37630"/>
    <cellStyle name="Notas 2 5 2 3 2 2 4 2" xfId="37631"/>
    <cellStyle name="Notas 2 5 2 3 2 2 4 2 2" xfId="48544"/>
    <cellStyle name="Notas 2 5 2 3 2 2 4 3" xfId="48543"/>
    <cellStyle name="Notas 2 5 2 3 2 2 5" xfId="37632"/>
    <cellStyle name="Notas 2 5 2 3 2 2 5 2" xfId="48545"/>
    <cellStyle name="Notas 2 5 2 3 2 2 6" xfId="48535"/>
    <cellStyle name="Notas 2 5 2 3 2 2 7" xfId="37622"/>
    <cellStyle name="Notas 2 5 2 3 2 3" xfId="18768"/>
    <cellStyle name="Notas 2 5 2 3 2 3 2" xfId="37634"/>
    <cellStyle name="Notas 2 5 2 3 2 3 2 2" xfId="37635"/>
    <cellStyle name="Notas 2 5 2 3 2 3 2 2 2" xfId="48548"/>
    <cellStyle name="Notas 2 5 2 3 2 3 2 3" xfId="48547"/>
    <cellStyle name="Notas 2 5 2 3 2 3 3" xfId="37636"/>
    <cellStyle name="Notas 2 5 2 3 2 3 3 2" xfId="37637"/>
    <cellStyle name="Notas 2 5 2 3 2 3 3 2 2" xfId="48550"/>
    <cellStyle name="Notas 2 5 2 3 2 3 3 3" xfId="48549"/>
    <cellStyle name="Notas 2 5 2 3 2 3 4" xfId="37638"/>
    <cellStyle name="Notas 2 5 2 3 2 3 4 2" xfId="48551"/>
    <cellStyle name="Notas 2 5 2 3 2 3 5" xfId="48546"/>
    <cellStyle name="Notas 2 5 2 3 2 3 6" xfId="37633"/>
    <cellStyle name="Notas 2 5 2 3 2 4" xfId="37639"/>
    <cellStyle name="Notas 2 5 2 3 2 4 2" xfId="48552"/>
    <cellStyle name="Notas 2 5 2 3 2 5" xfId="37640"/>
    <cellStyle name="Notas 2 5 2 3 2 5 2" xfId="37641"/>
    <cellStyle name="Notas 2 5 2 3 2 5 2 2" xfId="48554"/>
    <cellStyle name="Notas 2 5 2 3 2 5 3" xfId="48553"/>
    <cellStyle name="Notas 2 5 2 3 2 6" xfId="37642"/>
    <cellStyle name="Notas 2 5 2 3 2 6 2" xfId="48555"/>
    <cellStyle name="Notas 2 5 2 3 2 7" xfId="48534"/>
    <cellStyle name="Notas 2 5 2 3 2 8" xfId="37621"/>
    <cellStyle name="Notas 2 5 2 3 3" xfId="9466"/>
    <cellStyle name="Notas 2 5 2 3 3 2" xfId="37644"/>
    <cellStyle name="Notas 2 5 2 3 3 2 2" xfId="37645"/>
    <cellStyle name="Notas 2 5 2 3 3 2 2 2" xfId="37646"/>
    <cellStyle name="Notas 2 5 2 3 3 2 2 2 2" xfId="48559"/>
    <cellStyle name="Notas 2 5 2 3 3 2 2 3" xfId="48558"/>
    <cellStyle name="Notas 2 5 2 3 3 2 3" xfId="37647"/>
    <cellStyle name="Notas 2 5 2 3 3 2 3 2" xfId="37648"/>
    <cellStyle name="Notas 2 5 2 3 3 2 3 2 2" xfId="48561"/>
    <cellStyle name="Notas 2 5 2 3 3 2 3 3" xfId="48560"/>
    <cellStyle name="Notas 2 5 2 3 3 2 4" xfId="37649"/>
    <cellStyle name="Notas 2 5 2 3 3 2 4 2" xfId="48562"/>
    <cellStyle name="Notas 2 5 2 3 3 2 5" xfId="48557"/>
    <cellStyle name="Notas 2 5 2 3 3 3" xfId="37650"/>
    <cellStyle name="Notas 2 5 2 3 3 3 2" xfId="48563"/>
    <cellStyle name="Notas 2 5 2 3 3 4" xfId="37651"/>
    <cellStyle name="Notas 2 5 2 3 3 4 2" xfId="37652"/>
    <cellStyle name="Notas 2 5 2 3 3 4 2 2" xfId="48565"/>
    <cellStyle name="Notas 2 5 2 3 3 4 3" xfId="48564"/>
    <cellStyle name="Notas 2 5 2 3 3 5" xfId="37653"/>
    <cellStyle name="Notas 2 5 2 3 3 5 2" xfId="48566"/>
    <cellStyle name="Notas 2 5 2 3 3 6" xfId="48556"/>
    <cellStyle name="Notas 2 5 2 3 3 7" xfId="37643"/>
    <cellStyle name="Notas 2 5 2 3 4" xfId="15668"/>
    <cellStyle name="Notas 2 5 2 3 4 2" xfId="37655"/>
    <cellStyle name="Notas 2 5 2 3 4 2 2" xfId="37656"/>
    <cellStyle name="Notas 2 5 2 3 4 2 2 2" xfId="48569"/>
    <cellStyle name="Notas 2 5 2 3 4 2 3" xfId="48568"/>
    <cellStyle name="Notas 2 5 2 3 4 3" xfId="37657"/>
    <cellStyle name="Notas 2 5 2 3 4 3 2" xfId="37658"/>
    <cellStyle name="Notas 2 5 2 3 4 3 2 2" xfId="48571"/>
    <cellStyle name="Notas 2 5 2 3 4 3 3" xfId="48570"/>
    <cellStyle name="Notas 2 5 2 3 4 4" xfId="37659"/>
    <cellStyle name="Notas 2 5 2 3 4 4 2" xfId="48572"/>
    <cellStyle name="Notas 2 5 2 3 4 5" xfId="48567"/>
    <cellStyle name="Notas 2 5 2 3 4 6" xfId="37654"/>
    <cellStyle name="Notas 2 5 2 3 5" xfId="37660"/>
    <cellStyle name="Notas 2 5 2 3 5 2" xfId="48573"/>
    <cellStyle name="Notas 2 5 2 3 6" xfId="37661"/>
    <cellStyle name="Notas 2 5 2 3 6 2" xfId="37662"/>
    <cellStyle name="Notas 2 5 2 3 6 2 2" xfId="48575"/>
    <cellStyle name="Notas 2 5 2 3 6 3" xfId="48574"/>
    <cellStyle name="Notas 2 5 2 3 7" xfId="37663"/>
    <cellStyle name="Notas 2 5 2 3 7 2" xfId="48576"/>
    <cellStyle name="Notas 2 5 2 3 8" xfId="48533"/>
    <cellStyle name="Notas 2 5 2 3 9" xfId="37620"/>
    <cellStyle name="Notas 2 5 2 4" xfId="4291"/>
    <cellStyle name="Notas 2 5 2 4 2" xfId="10495"/>
    <cellStyle name="Notas 2 5 2 4 2 2" xfId="48577"/>
    <cellStyle name="Notas 2 5 2 4 3" xfId="16697"/>
    <cellStyle name="Notas 2 5 2 4 3 2" xfId="55588"/>
    <cellStyle name="Notas 2 5 2 4 4" xfId="37664"/>
    <cellStyle name="Notas 2 5 2 5" xfId="7394"/>
    <cellStyle name="Notas 2 5 2 5 2" xfId="19676"/>
    <cellStyle name="Notas 2 5 2 5 2 2" xfId="37667"/>
    <cellStyle name="Notas 2 5 2 5 2 2 2" xfId="37668"/>
    <cellStyle name="Notas 2 5 2 5 2 2 2 2" xfId="37669"/>
    <cellStyle name="Notas 2 5 2 5 2 2 2 2 2" xfId="48582"/>
    <cellStyle name="Notas 2 5 2 5 2 2 2 3" xfId="48581"/>
    <cellStyle name="Notas 2 5 2 5 2 2 3" xfId="37670"/>
    <cellStyle name="Notas 2 5 2 5 2 2 3 2" xfId="37671"/>
    <cellStyle name="Notas 2 5 2 5 2 2 3 2 2" xfId="48584"/>
    <cellStyle name="Notas 2 5 2 5 2 2 3 3" xfId="48583"/>
    <cellStyle name="Notas 2 5 2 5 2 2 4" xfId="37672"/>
    <cellStyle name="Notas 2 5 2 5 2 2 4 2" xfId="48585"/>
    <cellStyle name="Notas 2 5 2 5 2 2 5" xfId="48580"/>
    <cellStyle name="Notas 2 5 2 5 2 3" xfId="37673"/>
    <cellStyle name="Notas 2 5 2 5 2 3 2" xfId="48586"/>
    <cellStyle name="Notas 2 5 2 5 2 4" xfId="37674"/>
    <cellStyle name="Notas 2 5 2 5 2 4 2" xfId="37675"/>
    <cellStyle name="Notas 2 5 2 5 2 4 2 2" xfId="48588"/>
    <cellStyle name="Notas 2 5 2 5 2 4 3" xfId="48587"/>
    <cellStyle name="Notas 2 5 2 5 2 5" xfId="37676"/>
    <cellStyle name="Notas 2 5 2 5 2 5 2" xfId="48589"/>
    <cellStyle name="Notas 2 5 2 5 2 6" xfId="48579"/>
    <cellStyle name="Notas 2 5 2 5 2 7" xfId="37666"/>
    <cellStyle name="Notas 2 5 2 5 3" xfId="37677"/>
    <cellStyle name="Notas 2 5 2 5 3 2" xfId="37678"/>
    <cellStyle name="Notas 2 5 2 5 3 2 2" xfId="37679"/>
    <cellStyle name="Notas 2 5 2 5 3 2 2 2" xfId="48592"/>
    <cellStyle name="Notas 2 5 2 5 3 2 3" xfId="48591"/>
    <cellStyle name="Notas 2 5 2 5 3 3" xfId="37680"/>
    <cellStyle name="Notas 2 5 2 5 3 3 2" xfId="37681"/>
    <cellStyle name="Notas 2 5 2 5 3 3 2 2" xfId="48594"/>
    <cellStyle name="Notas 2 5 2 5 3 3 3" xfId="48593"/>
    <cellStyle name="Notas 2 5 2 5 3 4" xfId="37682"/>
    <cellStyle name="Notas 2 5 2 5 3 4 2" xfId="48595"/>
    <cellStyle name="Notas 2 5 2 5 3 5" xfId="48590"/>
    <cellStyle name="Notas 2 5 2 5 4" xfId="37683"/>
    <cellStyle name="Notas 2 5 2 5 4 2" xfId="48596"/>
    <cellStyle name="Notas 2 5 2 5 5" xfId="37684"/>
    <cellStyle name="Notas 2 5 2 5 5 2" xfId="37685"/>
    <cellStyle name="Notas 2 5 2 5 5 2 2" xfId="48598"/>
    <cellStyle name="Notas 2 5 2 5 5 3" xfId="48597"/>
    <cellStyle name="Notas 2 5 2 5 6" xfId="37686"/>
    <cellStyle name="Notas 2 5 2 5 6 2" xfId="48599"/>
    <cellStyle name="Notas 2 5 2 5 7" xfId="48578"/>
    <cellStyle name="Notas 2 5 2 5 8" xfId="37665"/>
    <cellStyle name="Notas 2 5 2 6" xfId="13596"/>
    <cellStyle name="Notas 2 5 2 6 2" xfId="37688"/>
    <cellStyle name="Notas 2 5 2 6 2 2" xfId="37689"/>
    <cellStyle name="Notas 2 5 2 6 2 2 2" xfId="37690"/>
    <cellStyle name="Notas 2 5 2 6 2 2 2 2" xfId="48603"/>
    <cellStyle name="Notas 2 5 2 6 2 2 3" xfId="48602"/>
    <cellStyle name="Notas 2 5 2 6 2 3" xfId="37691"/>
    <cellStyle name="Notas 2 5 2 6 2 3 2" xfId="37692"/>
    <cellStyle name="Notas 2 5 2 6 2 3 2 2" xfId="48605"/>
    <cellStyle name="Notas 2 5 2 6 2 3 3" xfId="48604"/>
    <cellStyle name="Notas 2 5 2 6 2 4" xfId="37693"/>
    <cellStyle name="Notas 2 5 2 6 2 4 2" xfId="48606"/>
    <cellStyle name="Notas 2 5 2 6 2 5" xfId="48601"/>
    <cellStyle name="Notas 2 5 2 6 3" xfId="37694"/>
    <cellStyle name="Notas 2 5 2 6 3 2" xfId="48607"/>
    <cellStyle name="Notas 2 5 2 6 4" xfId="37695"/>
    <cellStyle name="Notas 2 5 2 6 4 2" xfId="37696"/>
    <cellStyle name="Notas 2 5 2 6 4 2 2" xfId="48609"/>
    <cellStyle name="Notas 2 5 2 6 4 3" xfId="48608"/>
    <cellStyle name="Notas 2 5 2 6 5" xfId="37697"/>
    <cellStyle name="Notas 2 5 2 6 5 2" xfId="48610"/>
    <cellStyle name="Notas 2 5 2 6 6" xfId="48600"/>
    <cellStyle name="Notas 2 5 2 6 7" xfId="37687"/>
    <cellStyle name="Notas 2 5 2 7" xfId="37698"/>
    <cellStyle name="Notas 2 5 2 7 2" xfId="37699"/>
    <cellStyle name="Notas 2 5 2 7 2 2" xfId="37700"/>
    <cellStyle name="Notas 2 5 2 7 2 2 2" xfId="48613"/>
    <cellStyle name="Notas 2 5 2 7 2 3" xfId="48612"/>
    <cellStyle name="Notas 2 5 2 7 3" xfId="37701"/>
    <cellStyle name="Notas 2 5 2 7 3 2" xfId="37702"/>
    <cellStyle name="Notas 2 5 2 7 3 2 2" xfId="48615"/>
    <cellStyle name="Notas 2 5 2 7 3 3" xfId="48614"/>
    <cellStyle name="Notas 2 5 2 7 4" xfId="37703"/>
    <cellStyle name="Notas 2 5 2 7 4 2" xfId="48616"/>
    <cellStyle name="Notas 2 5 2 7 5" xfId="48611"/>
    <cellStyle name="Notas 2 5 2 8" xfId="37704"/>
    <cellStyle name="Notas 2 5 2 8 2" xfId="37705"/>
    <cellStyle name="Notas 2 5 2 8 2 2" xfId="37706"/>
    <cellStyle name="Notas 2 5 2 8 2 2 2" xfId="48619"/>
    <cellStyle name="Notas 2 5 2 8 2 3" xfId="48618"/>
    <cellStyle name="Notas 2 5 2 8 3" xfId="37707"/>
    <cellStyle name="Notas 2 5 2 8 3 2" xfId="48620"/>
    <cellStyle name="Notas 2 5 2 8 4" xfId="48617"/>
    <cellStyle name="Notas 2 5 2 9" xfId="37708"/>
    <cellStyle name="Notas 2 5 2 9 2" xfId="37709"/>
    <cellStyle name="Notas 2 5 2 9 2 2" xfId="37710"/>
    <cellStyle name="Notas 2 5 2 9 2 2 2" xfId="48623"/>
    <cellStyle name="Notas 2 5 2 9 2 3" xfId="48622"/>
    <cellStyle name="Notas 2 5 2 9 3" xfId="37711"/>
    <cellStyle name="Notas 2 5 2 9 3 2" xfId="48624"/>
    <cellStyle name="Notas 2 5 2 9 4" xfId="48621"/>
    <cellStyle name="Notas 2 5 2_SIS I (IFRS)" xfId="37712"/>
    <cellStyle name="Notas 2 5 3" xfId="1551"/>
    <cellStyle name="Notas 2 5 3 2" xfId="4676"/>
    <cellStyle name="Notas 2 5 3 2 2" xfId="10879"/>
    <cellStyle name="Notas 2 5 3 2 2 2" xfId="37716"/>
    <cellStyle name="Notas 2 5 3 2 2 2 2" xfId="37717"/>
    <cellStyle name="Notas 2 5 3 2 2 2 2 2" xfId="37718"/>
    <cellStyle name="Notas 2 5 3 2 2 2 2 2 2" xfId="48630"/>
    <cellStyle name="Notas 2 5 3 2 2 2 2 3" xfId="48629"/>
    <cellStyle name="Notas 2 5 3 2 2 2 3" xfId="37719"/>
    <cellStyle name="Notas 2 5 3 2 2 2 3 2" xfId="37720"/>
    <cellStyle name="Notas 2 5 3 2 2 2 3 2 2" xfId="48632"/>
    <cellStyle name="Notas 2 5 3 2 2 2 3 3" xfId="48631"/>
    <cellStyle name="Notas 2 5 3 2 2 2 4" xfId="37721"/>
    <cellStyle name="Notas 2 5 3 2 2 2 4 2" xfId="48633"/>
    <cellStyle name="Notas 2 5 3 2 2 2 5" xfId="48628"/>
    <cellStyle name="Notas 2 5 3 2 2 3" xfId="37722"/>
    <cellStyle name="Notas 2 5 3 2 2 3 2" xfId="48634"/>
    <cellStyle name="Notas 2 5 3 2 2 4" xfId="37723"/>
    <cellStyle name="Notas 2 5 3 2 2 4 2" xfId="37724"/>
    <cellStyle name="Notas 2 5 3 2 2 4 2 2" xfId="48636"/>
    <cellStyle name="Notas 2 5 3 2 2 4 3" xfId="48635"/>
    <cellStyle name="Notas 2 5 3 2 2 5" xfId="37725"/>
    <cellStyle name="Notas 2 5 3 2 2 5 2" xfId="48637"/>
    <cellStyle name="Notas 2 5 3 2 2 6" xfId="48627"/>
    <cellStyle name="Notas 2 5 3 2 2 7" xfId="37715"/>
    <cellStyle name="Notas 2 5 3 2 3" xfId="17081"/>
    <cellStyle name="Notas 2 5 3 2 3 2" xfId="37727"/>
    <cellStyle name="Notas 2 5 3 2 3 2 2" xfId="37728"/>
    <cellStyle name="Notas 2 5 3 2 3 2 2 2" xfId="48640"/>
    <cellStyle name="Notas 2 5 3 2 3 2 3" xfId="48639"/>
    <cellStyle name="Notas 2 5 3 2 3 3" xfId="37729"/>
    <cellStyle name="Notas 2 5 3 2 3 3 2" xfId="37730"/>
    <cellStyle name="Notas 2 5 3 2 3 3 2 2" xfId="48642"/>
    <cellStyle name="Notas 2 5 3 2 3 3 3" xfId="48641"/>
    <cellStyle name="Notas 2 5 3 2 3 4" xfId="37731"/>
    <cellStyle name="Notas 2 5 3 2 3 4 2" xfId="48643"/>
    <cellStyle name="Notas 2 5 3 2 3 5" xfId="48638"/>
    <cellStyle name="Notas 2 5 3 2 3 6" xfId="37726"/>
    <cellStyle name="Notas 2 5 3 2 4" xfId="37732"/>
    <cellStyle name="Notas 2 5 3 2 4 2" xfId="48644"/>
    <cellStyle name="Notas 2 5 3 2 5" xfId="37733"/>
    <cellStyle name="Notas 2 5 3 2 5 2" xfId="37734"/>
    <cellStyle name="Notas 2 5 3 2 5 2 2" xfId="48646"/>
    <cellStyle name="Notas 2 5 3 2 5 3" xfId="48645"/>
    <cellStyle name="Notas 2 5 3 2 6" xfId="37735"/>
    <cellStyle name="Notas 2 5 3 2 6 2" xfId="48647"/>
    <cellStyle name="Notas 2 5 3 2 7" xfId="48626"/>
    <cellStyle name="Notas 2 5 3 2 8" xfId="37714"/>
    <cellStyle name="Notas 2 5 3 3" xfId="7779"/>
    <cellStyle name="Notas 2 5 3 3 2" xfId="37737"/>
    <cellStyle name="Notas 2 5 3 3 2 2" xfId="37738"/>
    <cellStyle name="Notas 2 5 3 3 2 2 2" xfId="37739"/>
    <cellStyle name="Notas 2 5 3 3 2 2 2 2" xfId="48651"/>
    <cellStyle name="Notas 2 5 3 3 2 2 3" xfId="48650"/>
    <cellStyle name="Notas 2 5 3 3 2 3" xfId="37740"/>
    <cellStyle name="Notas 2 5 3 3 2 3 2" xfId="37741"/>
    <cellStyle name="Notas 2 5 3 3 2 3 2 2" xfId="48653"/>
    <cellStyle name="Notas 2 5 3 3 2 3 3" xfId="48652"/>
    <cellStyle name="Notas 2 5 3 3 2 4" xfId="37742"/>
    <cellStyle name="Notas 2 5 3 3 2 4 2" xfId="48654"/>
    <cellStyle name="Notas 2 5 3 3 2 5" xfId="48649"/>
    <cellStyle name="Notas 2 5 3 3 3" xfId="37743"/>
    <cellStyle name="Notas 2 5 3 3 3 2" xfId="48655"/>
    <cellStyle name="Notas 2 5 3 3 4" xfId="37744"/>
    <cellStyle name="Notas 2 5 3 3 4 2" xfId="37745"/>
    <cellStyle name="Notas 2 5 3 3 4 2 2" xfId="48657"/>
    <cellStyle name="Notas 2 5 3 3 4 3" xfId="48656"/>
    <cellStyle name="Notas 2 5 3 3 5" xfId="37746"/>
    <cellStyle name="Notas 2 5 3 3 5 2" xfId="48658"/>
    <cellStyle name="Notas 2 5 3 3 6" xfId="48648"/>
    <cellStyle name="Notas 2 5 3 3 7" xfId="37736"/>
    <cellStyle name="Notas 2 5 3 4" xfId="13981"/>
    <cellStyle name="Notas 2 5 3 4 2" xfId="37748"/>
    <cellStyle name="Notas 2 5 3 4 2 2" xfId="37749"/>
    <cellStyle name="Notas 2 5 3 4 2 2 2" xfId="48661"/>
    <cellStyle name="Notas 2 5 3 4 2 3" xfId="48660"/>
    <cellStyle name="Notas 2 5 3 4 3" xfId="37750"/>
    <cellStyle name="Notas 2 5 3 4 3 2" xfId="37751"/>
    <cellStyle name="Notas 2 5 3 4 3 2 2" xfId="48663"/>
    <cellStyle name="Notas 2 5 3 4 3 3" xfId="48662"/>
    <cellStyle name="Notas 2 5 3 4 4" xfId="37752"/>
    <cellStyle name="Notas 2 5 3 4 4 2" xfId="48664"/>
    <cellStyle name="Notas 2 5 3 4 5" xfId="48659"/>
    <cellStyle name="Notas 2 5 3 4 6" xfId="37747"/>
    <cellStyle name="Notas 2 5 3 5" xfId="37753"/>
    <cellStyle name="Notas 2 5 3 5 2" xfId="48665"/>
    <cellStyle name="Notas 2 5 3 6" xfId="37754"/>
    <cellStyle name="Notas 2 5 3 6 2" xfId="37755"/>
    <cellStyle name="Notas 2 5 3 6 2 2" xfId="48667"/>
    <cellStyle name="Notas 2 5 3 6 3" xfId="48666"/>
    <cellStyle name="Notas 2 5 3 7" xfId="37756"/>
    <cellStyle name="Notas 2 5 3 7 2" xfId="48668"/>
    <cellStyle name="Notas 2 5 3 8" xfId="48625"/>
    <cellStyle name="Notas 2 5 3 9" xfId="37713"/>
    <cellStyle name="Notas 2 5 4" xfId="3251"/>
    <cellStyle name="Notas 2 5 4 2" xfId="6362"/>
    <cellStyle name="Notas 2 5 4 2 2" xfId="12565"/>
    <cellStyle name="Notas 2 5 4 2 2 2" xfId="37760"/>
    <cellStyle name="Notas 2 5 4 2 2 2 2" xfId="37761"/>
    <cellStyle name="Notas 2 5 4 2 2 2 2 2" xfId="37762"/>
    <cellStyle name="Notas 2 5 4 2 2 2 2 2 2" xfId="48674"/>
    <cellStyle name="Notas 2 5 4 2 2 2 2 3" xfId="48673"/>
    <cellStyle name="Notas 2 5 4 2 2 2 3" xfId="37763"/>
    <cellStyle name="Notas 2 5 4 2 2 2 3 2" xfId="37764"/>
    <cellStyle name="Notas 2 5 4 2 2 2 3 2 2" xfId="48676"/>
    <cellStyle name="Notas 2 5 4 2 2 2 3 3" xfId="48675"/>
    <cellStyle name="Notas 2 5 4 2 2 2 4" xfId="37765"/>
    <cellStyle name="Notas 2 5 4 2 2 2 4 2" xfId="48677"/>
    <cellStyle name="Notas 2 5 4 2 2 2 5" xfId="48672"/>
    <cellStyle name="Notas 2 5 4 2 2 3" xfId="37766"/>
    <cellStyle name="Notas 2 5 4 2 2 3 2" xfId="48678"/>
    <cellStyle name="Notas 2 5 4 2 2 4" xfId="37767"/>
    <cellStyle name="Notas 2 5 4 2 2 4 2" xfId="37768"/>
    <cellStyle name="Notas 2 5 4 2 2 4 2 2" xfId="48680"/>
    <cellStyle name="Notas 2 5 4 2 2 4 3" xfId="48679"/>
    <cellStyle name="Notas 2 5 4 2 2 5" xfId="37769"/>
    <cellStyle name="Notas 2 5 4 2 2 5 2" xfId="48681"/>
    <cellStyle name="Notas 2 5 4 2 2 6" xfId="48671"/>
    <cellStyle name="Notas 2 5 4 2 2 7" xfId="37759"/>
    <cellStyle name="Notas 2 5 4 2 3" xfId="18767"/>
    <cellStyle name="Notas 2 5 4 2 3 2" xfId="37771"/>
    <cellStyle name="Notas 2 5 4 2 3 2 2" xfId="37772"/>
    <cellStyle name="Notas 2 5 4 2 3 2 2 2" xfId="48684"/>
    <cellStyle name="Notas 2 5 4 2 3 2 3" xfId="48683"/>
    <cellStyle name="Notas 2 5 4 2 3 3" xfId="37773"/>
    <cellStyle name="Notas 2 5 4 2 3 3 2" xfId="37774"/>
    <cellStyle name="Notas 2 5 4 2 3 3 2 2" xfId="48686"/>
    <cellStyle name="Notas 2 5 4 2 3 3 3" xfId="48685"/>
    <cellStyle name="Notas 2 5 4 2 3 4" xfId="37775"/>
    <cellStyle name="Notas 2 5 4 2 3 4 2" xfId="48687"/>
    <cellStyle name="Notas 2 5 4 2 3 5" xfId="48682"/>
    <cellStyle name="Notas 2 5 4 2 3 6" xfId="37770"/>
    <cellStyle name="Notas 2 5 4 2 4" xfId="37776"/>
    <cellStyle name="Notas 2 5 4 2 4 2" xfId="48688"/>
    <cellStyle name="Notas 2 5 4 2 5" xfId="37777"/>
    <cellStyle name="Notas 2 5 4 2 5 2" xfId="37778"/>
    <cellStyle name="Notas 2 5 4 2 5 2 2" xfId="48690"/>
    <cellStyle name="Notas 2 5 4 2 5 3" xfId="48689"/>
    <cellStyle name="Notas 2 5 4 2 6" xfId="37779"/>
    <cellStyle name="Notas 2 5 4 2 6 2" xfId="48691"/>
    <cellStyle name="Notas 2 5 4 2 7" xfId="48670"/>
    <cellStyle name="Notas 2 5 4 2 8" xfId="37758"/>
    <cellStyle name="Notas 2 5 4 3" xfId="9465"/>
    <cellStyle name="Notas 2 5 4 3 2" xfId="37781"/>
    <cellStyle name="Notas 2 5 4 3 2 2" xfId="37782"/>
    <cellStyle name="Notas 2 5 4 3 2 2 2" xfId="37783"/>
    <cellStyle name="Notas 2 5 4 3 2 2 2 2" xfId="48695"/>
    <cellStyle name="Notas 2 5 4 3 2 2 3" xfId="48694"/>
    <cellStyle name="Notas 2 5 4 3 2 3" xfId="37784"/>
    <cellStyle name="Notas 2 5 4 3 2 3 2" xfId="37785"/>
    <cellStyle name="Notas 2 5 4 3 2 3 2 2" xfId="48697"/>
    <cellStyle name="Notas 2 5 4 3 2 3 3" xfId="48696"/>
    <cellStyle name="Notas 2 5 4 3 2 4" xfId="37786"/>
    <cellStyle name="Notas 2 5 4 3 2 4 2" xfId="48698"/>
    <cellStyle name="Notas 2 5 4 3 2 5" xfId="48693"/>
    <cellStyle name="Notas 2 5 4 3 3" xfId="37787"/>
    <cellStyle name="Notas 2 5 4 3 3 2" xfId="48699"/>
    <cellStyle name="Notas 2 5 4 3 4" xfId="37788"/>
    <cellStyle name="Notas 2 5 4 3 4 2" xfId="37789"/>
    <cellStyle name="Notas 2 5 4 3 4 2 2" xfId="48701"/>
    <cellStyle name="Notas 2 5 4 3 4 3" xfId="48700"/>
    <cellStyle name="Notas 2 5 4 3 5" xfId="37790"/>
    <cellStyle name="Notas 2 5 4 3 5 2" xfId="48702"/>
    <cellStyle name="Notas 2 5 4 3 6" xfId="48692"/>
    <cellStyle name="Notas 2 5 4 3 7" xfId="37780"/>
    <cellStyle name="Notas 2 5 4 4" xfId="15667"/>
    <cellStyle name="Notas 2 5 4 4 2" xfId="37792"/>
    <cellStyle name="Notas 2 5 4 4 2 2" xfId="37793"/>
    <cellStyle name="Notas 2 5 4 4 2 2 2" xfId="48705"/>
    <cellStyle name="Notas 2 5 4 4 2 3" xfId="48704"/>
    <cellStyle name="Notas 2 5 4 4 3" xfId="37794"/>
    <cellStyle name="Notas 2 5 4 4 3 2" xfId="37795"/>
    <cellStyle name="Notas 2 5 4 4 3 2 2" xfId="48707"/>
    <cellStyle name="Notas 2 5 4 4 3 3" xfId="48706"/>
    <cellStyle name="Notas 2 5 4 4 4" xfId="37796"/>
    <cellStyle name="Notas 2 5 4 4 4 2" xfId="48708"/>
    <cellStyle name="Notas 2 5 4 4 5" xfId="48703"/>
    <cellStyle name="Notas 2 5 4 4 6" xfId="37791"/>
    <cellStyle name="Notas 2 5 4 5" xfId="37797"/>
    <cellStyle name="Notas 2 5 4 5 2" xfId="48709"/>
    <cellStyle name="Notas 2 5 4 6" xfId="37798"/>
    <cellStyle name="Notas 2 5 4 6 2" xfId="37799"/>
    <cellStyle name="Notas 2 5 4 6 2 2" xfId="48711"/>
    <cellStyle name="Notas 2 5 4 6 3" xfId="48710"/>
    <cellStyle name="Notas 2 5 4 7" xfId="37800"/>
    <cellStyle name="Notas 2 5 4 7 2" xfId="48712"/>
    <cellStyle name="Notas 2 5 4 8" xfId="48669"/>
    <cellStyle name="Notas 2 5 4 9" xfId="37757"/>
    <cellStyle name="Notas 2 5 5" xfId="4290"/>
    <cellStyle name="Notas 2 5 5 2" xfId="10494"/>
    <cellStyle name="Notas 2 5 5 2 2" xfId="48713"/>
    <cellStyle name="Notas 2 5 5 3" xfId="16696"/>
    <cellStyle name="Notas 2 5 5 3 2" xfId="55587"/>
    <cellStyle name="Notas 2 5 5 4" xfId="37801"/>
    <cellStyle name="Notas 2 5 6" xfId="7393"/>
    <cellStyle name="Notas 2 5 6 2" xfId="19152"/>
    <cellStyle name="Notas 2 5 6 2 2" xfId="37804"/>
    <cellStyle name="Notas 2 5 6 2 2 2" xfId="37805"/>
    <cellStyle name="Notas 2 5 6 2 2 2 2" xfId="37806"/>
    <cellStyle name="Notas 2 5 6 2 2 2 2 2" xfId="48718"/>
    <cellStyle name="Notas 2 5 6 2 2 2 3" xfId="48717"/>
    <cellStyle name="Notas 2 5 6 2 2 3" xfId="37807"/>
    <cellStyle name="Notas 2 5 6 2 2 3 2" xfId="37808"/>
    <cellStyle name="Notas 2 5 6 2 2 3 2 2" xfId="48720"/>
    <cellStyle name="Notas 2 5 6 2 2 3 3" xfId="48719"/>
    <cellStyle name="Notas 2 5 6 2 2 4" xfId="37809"/>
    <cellStyle name="Notas 2 5 6 2 2 4 2" xfId="48721"/>
    <cellStyle name="Notas 2 5 6 2 2 5" xfId="48716"/>
    <cellStyle name="Notas 2 5 6 2 3" xfId="37810"/>
    <cellStyle name="Notas 2 5 6 2 3 2" xfId="48722"/>
    <cellStyle name="Notas 2 5 6 2 4" xfId="37811"/>
    <cellStyle name="Notas 2 5 6 2 4 2" xfId="37812"/>
    <cellStyle name="Notas 2 5 6 2 4 2 2" xfId="48724"/>
    <cellStyle name="Notas 2 5 6 2 4 3" xfId="48723"/>
    <cellStyle name="Notas 2 5 6 2 5" xfId="37813"/>
    <cellStyle name="Notas 2 5 6 2 5 2" xfId="48725"/>
    <cellStyle name="Notas 2 5 6 2 6" xfId="48715"/>
    <cellStyle name="Notas 2 5 6 2 7" xfId="37803"/>
    <cellStyle name="Notas 2 5 6 3" xfId="37814"/>
    <cellStyle name="Notas 2 5 6 3 2" xfId="37815"/>
    <cellStyle name="Notas 2 5 6 3 2 2" xfId="37816"/>
    <cellStyle name="Notas 2 5 6 3 2 2 2" xfId="48728"/>
    <cellStyle name="Notas 2 5 6 3 2 3" xfId="48727"/>
    <cellStyle name="Notas 2 5 6 3 3" xfId="37817"/>
    <cellStyle name="Notas 2 5 6 3 3 2" xfId="37818"/>
    <cellStyle name="Notas 2 5 6 3 3 2 2" xfId="48730"/>
    <cellStyle name="Notas 2 5 6 3 3 3" xfId="48729"/>
    <cellStyle name="Notas 2 5 6 3 4" xfId="37819"/>
    <cellStyle name="Notas 2 5 6 3 4 2" xfId="48731"/>
    <cellStyle name="Notas 2 5 6 3 5" xfId="48726"/>
    <cellStyle name="Notas 2 5 6 4" xfId="37820"/>
    <cellStyle name="Notas 2 5 6 4 2" xfId="48732"/>
    <cellStyle name="Notas 2 5 6 5" xfId="37821"/>
    <cellStyle name="Notas 2 5 6 5 2" xfId="37822"/>
    <cellStyle name="Notas 2 5 6 5 2 2" xfId="48734"/>
    <cellStyle name="Notas 2 5 6 5 3" xfId="48733"/>
    <cellStyle name="Notas 2 5 6 6" xfId="37823"/>
    <cellStyle name="Notas 2 5 6 6 2" xfId="48735"/>
    <cellStyle name="Notas 2 5 6 7" xfId="48714"/>
    <cellStyle name="Notas 2 5 6 8" xfId="37802"/>
    <cellStyle name="Notas 2 5 7" xfId="13595"/>
    <cellStyle name="Notas 2 5 7 2" xfId="37825"/>
    <cellStyle name="Notas 2 5 7 2 2" xfId="37826"/>
    <cellStyle name="Notas 2 5 7 2 2 2" xfId="37827"/>
    <cellStyle name="Notas 2 5 7 2 2 2 2" xfId="48739"/>
    <cellStyle name="Notas 2 5 7 2 2 3" xfId="48738"/>
    <cellStyle name="Notas 2 5 7 2 3" xfId="37828"/>
    <cellStyle name="Notas 2 5 7 2 3 2" xfId="37829"/>
    <cellStyle name="Notas 2 5 7 2 3 2 2" xfId="48741"/>
    <cellStyle name="Notas 2 5 7 2 3 3" xfId="48740"/>
    <cellStyle name="Notas 2 5 7 2 4" xfId="37830"/>
    <cellStyle name="Notas 2 5 7 2 4 2" xfId="48742"/>
    <cellStyle name="Notas 2 5 7 2 5" xfId="48737"/>
    <cellStyle name="Notas 2 5 7 3" xfId="37831"/>
    <cellStyle name="Notas 2 5 7 3 2" xfId="48743"/>
    <cellStyle name="Notas 2 5 7 4" xfId="37832"/>
    <cellStyle name="Notas 2 5 7 4 2" xfId="37833"/>
    <cellStyle name="Notas 2 5 7 4 2 2" xfId="48745"/>
    <cellStyle name="Notas 2 5 7 4 3" xfId="48744"/>
    <cellStyle name="Notas 2 5 7 5" xfId="37834"/>
    <cellStyle name="Notas 2 5 7 5 2" xfId="48746"/>
    <cellStyle name="Notas 2 5 7 6" xfId="48736"/>
    <cellStyle name="Notas 2 5 7 7" xfId="37824"/>
    <cellStyle name="Notas 2 5 8" xfId="37835"/>
    <cellStyle name="Notas 2 5 8 2" xfId="37836"/>
    <cellStyle name="Notas 2 5 8 2 2" xfId="37837"/>
    <cellStyle name="Notas 2 5 8 2 2 2" xfId="48749"/>
    <cellStyle name="Notas 2 5 8 2 3" xfId="48748"/>
    <cellStyle name="Notas 2 5 8 3" xfId="37838"/>
    <cellStyle name="Notas 2 5 8 3 2" xfId="37839"/>
    <cellStyle name="Notas 2 5 8 3 2 2" xfId="48751"/>
    <cellStyle name="Notas 2 5 8 3 3" xfId="48750"/>
    <cellStyle name="Notas 2 5 8 4" xfId="37840"/>
    <cellStyle name="Notas 2 5 8 4 2" xfId="48752"/>
    <cellStyle name="Notas 2 5 8 5" xfId="48747"/>
    <cellStyle name="Notas 2 5 9" xfId="37841"/>
    <cellStyle name="Notas 2 5 9 2" xfId="37842"/>
    <cellStyle name="Notas 2 5 9 2 2" xfId="37843"/>
    <cellStyle name="Notas 2 5 9 2 2 2" xfId="48755"/>
    <cellStyle name="Notas 2 5 9 2 3" xfId="48754"/>
    <cellStyle name="Notas 2 5 9 3" xfId="37844"/>
    <cellStyle name="Notas 2 5 9 3 2" xfId="48756"/>
    <cellStyle name="Notas 2 5 9 4" xfId="48753"/>
    <cellStyle name="Notas 2 5_SIS I (IFRS)" xfId="37845"/>
    <cellStyle name="Notas 2 6" xfId="1091"/>
    <cellStyle name="Notas 2 6 10" xfId="37847"/>
    <cellStyle name="Notas 2 6 10 2" xfId="37848"/>
    <cellStyle name="Notas 2 6 10 2 2" xfId="37849"/>
    <cellStyle name="Notas 2 6 10 2 2 2" xfId="48760"/>
    <cellStyle name="Notas 2 6 10 2 3" xfId="48759"/>
    <cellStyle name="Notas 2 6 10 3" xfId="37850"/>
    <cellStyle name="Notas 2 6 10 3 2" xfId="48761"/>
    <cellStyle name="Notas 2 6 10 4" xfId="48758"/>
    <cellStyle name="Notas 2 6 11" xfId="37851"/>
    <cellStyle name="Notas 2 6 11 2" xfId="37852"/>
    <cellStyle name="Notas 2 6 11 2 2" xfId="48763"/>
    <cellStyle name="Notas 2 6 11 3" xfId="48762"/>
    <cellStyle name="Notas 2 6 12" xfId="37853"/>
    <cellStyle name="Notas 2 6 12 2" xfId="37854"/>
    <cellStyle name="Notas 2 6 12 2 2" xfId="48765"/>
    <cellStyle name="Notas 2 6 12 3" xfId="48764"/>
    <cellStyle name="Notas 2 6 13" xfId="37855"/>
    <cellStyle name="Notas 2 6 13 2" xfId="48766"/>
    <cellStyle name="Notas 2 6 14" xfId="37856"/>
    <cellStyle name="Notas 2 6 14 2" xfId="48767"/>
    <cellStyle name="Notas 2 6 15" xfId="48757"/>
    <cellStyle name="Notas 2 6 16" xfId="37846"/>
    <cellStyle name="Notas 2 6 2" xfId="1804"/>
    <cellStyle name="Notas 2 6 2 2" xfId="4929"/>
    <cellStyle name="Notas 2 6 2 2 2" xfId="11132"/>
    <cellStyle name="Notas 2 6 2 2 2 2" xfId="37860"/>
    <cellStyle name="Notas 2 6 2 2 2 2 2" xfId="37861"/>
    <cellStyle name="Notas 2 6 2 2 2 2 2 2" xfId="37862"/>
    <cellStyle name="Notas 2 6 2 2 2 2 2 2 2" xfId="48773"/>
    <cellStyle name="Notas 2 6 2 2 2 2 2 3" xfId="48772"/>
    <cellStyle name="Notas 2 6 2 2 2 2 3" xfId="37863"/>
    <cellStyle name="Notas 2 6 2 2 2 2 3 2" xfId="37864"/>
    <cellStyle name="Notas 2 6 2 2 2 2 3 2 2" xfId="48775"/>
    <cellStyle name="Notas 2 6 2 2 2 2 3 3" xfId="48774"/>
    <cellStyle name="Notas 2 6 2 2 2 2 4" xfId="37865"/>
    <cellStyle name="Notas 2 6 2 2 2 2 4 2" xfId="48776"/>
    <cellStyle name="Notas 2 6 2 2 2 2 5" xfId="48771"/>
    <cellStyle name="Notas 2 6 2 2 2 3" xfId="37866"/>
    <cellStyle name="Notas 2 6 2 2 2 3 2" xfId="48777"/>
    <cellStyle name="Notas 2 6 2 2 2 4" xfId="37867"/>
    <cellStyle name="Notas 2 6 2 2 2 4 2" xfId="37868"/>
    <cellStyle name="Notas 2 6 2 2 2 4 2 2" xfId="48779"/>
    <cellStyle name="Notas 2 6 2 2 2 4 3" xfId="48778"/>
    <cellStyle name="Notas 2 6 2 2 2 5" xfId="37869"/>
    <cellStyle name="Notas 2 6 2 2 2 5 2" xfId="48780"/>
    <cellStyle name="Notas 2 6 2 2 2 6" xfId="48770"/>
    <cellStyle name="Notas 2 6 2 2 2 7" xfId="37859"/>
    <cellStyle name="Notas 2 6 2 2 3" xfId="17334"/>
    <cellStyle name="Notas 2 6 2 2 3 2" xfId="37871"/>
    <cellStyle name="Notas 2 6 2 2 3 2 2" xfId="37872"/>
    <cellStyle name="Notas 2 6 2 2 3 2 2 2" xfId="48783"/>
    <cellStyle name="Notas 2 6 2 2 3 2 3" xfId="48782"/>
    <cellStyle name="Notas 2 6 2 2 3 3" xfId="37873"/>
    <cellStyle name="Notas 2 6 2 2 3 3 2" xfId="37874"/>
    <cellStyle name="Notas 2 6 2 2 3 3 2 2" xfId="48785"/>
    <cellStyle name="Notas 2 6 2 2 3 3 3" xfId="48784"/>
    <cellStyle name="Notas 2 6 2 2 3 4" xfId="37875"/>
    <cellStyle name="Notas 2 6 2 2 3 4 2" xfId="48786"/>
    <cellStyle name="Notas 2 6 2 2 3 5" xfId="48781"/>
    <cellStyle name="Notas 2 6 2 2 3 6" xfId="37870"/>
    <cellStyle name="Notas 2 6 2 2 4" xfId="37876"/>
    <cellStyle name="Notas 2 6 2 2 4 2" xfId="48787"/>
    <cellStyle name="Notas 2 6 2 2 5" xfId="37877"/>
    <cellStyle name="Notas 2 6 2 2 5 2" xfId="37878"/>
    <cellStyle name="Notas 2 6 2 2 5 2 2" xfId="48789"/>
    <cellStyle name="Notas 2 6 2 2 5 3" xfId="48788"/>
    <cellStyle name="Notas 2 6 2 2 6" xfId="37879"/>
    <cellStyle name="Notas 2 6 2 2 6 2" xfId="48790"/>
    <cellStyle name="Notas 2 6 2 2 7" xfId="48769"/>
    <cellStyle name="Notas 2 6 2 2 8" xfId="37858"/>
    <cellStyle name="Notas 2 6 2 3" xfId="8032"/>
    <cellStyle name="Notas 2 6 2 3 2" xfId="37881"/>
    <cellStyle name="Notas 2 6 2 3 2 2" xfId="37882"/>
    <cellStyle name="Notas 2 6 2 3 2 2 2" xfId="37883"/>
    <cellStyle name="Notas 2 6 2 3 2 2 2 2" xfId="48794"/>
    <cellStyle name="Notas 2 6 2 3 2 2 3" xfId="48793"/>
    <cellStyle name="Notas 2 6 2 3 2 3" xfId="37884"/>
    <cellStyle name="Notas 2 6 2 3 2 3 2" xfId="37885"/>
    <cellStyle name="Notas 2 6 2 3 2 3 2 2" xfId="48796"/>
    <cellStyle name="Notas 2 6 2 3 2 3 3" xfId="48795"/>
    <cellStyle name="Notas 2 6 2 3 2 4" xfId="37886"/>
    <cellStyle name="Notas 2 6 2 3 2 4 2" xfId="48797"/>
    <cellStyle name="Notas 2 6 2 3 2 5" xfId="48792"/>
    <cellStyle name="Notas 2 6 2 3 3" xfId="37887"/>
    <cellStyle name="Notas 2 6 2 3 3 2" xfId="48798"/>
    <cellStyle name="Notas 2 6 2 3 4" xfId="37888"/>
    <cellStyle name="Notas 2 6 2 3 4 2" xfId="37889"/>
    <cellStyle name="Notas 2 6 2 3 4 2 2" xfId="48800"/>
    <cellStyle name="Notas 2 6 2 3 4 3" xfId="48799"/>
    <cellStyle name="Notas 2 6 2 3 5" xfId="37890"/>
    <cellStyle name="Notas 2 6 2 3 5 2" xfId="48801"/>
    <cellStyle name="Notas 2 6 2 3 6" xfId="48791"/>
    <cellStyle name="Notas 2 6 2 3 7" xfId="37880"/>
    <cellStyle name="Notas 2 6 2 4" xfId="14234"/>
    <cellStyle name="Notas 2 6 2 4 2" xfId="37892"/>
    <cellStyle name="Notas 2 6 2 4 2 2" xfId="37893"/>
    <cellStyle name="Notas 2 6 2 4 2 2 2" xfId="48804"/>
    <cellStyle name="Notas 2 6 2 4 2 3" xfId="48803"/>
    <cellStyle name="Notas 2 6 2 4 3" xfId="37894"/>
    <cellStyle name="Notas 2 6 2 4 3 2" xfId="37895"/>
    <cellStyle name="Notas 2 6 2 4 3 2 2" xfId="48806"/>
    <cellStyle name="Notas 2 6 2 4 3 3" xfId="48805"/>
    <cellStyle name="Notas 2 6 2 4 4" xfId="37896"/>
    <cellStyle name="Notas 2 6 2 4 4 2" xfId="48807"/>
    <cellStyle name="Notas 2 6 2 4 5" xfId="48802"/>
    <cellStyle name="Notas 2 6 2 4 6" xfId="37891"/>
    <cellStyle name="Notas 2 6 2 5" xfId="37897"/>
    <cellStyle name="Notas 2 6 2 5 2" xfId="48808"/>
    <cellStyle name="Notas 2 6 2 6" xfId="37898"/>
    <cellStyle name="Notas 2 6 2 6 2" xfId="37899"/>
    <cellStyle name="Notas 2 6 2 6 2 2" xfId="48810"/>
    <cellStyle name="Notas 2 6 2 6 3" xfId="48809"/>
    <cellStyle name="Notas 2 6 2 7" xfId="37900"/>
    <cellStyle name="Notas 2 6 2 7 2" xfId="48811"/>
    <cellStyle name="Notas 2 6 2 8" xfId="48768"/>
    <cellStyle name="Notas 2 6 2 9" xfId="37857"/>
    <cellStyle name="Notas 2 6 3" xfId="3253"/>
    <cellStyle name="Notas 2 6 3 2" xfId="6364"/>
    <cellStyle name="Notas 2 6 3 2 2" xfId="12567"/>
    <cellStyle name="Notas 2 6 3 2 2 2" xfId="37904"/>
    <cellStyle name="Notas 2 6 3 2 2 2 2" xfId="37905"/>
    <cellStyle name="Notas 2 6 3 2 2 2 2 2" xfId="37906"/>
    <cellStyle name="Notas 2 6 3 2 2 2 2 2 2" xfId="48817"/>
    <cellStyle name="Notas 2 6 3 2 2 2 2 3" xfId="48816"/>
    <cellStyle name="Notas 2 6 3 2 2 2 3" xfId="37907"/>
    <cellStyle name="Notas 2 6 3 2 2 2 3 2" xfId="37908"/>
    <cellStyle name="Notas 2 6 3 2 2 2 3 2 2" xfId="48819"/>
    <cellStyle name="Notas 2 6 3 2 2 2 3 3" xfId="48818"/>
    <cellStyle name="Notas 2 6 3 2 2 2 4" xfId="37909"/>
    <cellStyle name="Notas 2 6 3 2 2 2 4 2" xfId="48820"/>
    <cellStyle name="Notas 2 6 3 2 2 2 5" xfId="48815"/>
    <cellStyle name="Notas 2 6 3 2 2 3" xfId="37910"/>
    <cellStyle name="Notas 2 6 3 2 2 3 2" xfId="48821"/>
    <cellStyle name="Notas 2 6 3 2 2 4" xfId="37911"/>
    <cellStyle name="Notas 2 6 3 2 2 4 2" xfId="37912"/>
    <cellStyle name="Notas 2 6 3 2 2 4 2 2" xfId="48823"/>
    <cellStyle name="Notas 2 6 3 2 2 4 3" xfId="48822"/>
    <cellStyle name="Notas 2 6 3 2 2 5" xfId="37913"/>
    <cellStyle name="Notas 2 6 3 2 2 5 2" xfId="48824"/>
    <cellStyle name="Notas 2 6 3 2 2 6" xfId="48814"/>
    <cellStyle name="Notas 2 6 3 2 2 7" xfId="37903"/>
    <cellStyle name="Notas 2 6 3 2 3" xfId="18769"/>
    <cellStyle name="Notas 2 6 3 2 3 2" xfId="37915"/>
    <cellStyle name="Notas 2 6 3 2 3 2 2" xfId="37916"/>
    <cellStyle name="Notas 2 6 3 2 3 2 2 2" xfId="48827"/>
    <cellStyle name="Notas 2 6 3 2 3 2 3" xfId="48826"/>
    <cellStyle name="Notas 2 6 3 2 3 3" xfId="37917"/>
    <cellStyle name="Notas 2 6 3 2 3 3 2" xfId="37918"/>
    <cellStyle name="Notas 2 6 3 2 3 3 2 2" xfId="48829"/>
    <cellStyle name="Notas 2 6 3 2 3 3 3" xfId="48828"/>
    <cellStyle name="Notas 2 6 3 2 3 4" xfId="37919"/>
    <cellStyle name="Notas 2 6 3 2 3 4 2" xfId="48830"/>
    <cellStyle name="Notas 2 6 3 2 3 5" xfId="48825"/>
    <cellStyle name="Notas 2 6 3 2 3 6" xfId="37914"/>
    <cellStyle name="Notas 2 6 3 2 4" xfId="37920"/>
    <cellStyle name="Notas 2 6 3 2 4 2" xfId="48831"/>
    <cellStyle name="Notas 2 6 3 2 5" xfId="37921"/>
    <cellStyle name="Notas 2 6 3 2 5 2" xfId="37922"/>
    <cellStyle name="Notas 2 6 3 2 5 2 2" xfId="48833"/>
    <cellStyle name="Notas 2 6 3 2 5 3" xfId="48832"/>
    <cellStyle name="Notas 2 6 3 2 6" xfId="37923"/>
    <cellStyle name="Notas 2 6 3 2 6 2" xfId="48834"/>
    <cellStyle name="Notas 2 6 3 2 7" xfId="48813"/>
    <cellStyle name="Notas 2 6 3 2 8" xfId="37902"/>
    <cellStyle name="Notas 2 6 3 3" xfId="9467"/>
    <cellStyle name="Notas 2 6 3 3 2" xfId="37925"/>
    <cellStyle name="Notas 2 6 3 3 2 2" xfId="37926"/>
    <cellStyle name="Notas 2 6 3 3 2 2 2" xfId="37927"/>
    <cellStyle name="Notas 2 6 3 3 2 2 2 2" xfId="48838"/>
    <cellStyle name="Notas 2 6 3 3 2 2 3" xfId="48837"/>
    <cellStyle name="Notas 2 6 3 3 2 3" xfId="37928"/>
    <cellStyle name="Notas 2 6 3 3 2 3 2" xfId="37929"/>
    <cellStyle name="Notas 2 6 3 3 2 3 2 2" xfId="48840"/>
    <cellStyle name="Notas 2 6 3 3 2 3 3" xfId="48839"/>
    <cellStyle name="Notas 2 6 3 3 2 4" xfId="37930"/>
    <cellStyle name="Notas 2 6 3 3 2 4 2" xfId="48841"/>
    <cellStyle name="Notas 2 6 3 3 2 5" xfId="48836"/>
    <cellStyle name="Notas 2 6 3 3 3" xfId="37931"/>
    <cellStyle name="Notas 2 6 3 3 3 2" xfId="48842"/>
    <cellStyle name="Notas 2 6 3 3 4" xfId="37932"/>
    <cellStyle name="Notas 2 6 3 3 4 2" xfId="37933"/>
    <cellStyle name="Notas 2 6 3 3 4 2 2" xfId="48844"/>
    <cellStyle name="Notas 2 6 3 3 4 3" xfId="48843"/>
    <cellStyle name="Notas 2 6 3 3 5" xfId="37934"/>
    <cellStyle name="Notas 2 6 3 3 5 2" xfId="48845"/>
    <cellStyle name="Notas 2 6 3 3 6" xfId="48835"/>
    <cellStyle name="Notas 2 6 3 3 7" xfId="37924"/>
    <cellStyle name="Notas 2 6 3 4" xfId="15669"/>
    <cellStyle name="Notas 2 6 3 4 2" xfId="37936"/>
    <cellStyle name="Notas 2 6 3 4 2 2" xfId="37937"/>
    <cellStyle name="Notas 2 6 3 4 2 2 2" xfId="48848"/>
    <cellStyle name="Notas 2 6 3 4 2 3" xfId="48847"/>
    <cellStyle name="Notas 2 6 3 4 3" xfId="37938"/>
    <cellStyle name="Notas 2 6 3 4 3 2" xfId="37939"/>
    <cellStyle name="Notas 2 6 3 4 3 2 2" xfId="48850"/>
    <cellStyle name="Notas 2 6 3 4 3 3" xfId="48849"/>
    <cellStyle name="Notas 2 6 3 4 4" xfId="37940"/>
    <cellStyle name="Notas 2 6 3 4 4 2" xfId="48851"/>
    <cellStyle name="Notas 2 6 3 4 5" xfId="48846"/>
    <cellStyle name="Notas 2 6 3 4 6" xfId="37935"/>
    <cellStyle name="Notas 2 6 3 5" xfId="37941"/>
    <cellStyle name="Notas 2 6 3 5 2" xfId="48852"/>
    <cellStyle name="Notas 2 6 3 6" xfId="37942"/>
    <cellStyle name="Notas 2 6 3 6 2" xfId="37943"/>
    <cellStyle name="Notas 2 6 3 6 2 2" xfId="48854"/>
    <cellStyle name="Notas 2 6 3 6 3" xfId="48853"/>
    <cellStyle name="Notas 2 6 3 7" xfId="37944"/>
    <cellStyle name="Notas 2 6 3 7 2" xfId="48855"/>
    <cellStyle name="Notas 2 6 3 8" xfId="48812"/>
    <cellStyle name="Notas 2 6 3 9" xfId="37901"/>
    <cellStyle name="Notas 2 6 4" xfId="4292"/>
    <cellStyle name="Notas 2 6 4 2" xfId="10496"/>
    <cellStyle name="Notas 2 6 4 2 2" xfId="48856"/>
    <cellStyle name="Notas 2 6 4 3" xfId="16698"/>
    <cellStyle name="Notas 2 6 4 3 2" xfId="55589"/>
    <cellStyle name="Notas 2 6 4 4" xfId="37945"/>
    <cellStyle name="Notas 2 6 5" xfId="7395"/>
    <cellStyle name="Notas 2 6 5 2" xfId="19405"/>
    <cellStyle name="Notas 2 6 5 2 2" xfId="37948"/>
    <cellStyle name="Notas 2 6 5 2 2 2" xfId="37949"/>
    <cellStyle name="Notas 2 6 5 2 2 2 2" xfId="37950"/>
    <cellStyle name="Notas 2 6 5 2 2 2 2 2" xfId="48861"/>
    <cellStyle name="Notas 2 6 5 2 2 2 3" xfId="48860"/>
    <cellStyle name="Notas 2 6 5 2 2 3" xfId="37951"/>
    <cellStyle name="Notas 2 6 5 2 2 3 2" xfId="37952"/>
    <cellStyle name="Notas 2 6 5 2 2 3 2 2" xfId="48863"/>
    <cellStyle name="Notas 2 6 5 2 2 3 3" xfId="48862"/>
    <cellStyle name="Notas 2 6 5 2 2 4" xfId="37953"/>
    <cellStyle name="Notas 2 6 5 2 2 4 2" xfId="48864"/>
    <cellStyle name="Notas 2 6 5 2 2 5" xfId="48859"/>
    <cellStyle name="Notas 2 6 5 2 3" xfId="37954"/>
    <cellStyle name="Notas 2 6 5 2 3 2" xfId="48865"/>
    <cellStyle name="Notas 2 6 5 2 4" xfId="37955"/>
    <cellStyle name="Notas 2 6 5 2 4 2" xfId="37956"/>
    <cellStyle name="Notas 2 6 5 2 4 2 2" xfId="48867"/>
    <cellStyle name="Notas 2 6 5 2 4 3" xfId="48866"/>
    <cellStyle name="Notas 2 6 5 2 5" xfId="37957"/>
    <cellStyle name="Notas 2 6 5 2 5 2" xfId="48868"/>
    <cellStyle name="Notas 2 6 5 2 6" xfId="48858"/>
    <cellStyle name="Notas 2 6 5 2 7" xfId="37947"/>
    <cellStyle name="Notas 2 6 5 3" xfId="37958"/>
    <cellStyle name="Notas 2 6 5 3 2" xfId="37959"/>
    <cellStyle name="Notas 2 6 5 3 2 2" xfId="37960"/>
    <cellStyle name="Notas 2 6 5 3 2 2 2" xfId="48871"/>
    <cellStyle name="Notas 2 6 5 3 2 3" xfId="48870"/>
    <cellStyle name="Notas 2 6 5 3 3" xfId="37961"/>
    <cellStyle name="Notas 2 6 5 3 3 2" xfId="37962"/>
    <cellStyle name="Notas 2 6 5 3 3 2 2" xfId="48873"/>
    <cellStyle name="Notas 2 6 5 3 3 3" xfId="48872"/>
    <cellStyle name="Notas 2 6 5 3 4" xfId="37963"/>
    <cellStyle name="Notas 2 6 5 3 4 2" xfId="48874"/>
    <cellStyle name="Notas 2 6 5 3 5" xfId="48869"/>
    <cellStyle name="Notas 2 6 5 4" xfId="37964"/>
    <cellStyle name="Notas 2 6 5 4 2" xfId="48875"/>
    <cellStyle name="Notas 2 6 5 5" xfId="37965"/>
    <cellStyle name="Notas 2 6 5 5 2" xfId="37966"/>
    <cellStyle name="Notas 2 6 5 5 2 2" xfId="48877"/>
    <cellStyle name="Notas 2 6 5 5 3" xfId="48876"/>
    <cellStyle name="Notas 2 6 5 6" xfId="37967"/>
    <cellStyle name="Notas 2 6 5 6 2" xfId="48878"/>
    <cellStyle name="Notas 2 6 5 7" xfId="48857"/>
    <cellStyle name="Notas 2 6 5 8" xfId="37946"/>
    <cellStyle name="Notas 2 6 6" xfId="13597"/>
    <cellStyle name="Notas 2 6 6 2" xfId="37969"/>
    <cellStyle name="Notas 2 6 6 2 2" xfId="37970"/>
    <cellStyle name="Notas 2 6 6 2 2 2" xfId="37971"/>
    <cellStyle name="Notas 2 6 6 2 2 2 2" xfId="48882"/>
    <cellStyle name="Notas 2 6 6 2 2 3" xfId="48881"/>
    <cellStyle name="Notas 2 6 6 2 3" xfId="37972"/>
    <cellStyle name="Notas 2 6 6 2 3 2" xfId="37973"/>
    <cellStyle name="Notas 2 6 6 2 3 2 2" xfId="48884"/>
    <cellStyle name="Notas 2 6 6 2 3 3" xfId="48883"/>
    <cellStyle name="Notas 2 6 6 2 4" xfId="37974"/>
    <cellStyle name="Notas 2 6 6 2 4 2" xfId="48885"/>
    <cellStyle name="Notas 2 6 6 2 5" xfId="48880"/>
    <cellStyle name="Notas 2 6 6 3" xfId="37975"/>
    <cellStyle name="Notas 2 6 6 3 2" xfId="48886"/>
    <cellStyle name="Notas 2 6 6 4" xfId="37976"/>
    <cellStyle name="Notas 2 6 6 4 2" xfId="37977"/>
    <cellStyle name="Notas 2 6 6 4 2 2" xfId="48888"/>
    <cellStyle name="Notas 2 6 6 4 3" xfId="48887"/>
    <cellStyle name="Notas 2 6 6 5" xfId="37978"/>
    <cellStyle name="Notas 2 6 6 5 2" xfId="48889"/>
    <cellStyle name="Notas 2 6 6 6" xfId="48879"/>
    <cellStyle name="Notas 2 6 6 7" xfId="37968"/>
    <cellStyle name="Notas 2 6 7" xfId="37979"/>
    <cellStyle name="Notas 2 6 7 2" xfId="37980"/>
    <cellStyle name="Notas 2 6 7 2 2" xfId="37981"/>
    <cellStyle name="Notas 2 6 7 2 2 2" xfId="48892"/>
    <cellStyle name="Notas 2 6 7 2 3" xfId="48891"/>
    <cellStyle name="Notas 2 6 7 3" xfId="37982"/>
    <cellStyle name="Notas 2 6 7 3 2" xfId="37983"/>
    <cellStyle name="Notas 2 6 7 3 2 2" xfId="48894"/>
    <cellStyle name="Notas 2 6 7 3 3" xfId="48893"/>
    <cellStyle name="Notas 2 6 7 4" xfId="37984"/>
    <cellStyle name="Notas 2 6 7 4 2" xfId="48895"/>
    <cellStyle name="Notas 2 6 7 5" xfId="48890"/>
    <cellStyle name="Notas 2 6 8" xfId="37985"/>
    <cellStyle name="Notas 2 6 8 2" xfId="37986"/>
    <cellStyle name="Notas 2 6 8 2 2" xfId="37987"/>
    <cellStyle name="Notas 2 6 8 2 2 2" xfId="48898"/>
    <cellStyle name="Notas 2 6 8 2 3" xfId="48897"/>
    <cellStyle name="Notas 2 6 8 3" xfId="37988"/>
    <cellStyle name="Notas 2 6 8 3 2" xfId="48899"/>
    <cellStyle name="Notas 2 6 8 4" xfId="48896"/>
    <cellStyle name="Notas 2 6 9" xfId="37989"/>
    <cellStyle name="Notas 2 6 9 2" xfId="37990"/>
    <cellStyle name="Notas 2 6 9 2 2" xfId="37991"/>
    <cellStyle name="Notas 2 6 9 2 2 2" xfId="48902"/>
    <cellStyle name="Notas 2 6 9 2 3" xfId="48901"/>
    <cellStyle name="Notas 2 6 9 3" xfId="37992"/>
    <cellStyle name="Notas 2 6 9 3 2" xfId="48903"/>
    <cellStyle name="Notas 2 6 9 4" xfId="48900"/>
    <cellStyle name="Notas 2 6_SIS I (IFRS)" xfId="37993"/>
    <cellStyle name="Notas 2 7" xfId="1277"/>
    <cellStyle name="Notas 2 7 2" xfId="4402"/>
    <cellStyle name="Notas 2 7 2 2" xfId="10605"/>
    <cellStyle name="Notas 2 7 2 2 2" xfId="55696"/>
    <cellStyle name="Notas 2 7 2 3" xfId="16807"/>
    <cellStyle name="Notas 2 7 2 4" xfId="48904"/>
    <cellStyle name="Notas 2 7 3" xfId="7505"/>
    <cellStyle name="Notas 2 7 3 2" xfId="52826"/>
    <cellStyle name="Notas 2 7 4" xfId="13707"/>
    <cellStyle name="Notas 2 7 5" xfId="37994"/>
    <cellStyle name="Notas 2 8" xfId="3222"/>
    <cellStyle name="Notas 2 8 2" xfId="6333"/>
    <cellStyle name="Notas 2 8 2 2" xfId="12536"/>
    <cellStyle name="Notas 2 8 2 2 2" xfId="57523"/>
    <cellStyle name="Notas 2 8 2 3" xfId="18738"/>
    <cellStyle name="Notas 2 8 2 4" xfId="48905"/>
    <cellStyle name="Notas 2 8 3" xfId="9436"/>
    <cellStyle name="Notas 2 8 3 2" xfId="54605"/>
    <cellStyle name="Notas 2 8 4" xfId="15638"/>
    <cellStyle name="Notas 2 8 5" xfId="37995"/>
    <cellStyle name="Notas 2 9" xfId="4261"/>
    <cellStyle name="Notas 2 9 2" xfId="10465"/>
    <cellStyle name="Notas 2 9 2 2" xfId="48906"/>
    <cellStyle name="Notas 2 9 3" xfId="16667"/>
    <cellStyle name="Notas 2 9 3 2" xfId="55558"/>
    <cellStyle name="Notas 2 9 4" xfId="37996"/>
    <cellStyle name="Notas 2_Plan by Lob" xfId="37997"/>
    <cellStyle name="Notas 3" xfId="1092"/>
    <cellStyle name="Notas 3 10" xfId="13598"/>
    <cellStyle name="Notas 3 11" xfId="20012"/>
    <cellStyle name="Notas 3 2" xfId="1093"/>
    <cellStyle name="Notas 3 2 10" xfId="37999"/>
    <cellStyle name="Notas 3 2 2" xfId="1094"/>
    <cellStyle name="Notas 3 2 2 2" xfId="1095"/>
    <cellStyle name="Notas 3 2 2 2 2" xfId="1096"/>
    <cellStyle name="Notas 3 2 2 2 2 2" xfId="2283"/>
    <cellStyle name="Notas 3 2 2 2 2 2 2" xfId="5408"/>
    <cellStyle name="Notas 3 2 2 2 2 2 2 2" xfId="11611"/>
    <cellStyle name="Notas 3 2 2 2 2 2 2 3" xfId="17813"/>
    <cellStyle name="Notas 3 2 2 2 2 2 2 4" xfId="56642"/>
    <cellStyle name="Notas 3 2 2 2 2 2 3" xfId="8511"/>
    <cellStyle name="Notas 3 2 2 2 2 2 4" xfId="14713"/>
    <cellStyle name="Notas 3 2 2 2 2 2 5" xfId="53746"/>
    <cellStyle name="Notas 3 2 2 2 2 3" xfId="3258"/>
    <cellStyle name="Notas 3 2 2 2 2 3 2" xfId="6369"/>
    <cellStyle name="Notas 3 2 2 2 2 3 2 2" xfId="12572"/>
    <cellStyle name="Notas 3 2 2 2 2 3 2 3" xfId="18774"/>
    <cellStyle name="Notas 3 2 2 2 2 3 2 4" xfId="57556"/>
    <cellStyle name="Notas 3 2 2 2 2 3 3" xfId="9472"/>
    <cellStyle name="Notas 3 2 2 2 2 3 4" xfId="15674"/>
    <cellStyle name="Notas 3 2 2 2 2 3 5" xfId="54638"/>
    <cellStyle name="Notas 3 2 2 2 2 4" xfId="4297"/>
    <cellStyle name="Notas 3 2 2 2 2 4 2" xfId="10501"/>
    <cellStyle name="Notas 3 2 2 2 2 4 3" xfId="16703"/>
    <cellStyle name="Notas 3 2 2 2 2 4 4" xfId="55594"/>
    <cellStyle name="Notas 3 2 2 2 2 5" xfId="7400"/>
    <cellStyle name="Notas 3 2 2 2 2 5 2" xfId="19884"/>
    <cellStyle name="Notas 3 2 2 2 2 6" xfId="13602"/>
    <cellStyle name="Notas 3 2 2 2 2 7" xfId="52734"/>
    <cellStyle name="Notas 3 2 2 2 3" xfId="1759"/>
    <cellStyle name="Notas 3 2 2 2 3 2" xfId="4884"/>
    <cellStyle name="Notas 3 2 2 2 3 2 2" xfId="11087"/>
    <cellStyle name="Notas 3 2 2 2 3 2 3" xfId="17289"/>
    <cellStyle name="Notas 3 2 2 2 3 2 4" xfId="56154"/>
    <cellStyle name="Notas 3 2 2 2 3 3" xfId="7987"/>
    <cellStyle name="Notas 3 2 2 2 3 4" xfId="14189"/>
    <cellStyle name="Notas 3 2 2 2 3 5" xfId="53261"/>
    <cellStyle name="Notas 3 2 2 2 4" xfId="3257"/>
    <cellStyle name="Notas 3 2 2 2 4 2" xfId="6368"/>
    <cellStyle name="Notas 3 2 2 2 4 2 2" xfId="12571"/>
    <cellStyle name="Notas 3 2 2 2 4 2 3" xfId="18773"/>
    <cellStyle name="Notas 3 2 2 2 4 2 4" xfId="57555"/>
    <cellStyle name="Notas 3 2 2 2 4 3" xfId="9471"/>
    <cellStyle name="Notas 3 2 2 2 4 4" xfId="15673"/>
    <cellStyle name="Notas 3 2 2 2 4 5" xfId="54637"/>
    <cellStyle name="Notas 3 2 2 2 5" xfId="4296"/>
    <cellStyle name="Notas 3 2 2 2 5 2" xfId="10500"/>
    <cellStyle name="Notas 3 2 2 2 5 3" xfId="16702"/>
    <cellStyle name="Notas 3 2 2 2 5 4" xfId="55593"/>
    <cellStyle name="Notas 3 2 2 2 6" xfId="7399"/>
    <cellStyle name="Notas 3 2 2 2 6 2" xfId="19360"/>
    <cellStyle name="Notas 3 2 2 2 6 3" xfId="52733"/>
    <cellStyle name="Notas 3 2 2 2 7" xfId="13601"/>
    <cellStyle name="Notas 3 2 2 2 8" xfId="48909"/>
    <cellStyle name="Notas 3 2 2 3" xfId="1097"/>
    <cellStyle name="Notas 3 2 2 3 2" xfId="2038"/>
    <cellStyle name="Notas 3 2 2 3 2 2" xfId="5163"/>
    <cellStyle name="Notas 3 2 2 3 2 2 2" xfId="11366"/>
    <cellStyle name="Notas 3 2 2 3 2 2 3" xfId="17568"/>
    <cellStyle name="Notas 3 2 2 3 2 2 4" xfId="56415"/>
    <cellStyle name="Notas 3 2 2 3 2 3" xfId="8266"/>
    <cellStyle name="Notas 3 2 2 3 2 4" xfId="14468"/>
    <cellStyle name="Notas 3 2 2 3 2 5" xfId="53520"/>
    <cellStyle name="Notas 3 2 2 3 3" xfId="3259"/>
    <cellStyle name="Notas 3 2 2 3 3 2" xfId="6370"/>
    <cellStyle name="Notas 3 2 2 3 3 2 2" xfId="12573"/>
    <cellStyle name="Notas 3 2 2 3 3 2 3" xfId="18775"/>
    <cellStyle name="Notas 3 2 2 3 3 2 4" xfId="57557"/>
    <cellStyle name="Notas 3 2 2 3 3 3" xfId="9473"/>
    <cellStyle name="Notas 3 2 2 3 3 4" xfId="15675"/>
    <cellStyle name="Notas 3 2 2 3 3 5" xfId="54639"/>
    <cellStyle name="Notas 3 2 2 3 4" xfId="4298"/>
    <cellStyle name="Notas 3 2 2 3 4 2" xfId="10502"/>
    <cellStyle name="Notas 3 2 2 3 4 3" xfId="16704"/>
    <cellStyle name="Notas 3 2 2 3 4 4" xfId="55595"/>
    <cellStyle name="Notas 3 2 2 3 5" xfId="7401"/>
    <cellStyle name="Notas 3 2 2 3 5 2" xfId="19639"/>
    <cellStyle name="Notas 3 2 2 3 6" xfId="13603"/>
    <cellStyle name="Notas 3 2 2 3 7" xfId="52154"/>
    <cellStyle name="Notas 3 2 2 4" xfId="1514"/>
    <cellStyle name="Notas 3 2 2 4 2" xfId="4639"/>
    <cellStyle name="Notas 3 2 2 4 2 2" xfId="10842"/>
    <cellStyle name="Notas 3 2 2 4 2 3" xfId="17044"/>
    <cellStyle name="Notas 3 2 2 4 2 4" xfId="55921"/>
    <cellStyle name="Notas 3 2 2 4 3" xfId="7742"/>
    <cellStyle name="Notas 3 2 2 4 4" xfId="13944"/>
    <cellStyle name="Notas 3 2 2 4 5" xfId="53036"/>
    <cellStyle name="Notas 3 2 2 5" xfId="3256"/>
    <cellStyle name="Notas 3 2 2 5 2" xfId="6367"/>
    <cellStyle name="Notas 3 2 2 5 2 2" xfId="12570"/>
    <cellStyle name="Notas 3 2 2 5 2 3" xfId="18772"/>
    <cellStyle name="Notas 3 2 2 5 2 4" xfId="57554"/>
    <cellStyle name="Notas 3 2 2 5 3" xfId="9470"/>
    <cellStyle name="Notas 3 2 2 5 4" xfId="15672"/>
    <cellStyle name="Notas 3 2 2 5 5" xfId="54636"/>
    <cellStyle name="Notas 3 2 2 6" xfId="4295"/>
    <cellStyle name="Notas 3 2 2 6 2" xfId="10499"/>
    <cellStyle name="Notas 3 2 2 6 3" xfId="16701"/>
    <cellStyle name="Notas 3 2 2 6 4" xfId="55592"/>
    <cellStyle name="Notas 3 2 2 7" xfId="7398"/>
    <cellStyle name="Notas 3 2 2 7 2" xfId="19115"/>
    <cellStyle name="Notas 3 2 2 8" xfId="13600"/>
    <cellStyle name="Notas 3 2 2 9" xfId="38000"/>
    <cellStyle name="Notas 3 2 3" xfId="1098"/>
    <cellStyle name="Notas 3 2 3 2" xfId="1099"/>
    <cellStyle name="Notas 3 2 3 2 2" xfId="2155"/>
    <cellStyle name="Notas 3 2 3 2 2 2" xfId="5280"/>
    <cellStyle name="Notas 3 2 3 2 2 2 2" xfId="11483"/>
    <cellStyle name="Notas 3 2 3 2 2 2 3" xfId="17685"/>
    <cellStyle name="Notas 3 2 3 2 2 2 4" xfId="56523"/>
    <cellStyle name="Notas 3 2 3 2 2 3" xfId="8383"/>
    <cellStyle name="Notas 3 2 3 2 2 4" xfId="14585"/>
    <cellStyle name="Notas 3 2 3 2 2 5" xfId="53627"/>
    <cellStyle name="Notas 3 2 3 2 3" xfId="3261"/>
    <cellStyle name="Notas 3 2 3 2 3 2" xfId="6372"/>
    <cellStyle name="Notas 3 2 3 2 3 2 2" xfId="12575"/>
    <cellStyle name="Notas 3 2 3 2 3 2 3" xfId="18777"/>
    <cellStyle name="Notas 3 2 3 2 3 2 4" xfId="57559"/>
    <cellStyle name="Notas 3 2 3 2 3 3" xfId="9475"/>
    <cellStyle name="Notas 3 2 3 2 3 4" xfId="15677"/>
    <cellStyle name="Notas 3 2 3 2 3 5" xfId="54641"/>
    <cellStyle name="Notas 3 2 3 2 4" xfId="4300"/>
    <cellStyle name="Notas 3 2 3 2 4 2" xfId="10504"/>
    <cellStyle name="Notas 3 2 3 2 4 3" xfId="16706"/>
    <cellStyle name="Notas 3 2 3 2 4 4" xfId="55597"/>
    <cellStyle name="Notas 3 2 3 2 5" xfId="7403"/>
    <cellStyle name="Notas 3 2 3 2 5 2" xfId="19756"/>
    <cellStyle name="Notas 3 2 3 2 6" xfId="13605"/>
    <cellStyle name="Notas 3 2 3 2 7" xfId="52736"/>
    <cellStyle name="Notas 3 2 3 3" xfId="1631"/>
    <cellStyle name="Notas 3 2 3 3 2" xfId="4756"/>
    <cellStyle name="Notas 3 2 3 3 2 2" xfId="10959"/>
    <cellStyle name="Notas 3 2 3 3 2 3" xfId="17161"/>
    <cellStyle name="Notas 3 2 3 3 2 4" xfId="56032"/>
    <cellStyle name="Notas 3 2 3 3 3" xfId="7859"/>
    <cellStyle name="Notas 3 2 3 3 4" xfId="14061"/>
    <cellStyle name="Notas 3 2 3 3 5" xfId="53142"/>
    <cellStyle name="Notas 3 2 3 4" xfId="3260"/>
    <cellStyle name="Notas 3 2 3 4 2" xfId="6371"/>
    <cellStyle name="Notas 3 2 3 4 2 2" xfId="12574"/>
    <cellStyle name="Notas 3 2 3 4 2 3" xfId="18776"/>
    <cellStyle name="Notas 3 2 3 4 2 4" xfId="57558"/>
    <cellStyle name="Notas 3 2 3 4 3" xfId="9474"/>
    <cellStyle name="Notas 3 2 3 4 4" xfId="15676"/>
    <cellStyle name="Notas 3 2 3 4 5" xfId="54640"/>
    <cellStyle name="Notas 3 2 3 5" xfId="4299"/>
    <cellStyle name="Notas 3 2 3 5 2" xfId="10503"/>
    <cellStyle name="Notas 3 2 3 5 3" xfId="16705"/>
    <cellStyle name="Notas 3 2 3 5 4" xfId="55596"/>
    <cellStyle name="Notas 3 2 3 6" xfId="7402"/>
    <cellStyle name="Notas 3 2 3 6 2" xfId="19232"/>
    <cellStyle name="Notas 3 2 3 6 3" xfId="52735"/>
    <cellStyle name="Notas 3 2 3 7" xfId="13604"/>
    <cellStyle name="Notas 3 2 3 8" xfId="48908"/>
    <cellStyle name="Notas 3 2 4" xfId="1100"/>
    <cellStyle name="Notas 3 2 4 2" xfId="1896"/>
    <cellStyle name="Notas 3 2 4 2 2" xfId="5021"/>
    <cellStyle name="Notas 3 2 4 2 2 2" xfId="11224"/>
    <cellStyle name="Notas 3 2 4 2 2 3" xfId="17426"/>
    <cellStyle name="Notas 3 2 4 2 2 4" xfId="56282"/>
    <cellStyle name="Notas 3 2 4 2 3" xfId="8124"/>
    <cellStyle name="Notas 3 2 4 2 4" xfId="14326"/>
    <cellStyle name="Notas 3 2 4 2 5" xfId="53388"/>
    <cellStyle name="Notas 3 2 4 3" xfId="3262"/>
    <cellStyle name="Notas 3 2 4 3 2" xfId="6373"/>
    <cellStyle name="Notas 3 2 4 3 2 2" xfId="12576"/>
    <cellStyle name="Notas 3 2 4 3 2 3" xfId="18778"/>
    <cellStyle name="Notas 3 2 4 3 2 4" xfId="57560"/>
    <cellStyle name="Notas 3 2 4 3 3" xfId="9476"/>
    <cellStyle name="Notas 3 2 4 3 4" xfId="15678"/>
    <cellStyle name="Notas 3 2 4 3 5" xfId="54642"/>
    <cellStyle name="Notas 3 2 4 4" xfId="4301"/>
    <cellStyle name="Notas 3 2 4 4 2" xfId="10505"/>
    <cellStyle name="Notas 3 2 4 4 3" xfId="16707"/>
    <cellStyle name="Notas 3 2 4 4 4" xfId="55598"/>
    <cellStyle name="Notas 3 2 4 5" xfId="7404"/>
    <cellStyle name="Notas 3 2 4 5 2" xfId="19497"/>
    <cellStyle name="Notas 3 2 4 6" xfId="13606"/>
    <cellStyle name="Notas 3 2 4 7" xfId="52019"/>
    <cellStyle name="Notas 3 2 5" xfId="1372"/>
    <cellStyle name="Notas 3 2 5 2" xfId="4497"/>
    <cellStyle name="Notas 3 2 5 2 2" xfId="10700"/>
    <cellStyle name="Notas 3 2 5 2 3" xfId="16902"/>
    <cellStyle name="Notas 3 2 5 2 4" xfId="55786"/>
    <cellStyle name="Notas 3 2 5 3" xfId="7600"/>
    <cellStyle name="Notas 3 2 5 4" xfId="13802"/>
    <cellStyle name="Notas 3 2 5 5" xfId="52910"/>
    <cellStyle name="Notas 3 2 6" xfId="3255"/>
    <cellStyle name="Notas 3 2 6 2" xfId="6366"/>
    <cellStyle name="Notas 3 2 6 2 2" xfId="12569"/>
    <cellStyle name="Notas 3 2 6 2 3" xfId="18771"/>
    <cellStyle name="Notas 3 2 6 2 4" xfId="57553"/>
    <cellStyle name="Notas 3 2 6 3" xfId="9469"/>
    <cellStyle name="Notas 3 2 6 4" xfId="15671"/>
    <cellStyle name="Notas 3 2 6 5" xfId="54635"/>
    <cellStyle name="Notas 3 2 7" xfId="4294"/>
    <cellStyle name="Notas 3 2 7 2" xfId="10498"/>
    <cellStyle name="Notas 3 2 7 3" xfId="16700"/>
    <cellStyle name="Notas 3 2 7 4" xfId="55591"/>
    <cellStyle name="Notas 3 2 8" xfId="7397"/>
    <cellStyle name="Notas 3 2 8 2" xfId="18973"/>
    <cellStyle name="Notas 3 2 9" xfId="13599"/>
    <cellStyle name="Notas 3 3" xfId="1101"/>
    <cellStyle name="Notas 3 3 2" xfId="1102"/>
    <cellStyle name="Notas 3 3 2 2" xfId="1103"/>
    <cellStyle name="Notas 3 3 2 2 2" xfId="2215"/>
    <cellStyle name="Notas 3 3 2 2 2 2" xfId="5340"/>
    <cellStyle name="Notas 3 3 2 2 2 2 2" xfId="11543"/>
    <cellStyle name="Notas 3 3 2 2 2 2 3" xfId="17745"/>
    <cellStyle name="Notas 3 3 2 2 2 2 4" xfId="56579"/>
    <cellStyle name="Notas 3 3 2 2 2 3" xfId="8443"/>
    <cellStyle name="Notas 3 3 2 2 2 4" xfId="14645"/>
    <cellStyle name="Notas 3 3 2 2 2 5" xfId="53683"/>
    <cellStyle name="Notas 3 3 2 2 3" xfId="3265"/>
    <cellStyle name="Notas 3 3 2 2 3 2" xfId="6376"/>
    <cellStyle name="Notas 3 3 2 2 3 2 2" xfId="12579"/>
    <cellStyle name="Notas 3 3 2 2 3 2 3" xfId="18781"/>
    <cellStyle name="Notas 3 3 2 2 3 2 4" xfId="57563"/>
    <cellStyle name="Notas 3 3 2 2 3 3" xfId="9479"/>
    <cellStyle name="Notas 3 3 2 2 3 4" xfId="15681"/>
    <cellStyle name="Notas 3 3 2 2 3 5" xfId="54645"/>
    <cellStyle name="Notas 3 3 2 2 4" xfId="4304"/>
    <cellStyle name="Notas 3 3 2 2 4 2" xfId="10508"/>
    <cellStyle name="Notas 3 3 2 2 4 3" xfId="16710"/>
    <cellStyle name="Notas 3 3 2 2 4 4" xfId="55601"/>
    <cellStyle name="Notas 3 3 2 2 5" xfId="7407"/>
    <cellStyle name="Notas 3 3 2 2 5 2" xfId="19816"/>
    <cellStyle name="Notas 3 3 2 2 6" xfId="13609"/>
    <cellStyle name="Notas 3 3 2 2 7" xfId="52738"/>
    <cellStyle name="Notas 3 3 2 3" xfId="1691"/>
    <cellStyle name="Notas 3 3 2 3 2" xfId="4816"/>
    <cellStyle name="Notas 3 3 2 3 2 2" xfId="11019"/>
    <cellStyle name="Notas 3 3 2 3 2 3" xfId="17221"/>
    <cellStyle name="Notas 3 3 2 3 2 4" xfId="56088"/>
    <cellStyle name="Notas 3 3 2 3 3" xfId="7919"/>
    <cellStyle name="Notas 3 3 2 3 4" xfId="14121"/>
    <cellStyle name="Notas 3 3 2 3 5" xfId="53198"/>
    <cellStyle name="Notas 3 3 2 4" xfId="3264"/>
    <cellStyle name="Notas 3 3 2 4 2" xfId="6375"/>
    <cellStyle name="Notas 3 3 2 4 2 2" xfId="12578"/>
    <cellStyle name="Notas 3 3 2 4 2 3" xfId="18780"/>
    <cellStyle name="Notas 3 3 2 4 2 4" xfId="57562"/>
    <cellStyle name="Notas 3 3 2 4 3" xfId="9478"/>
    <cellStyle name="Notas 3 3 2 4 4" xfId="15680"/>
    <cellStyle name="Notas 3 3 2 4 5" xfId="54644"/>
    <cellStyle name="Notas 3 3 2 5" xfId="4303"/>
    <cellStyle name="Notas 3 3 2 5 2" xfId="10507"/>
    <cellStyle name="Notas 3 3 2 5 3" xfId="16709"/>
    <cellStyle name="Notas 3 3 2 5 4" xfId="55600"/>
    <cellStyle name="Notas 3 3 2 6" xfId="7406"/>
    <cellStyle name="Notas 3 3 2 6 2" xfId="19292"/>
    <cellStyle name="Notas 3 3 2 6 3" xfId="52737"/>
    <cellStyle name="Notas 3 3 2 7" xfId="13608"/>
    <cellStyle name="Notas 3 3 2 8" xfId="48910"/>
    <cellStyle name="Notas 3 3 3" xfId="1104"/>
    <cellStyle name="Notas 3 3 3 2" xfId="1970"/>
    <cellStyle name="Notas 3 3 3 2 2" xfId="5095"/>
    <cellStyle name="Notas 3 3 3 2 2 2" xfId="11298"/>
    <cellStyle name="Notas 3 3 3 2 2 3" xfId="17500"/>
    <cellStyle name="Notas 3 3 3 2 2 4" xfId="56352"/>
    <cellStyle name="Notas 3 3 3 2 3" xfId="8198"/>
    <cellStyle name="Notas 3 3 3 2 4" xfId="14400"/>
    <cellStyle name="Notas 3 3 3 2 5" xfId="53458"/>
    <cellStyle name="Notas 3 3 3 3" xfId="3266"/>
    <cellStyle name="Notas 3 3 3 3 2" xfId="6377"/>
    <cellStyle name="Notas 3 3 3 3 2 2" xfId="12580"/>
    <cellStyle name="Notas 3 3 3 3 2 3" xfId="18782"/>
    <cellStyle name="Notas 3 3 3 3 2 4" xfId="57564"/>
    <cellStyle name="Notas 3 3 3 3 3" xfId="9480"/>
    <cellStyle name="Notas 3 3 3 3 4" xfId="15682"/>
    <cellStyle name="Notas 3 3 3 3 5" xfId="54646"/>
    <cellStyle name="Notas 3 3 3 4" xfId="4305"/>
    <cellStyle name="Notas 3 3 3 4 2" xfId="10509"/>
    <cellStyle name="Notas 3 3 3 4 3" xfId="16711"/>
    <cellStyle name="Notas 3 3 3 4 4" xfId="55602"/>
    <cellStyle name="Notas 3 3 3 5" xfId="7408"/>
    <cellStyle name="Notas 3 3 3 5 2" xfId="19571"/>
    <cellStyle name="Notas 3 3 3 6" xfId="13610"/>
    <cellStyle name="Notas 3 3 3 7" xfId="52090"/>
    <cellStyle name="Notas 3 3 4" xfId="1446"/>
    <cellStyle name="Notas 3 3 4 2" xfId="4571"/>
    <cellStyle name="Notas 3 3 4 2 2" xfId="10774"/>
    <cellStyle name="Notas 3 3 4 2 3" xfId="16976"/>
    <cellStyle name="Notas 3 3 4 2 4" xfId="55856"/>
    <cellStyle name="Notas 3 3 4 3" xfId="7674"/>
    <cellStyle name="Notas 3 3 4 4" xfId="13876"/>
    <cellStyle name="Notas 3 3 4 5" xfId="52974"/>
    <cellStyle name="Notas 3 3 5" xfId="3263"/>
    <cellStyle name="Notas 3 3 5 2" xfId="6374"/>
    <cellStyle name="Notas 3 3 5 2 2" xfId="12577"/>
    <cellStyle name="Notas 3 3 5 2 3" xfId="18779"/>
    <cellStyle name="Notas 3 3 5 2 4" xfId="57561"/>
    <cellStyle name="Notas 3 3 5 3" xfId="9477"/>
    <cellStyle name="Notas 3 3 5 4" xfId="15679"/>
    <cellStyle name="Notas 3 3 5 5" xfId="54643"/>
    <cellStyle name="Notas 3 3 6" xfId="4302"/>
    <cellStyle name="Notas 3 3 6 2" xfId="10506"/>
    <cellStyle name="Notas 3 3 6 3" xfId="16708"/>
    <cellStyle name="Notas 3 3 6 4" xfId="55599"/>
    <cellStyle name="Notas 3 3 7" xfId="7405"/>
    <cellStyle name="Notas 3 3 7 2" xfId="19047"/>
    <cellStyle name="Notas 3 3 8" xfId="13607"/>
    <cellStyle name="Notas 3 3 9" xfId="38001"/>
    <cellStyle name="Notas 3 4" xfId="1105"/>
    <cellStyle name="Notas 3 4 2" xfId="1106"/>
    <cellStyle name="Notas 3 4 2 2" xfId="2076"/>
    <cellStyle name="Notas 3 4 2 2 2" xfId="5201"/>
    <cellStyle name="Notas 3 4 2 2 2 2" xfId="11404"/>
    <cellStyle name="Notas 3 4 2 2 2 3" xfId="17606"/>
    <cellStyle name="Notas 3 4 2 2 2 4" xfId="56451"/>
    <cellStyle name="Notas 3 4 2 2 3" xfId="8304"/>
    <cellStyle name="Notas 3 4 2 2 4" xfId="14506"/>
    <cellStyle name="Notas 3 4 2 2 5" xfId="53555"/>
    <cellStyle name="Notas 3 4 2 3" xfId="3268"/>
    <cellStyle name="Notas 3 4 2 3 2" xfId="6379"/>
    <cellStyle name="Notas 3 4 2 3 2 2" xfId="12582"/>
    <cellStyle name="Notas 3 4 2 3 2 3" xfId="18784"/>
    <cellStyle name="Notas 3 4 2 3 2 4" xfId="57566"/>
    <cellStyle name="Notas 3 4 2 3 3" xfId="9482"/>
    <cellStyle name="Notas 3 4 2 3 4" xfId="15684"/>
    <cellStyle name="Notas 3 4 2 3 5" xfId="54648"/>
    <cellStyle name="Notas 3 4 2 4" xfId="4307"/>
    <cellStyle name="Notas 3 4 2 4 2" xfId="10511"/>
    <cellStyle name="Notas 3 4 2 4 3" xfId="16713"/>
    <cellStyle name="Notas 3 4 2 4 4" xfId="55604"/>
    <cellStyle name="Notas 3 4 2 5" xfId="7410"/>
    <cellStyle name="Notas 3 4 2 5 2" xfId="19677"/>
    <cellStyle name="Notas 3 4 2 6" xfId="13612"/>
    <cellStyle name="Notas 3 4 2 7" xfId="52740"/>
    <cellStyle name="Notas 3 4 3" xfId="1552"/>
    <cellStyle name="Notas 3 4 3 2" xfId="4677"/>
    <cellStyle name="Notas 3 4 3 2 2" xfId="10880"/>
    <cellStyle name="Notas 3 4 3 2 3" xfId="17082"/>
    <cellStyle name="Notas 3 4 3 2 4" xfId="55956"/>
    <cellStyle name="Notas 3 4 3 3" xfId="7780"/>
    <cellStyle name="Notas 3 4 3 4" xfId="13982"/>
    <cellStyle name="Notas 3 4 3 5" xfId="53070"/>
    <cellStyle name="Notas 3 4 4" xfId="3267"/>
    <cellStyle name="Notas 3 4 4 2" xfId="6378"/>
    <cellStyle name="Notas 3 4 4 2 2" xfId="12581"/>
    <cellStyle name="Notas 3 4 4 2 3" xfId="18783"/>
    <cellStyle name="Notas 3 4 4 2 4" xfId="57565"/>
    <cellStyle name="Notas 3 4 4 3" xfId="9481"/>
    <cellStyle name="Notas 3 4 4 4" xfId="15683"/>
    <cellStyle name="Notas 3 4 4 5" xfId="54647"/>
    <cellStyle name="Notas 3 4 5" xfId="4306"/>
    <cellStyle name="Notas 3 4 5 2" xfId="10510"/>
    <cellStyle name="Notas 3 4 5 3" xfId="16712"/>
    <cellStyle name="Notas 3 4 5 4" xfId="55603"/>
    <cellStyle name="Notas 3 4 6" xfId="7409"/>
    <cellStyle name="Notas 3 4 6 2" xfId="19153"/>
    <cellStyle name="Notas 3 4 6 3" xfId="52739"/>
    <cellStyle name="Notas 3 4 7" xfId="13611"/>
    <cellStyle name="Notas 3 4 8" xfId="37998"/>
    <cellStyle name="Notas 3 5" xfId="1107"/>
    <cellStyle name="Notas 3 5 2" xfId="1805"/>
    <cellStyle name="Notas 3 5 2 2" xfId="4930"/>
    <cellStyle name="Notas 3 5 2 2 2" xfId="11133"/>
    <cellStyle name="Notas 3 5 2 2 3" xfId="17335"/>
    <cellStyle name="Notas 3 5 2 2 4" xfId="56197"/>
    <cellStyle name="Notas 3 5 2 3" xfId="8033"/>
    <cellStyle name="Notas 3 5 2 4" xfId="14235"/>
    <cellStyle name="Notas 3 5 2 5" xfId="53303"/>
    <cellStyle name="Notas 3 5 3" xfId="3269"/>
    <cellStyle name="Notas 3 5 3 2" xfId="6380"/>
    <cellStyle name="Notas 3 5 3 2 2" xfId="12583"/>
    <cellStyle name="Notas 3 5 3 2 3" xfId="18785"/>
    <cellStyle name="Notas 3 5 3 2 4" xfId="57567"/>
    <cellStyle name="Notas 3 5 3 3" xfId="9483"/>
    <cellStyle name="Notas 3 5 3 4" xfId="15685"/>
    <cellStyle name="Notas 3 5 3 5" xfId="54649"/>
    <cellStyle name="Notas 3 5 4" xfId="4308"/>
    <cellStyle name="Notas 3 5 4 2" xfId="10512"/>
    <cellStyle name="Notas 3 5 4 3" xfId="16714"/>
    <cellStyle name="Notas 3 5 4 4" xfId="55605"/>
    <cellStyle name="Notas 3 5 5" xfId="7411"/>
    <cellStyle name="Notas 3 5 5 2" xfId="19406"/>
    <cellStyle name="Notas 3 5 5 3" xfId="52741"/>
    <cellStyle name="Notas 3 5 6" xfId="13613"/>
    <cellStyle name="Notas 3 5 7" xfId="48907"/>
    <cellStyle name="Notas 3 6" xfId="1304"/>
    <cellStyle name="Notas 3 6 2" xfId="4429"/>
    <cellStyle name="Notas 3 6 2 2" xfId="10632"/>
    <cellStyle name="Notas 3 6 2 3" xfId="16834"/>
    <cellStyle name="Notas 3 6 2 4" xfId="55720"/>
    <cellStyle name="Notas 3 6 3" xfId="7532"/>
    <cellStyle name="Notas 3 6 4" xfId="13734"/>
    <cellStyle name="Notas 3 6 5" xfId="52849"/>
    <cellStyle name="Notas 3 7" xfId="3254"/>
    <cellStyle name="Notas 3 7 2" xfId="6365"/>
    <cellStyle name="Notas 3 7 2 2" xfId="12568"/>
    <cellStyle name="Notas 3 7 2 3" xfId="18770"/>
    <cellStyle name="Notas 3 7 2 4" xfId="57552"/>
    <cellStyle name="Notas 3 7 3" xfId="9468"/>
    <cellStyle name="Notas 3 7 4" xfId="15670"/>
    <cellStyle name="Notas 3 7 5" xfId="54634"/>
    <cellStyle name="Notas 3 8" xfId="4293"/>
    <cellStyle name="Notas 3 8 2" xfId="10497"/>
    <cellStyle name="Notas 3 8 3" xfId="16699"/>
    <cellStyle name="Notas 3 8 4" xfId="55590"/>
    <cellStyle name="Notas 3 9" xfId="7396"/>
    <cellStyle name="Notas 3 9 2" xfId="18905"/>
    <cellStyle name="Notas 4" xfId="1108"/>
    <cellStyle name="Notas 4 2" xfId="38003"/>
    <cellStyle name="Notas 4 2 2" xfId="48912"/>
    <cellStyle name="Notas 4 3" xfId="38004"/>
    <cellStyle name="Notas 4 3 2" xfId="48913"/>
    <cellStyle name="Notas 4 4" xfId="38005"/>
    <cellStyle name="Notas 4 4 2" xfId="48914"/>
    <cellStyle name="Notas 4 5" xfId="48911"/>
    <cellStyle name="Notas 4 6" xfId="51961"/>
    <cellStyle name="Notas 4 7" xfId="38002"/>
    <cellStyle name="Notas 5" xfId="1109"/>
    <cellStyle name="Notas 5 10" xfId="38006"/>
    <cellStyle name="Notas 5 2" xfId="1110"/>
    <cellStyle name="Notas 5 2 2" xfId="1111"/>
    <cellStyle name="Notas 5 2 2 2" xfId="1112"/>
    <cellStyle name="Notas 5 2 2 2 2" xfId="2255"/>
    <cellStyle name="Notas 5 2 2 2 2 2" xfId="5380"/>
    <cellStyle name="Notas 5 2 2 2 2 2 2" xfId="11583"/>
    <cellStyle name="Notas 5 2 2 2 2 2 3" xfId="17785"/>
    <cellStyle name="Notas 5 2 2 2 2 2 4" xfId="56617"/>
    <cellStyle name="Notas 5 2 2 2 2 3" xfId="8483"/>
    <cellStyle name="Notas 5 2 2 2 2 4" xfId="14685"/>
    <cellStyle name="Notas 5 2 2 2 2 5" xfId="53721"/>
    <cellStyle name="Notas 5 2 2 2 3" xfId="3273"/>
    <cellStyle name="Notas 5 2 2 2 3 2" xfId="6384"/>
    <cellStyle name="Notas 5 2 2 2 3 2 2" xfId="12587"/>
    <cellStyle name="Notas 5 2 2 2 3 2 3" xfId="18789"/>
    <cellStyle name="Notas 5 2 2 2 3 2 4" xfId="57571"/>
    <cellStyle name="Notas 5 2 2 2 3 3" xfId="9487"/>
    <cellStyle name="Notas 5 2 2 2 3 4" xfId="15689"/>
    <cellStyle name="Notas 5 2 2 2 3 5" xfId="54653"/>
    <cellStyle name="Notas 5 2 2 2 4" xfId="4312"/>
    <cellStyle name="Notas 5 2 2 2 4 2" xfId="10516"/>
    <cellStyle name="Notas 5 2 2 2 4 3" xfId="16718"/>
    <cellStyle name="Notas 5 2 2 2 4 4" xfId="55609"/>
    <cellStyle name="Notas 5 2 2 2 5" xfId="7415"/>
    <cellStyle name="Notas 5 2 2 2 5 2" xfId="19856"/>
    <cellStyle name="Notas 5 2 2 2 6" xfId="13617"/>
    <cellStyle name="Notas 5 2 2 2 7" xfId="52743"/>
    <cellStyle name="Notas 5 2 2 3" xfId="1731"/>
    <cellStyle name="Notas 5 2 2 3 2" xfId="4856"/>
    <cellStyle name="Notas 5 2 2 3 2 2" xfId="11059"/>
    <cellStyle name="Notas 5 2 2 3 2 3" xfId="17261"/>
    <cellStyle name="Notas 5 2 2 3 2 4" xfId="56127"/>
    <cellStyle name="Notas 5 2 2 3 3" xfId="7959"/>
    <cellStyle name="Notas 5 2 2 3 4" xfId="14161"/>
    <cellStyle name="Notas 5 2 2 3 5" xfId="53236"/>
    <cellStyle name="Notas 5 2 2 4" xfId="3272"/>
    <cellStyle name="Notas 5 2 2 4 2" xfId="6383"/>
    <cellStyle name="Notas 5 2 2 4 2 2" xfId="12586"/>
    <cellStyle name="Notas 5 2 2 4 2 3" xfId="18788"/>
    <cellStyle name="Notas 5 2 2 4 2 4" xfId="57570"/>
    <cellStyle name="Notas 5 2 2 4 3" xfId="9486"/>
    <cellStyle name="Notas 5 2 2 4 4" xfId="15688"/>
    <cellStyle name="Notas 5 2 2 4 5" xfId="54652"/>
    <cellStyle name="Notas 5 2 2 5" xfId="4311"/>
    <cellStyle name="Notas 5 2 2 5 2" xfId="10515"/>
    <cellStyle name="Notas 5 2 2 5 3" xfId="16717"/>
    <cellStyle name="Notas 5 2 2 5 4" xfId="55608"/>
    <cellStyle name="Notas 5 2 2 6" xfId="7414"/>
    <cellStyle name="Notas 5 2 2 6 2" xfId="19332"/>
    <cellStyle name="Notas 5 2 2 6 3" xfId="52742"/>
    <cellStyle name="Notas 5 2 2 7" xfId="13616"/>
    <cellStyle name="Notas 5 2 2 8" xfId="48916"/>
    <cellStyle name="Notas 5 2 3" xfId="1113"/>
    <cellStyle name="Notas 5 2 3 2" xfId="2010"/>
    <cellStyle name="Notas 5 2 3 2 2" xfId="5135"/>
    <cellStyle name="Notas 5 2 3 2 2 2" xfId="11338"/>
    <cellStyle name="Notas 5 2 3 2 2 3" xfId="17540"/>
    <cellStyle name="Notas 5 2 3 2 2 4" xfId="56390"/>
    <cellStyle name="Notas 5 2 3 2 3" xfId="8238"/>
    <cellStyle name="Notas 5 2 3 2 4" xfId="14440"/>
    <cellStyle name="Notas 5 2 3 2 5" xfId="53495"/>
    <cellStyle name="Notas 5 2 3 3" xfId="3274"/>
    <cellStyle name="Notas 5 2 3 3 2" xfId="6385"/>
    <cellStyle name="Notas 5 2 3 3 2 2" xfId="12588"/>
    <cellStyle name="Notas 5 2 3 3 2 3" xfId="18790"/>
    <cellStyle name="Notas 5 2 3 3 2 4" xfId="57572"/>
    <cellStyle name="Notas 5 2 3 3 3" xfId="9488"/>
    <cellStyle name="Notas 5 2 3 3 4" xfId="15690"/>
    <cellStyle name="Notas 5 2 3 3 5" xfId="54654"/>
    <cellStyle name="Notas 5 2 3 4" xfId="4313"/>
    <cellStyle name="Notas 5 2 3 4 2" xfId="10517"/>
    <cellStyle name="Notas 5 2 3 4 3" xfId="16719"/>
    <cellStyle name="Notas 5 2 3 4 4" xfId="55610"/>
    <cellStyle name="Notas 5 2 3 5" xfId="7416"/>
    <cellStyle name="Notas 5 2 3 5 2" xfId="19611"/>
    <cellStyle name="Notas 5 2 3 6" xfId="13618"/>
    <cellStyle name="Notas 5 2 3 7" xfId="52129"/>
    <cellStyle name="Notas 5 2 4" xfId="1486"/>
    <cellStyle name="Notas 5 2 4 2" xfId="4611"/>
    <cellStyle name="Notas 5 2 4 2 2" xfId="10814"/>
    <cellStyle name="Notas 5 2 4 2 3" xfId="17016"/>
    <cellStyle name="Notas 5 2 4 2 4" xfId="55895"/>
    <cellStyle name="Notas 5 2 4 3" xfId="7714"/>
    <cellStyle name="Notas 5 2 4 4" xfId="13916"/>
    <cellStyle name="Notas 5 2 4 5" xfId="53011"/>
    <cellStyle name="Notas 5 2 5" xfId="3271"/>
    <cellStyle name="Notas 5 2 5 2" xfId="6382"/>
    <cellStyle name="Notas 5 2 5 2 2" xfId="12585"/>
    <cellStyle name="Notas 5 2 5 2 3" xfId="18787"/>
    <cellStyle name="Notas 5 2 5 2 4" xfId="57569"/>
    <cellStyle name="Notas 5 2 5 3" xfId="9485"/>
    <cellStyle name="Notas 5 2 5 4" xfId="15687"/>
    <cellStyle name="Notas 5 2 5 5" xfId="54651"/>
    <cellStyle name="Notas 5 2 6" xfId="4310"/>
    <cellStyle name="Notas 5 2 6 2" xfId="10514"/>
    <cellStyle name="Notas 5 2 6 3" xfId="16716"/>
    <cellStyle name="Notas 5 2 6 4" xfId="55607"/>
    <cellStyle name="Notas 5 2 7" xfId="7413"/>
    <cellStyle name="Notas 5 2 7 2" xfId="19087"/>
    <cellStyle name="Notas 5 2 8" xfId="13615"/>
    <cellStyle name="Notas 5 2 9" xfId="38007"/>
    <cellStyle name="Notas 5 3" xfId="1114"/>
    <cellStyle name="Notas 5 3 2" xfId="1115"/>
    <cellStyle name="Notas 5 3 2 2" xfId="2127"/>
    <cellStyle name="Notas 5 3 2 2 2" xfId="5252"/>
    <cellStyle name="Notas 5 3 2 2 2 2" xfId="11455"/>
    <cellStyle name="Notas 5 3 2 2 2 3" xfId="17657"/>
    <cellStyle name="Notas 5 3 2 2 2 4" xfId="56498"/>
    <cellStyle name="Notas 5 3 2 2 3" xfId="8355"/>
    <cellStyle name="Notas 5 3 2 2 4" xfId="14557"/>
    <cellStyle name="Notas 5 3 2 2 5" xfId="53602"/>
    <cellStyle name="Notas 5 3 2 3" xfId="3276"/>
    <cellStyle name="Notas 5 3 2 3 2" xfId="6387"/>
    <cellStyle name="Notas 5 3 2 3 2 2" xfId="12590"/>
    <cellStyle name="Notas 5 3 2 3 2 3" xfId="18792"/>
    <cellStyle name="Notas 5 3 2 3 2 4" xfId="57574"/>
    <cellStyle name="Notas 5 3 2 3 3" xfId="9490"/>
    <cellStyle name="Notas 5 3 2 3 4" xfId="15692"/>
    <cellStyle name="Notas 5 3 2 3 5" xfId="54656"/>
    <cellStyle name="Notas 5 3 2 4" xfId="4315"/>
    <cellStyle name="Notas 5 3 2 4 2" xfId="10519"/>
    <cellStyle name="Notas 5 3 2 4 3" xfId="16721"/>
    <cellStyle name="Notas 5 3 2 4 4" xfId="55612"/>
    <cellStyle name="Notas 5 3 2 5" xfId="7418"/>
    <cellStyle name="Notas 5 3 2 5 2" xfId="19728"/>
    <cellStyle name="Notas 5 3 2 5 3" xfId="52745"/>
    <cellStyle name="Notas 5 3 2 6" xfId="13620"/>
    <cellStyle name="Notas 5 3 2 7" xfId="48917"/>
    <cellStyle name="Notas 5 3 3" xfId="1603"/>
    <cellStyle name="Notas 5 3 3 2" xfId="4728"/>
    <cellStyle name="Notas 5 3 3 2 2" xfId="10931"/>
    <cellStyle name="Notas 5 3 3 2 3" xfId="17133"/>
    <cellStyle name="Notas 5 3 3 2 4" xfId="56005"/>
    <cellStyle name="Notas 5 3 3 3" xfId="7831"/>
    <cellStyle name="Notas 5 3 3 4" xfId="14033"/>
    <cellStyle name="Notas 5 3 3 5" xfId="53117"/>
    <cellStyle name="Notas 5 3 4" xfId="3275"/>
    <cellStyle name="Notas 5 3 4 2" xfId="6386"/>
    <cellStyle name="Notas 5 3 4 2 2" xfId="12589"/>
    <cellStyle name="Notas 5 3 4 2 3" xfId="18791"/>
    <cellStyle name="Notas 5 3 4 2 4" xfId="57573"/>
    <cellStyle name="Notas 5 3 4 3" xfId="9489"/>
    <cellStyle name="Notas 5 3 4 4" xfId="15691"/>
    <cellStyle name="Notas 5 3 4 5" xfId="54655"/>
    <cellStyle name="Notas 5 3 5" xfId="4314"/>
    <cellStyle name="Notas 5 3 5 2" xfId="10518"/>
    <cellStyle name="Notas 5 3 5 3" xfId="16720"/>
    <cellStyle name="Notas 5 3 5 4" xfId="55611"/>
    <cellStyle name="Notas 5 3 6" xfId="7417"/>
    <cellStyle name="Notas 5 3 6 2" xfId="19204"/>
    <cellStyle name="Notas 5 3 6 3" xfId="52744"/>
    <cellStyle name="Notas 5 3 7" xfId="13619"/>
    <cellStyle name="Notas 5 3 8" xfId="38008"/>
    <cellStyle name="Notas 5 4" xfId="1116"/>
    <cellStyle name="Notas 5 4 2" xfId="1868"/>
    <cellStyle name="Notas 5 4 2 2" xfId="4993"/>
    <cellStyle name="Notas 5 4 2 2 2" xfId="11196"/>
    <cellStyle name="Notas 5 4 2 2 3" xfId="17398"/>
    <cellStyle name="Notas 5 4 2 2 4" xfId="56256"/>
    <cellStyle name="Notas 5 4 2 3" xfId="8096"/>
    <cellStyle name="Notas 5 4 2 4" xfId="14298"/>
    <cellStyle name="Notas 5 4 2 5" xfId="53362"/>
    <cellStyle name="Notas 5 4 3" xfId="3277"/>
    <cellStyle name="Notas 5 4 3 2" xfId="6388"/>
    <cellStyle name="Notas 5 4 3 2 2" xfId="12591"/>
    <cellStyle name="Notas 5 4 3 2 3" xfId="18793"/>
    <cellStyle name="Notas 5 4 3 2 4" xfId="57575"/>
    <cellStyle name="Notas 5 4 3 3" xfId="9491"/>
    <cellStyle name="Notas 5 4 3 4" xfId="15693"/>
    <cellStyle name="Notas 5 4 3 5" xfId="54657"/>
    <cellStyle name="Notas 5 4 4" xfId="4316"/>
    <cellStyle name="Notas 5 4 4 2" xfId="10520"/>
    <cellStyle name="Notas 5 4 4 3" xfId="16722"/>
    <cellStyle name="Notas 5 4 4 4" xfId="55613"/>
    <cellStyle name="Notas 5 4 5" xfId="7419"/>
    <cellStyle name="Notas 5 4 5 2" xfId="19469"/>
    <cellStyle name="Notas 5 4 5 3" xfId="52746"/>
    <cellStyle name="Notas 5 4 6" xfId="13621"/>
    <cellStyle name="Notas 5 4 7" xfId="48915"/>
    <cellStyle name="Notas 5 5" xfId="1344"/>
    <cellStyle name="Notas 5 5 2" xfId="4469"/>
    <cellStyle name="Notas 5 5 2 2" xfId="10672"/>
    <cellStyle name="Notas 5 5 2 3" xfId="16874"/>
    <cellStyle name="Notas 5 5 2 4" xfId="55759"/>
    <cellStyle name="Notas 5 5 3" xfId="7572"/>
    <cellStyle name="Notas 5 5 4" xfId="13774"/>
    <cellStyle name="Notas 5 5 5" xfId="51998"/>
    <cellStyle name="Notas 5 6" xfId="3270"/>
    <cellStyle name="Notas 5 6 2" xfId="6381"/>
    <cellStyle name="Notas 5 6 2 2" xfId="12584"/>
    <cellStyle name="Notas 5 6 2 3" xfId="18786"/>
    <cellStyle name="Notas 5 6 2 4" xfId="57568"/>
    <cellStyle name="Notas 5 6 3" xfId="9484"/>
    <cellStyle name="Notas 5 6 4" xfId="15686"/>
    <cellStyle name="Notas 5 6 5" xfId="54650"/>
    <cellStyle name="Notas 5 7" xfId="4309"/>
    <cellStyle name="Notas 5 7 2" xfId="10513"/>
    <cellStyle name="Notas 5 7 3" xfId="16715"/>
    <cellStyle name="Notas 5 7 4" xfId="55606"/>
    <cellStyle name="Notas 5 8" xfId="7412"/>
    <cellStyle name="Notas 5 8 2" xfId="18945"/>
    <cellStyle name="Notas 5 9" xfId="13614"/>
    <cellStyle name="Notas 6" xfId="1117"/>
    <cellStyle name="Notas 6 2" xfId="1118"/>
    <cellStyle name="Notas 6 2 2" xfId="2074"/>
    <cellStyle name="Notas 6 2 2 2" xfId="5199"/>
    <cellStyle name="Notas 6 2 2 2 2" xfId="11402"/>
    <cellStyle name="Notas 6 2 2 2 3" xfId="17604"/>
    <cellStyle name="Notas 6 2 2 2 4" xfId="56450"/>
    <cellStyle name="Notas 6 2 2 3" xfId="8302"/>
    <cellStyle name="Notas 6 2 2 3 2" xfId="53554"/>
    <cellStyle name="Notas 6 2 2 4" xfId="14504"/>
    <cellStyle name="Notas 6 2 2 5" xfId="48919"/>
    <cellStyle name="Notas 6 2 3" xfId="3279"/>
    <cellStyle name="Notas 6 2 3 2" xfId="6390"/>
    <cellStyle name="Notas 6 2 3 2 2" xfId="12593"/>
    <cellStyle name="Notas 6 2 3 2 3" xfId="18795"/>
    <cellStyle name="Notas 6 2 3 2 4" xfId="57577"/>
    <cellStyle name="Notas 6 2 3 3" xfId="9493"/>
    <cellStyle name="Notas 6 2 3 4" xfId="15695"/>
    <cellStyle name="Notas 6 2 3 5" xfId="54659"/>
    <cellStyle name="Notas 6 2 4" xfId="4318"/>
    <cellStyle name="Notas 6 2 4 2" xfId="10522"/>
    <cellStyle name="Notas 6 2 4 3" xfId="16724"/>
    <cellStyle name="Notas 6 2 4 4" xfId="55615"/>
    <cellStyle name="Notas 6 2 5" xfId="7421"/>
    <cellStyle name="Notas 6 2 5 2" xfId="19675"/>
    <cellStyle name="Notas 6 2 5 3" xfId="52748"/>
    <cellStyle name="Notas 6 2 6" xfId="13623"/>
    <cellStyle name="Notas 6 2 7" xfId="38010"/>
    <cellStyle name="Notas 6 3" xfId="1550"/>
    <cellStyle name="Notas 6 3 2" xfId="4675"/>
    <cellStyle name="Notas 6 3 2 2" xfId="10878"/>
    <cellStyle name="Notas 6 3 2 3" xfId="17080"/>
    <cellStyle name="Notas 6 3 2 4" xfId="55955"/>
    <cellStyle name="Notas 6 3 3" xfId="7778"/>
    <cellStyle name="Notas 6 3 3 2" xfId="53069"/>
    <cellStyle name="Notas 6 3 4" xfId="13980"/>
    <cellStyle name="Notas 6 3 5" xfId="48918"/>
    <cellStyle name="Notas 6 4" xfId="3278"/>
    <cellStyle name="Notas 6 4 2" xfId="6389"/>
    <cellStyle name="Notas 6 4 2 2" xfId="12592"/>
    <cellStyle name="Notas 6 4 2 3" xfId="18794"/>
    <cellStyle name="Notas 6 4 2 4" xfId="57576"/>
    <cellStyle name="Notas 6 4 3" xfId="9492"/>
    <cellStyle name="Notas 6 4 4" xfId="15694"/>
    <cellStyle name="Notas 6 4 5" xfId="54658"/>
    <cellStyle name="Notas 6 5" xfId="4317"/>
    <cellStyle name="Notas 6 5 2" xfId="10521"/>
    <cellStyle name="Notas 6 5 3" xfId="16723"/>
    <cellStyle name="Notas 6 5 4" xfId="55614"/>
    <cellStyle name="Notas 6 6" xfId="7420"/>
    <cellStyle name="Notas 6 6 2" xfId="19151"/>
    <cellStyle name="Notas 6 6 3" xfId="52747"/>
    <cellStyle name="Notas 6 7" xfId="13622"/>
    <cellStyle name="Notas 6 8" xfId="38009"/>
    <cellStyle name="Notas 7" xfId="1119"/>
    <cellStyle name="Notas 7 2" xfId="1803"/>
    <cellStyle name="Notas 7 2 2" xfId="4928"/>
    <cellStyle name="Notas 7 2 2 2" xfId="11131"/>
    <cellStyle name="Notas 7 2 2 3" xfId="17333"/>
    <cellStyle name="Notas 7 2 2 4" xfId="56196"/>
    <cellStyle name="Notas 7 2 3" xfId="8031"/>
    <cellStyle name="Notas 7 2 3 2" xfId="53302"/>
    <cellStyle name="Notas 7 2 4" xfId="14233"/>
    <cellStyle name="Notas 7 2 5" xfId="48920"/>
    <cellStyle name="Notas 7 3" xfId="3280"/>
    <cellStyle name="Notas 7 3 2" xfId="6391"/>
    <cellStyle name="Notas 7 3 2 2" xfId="12594"/>
    <cellStyle name="Notas 7 3 2 3" xfId="18796"/>
    <cellStyle name="Notas 7 3 2 4" xfId="57578"/>
    <cellStyle name="Notas 7 3 3" xfId="9494"/>
    <cellStyle name="Notas 7 3 4" xfId="15696"/>
    <cellStyle name="Notas 7 3 5" xfId="54660"/>
    <cellStyle name="Notas 7 4" xfId="4319"/>
    <cellStyle name="Notas 7 4 2" xfId="10523"/>
    <cellStyle name="Notas 7 4 3" xfId="16725"/>
    <cellStyle name="Notas 7 4 4" xfId="55616"/>
    <cellStyle name="Notas 7 5" xfId="7422"/>
    <cellStyle name="Notas 7 5 2" xfId="19404"/>
    <cellStyle name="Notas 7 5 3" xfId="52749"/>
    <cellStyle name="Notas 7 6" xfId="13624"/>
    <cellStyle name="Notas 7 7" xfId="38011"/>
    <cellStyle name="Notas 8" xfId="1276"/>
    <cellStyle name="Notas 8 10" xfId="38013"/>
    <cellStyle name="Notas 8 10 2" xfId="38014"/>
    <cellStyle name="Notas 8 10 2 2" xfId="38015"/>
    <cellStyle name="Notas 8 10 2 2 2" xfId="48924"/>
    <cellStyle name="Notas 8 10 2 3" xfId="48923"/>
    <cellStyle name="Notas 8 10 3" xfId="38016"/>
    <cellStyle name="Notas 8 10 3 2" xfId="48925"/>
    <cellStyle name="Notas 8 10 4" xfId="48922"/>
    <cellStyle name="Notas 8 11" xfId="38017"/>
    <cellStyle name="Notas 8 11 2" xfId="38018"/>
    <cellStyle name="Notas 8 11 2 2" xfId="38019"/>
    <cellStyle name="Notas 8 11 2 2 2" xfId="48928"/>
    <cellStyle name="Notas 8 11 2 3" xfId="48927"/>
    <cellStyle name="Notas 8 11 3" xfId="38020"/>
    <cellStyle name="Notas 8 11 3 2" xfId="48929"/>
    <cellStyle name="Notas 8 11 4" xfId="48926"/>
    <cellStyle name="Notas 8 12" xfId="38021"/>
    <cellStyle name="Notas 8 12 2" xfId="38022"/>
    <cellStyle name="Notas 8 12 2 2" xfId="38023"/>
    <cellStyle name="Notas 8 12 2 2 2" xfId="48932"/>
    <cellStyle name="Notas 8 12 2 3" xfId="48931"/>
    <cellStyle name="Notas 8 12 3" xfId="38024"/>
    <cellStyle name="Notas 8 12 3 2" xfId="48933"/>
    <cellStyle name="Notas 8 12 4" xfId="48930"/>
    <cellStyle name="Notas 8 13" xfId="38025"/>
    <cellStyle name="Notas 8 13 2" xfId="38026"/>
    <cellStyle name="Notas 8 13 2 2" xfId="48935"/>
    <cellStyle name="Notas 8 13 3" xfId="48934"/>
    <cellStyle name="Notas 8 14" xfId="38027"/>
    <cellStyle name="Notas 8 14 2" xfId="38028"/>
    <cellStyle name="Notas 8 14 2 2" xfId="48937"/>
    <cellStyle name="Notas 8 14 3" xfId="48936"/>
    <cellStyle name="Notas 8 15" xfId="38029"/>
    <cellStyle name="Notas 8 15 2" xfId="48938"/>
    <cellStyle name="Notas 8 16" xfId="38030"/>
    <cellStyle name="Notas 8 16 2" xfId="48939"/>
    <cellStyle name="Notas 8 17" xfId="48921"/>
    <cellStyle name="Notas 8 18" xfId="38012"/>
    <cellStyle name="Notas 8 2" xfId="4401"/>
    <cellStyle name="Notas 8 2 10" xfId="38032"/>
    <cellStyle name="Notas 8 2 10 2" xfId="38033"/>
    <cellStyle name="Notas 8 2 10 2 2" xfId="38034"/>
    <cellStyle name="Notas 8 2 10 2 2 2" xfId="48943"/>
    <cellStyle name="Notas 8 2 10 2 3" xfId="48942"/>
    <cellStyle name="Notas 8 2 10 3" xfId="38035"/>
    <cellStyle name="Notas 8 2 10 3 2" xfId="48944"/>
    <cellStyle name="Notas 8 2 10 4" xfId="48941"/>
    <cellStyle name="Notas 8 2 11" xfId="38036"/>
    <cellStyle name="Notas 8 2 11 2" xfId="38037"/>
    <cellStyle name="Notas 8 2 11 2 2" xfId="38038"/>
    <cellStyle name="Notas 8 2 11 2 2 2" xfId="48947"/>
    <cellStyle name="Notas 8 2 11 2 3" xfId="48946"/>
    <cellStyle name="Notas 8 2 11 3" xfId="38039"/>
    <cellStyle name="Notas 8 2 11 3 2" xfId="48948"/>
    <cellStyle name="Notas 8 2 11 4" xfId="48945"/>
    <cellStyle name="Notas 8 2 12" xfId="38040"/>
    <cellStyle name="Notas 8 2 12 2" xfId="38041"/>
    <cellStyle name="Notas 8 2 12 2 2" xfId="48950"/>
    <cellStyle name="Notas 8 2 12 3" xfId="48949"/>
    <cellStyle name="Notas 8 2 13" xfId="38042"/>
    <cellStyle name="Notas 8 2 13 2" xfId="38043"/>
    <cellStyle name="Notas 8 2 13 2 2" xfId="48952"/>
    <cellStyle name="Notas 8 2 13 3" xfId="48951"/>
    <cellStyle name="Notas 8 2 14" xfId="38044"/>
    <cellStyle name="Notas 8 2 14 2" xfId="48953"/>
    <cellStyle name="Notas 8 2 15" xfId="38045"/>
    <cellStyle name="Notas 8 2 15 2" xfId="48954"/>
    <cellStyle name="Notas 8 2 16" xfId="48940"/>
    <cellStyle name="Notas 8 2 17" xfId="38031"/>
    <cellStyle name="Notas 8 2 2" xfId="10604"/>
    <cellStyle name="Notas 8 2 2 10" xfId="38047"/>
    <cellStyle name="Notas 8 2 2 10 2" xfId="38048"/>
    <cellStyle name="Notas 8 2 2 10 2 2" xfId="38049"/>
    <cellStyle name="Notas 8 2 2 10 2 2 2" xfId="48958"/>
    <cellStyle name="Notas 8 2 2 10 2 3" xfId="48957"/>
    <cellStyle name="Notas 8 2 2 10 3" xfId="38050"/>
    <cellStyle name="Notas 8 2 2 10 3 2" xfId="48959"/>
    <cellStyle name="Notas 8 2 2 10 4" xfId="48956"/>
    <cellStyle name="Notas 8 2 2 11" xfId="38051"/>
    <cellStyle name="Notas 8 2 2 11 2" xfId="38052"/>
    <cellStyle name="Notas 8 2 2 11 2 2" xfId="48961"/>
    <cellStyle name="Notas 8 2 2 11 3" xfId="48960"/>
    <cellStyle name="Notas 8 2 2 12" xfId="38053"/>
    <cellStyle name="Notas 8 2 2 12 2" xfId="38054"/>
    <cellStyle name="Notas 8 2 2 12 2 2" xfId="48963"/>
    <cellStyle name="Notas 8 2 2 12 3" xfId="48962"/>
    <cellStyle name="Notas 8 2 2 13" xfId="38055"/>
    <cellStyle name="Notas 8 2 2 13 2" xfId="48964"/>
    <cellStyle name="Notas 8 2 2 14" xfId="38056"/>
    <cellStyle name="Notas 8 2 2 14 2" xfId="48965"/>
    <cellStyle name="Notas 8 2 2 15" xfId="48955"/>
    <cellStyle name="Notas 8 2 2 16" xfId="38046"/>
    <cellStyle name="Notas 8 2 2 2" xfId="38057"/>
    <cellStyle name="Notas 8 2 2 2 2" xfId="38058"/>
    <cellStyle name="Notas 8 2 2 2 2 2" xfId="38059"/>
    <cellStyle name="Notas 8 2 2 2 2 2 2" xfId="38060"/>
    <cellStyle name="Notas 8 2 2 2 2 2 2 2" xfId="38061"/>
    <cellStyle name="Notas 8 2 2 2 2 2 2 2 2" xfId="38062"/>
    <cellStyle name="Notas 8 2 2 2 2 2 2 2 2 2" xfId="48971"/>
    <cellStyle name="Notas 8 2 2 2 2 2 2 2 3" xfId="48970"/>
    <cellStyle name="Notas 8 2 2 2 2 2 2 3" xfId="38063"/>
    <cellStyle name="Notas 8 2 2 2 2 2 2 3 2" xfId="38064"/>
    <cellStyle name="Notas 8 2 2 2 2 2 2 3 2 2" xfId="48973"/>
    <cellStyle name="Notas 8 2 2 2 2 2 2 3 3" xfId="48972"/>
    <cellStyle name="Notas 8 2 2 2 2 2 2 4" xfId="38065"/>
    <cellStyle name="Notas 8 2 2 2 2 2 2 4 2" xfId="48974"/>
    <cellStyle name="Notas 8 2 2 2 2 2 2 5" xfId="48969"/>
    <cellStyle name="Notas 8 2 2 2 2 2 3" xfId="38066"/>
    <cellStyle name="Notas 8 2 2 2 2 2 3 2" xfId="48975"/>
    <cellStyle name="Notas 8 2 2 2 2 2 4" xfId="38067"/>
    <cellStyle name="Notas 8 2 2 2 2 2 4 2" xfId="38068"/>
    <cellStyle name="Notas 8 2 2 2 2 2 4 2 2" xfId="48977"/>
    <cellStyle name="Notas 8 2 2 2 2 2 4 3" xfId="48976"/>
    <cellStyle name="Notas 8 2 2 2 2 2 5" xfId="38069"/>
    <cellStyle name="Notas 8 2 2 2 2 2 5 2" xfId="48978"/>
    <cellStyle name="Notas 8 2 2 2 2 2 6" xfId="48968"/>
    <cellStyle name="Notas 8 2 2 2 2 3" xfId="38070"/>
    <cellStyle name="Notas 8 2 2 2 2 3 2" xfId="38071"/>
    <cellStyle name="Notas 8 2 2 2 2 3 2 2" xfId="38072"/>
    <cellStyle name="Notas 8 2 2 2 2 3 2 2 2" xfId="48981"/>
    <cellStyle name="Notas 8 2 2 2 2 3 2 3" xfId="48980"/>
    <cellStyle name="Notas 8 2 2 2 2 3 3" xfId="38073"/>
    <cellStyle name="Notas 8 2 2 2 2 3 3 2" xfId="38074"/>
    <cellStyle name="Notas 8 2 2 2 2 3 3 2 2" xfId="48983"/>
    <cellStyle name="Notas 8 2 2 2 2 3 3 3" xfId="48982"/>
    <cellStyle name="Notas 8 2 2 2 2 3 4" xfId="38075"/>
    <cellStyle name="Notas 8 2 2 2 2 3 4 2" xfId="48984"/>
    <cellStyle name="Notas 8 2 2 2 2 3 5" xfId="48979"/>
    <cellStyle name="Notas 8 2 2 2 2 4" xfId="38076"/>
    <cellStyle name="Notas 8 2 2 2 2 4 2" xfId="48985"/>
    <cellStyle name="Notas 8 2 2 2 2 5" xfId="38077"/>
    <cellStyle name="Notas 8 2 2 2 2 5 2" xfId="38078"/>
    <cellStyle name="Notas 8 2 2 2 2 5 2 2" xfId="48987"/>
    <cellStyle name="Notas 8 2 2 2 2 5 3" xfId="48986"/>
    <cellStyle name="Notas 8 2 2 2 2 6" xfId="38079"/>
    <cellStyle name="Notas 8 2 2 2 2 6 2" xfId="48988"/>
    <cellStyle name="Notas 8 2 2 2 2 7" xfId="48967"/>
    <cellStyle name="Notas 8 2 2 2 3" xfId="38080"/>
    <cellStyle name="Notas 8 2 2 2 3 2" xfId="38081"/>
    <cellStyle name="Notas 8 2 2 2 3 2 2" xfId="38082"/>
    <cellStyle name="Notas 8 2 2 2 3 2 2 2" xfId="38083"/>
    <cellStyle name="Notas 8 2 2 2 3 2 2 2 2" xfId="48992"/>
    <cellStyle name="Notas 8 2 2 2 3 2 2 3" xfId="48991"/>
    <cellStyle name="Notas 8 2 2 2 3 2 3" xfId="38084"/>
    <cellStyle name="Notas 8 2 2 2 3 2 3 2" xfId="38085"/>
    <cellStyle name="Notas 8 2 2 2 3 2 3 2 2" xfId="48994"/>
    <cellStyle name="Notas 8 2 2 2 3 2 3 3" xfId="48993"/>
    <cellStyle name="Notas 8 2 2 2 3 2 4" xfId="38086"/>
    <cellStyle name="Notas 8 2 2 2 3 2 4 2" xfId="48995"/>
    <cellStyle name="Notas 8 2 2 2 3 2 5" xfId="48990"/>
    <cellStyle name="Notas 8 2 2 2 3 3" xfId="38087"/>
    <cellStyle name="Notas 8 2 2 2 3 3 2" xfId="48996"/>
    <cellStyle name="Notas 8 2 2 2 3 4" xfId="38088"/>
    <cellStyle name="Notas 8 2 2 2 3 4 2" xfId="38089"/>
    <cellStyle name="Notas 8 2 2 2 3 4 2 2" xfId="48998"/>
    <cellStyle name="Notas 8 2 2 2 3 4 3" xfId="48997"/>
    <cellStyle name="Notas 8 2 2 2 3 5" xfId="38090"/>
    <cellStyle name="Notas 8 2 2 2 3 5 2" xfId="48999"/>
    <cellStyle name="Notas 8 2 2 2 3 6" xfId="48989"/>
    <cellStyle name="Notas 8 2 2 2 4" xfId="38091"/>
    <cellStyle name="Notas 8 2 2 2 4 2" xfId="38092"/>
    <cellStyle name="Notas 8 2 2 2 4 2 2" xfId="38093"/>
    <cellStyle name="Notas 8 2 2 2 4 2 2 2" xfId="49002"/>
    <cellStyle name="Notas 8 2 2 2 4 2 3" xfId="49001"/>
    <cellStyle name="Notas 8 2 2 2 4 3" xfId="38094"/>
    <cellStyle name="Notas 8 2 2 2 4 3 2" xfId="38095"/>
    <cellStyle name="Notas 8 2 2 2 4 3 2 2" xfId="49004"/>
    <cellStyle name="Notas 8 2 2 2 4 3 3" xfId="49003"/>
    <cellStyle name="Notas 8 2 2 2 4 4" xfId="38096"/>
    <cellStyle name="Notas 8 2 2 2 4 4 2" xfId="49005"/>
    <cellStyle name="Notas 8 2 2 2 4 5" xfId="49000"/>
    <cellStyle name="Notas 8 2 2 2 5" xfId="38097"/>
    <cellStyle name="Notas 8 2 2 2 5 2" xfId="49006"/>
    <cellStyle name="Notas 8 2 2 2 6" xfId="38098"/>
    <cellStyle name="Notas 8 2 2 2 6 2" xfId="38099"/>
    <cellStyle name="Notas 8 2 2 2 6 2 2" xfId="49008"/>
    <cellStyle name="Notas 8 2 2 2 6 3" xfId="49007"/>
    <cellStyle name="Notas 8 2 2 2 7" xfId="38100"/>
    <cellStyle name="Notas 8 2 2 2 7 2" xfId="49009"/>
    <cellStyle name="Notas 8 2 2 2 8" xfId="48966"/>
    <cellStyle name="Notas 8 2 2 3" xfId="38101"/>
    <cellStyle name="Notas 8 2 2 3 2" xfId="38102"/>
    <cellStyle name="Notas 8 2 2 3 2 2" xfId="38103"/>
    <cellStyle name="Notas 8 2 2 3 2 2 2" xfId="38104"/>
    <cellStyle name="Notas 8 2 2 3 2 2 2 2" xfId="38105"/>
    <cellStyle name="Notas 8 2 2 3 2 2 2 2 2" xfId="38106"/>
    <cellStyle name="Notas 8 2 2 3 2 2 2 2 2 2" xfId="49015"/>
    <cellStyle name="Notas 8 2 2 3 2 2 2 2 3" xfId="49014"/>
    <cellStyle name="Notas 8 2 2 3 2 2 2 3" xfId="38107"/>
    <cellStyle name="Notas 8 2 2 3 2 2 2 3 2" xfId="38108"/>
    <cellStyle name="Notas 8 2 2 3 2 2 2 3 2 2" xfId="49017"/>
    <cellStyle name="Notas 8 2 2 3 2 2 2 3 3" xfId="49016"/>
    <cellStyle name="Notas 8 2 2 3 2 2 2 4" xfId="38109"/>
    <cellStyle name="Notas 8 2 2 3 2 2 2 4 2" xfId="49018"/>
    <cellStyle name="Notas 8 2 2 3 2 2 2 5" xfId="49013"/>
    <cellStyle name="Notas 8 2 2 3 2 2 3" xfId="38110"/>
    <cellStyle name="Notas 8 2 2 3 2 2 3 2" xfId="49019"/>
    <cellStyle name="Notas 8 2 2 3 2 2 4" xfId="38111"/>
    <cellStyle name="Notas 8 2 2 3 2 2 4 2" xfId="38112"/>
    <cellStyle name="Notas 8 2 2 3 2 2 4 2 2" xfId="49021"/>
    <cellStyle name="Notas 8 2 2 3 2 2 4 3" xfId="49020"/>
    <cellStyle name="Notas 8 2 2 3 2 2 5" xfId="38113"/>
    <cellStyle name="Notas 8 2 2 3 2 2 5 2" xfId="49022"/>
    <cellStyle name="Notas 8 2 2 3 2 2 6" xfId="49012"/>
    <cellStyle name="Notas 8 2 2 3 2 3" xfId="38114"/>
    <cellStyle name="Notas 8 2 2 3 2 3 2" xfId="38115"/>
    <cellStyle name="Notas 8 2 2 3 2 3 2 2" xfId="38116"/>
    <cellStyle name="Notas 8 2 2 3 2 3 2 2 2" xfId="49025"/>
    <cellStyle name="Notas 8 2 2 3 2 3 2 3" xfId="49024"/>
    <cellStyle name="Notas 8 2 2 3 2 3 3" xfId="38117"/>
    <cellStyle name="Notas 8 2 2 3 2 3 3 2" xfId="38118"/>
    <cellStyle name="Notas 8 2 2 3 2 3 3 2 2" xfId="49027"/>
    <cellStyle name="Notas 8 2 2 3 2 3 3 3" xfId="49026"/>
    <cellStyle name="Notas 8 2 2 3 2 3 4" xfId="38119"/>
    <cellStyle name="Notas 8 2 2 3 2 3 4 2" xfId="49028"/>
    <cellStyle name="Notas 8 2 2 3 2 3 5" xfId="49023"/>
    <cellStyle name="Notas 8 2 2 3 2 4" xfId="38120"/>
    <cellStyle name="Notas 8 2 2 3 2 4 2" xfId="49029"/>
    <cellStyle name="Notas 8 2 2 3 2 5" xfId="38121"/>
    <cellStyle name="Notas 8 2 2 3 2 5 2" xfId="38122"/>
    <cellStyle name="Notas 8 2 2 3 2 5 2 2" xfId="49031"/>
    <cellStyle name="Notas 8 2 2 3 2 5 3" xfId="49030"/>
    <cellStyle name="Notas 8 2 2 3 2 6" xfId="38123"/>
    <cellStyle name="Notas 8 2 2 3 2 6 2" xfId="49032"/>
    <cellStyle name="Notas 8 2 2 3 2 7" xfId="49011"/>
    <cellStyle name="Notas 8 2 2 3 3" xfId="38124"/>
    <cellStyle name="Notas 8 2 2 3 3 2" xfId="38125"/>
    <cellStyle name="Notas 8 2 2 3 3 2 2" xfId="38126"/>
    <cellStyle name="Notas 8 2 2 3 3 2 2 2" xfId="38127"/>
    <cellStyle name="Notas 8 2 2 3 3 2 2 2 2" xfId="49036"/>
    <cellStyle name="Notas 8 2 2 3 3 2 2 3" xfId="49035"/>
    <cellStyle name="Notas 8 2 2 3 3 2 3" xfId="38128"/>
    <cellStyle name="Notas 8 2 2 3 3 2 3 2" xfId="38129"/>
    <cellStyle name="Notas 8 2 2 3 3 2 3 2 2" xfId="49038"/>
    <cellStyle name="Notas 8 2 2 3 3 2 3 3" xfId="49037"/>
    <cellStyle name="Notas 8 2 2 3 3 2 4" xfId="38130"/>
    <cellStyle name="Notas 8 2 2 3 3 2 4 2" xfId="49039"/>
    <cellStyle name="Notas 8 2 2 3 3 2 5" xfId="49034"/>
    <cellStyle name="Notas 8 2 2 3 3 3" xfId="38131"/>
    <cellStyle name="Notas 8 2 2 3 3 3 2" xfId="49040"/>
    <cellStyle name="Notas 8 2 2 3 3 4" xfId="38132"/>
    <cellStyle name="Notas 8 2 2 3 3 4 2" xfId="38133"/>
    <cellStyle name="Notas 8 2 2 3 3 4 2 2" xfId="49042"/>
    <cellStyle name="Notas 8 2 2 3 3 4 3" xfId="49041"/>
    <cellStyle name="Notas 8 2 2 3 3 5" xfId="38134"/>
    <cellStyle name="Notas 8 2 2 3 3 5 2" xfId="49043"/>
    <cellStyle name="Notas 8 2 2 3 3 6" xfId="49033"/>
    <cellStyle name="Notas 8 2 2 3 4" xfId="38135"/>
    <cellStyle name="Notas 8 2 2 3 4 2" xfId="38136"/>
    <cellStyle name="Notas 8 2 2 3 4 2 2" xfId="38137"/>
    <cellStyle name="Notas 8 2 2 3 4 2 2 2" xfId="49046"/>
    <cellStyle name="Notas 8 2 2 3 4 2 3" xfId="49045"/>
    <cellStyle name="Notas 8 2 2 3 4 3" xfId="38138"/>
    <cellStyle name="Notas 8 2 2 3 4 3 2" xfId="38139"/>
    <cellStyle name="Notas 8 2 2 3 4 3 2 2" xfId="49048"/>
    <cellStyle name="Notas 8 2 2 3 4 3 3" xfId="49047"/>
    <cellStyle name="Notas 8 2 2 3 4 4" xfId="38140"/>
    <cellStyle name="Notas 8 2 2 3 4 4 2" xfId="49049"/>
    <cellStyle name="Notas 8 2 2 3 4 5" xfId="49044"/>
    <cellStyle name="Notas 8 2 2 3 5" xfId="38141"/>
    <cellStyle name="Notas 8 2 2 3 5 2" xfId="49050"/>
    <cellStyle name="Notas 8 2 2 3 6" xfId="38142"/>
    <cellStyle name="Notas 8 2 2 3 6 2" xfId="38143"/>
    <cellStyle name="Notas 8 2 2 3 6 2 2" xfId="49052"/>
    <cellStyle name="Notas 8 2 2 3 6 3" xfId="49051"/>
    <cellStyle name="Notas 8 2 2 3 7" xfId="38144"/>
    <cellStyle name="Notas 8 2 2 3 7 2" xfId="49053"/>
    <cellStyle name="Notas 8 2 2 3 8" xfId="49010"/>
    <cellStyle name="Notas 8 2 2 4" xfId="38145"/>
    <cellStyle name="Notas 8 2 2 4 2" xfId="49054"/>
    <cellStyle name="Notas 8 2 2 5" xfId="38146"/>
    <cellStyle name="Notas 8 2 2 5 2" xfId="38147"/>
    <cellStyle name="Notas 8 2 2 5 2 2" xfId="38148"/>
    <cellStyle name="Notas 8 2 2 5 2 2 2" xfId="38149"/>
    <cellStyle name="Notas 8 2 2 5 2 2 2 2" xfId="38150"/>
    <cellStyle name="Notas 8 2 2 5 2 2 2 2 2" xfId="49059"/>
    <cellStyle name="Notas 8 2 2 5 2 2 2 3" xfId="49058"/>
    <cellStyle name="Notas 8 2 2 5 2 2 3" xfId="38151"/>
    <cellStyle name="Notas 8 2 2 5 2 2 3 2" xfId="38152"/>
    <cellStyle name="Notas 8 2 2 5 2 2 3 2 2" xfId="49061"/>
    <cellStyle name="Notas 8 2 2 5 2 2 3 3" xfId="49060"/>
    <cellStyle name="Notas 8 2 2 5 2 2 4" xfId="38153"/>
    <cellStyle name="Notas 8 2 2 5 2 2 4 2" xfId="49062"/>
    <cellStyle name="Notas 8 2 2 5 2 2 5" xfId="49057"/>
    <cellStyle name="Notas 8 2 2 5 2 3" xfId="38154"/>
    <cellStyle name="Notas 8 2 2 5 2 3 2" xfId="49063"/>
    <cellStyle name="Notas 8 2 2 5 2 4" xfId="38155"/>
    <cellStyle name="Notas 8 2 2 5 2 4 2" xfId="38156"/>
    <cellStyle name="Notas 8 2 2 5 2 4 2 2" xfId="49065"/>
    <cellStyle name="Notas 8 2 2 5 2 4 3" xfId="49064"/>
    <cellStyle name="Notas 8 2 2 5 2 5" xfId="38157"/>
    <cellStyle name="Notas 8 2 2 5 2 5 2" xfId="49066"/>
    <cellStyle name="Notas 8 2 2 5 2 6" xfId="49056"/>
    <cellStyle name="Notas 8 2 2 5 3" xfId="38158"/>
    <cellStyle name="Notas 8 2 2 5 3 2" xfId="38159"/>
    <cellStyle name="Notas 8 2 2 5 3 2 2" xfId="38160"/>
    <cellStyle name="Notas 8 2 2 5 3 2 2 2" xfId="49069"/>
    <cellStyle name="Notas 8 2 2 5 3 2 3" xfId="49068"/>
    <cellStyle name="Notas 8 2 2 5 3 3" xfId="38161"/>
    <cellStyle name="Notas 8 2 2 5 3 3 2" xfId="38162"/>
    <cellStyle name="Notas 8 2 2 5 3 3 2 2" xfId="49071"/>
    <cellStyle name="Notas 8 2 2 5 3 3 3" xfId="49070"/>
    <cellStyle name="Notas 8 2 2 5 3 4" xfId="38163"/>
    <cellStyle name="Notas 8 2 2 5 3 4 2" xfId="49072"/>
    <cellStyle name="Notas 8 2 2 5 3 5" xfId="49067"/>
    <cellStyle name="Notas 8 2 2 5 4" xfId="38164"/>
    <cellStyle name="Notas 8 2 2 5 4 2" xfId="49073"/>
    <cellStyle name="Notas 8 2 2 5 5" xfId="38165"/>
    <cellStyle name="Notas 8 2 2 5 5 2" xfId="38166"/>
    <cellStyle name="Notas 8 2 2 5 5 2 2" xfId="49075"/>
    <cellStyle name="Notas 8 2 2 5 5 3" xfId="49074"/>
    <cellStyle name="Notas 8 2 2 5 6" xfId="38167"/>
    <cellStyle name="Notas 8 2 2 5 6 2" xfId="49076"/>
    <cellStyle name="Notas 8 2 2 5 7" xfId="49055"/>
    <cellStyle name="Notas 8 2 2 6" xfId="38168"/>
    <cellStyle name="Notas 8 2 2 6 2" xfId="38169"/>
    <cellStyle name="Notas 8 2 2 6 2 2" xfId="38170"/>
    <cellStyle name="Notas 8 2 2 6 2 2 2" xfId="38171"/>
    <cellStyle name="Notas 8 2 2 6 2 2 2 2" xfId="49080"/>
    <cellStyle name="Notas 8 2 2 6 2 2 3" xfId="49079"/>
    <cellStyle name="Notas 8 2 2 6 2 3" xfId="38172"/>
    <cellStyle name="Notas 8 2 2 6 2 3 2" xfId="38173"/>
    <cellStyle name="Notas 8 2 2 6 2 3 2 2" xfId="49082"/>
    <cellStyle name="Notas 8 2 2 6 2 3 3" xfId="49081"/>
    <cellStyle name="Notas 8 2 2 6 2 4" xfId="38174"/>
    <cellStyle name="Notas 8 2 2 6 2 4 2" xfId="49083"/>
    <cellStyle name="Notas 8 2 2 6 2 5" xfId="49078"/>
    <cellStyle name="Notas 8 2 2 6 3" xfId="38175"/>
    <cellStyle name="Notas 8 2 2 6 3 2" xfId="49084"/>
    <cellStyle name="Notas 8 2 2 6 4" xfId="38176"/>
    <cellStyle name="Notas 8 2 2 6 4 2" xfId="38177"/>
    <cellStyle name="Notas 8 2 2 6 4 2 2" xfId="49086"/>
    <cellStyle name="Notas 8 2 2 6 4 3" xfId="49085"/>
    <cellStyle name="Notas 8 2 2 6 5" xfId="38178"/>
    <cellStyle name="Notas 8 2 2 6 5 2" xfId="49087"/>
    <cellStyle name="Notas 8 2 2 6 6" xfId="49077"/>
    <cellStyle name="Notas 8 2 2 7" xfId="38179"/>
    <cellStyle name="Notas 8 2 2 7 2" xfId="38180"/>
    <cellStyle name="Notas 8 2 2 7 2 2" xfId="38181"/>
    <cellStyle name="Notas 8 2 2 7 2 2 2" xfId="49090"/>
    <cellStyle name="Notas 8 2 2 7 2 3" xfId="49089"/>
    <cellStyle name="Notas 8 2 2 7 3" xfId="38182"/>
    <cellStyle name="Notas 8 2 2 7 3 2" xfId="38183"/>
    <cellStyle name="Notas 8 2 2 7 3 2 2" xfId="49092"/>
    <cellStyle name="Notas 8 2 2 7 3 3" xfId="49091"/>
    <cellStyle name="Notas 8 2 2 7 4" xfId="38184"/>
    <cellStyle name="Notas 8 2 2 7 4 2" xfId="49093"/>
    <cellStyle name="Notas 8 2 2 7 5" xfId="49088"/>
    <cellStyle name="Notas 8 2 2 8" xfId="38185"/>
    <cellStyle name="Notas 8 2 2 8 2" xfId="38186"/>
    <cellStyle name="Notas 8 2 2 8 2 2" xfId="38187"/>
    <cellStyle name="Notas 8 2 2 8 2 2 2" xfId="49096"/>
    <cellStyle name="Notas 8 2 2 8 2 3" xfId="49095"/>
    <cellStyle name="Notas 8 2 2 8 3" xfId="38188"/>
    <cellStyle name="Notas 8 2 2 8 3 2" xfId="49097"/>
    <cellStyle name="Notas 8 2 2 8 4" xfId="49094"/>
    <cellStyle name="Notas 8 2 2 9" xfId="38189"/>
    <cellStyle name="Notas 8 2 2 9 2" xfId="38190"/>
    <cellStyle name="Notas 8 2 2 9 2 2" xfId="38191"/>
    <cellStyle name="Notas 8 2 2 9 2 2 2" xfId="49100"/>
    <cellStyle name="Notas 8 2 2 9 2 3" xfId="49099"/>
    <cellStyle name="Notas 8 2 2 9 3" xfId="38192"/>
    <cellStyle name="Notas 8 2 2 9 3 2" xfId="49101"/>
    <cellStyle name="Notas 8 2 2 9 4" xfId="49098"/>
    <cellStyle name="Notas 8 2 2_SIS I (IFRS)" xfId="38193"/>
    <cellStyle name="Notas 8 2 3" xfId="16806"/>
    <cellStyle name="Notas 8 2 3 2" xfId="38195"/>
    <cellStyle name="Notas 8 2 3 2 2" xfId="38196"/>
    <cellStyle name="Notas 8 2 3 2 2 2" xfId="38197"/>
    <cellStyle name="Notas 8 2 3 2 2 2 2" xfId="38198"/>
    <cellStyle name="Notas 8 2 3 2 2 2 2 2" xfId="38199"/>
    <cellStyle name="Notas 8 2 3 2 2 2 2 2 2" xfId="49107"/>
    <cellStyle name="Notas 8 2 3 2 2 2 2 3" xfId="49106"/>
    <cellStyle name="Notas 8 2 3 2 2 2 3" xfId="38200"/>
    <cellStyle name="Notas 8 2 3 2 2 2 3 2" xfId="38201"/>
    <cellStyle name="Notas 8 2 3 2 2 2 3 2 2" xfId="49109"/>
    <cellStyle name="Notas 8 2 3 2 2 2 3 3" xfId="49108"/>
    <cellStyle name="Notas 8 2 3 2 2 2 4" xfId="38202"/>
    <cellStyle name="Notas 8 2 3 2 2 2 4 2" xfId="49110"/>
    <cellStyle name="Notas 8 2 3 2 2 2 5" xfId="49105"/>
    <cellStyle name="Notas 8 2 3 2 2 3" xfId="38203"/>
    <cellStyle name="Notas 8 2 3 2 2 3 2" xfId="49111"/>
    <cellStyle name="Notas 8 2 3 2 2 4" xfId="38204"/>
    <cellStyle name="Notas 8 2 3 2 2 4 2" xfId="38205"/>
    <cellStyle name="Notas 8 2 3 2 2 4 2 2" xfId="49113"/>
    <cellStyle name="Notas 8 2 3 2 2 4 3" xfId="49112"/>
    <cellStyle name="Notas 8 2 3 2 2 5" xfId="38206"/>
    <cellStyle name="Notas 8 2 3 2 2 5 2" xfId="49114"/>
    <cellStyle name="Notas 8 2 3 2 2 6" xfId="49104"/>
    <cellStyle name="Notas 8 2 3 2 3" xfId="38207"/>
    <cellStyle name="Notas 8 2 3 2 3 2" xfId="38208"/>
    <cellStyle name="Notas 8 2 3 2 3 2 2" xfId="38209"/>
    <cellStyle name="Notas 8 2 3 2 3 2 2 2" xfId="49117"/>
    <cellStyle name="Notas 8 2 3 2 3 2 3" xfId="49116"/>
    <cellStyle name="Notas 8 2 3 2 3 3" xfId="38210"/>
    <cellStyle name="Notas 8 2 3 2 3 3 2" xfId="38211"/>
    <cellStyle name="Notas 8 2 3 2 3 3 2 2" xfId="49119"/>
    <cellStyle name="Notas 8 2 3 2 3 3 3" xfId="49118"/>
    <cellStyle name="Notas 8 2 3 2 3 4" xfId="38212"/>
    <cellStyle name="Notas 8 2 3 2 3 4 2" xfId="49120"/>
    <cellStyle name="Notas 8 2 3 2 3 5" xfId="49115"/>
    <cellStyle name="Notas 8 2 3 2 4" xfId="38213"/>
    <cellStyle name="Notas 8 2 3 2 4 2" xfId="49121"/>
    <cellStyle name="Notas 8 2 3 2 5" xfId="38214"/>
    <cellStyle name="Notas 8 2 3 2 5 2" xfId="38215"/>
    <cellStyle name="Notas 8 2 3 2 5 2 2" xfId="49123"/>
    <cellStyle name="Notas 8 2 3 2 5 3" xfId="49122"/>
    <cellStyle name="Notas 8 2 3 2 6" xfId="38216"/>
    <cellStyle name="Notas 8 2 3 2 6 2" xfId="49124"/>
    <cellStyle name="Notas 8 2 3 2 7" xfId="49103"/>
    <cellStyle name="Notas 8 2 3 3" xfId="38217"/>
    <cellStyle name="Notas 8 2 3 3 2" xfId="38218"/>
    <cellStyle name="Notas 8 2 3 3 2 2" xfId="38219"/>
    <cellStyle name="Notas 8 2 3 3 2 2 2" xfId="38220"/>
    <cellStyle name="Notas 8 2 3 3 2 2 2 2" xfId="49128"/>
    <cellStyle name="Notas 8 2 3 3 2 2 3" xfId="49127"/>
    <cellStyle name="Notas 8 2 3 3 2 3" xfId="38221"/>
    <cellStyle name="Notas 8 2 3 3 2 3 2" xfId="38222"/>
    <cellStyle name="Notas 8 2 3 3 2 3 2 2" xfId="49130"/>
    <cellStyle name="Notas 8 2 3 3 2 3 3" xfId="49129"/>
    <cellStyle name="Notas 8 2 3 3 2 4" xfId="38223"/>
    <cellStyle name="Notas 8 2 3 3 2 4 2" xfId="49131"/>
    <cellStyle name="Notas 8 2 3 3 2 5" xfId="49126"/>
    <cellStyle name="Notas 8 2 3 3 3" xfId="38224"/>
    <cellStyle name="Notas 8 2 3 3 3 2" xfId="49132"/>
    <cellStyle name="Notas 8 2 3 3 4" xfId="38225"/>
    <cellStyle name="Notas 8 2 3 3 4 2" xfId="38226"/>
    <cellStyle name="Notas 8 2 3 3 4 2 2" xfId="49134"/>
    <cellStyle name="Notas 8 2 3 3 4 3" xfId="49133"/>
    <cellStyle name="Notas 8 2 3 3 5" xfId="38227"/>
    <cellStyle name="Notas 8 2 3 3 5 2" xfId="49135"/>
    <cellStyle name="Notas 8 2 3 3 6" xfId="49125"/>
    <cellStyle name="Notas 8 2 3 4" xfId="38228"/>
    <cellStyle name="Notas 8 2 3 4 2" xfId="38229"/>
    <cellStyle name="Notas 8 2 3 4 2 2" xfId="38230"/>
    <cellStyle name="Notas 8 2 3 4 2 2 2" xfId="49138"/>
    <cellStyle name="Notas 8 2 3 4 2 3" xfId="49137"/>
    <cellStyle name="Notas 8 2 3 4 3" xfId="38231"/>
    <cellStyle name="Notas 8 2 3 4 3 2" xfId="38232"/>
    <cellStyle name="Notas 8 2 3 4 3 2 2" xfId="49140"/>
    <cellStyle name="Notas 8 2 3 4 3 3" xfId="49139"/>
    <cellStyle name="Notas 8 2 3 4 4" xfId="38233"/>
    <cellStyle name="Notas 8 2 3 4 4 2" xfId="49141"/>
    <cellStyle name="Notas 8 2 3 4 5" xfId="49136"/>
    <cellStyle name="Notas 8 2 3 5" xfId="38234"/>
    <cellStyle name="Notas 8 2 3 5 2" xfId="49142"/>
    <cellStyle name="Notas 8 2 3 6" xfId="38235"/>
    <cellStyle name="Notas 8 2 3 6 2" xfId="38236"/>
    <cellStyle name="Notas 8 2 3 6 2 2" xfId="49144"/>
    <cellStyle name="Notas 8 2 3 6 3" xfId="49143"/>
    <cellStyle name="Notas 8 2 3 7" xfId="38237"/>
    <cellStyle name="Notas 8 2 3 7 2" xfId="49145"/>
    <cellStyle name="Notas 8 2 3 8" xfId="49102"/>
    <cellStyle name="Notas 8 2 3 9" xfId="38194"/>
    <cellStyle name="Notas 8 2 4" xfId="38238"/>
    <cellStyle name="Notas 8 2 4 2" xfId="38239"/>
    <cellStyle name="Notas 8 2 4 2 2" xfId="38240"/>
    <cellStyle name="Notas 8 2 4 2 2 2" xfId="38241"/>
    <cellStyle name="Notas 8 2 4 2 2 2 2" xfId="38242"/>
    <cellStyle name="Notas 8 2 4 2 2 2 2 2" xfId="38243"/>
    <cellStyle name="Notas 8 2 4 2 2 2 2 2 2" xfId="49151"/>
    <cellStyle name="Notas 8 2 4 2 2 2 2 3" xfId="49150"/>
    <cellStyle name="Notas 8 2 4 2 2 2 3" xfId="38244"/>
    <cellStyle name="Notas 8 2 4 2 2 2 3 2" xfId="38245"/>
    <cellStyle name="Notas 8 2 4 2 2 2 3 2 2" xfId="49153"/>
    <cellStyle name="Notas 8 2 4 2 2 2 3 3" xfId="49152"/>
    <cellStyle name="Notas 8 2 4 2 2 2 4" xfId="38246"/>
    <cellStyle name="Notas 8 2 4 2 2 2 4 2" xfId="49154"/>
    <cellStyle name="Notas 8 2 4 2 2 2 5" xfId="49149"/>
    <cellStyle name="Notas 8 2 4 2 2 3" xfId="38247"/>
    <cellStyle name="Notas 8 2 4 2 2 3 2" xfId="49155"/>
    <cellStyle name="Notas 8 2 4 2 2 4" xfId="38248"/>
    <cellStyle name="Notas 8 2 4 2 2 4 2" xfId="38249"/>
    <cellStyle name="Notas 8 2 4 2 2 4 2 2" xfId="49157"/>
    <cellStyle name="Notas 8 2 4 2 2 4 3" xfId="49156"/>
    <cellStyle name="Notas 8 2 4 2 2 5" xfId="38250"/>
    <cellStyle name="Notas 8 2 4 2 2 5 2" xfId="49158"/>
    <cellStyle name="Notas 8 2 4 2 2 6" xfId="49148"/>
    <cellStyle name="Notas 8 2 4 2 3" xfId="38251"/>
    <cellStyle name="Notas 8 2 4 2 3 2" xfId="38252"/>
    <cellStyle name="Notas 8 2 4 2 3 2 2" xfId="38253"/>
    <cellStyle name="Notas 8 2 4 2 3 2 2 2" xfId="49161"/>
    <cellStyle name="Notas 8 2 4 2 3 2 3" xfId="49160"/>
    <cellStyle name="Notas 8 2 4 2 3 3" xfId="38254"/>
    <cellStyle name="Notas 8 2 4 2 3 3 2" xfId="38255"/>
    <cellStyle name="Notas 8 2 4 2 3 3 2 2" xfId="49163"/>
    <cellStyle name="Notas 8 2 4 2 3 3 3" xfId="49162"/>
    <cellStyle name="Notas 8 2 4 2 3 4" xfId="38256"/>
    <cellStyle name="Notas 8 2 4 2 3 4 2" xfId="49164"/>
    <cellStyle name="Notas 8 2 4 2 3 5" xfId="49159"/>
    <cellStyle name="Notas 8 2 4 2 4" xfId="38257"/>
    <cellStyle name="Notas 8 2 4 2 4 2" xfId="49165"/>
    <cellStyle name="Notas 8 2 4 2 5" xfId="38258"/>
    <cellStyle name="Notas 8 2 4 2 5 2" xfId="38259"/>
    <cellStyle name="Notas 8 2 4 2 5 2 2" xfId="49167"/>
    <cellStyle name="Notas 8 2 4 2 5 3" xfId="49166"/>
    <cellStyle name="Notas 8 2 4 2 6" xfId="38260"/>
    <cellStyle name="Notas 8 2 4 2 6 2" xfId="49168"/>
    <cellStyle name="Notas 8 2 4 2 7" xfId="49147"/>
    <cellStyle name="Notas 8 2 4 3" xfId="38261"/>
    <cellStyle name="Notas 8 2 4 3 2" xfId="38262"/>
    <cellStyle name="Notas 8 2 4 3 2 2" xfId="38263"/>
    <cellStyle name="Notas 8 2 4 3 2 2 2" xfId="38264"/>
    <cellStyle name="Notas 8 2 4 3 2 2 2 2" xfId="49172"/>
    <cellStyle name="Notas 8 2 4 3 2 2 3" xfId="49171"/>
    <cellStyle name="Notas 8 2 4 3 2 3" xfId="38265"/>
    <cellStyle name="Notas 8 2 4 3 2 3 2" xfId="38266"/>
    <cellStyle name="Notas 8 2 4 3 2 3 2 2" xfId="49174"/>
    <cellStyle name="Notas 8 2 4 3 2 3 3" xfId="49173"/>
    <cellStyle name="Notas 8 2 4 3 2 4" xfId="38267"/>
    <cellStyle name="Notas 8 2 4 3 2 4 2" xfId="49175"/>
    <cellStyle name="Notas 8 2 4 3 2 5" xfId="49170"/>
    <cellStyle name="Notas 8 2 4 3 3" xfId="38268"/>
    <cellStyle name="Notas 8 2 4 3 3 2" xfId="49176"/>
    <cellStyle name="Notas 8 2 4 3 4" xfId="38269"/>
    <cellStyle name="Notas 8 2 4 3 4 2" xfId="38270"/>
    <cellStyle name="Notas 8 2 4 3 4 2 2" xfId="49178"/>
    <cellStyle name="Notas 8 2 4 3 4 3" xfId="49177"/>
    <cellStyle name="Notas 8 2 4 3 5" xfId="38271"/>
    <cellStyle name="Notas 8 2 4 3 5 2" xfId="49179"/>
    <cellStyle name="Notas 8 2 4 3 6" xfId="49169"/>
    <cellStyle name="Notas 8 2 4 4" xfId="38272"/>
    <cellStyle name="Notas 8 2 4 4 2" xfId="38273"/>
    <cellStyle name="Notas 8 2 4 4 2 2" xfId="38274"/>
    <cellStyle name="Notas 8 2 4 4 2 2 2" xfId="49182"/>
    <cellStyle name="Notas 8 2 4 4 2 3" xfId="49181"/>
    <cellStyle name="Notas 8 2 4 4 3" xfId="38275"/>
    <cellStyle name="Notas 8 2 4 4 3 2" xfId="38276"/>
    <cellStyle name="Notas 8 2 4 4 3 2 2" xfId="49184"/>
    <cellStyle name="Notas 8 2 4 4 3 3" xfId="49183"/>
    <cellStyle name="Notas 8 2 4 4 4" xfId="38277"/>
    <cellStyle name="Notas 8 2 4 4 4 2" xfId="49185"/>
    <cellStyle name="Notas 8 2 4 4 5" xfId="49180"/>
    <cellStyle name="Notas 8 2 4 5" xfId="38278"/>
    <cellStyle name="Notas 8 2 4 5 2" xfId="49186"/>
    <cellStyle name="Notas 8 2 4 6" xfId="38279"/>
    <cellStyle name="Notas 8 2 4 6 2" xfId="38280"/>
    <cellStyle name="Notas 8 2 4 6 2 2" xfId="49188"/>
    <cellStyle name="Notas 8 2 4 6 3" xfId="49187"/>
    <cellStyle name="Notas 8 2 4 7" xfId="38281"/>
    <cellStyle name="Notas 8 2 4 7 2" xfId="49189"/>
    <cellStyle name="Notas 8 2 4 8" xfId="49146"/>
    <cellStyle name="Notas 8 2 5" xfId="38282"/>
    <cellStyle name="Notas 8 2 5 2" xfId="49190"/>
    <cellStyle name="Notas 8 2 6" xfId="38283"/>
    <cellStyle name="Notas 8 2 6 2" xfId="38284"/>
    <cellStyle name="Notas 8 2 6 2 2" xfId="38285"/>
    <cellStyle name="Notas 8 2 6 2 2 2" xfId="38286"/>
    <cellStyle name="Notas 8 2 6 2 2 2 2" xfId="38287"/>
    <cellStyle name="Notas 8 2 6 2 2 2 2 2" xfId="49195"/>
    <cellStyle name="Notas 8 2 6 2 2 2 3" xfId="49194"/>
    <cellStyle name="Notas 8 2 6 2 2 3" xfId="38288"/>
    <cellStyle name="Notas 8 2 6 2 2 3 2" xfId="38289"/>
    <cellStyle name="Notas 8 2 6 2 2 3 2 2" xfId="49197"/>
    <cellStyle name="Notas 8 2 6 2 2 3 3" xfId="49196"/>
    <cellStyle name="Notas 8 2 6 2 2 4" xfId="38290"/>
    <cellStyle name="Notas 8 2 6 2 2 4 2" xfId="49198"/>
    <cellStyle name="Notas 8 2 6 2 2 5" xfId="49193"/>
    <cellStyle name="Notas 8 2 6 2 3" xfId="38291"/>
    <cellStyle name="Notas 8 2 6 2 3 2" xfId="49199"/>
    <cellStyle name="Notas 8 2 6 2 4" xfId="38292"/>
    <cellStyle name="Notas 8 2 6 2 4 2" xfId="38293"/>
    <cellStyle name="Notas 8 2 6 2 4 2 2" xfId="49201"/>
    <cellStyle name="Notas 8 2 6 2 4 3" xfId="49200"/>
    <cellStyle name="Notas 8 2 6 2 5" xfId="38294"/>
    <cellStyle name="Notas 8 2 6 2 5 2" xfId="49202"/>
    <cellStyle name="Notas 8 2 6 2 6" xfId="49192"/>
    <cellStyle name="Notas 8 2 6 3" xfId="38295"/>
    <cellStyle name="Notas 8 2 6 3 2" xfId="38296"/>
    <cellStyle name="Notas 8 2 6 3 2 2" xfId="38297"/>
    <cellStyle name="Notas 8 2 6 3 2 2 2" xfId="49205"/>
    <cellStyle name="Notas 8 2 6 3 2 3" xfId="49204"/>
    <cellStyle name="Notas 8 2 6 3 3" xfId="38298"/>
    <cellStyle name="Notas 8 2 6 3 3 2" xfId="38299"/>
    <cellStyle name="Notas 8 2 6 3 3 2 2" xfId="49207"/>
    <cellStyle name="Notas 8 2 6 3 3 3" xfId="49206"/>
    <cellStyle name="Notas 8 2 6 3 4" xfId="38300"/>
    <cellStyle name="Notas 8 2 6 3 4 2" xfId="49208"/>
    <cellStyle name="Notas 8 2 6 3 5" xfId="49203"/>
    <cellStyle name="Notas 8 2 6 4" xfId="38301"/>
    <cellStyle name="Notas 8 2 6 4 2" xfId="49209"/>
    <cellStyle name="Notas 8 2 6 5" xfId="38302"/>
    <cellStyle name="Notas 8 2 6 5 2" xfId="38303"/>
    <cellStyle name="Notas 8 2 6 5 2 2" xfId="49211"/>
    <cellStyle name="Notas 8 2 6 5 3" xfId="49210"/>
    <cellStyle name="Notas 8 2 6 6" xfId="38304"/>
    <cellStyle name="Notas 8 2 6 6 2" xfId="49212"/>
    <cellStyle name="Notas 8 2 6 7" xfId="49191"/>
    <cellStyle name="Notas 8 2 7" xfId="38305"/>
    <cellStyle name="Notas 8 2 7 2" xfId="38306"/>
    <cellStyle name="Notas 8 2 7 2 2" xfId="38307"/>
    <cellStyle name="Notas 8 2 7 2 2 2" xfId="38308"/>
    <cellStyle name="Notas 8 2 7 2 2 2 2" xfId="49216"/>
    <cellStyle name="Notas 8 2 7 2 2 3" xfId="49215"/>
    <cellStyle name="Notas 8 2 7 2 3" xfId="38309"/>
    <cellStyle name="Notas 8 2 7 2 3 2" xfId="38310"/>
    <cellStyle name="Notas 8 2 7 2 3 2 2" xfId="49218"/>
    <cellStyle name="Notas 8 2 7 2 3 3" xfId="49217"/>
    <cellStyle name="Notas 8 2 7 2 4" xfId="38311"/>
    <cellStyle name="Notas 8 2 7 2 4 2" xfId="49219"/>
    <cellStyle name="Notas 8 2 7 2 5" xfId="49214"/>
    <cellStyle name="Notas 8 2 7 3" xfId="38312"/>
    <cellStyle name="Notas 8 2 7 3 2" xfId="49220"/>
    <cellStyle name="Notas 8 2 7 4" xfId="38313"/>
    <cellStyle name="Notas 8 2 7 4 2" xfId="38314"/>
    <cellStyle name="Notas 8 2 7 4 2 2" xfId="49222"/>
    <cellStyle name="Notas 8 2 7 4 3" xfId="49221"/>
    <cellStyle name="Notas 8 2 7 5" xfId="38315"/>
    <cellStyle name="Notas 8 2 7 5 2" xfId="49223"/>
    <cellStyle name="Notas 8 2 7 6" xfId="49213"/>
    <cellStyle name="Notas 8 2 8" xfId="38316"/>
    <cellStyle name="Notas 8 2 8 2" xfId="38317"/>
    <cellStyle name="Notas 8 2 8 2 2" xfId="38318"/>
    <cellStyle name="Notas 8 2 8 2 2 2" xfId="49226"/>
    <cellStyle name="Notas 8 2 8 2 3" xfId="49225"/>
    <cellStyle name="Notas 8 2 8 3" xfId="38319"/>
    <cellStyle name="Notas 8 2 8 3 2" xfId="38320"/>
    <cellStyle name="Notas 8 2 8 3 2 2" xfId="49228"/>
    <cellStyle name="Notas 8 2 8 3 3" xfId="49227"/>
    <cellStyle name="Notas 8 2 8 4" xfId="38321"/>
    <cellStyle name="Notas 8 2 8 4 2" xfId="49229"/>
    <cellStyle name="Notas 8 2 8 5" xfId="49224"/>
    <cellStyle name="Notas 8 2 9" xfId="38322"/>
    <cellStyle name="Notas 8 2 9 2" xfId="38323"/>
    <cellStyle name="Notas 8 2 9 2 2" xfId="38324"/>
    <cellStyle name="Notas 8 2 9 2 2 2" xfId="49232"/>
    <cellStyle name="Notas 8 2 9 2 3" xfId="49231"/>
    <cellStyle name="Notas 8 2 9 3" xfId="38325"/>
    <cellStyle name="Notas 8 2 9 3 2" xfId="49233"/>
    <cellStyle name="Notas 8 2 9 4" xfId="49230"/>
    <cellStyle name="Notas 8 2_SIS I (IFRS)" xfId="38326"/>
    <cellStyle name="Notas 8 3" xfId="7504"/>
    <cellStyle name="Notas 8 3 10" xfId="38328"/>
    <cellStyle name="Notas 8 3 10 2" xfId="38329"/>
    <cellStyle name="Notas 8 3 10 2 2" xfId="38330"/>
    <cellStyle name="Notas 8 3 10 2 2 2" xfId="49237"/>
    <cellStyle name="Notas 8 3 10 2 3" xfId="49236"/>
    <cellStyle name="Notas 8 3 10 3" xfId="38331"/>
    <cellStyle name="Notas 8 3 10 3 2" xfId="49238"/>
    <cellStyle name="Notas 8 3 10 4" xfId="49235"/>
    <cellStyle name="Notas 8 3 11" xfId="38332"/>
    <cellStyle name="Notas 8 3 11 2" xfId="38333"/>
    <cellStyle name="Notas 8 3 11 2 2" xfId="49240"/>
    <cellStyle name="Notas 8 3 11 3" xfId="49239"/>
    <cellStyle name="Notas 8 3 12" xfId="38334"/>
    <cellStyle name="Notas 8 3 12 2" xfId="38335"/>
    <cellStyle name="Notas 8 3 12 2 2" xfId="49242"/>
    <cellStyle name="Notas 8 3 12 3" xfId="49241"/>
    <cellStyle name="Notas 8 3 13" xfId="38336"/>
    <cellStyle name="Notas 8 3 13 2" xfId="49243"/>
    <cellStyle name="Notas 8 3 14" xfId="38337"/>
    <cellStyle name="Notas 8 3 14 2" xfId="49244"/>
    <cellStyle name="Notas 8 3 15" xfId="49234"/>
    <cellStyle name="Notas 8 3 16" xfId="38327"/>
    <cellStyle name="Notas 8 3 2" xfId="38338"/>
    <cellStyle name="Notas 8 3 2 2" xfId="38339"/>
    <cellStyle name="Notas 8 3 2 2 2" xfId="38340"/>
    <cellStyle name="Notas 8 3 2 2 2 2" xfId="38341"/>
    <cellStyle name="Notas 8 3 2 2 2 2 2" xfId="38342"/>
    <cellStyle name="Notas 8 3 2 2 2 2 2 2" xfId="38343"/>
    <cellStyle name="Notas 8 3 2 2 2 2 2 2 2" xfId="49250"/>
    <cellStyle name="Notas 8 3 2 2 2 2 2 3" xfId="49249"/>
    <cellStyle name="Notas 8 3 2 2 2 2 3" xfId="38344"/>
    <cellStyle name="Notas 8 3 2 2 2 2 3 2" xfId="38345"/>
    <cellStyle name="Notas 8 3 2 2 2 2 3 2 2" xfId="49252"/>
    <cellStyle name="Notas 8 3 2 2 2 2 3 3" xfId="49251"/>
    <cellStyle name="Notas 8 3 2 2 2 2 4" xfId="38346"/>
    <cellStyle name="Notas 8 3 2 2 2 2 4 2" xfId="49253"/>
    <cellStyle name="Notas 8 3 2 2 2 2 5" xfId="49248"/>
    <cellStyle name="Notas 8 3 2 2 2 3" xfId="38347"/>
    <cellStyle name="Notas 8 3 2 2 2 3 2" xfId="49254"/>
    <cellStyle name="Notas 8 3 2 2 2 4" xfId="38348"/>
    <cellStyle name="Notas 8 3 2 2 2 4 2" xfId="38349"/>
    <cellStyle name="Notas 8 3 2 2 2 4 2 2" xfId="49256"/>
    <cellStyle name="Notas 8 3 2 2 2 4 3" xfId="49255"/>
    <cellStyle name="Notas 8 3 2 2 2 5" xfId="38350"/>
    <cellStyle name="Notas 8 3 2 2 2 5 2" xfId="49257"/>
    <cellStyle name="Notas 8 3 2 2 2 6" xfId="49247"/>
    <cellStyle name="Notas 8 3 2 2 3" xfId="38351"/>
    <cellStyle name="Notas 8 3 2 2 3 2" xfId="38352"/>
    <cellStyle name="Notas 8 3 2 2 3 2 2" xfId="38353"/>
    <cellStyle name="Notas 8 3 2 2 3 2 2 2" xfId="49260"/>
    <cellStyle name="Notas 8 3 2 2 3 2 3" xfId="49259"/>
    <cellStyle name="Notas 8 3 2 2 3 3" xfId="38354"/>
    <cellStyle name="Notas 8 3 2 2 3 3 2" xfId="38355"/>
    <cellStyle name="Notas 8 3 2 2 3 3 2 2" xfId="49262"/>
    <cellStyle name="Notas 8 3 2 2 3 3 3" xfId="49261"/>
    <cellStyle name="Notas 8 3 2 2 3 4" xfId="38356"/>
    <cellStyle name="Notas 8 3 2 2 3 4 2" xfId="49263"/>
    <cellStyle name="Notas 8 3 2 2 3 5" xfId="49258"/>
    <cellStyle name="Notas 8 3 2 2 4" xfId="38357"/>
    <cellStyle name="Notas 8 3 2 2 4 2" xfId="49264"/>
    <cellStyle name="Notas 8 3 2 2 5" xfId="38358"/>
    <cellStyle name="Notas 8 3 2 2 5 2" xfId="38359"/>
    <cellStyle name="Notas 8 3 2 2 5 2 2" xfId="49266"/>
    <cellStyle name="Notas 8 3 2 2 5 3" xfId="49265"/>
    <cellStyle name="Notas 8 3 2 2 6" xfId="38360"/>
    <cellStyle name="Notas 8 3 2 2 6 2" xfId="49267"/>
    <cellStyle name="Notas 8 3 2 2 7" xfId="49246"/>
    <cellStyle name="Notas 8 3 2 3" xfId="38361"/>
    <cellStyle name="Notas 8 3 2 3 2" xfId="38362"/>
    <cellStyle name="Notas 8 3 2 3 2 2" xfId="38363"/>
    <cellStyle name="Notas 8 3 2 3 2 2 2" xfId="38364"/>
    <cellStyle name="Notas 8 3 2 3 2 2 2 2" xfId="49271"/>
    <cellStyle name="Notas 8 3 2 3 2 2 3" xfId="49270"/>
    <cellStyle name="Notas 8 3 2 3 2 3" xfId="38365"/>
    <cellStyle name="Notas 8 3 2 3 2 3 2" xfId="38366"/>
    <cellStyle name="Notas 8 3 2 3 2 3 2 2" xfId="49273"/>
    <cellStyle name="Notas 8 3 2 3 2 3 3" xfId="49272"/>
    <cellStyle name="Notas 8 3 2 3 2 4" xfId="38367"/>
    <cellStyle name="Notas 8 3 2 3 2 4 2" xfId="49274"/>
    <cellStyle name="Notas 8 3 2 3 2 5" xfId="49269"/>
    <cellStyle name="Notas 8 3 2 3 3" xfId="38368"/>
    <cellStyle name="Notas 8 3 2 3 3 2" xfId="49275"/>
    <cellStyle name="Notas 8 3 2 3 4" xfId="38369"/>
    <cellStyle name="Notas 8 3 2 3 4 2" xfId="38370"/>
    <cellStyle name="Notas 8 3 2 3 4 2 2" xfId="49277"/>
    <cellStyle name="Notas 8 3 2 3 4 3" xfId="49276"/>
    <cellStyle name="Notas 8 3 2 3 5" xfId="38371"/>
    <cellStyle name="Notas 8 3 2 3 5 2" xfId="49278"/>
    <cellStyle name="Notas 8 3 2 3 6" xfId="49268"/>
    <cellStyle name="Notas 8 3 2 4" xfId="38372"/>
    <cellStyle name="Notas 8 3 2 4 2" xfId="38373"/>
    <cellStyle name="Notas 8 3 2 4 2 2" xfId="38374"/>
    <cellStyle name="Notas 8 3 2 4 2 2 2" xfId="49281"/>
    <cellStyle name="Notas 8 3 2 4 2 3" xfId="49280"/>
    <cellStyle name="Notas 8 3 2 4 3" xfId="38375"/>
    <cellStyle name="Notas 8 3 2 4 3 2" xfId="38376"/>
    <cellStyle name="Notas 8 3 2 4 3 2 2" xfId="49283"/>
    <cellStyle name="Notas 8 3 2 4 3 3" xfId="49282"/>
    <cellStyle name="Notas 8 3 2 4 4" xfId="38377"/>
    <cellStyle name="Notas 8 3 2 4 4 2" xfId="49284"/>
    <cellStyle name="Notas 8 3 2 4 5" xfId="49279"/>
    <cellStyle name="Notas 8 3 2 5" xfId="38378"/>
    <cellStyle name="Notas 8 3 2 5 2" xfId="49285"/>
    <cellStyle name="Notas 8 3 2 6" xfId="38379"/>
    <cellStyle name="Notas 8 3 2 6 2" xfId="38380"/>
    <cellStyle name="Notas 8 3 2 6 2 2" xfId="49287"/>
    <cellStyle name="Notas 8 3 2 6 3" xfId="49286"/>
    <cellStyle name="Notas 8 3 2 7" xfId="38381"/>
    <cellStyle name="Notas 8 3 2 7 2" xfId="49288"/>
    <cellStyle name="Notas 8 3 2 8" xfId="49245"/>
    <cellStyle name="Notas 8 3 3" xfId="38382"/>
    <cellStyle name="Notas 8 3 3 2" xfId="38383"/>
    <cellStyle name="Notas 8 3 3 2 2" xfId="38384"/>
    <cellStyle name="Notas 8 3 3 2 2 2" xfId="38385"/>
    <cellStyle name="Notas 8 3 3 2 2 2 2" xfId="38386"/>
    <cellStyle name="Notas 8 3 3 2 2 2 2 2" xfId="38387"/>
    <cellStyle name="Notas 8 3 3 2 2 2 2 2 2" xfId="49294"/>
    <cellStyle name="Notas 8 3 3 2 2 2 2 3" xfId="49293"/>
    <cellStyle name="Notas 8 3 3 2 2 2 3" xfId="38388"/>
    <cellStyle name="Notas 8 3 3 2 2 2 3 2" xfId="38389"/>
    <cellStyle name="Notas 8 3 3 2 2 2 3 2 2" xfId="49296"/>
    <cellStyle name="Notas 8 3 3 2 2 2 3 3" xfId="49295"/>
    <cellStyle name="Notas 8 3 3 2 2 2 4" xfId="38390"/>
    <cellStyle name="Notas 8 3 3 2 2 2 4 2" xfId="49297"/>
    <cellStyle name="Notas 8 3 3 2 2 2 5" xfId="49292"/>
    <cellStyle name="Notas 8 3 3 2 2 3" xfId="38391"/>
    <cellStyle name="Notas 8 3 3 2 2 3 2" xfId="49298"/>
    <cellStyle name="Notas 8 3 3 2 2 4" xfId="38392"/>
    <cellStyle name="Notas 8 3 3 2 2 4 2" xfId="38393"/>
    <cellStyle name="Notas 8 3 3 2 2 4 2 2" xfId="49300"/>
    <cellStyle name="Notas 8 3 3 2 2 4 3" xfId="49299"/>
    <cellStyle name="Notas 8 3 3 2 2 5" xfId="38394"/>
    <cellStyle name="Notas 8 3 3 2 2 5 2" xfId="49301"/>
    <cellStyle name="Notas 8 3 3 2 2 6" xfId="49291"/>
    <cellStyle name="Notas 8 3 3 2 3" xfId="38395"/>
    <cellStyle name="Notas 8 3 3 2 3 2" xfId="38396"/>
    <cellStyle name="Notas 8 3 3 2 3 2 2" xfId="38397"/>
    <cellStyle name="Notas 8 3 3 2 3 2 2 2" xfId="49304"/>
    <cellStyle name="Notas 8 3 3 2 3 2 3" xfId="49303"/>
    <cellStyle name="Notas 8 3 3 2 3 3" xfId="38398"/>
    <cellStyle name="Notas 8 3 3 2 3 3 2" xfId="38399"/>
    <cellStyle name="Notas 8 3 3 2 3 3 2 2" xfId="49306"/>
    <cellStyle name="Notas 8 3 3 2 3 3 3" xfId="49305"/>
    <cellStyle name="Notas 8 3 3 2 3 4" xfId="38400"/>
    <cellStyle name="Notas 8 3 3 2 3 4 2" xfId="49307"/>
    <cellStyle name="Notas 8 3 3 2 3 5" xfId="49302"/>
    <cellStyle name="Notas 8 3 3 2 4" xfId="38401"/>
    <cellStyle name="Notas 8 3 3 2 4 2" xfId="49308"/>
    <cellStyle name="Notas 8 3 3 2 5" xfId="38402"/>
    <cellStyle name="Notas 8 3 3 2 5 2" xfId="38403"/>
    <cellStyle name="Notas 8 3 3 2 5 2 2" xfId="49310"/>
    <cellStyle name="Notas 8 3 3 2 5 3" xfId="49309"/>
    <cellStyle name="Notas 8 3 3 2 6" xfId="38404"/>
    <cellStyle name="Notas 8 3 3 2 6 2" xfId="49311"/>
    <cellStyle name="Notas 8 3 3 2 7" xfId="49290"/>
    <cellStyle name="Notas 8 3 3 3" xfId="38405"/>
    <cellStyle name="Notas 8 3 3 3 2" xfId="38406"/>
    <cellStyle name="Notas 8 3 3 3 2 2" xfId="38407"/>
    <cellStyle name="Notas 8 3 3 3 2 2 2" xfId="38408"/>
    <cellStyle name="Notas 8 3 3 3 2 2 2 2" xfId="49315"/>
    <cellStyle name="Notas 8 3 3 3 2 2 3" xfId="49314"/>
    <cellStyle name="Notas 8 3 3 3 2 3" xfId="38409"/>
    <cellStyle name="Notas 8 3 3 3 2 3 2" xfId="38410"/>
    <cellStyle name="Notas 8 3 3 3 2 3 2 2" xfId="49317"/>
    <cellStyle name="Notas 8 3 3 3 2 3 3" xfId="49316"/>
    <cellStyle name="Notas 8 3 3 3 2 4" xfId="38411"/>
    <cellStyle name="Notas 8 3 3 3 2 4 2" xfId="49318"/>
    <cellStyle name="Notas 8 3 3 3 2 5" xfId="49313"/>
    <cellStyle name="Notas 8 3 3 3 3" xfId="38412"/>
    <cellStyle name="Notas 8 3 3 3 3 2" xfId="49319"/>
    <cellStyle name="Notas 8 3 3 3 4" xfId="38413"/>
    <cellStyle name="Notas 8 3 3 3 4 2" xfId="38414"/>
    <cellStyle name="Notas 8 3 3 3 4 2 2" xfId="49321"/>
    <cellStyle name="Notas 8 3 3 3 4 3" xfId="49320"/>
    <cellStyle name="Notas 8 3 3 3 5" xfId="38415"/>
    <cellStyle name="Notas 8 3 3 3 5 2" xfId="49322"/>
    <cellStyle name="Notas 8 3 3 3 6" xfId="49312"/>
    <cellStyle name="Notas 8 3 3 4" xfId="38416"/>
    <cellStyle name="Notas 8 3 3 4 2" xfId="38417"/>
    <cellStyle name="Notas 8 3 3 4 2 2" xfId="38418"/>
    <cellStyle name="Notas 8 3 3 4 2 2 2" xfId="49325"/>
    <cellStyle name="Notas 8 3 3 4 2 3" xfId="49324"/>
    <cellStyle name="Notas 8 3 3 4 3" xfId="38419"/>
    <cellStyle name="Notas 8 3 3 4 3 2" xfId="38420"/>
    <cellStyle name="Notas 8 3 3 4 3 2 2" xfId="49327"/>
    <cellStyle name="Notas 8 3 3 4 3 3" xfId="49326"/>
    <cellStyle name="Notas 8 3 3 4 4" xfId="38421"/>
    <cellStyle name="Notas 8 3 3 4 4 2" xfId="49328"/>
    <cellStyle name="Notas 8 3 3 4 5" xfId="49323"/>
    <cellStyle name="Notas 8 3 3 5" xfId="38422"/>
    <cellStyle name="Notas 8 3 3 5 2" xfId="49329"/>
    <cellStyle name="Notas 8 3 3 6" xfId="38423"/>
    <cellStyle name="Notas 8 3 3 6 2" xfId="38424"/>
    <cellStyle name="Notas 8 3 3 6 2 2" xfId="49331"/>
    <cellStyle name="Notas 8 3 3 6 3" xfId="49330"/>
    <cellStyle name="Notas 8 3 3 7" xfId="38425"/>
    <cellStyle name="Notas 8 3 3 7 2" xfId="49332"/>
    <cellStyle name="Notas 8 3 3 8" xfId="49289"/>
    <cellStyle name="Notas 8 3 4" xfId="38426"/>
    <cellStyle name="Notas 8 3 4 2" xfId="49333"/>
    <cellStyle name="Notas 8 3 5" xfId="38427"/>
    <cellStyle name="Notas 8 3 5 2" xfId="38428"/>
    <cellStyle name="Notas 8 3 5 2 2" xfId="38429"/>
    <cellStyle name="Notas 8 3 5 2 2 2" xfId="38430"/>
    <cellStyle name="Notas 8 3 5 2 2 2 2" xfId="38431"/>
    <cellStyle name="Notas 8 3 5 2 2 2 2 2" xfId="49338"/>
    <cellStyle name="Notas 8 3 5 2 2 2 3" xfId="49337"/>
    <cellStyle name="Notas 8 3 5 2 2 3" xfId="38432"/>
    <cellStyle name="Notas 8 3 5 2 2 3 2" xfId="38433"/>
    <cellStyle name="Notas 8 3 5 2 2 3 2 2" xfId="49340"/>
    <cellStyle name="Notas 8 3 5 2 2 3 3" xfId="49339"/>
    <cellStyle name="Notas 8 3 5 2 2 4" xfId="38434"/>
    <cellStyle name="Notas 8 3 5 2 2 4 2" xfId="49341"/>
    <cellStyle name="Notas 8 3 5 2 2 5" xfId="49336"/>
    <cellStyle name="Notas 8 3 5 2 3" xfId="38435"/>
    <cellStyle name="Notas 8 3 5 2 3 2" xfId="49342"/>
    <cellStyle name="Notas 8 3 5 2 4" xfId="38436"/>
    <cellStyle name="Notas 8 3 5 2 4 2" xfId="38437"/>
    <cellStyle name="Notas 8 3 5 2 4 2 2" xfId="49344"/>
    <cellStyle name="Notas 8 3 5 2 4 3" xfId="49343"/>
    <cellStyle name="Notas 8 3 5 2 5" xfId="38438"/>
    <cellStyle name="Notas 8 3 5 2 5 2" xfId="49345"/>
    <cellStyle name="Notas 8 3 5 2 6" xfId="49335"/>
    <cellStyle name="Notas 8 3 5 3" xfId="38439"/>
    <cellStyle name="Notas 8 3 5 3 2" xfId="38440"/>
    <cellStyle name="Notas 8 3 5 3 2 2" xfId="38441"/>
    <cellStyle name="Notas 8 3 5 3 2 2 2" xfId="49348"/>
    <cellStyle name="Notas 8 3 5 3 2 3" xfId="49347"/>
    <cellStyle name="Notas 8 3 5 3 3" xfId="38442"/>
    <cellStyle name="Notas 8 3 5 3 3 2" xfId="38443"/>
    <cellStyle name="Notas 8 3 5 3 3 2 2" xfId="49350"/>
    <cellStyle name="Notas 8 3 5 3 3 3" xfId="49349"/>
    <cellStyle name="Notas 8 3 5 3 4" xfId="38444"/>
    <cellStyle name="Notas 8 3 5 3 4 2" xfId="49351"/>
    <cellStyle name="Notas 8 3 5 3 5" xfId="49346"/>
    <cellStyle name="Notas 8 3 5 4" xfId="38445"/>
    <cellStyle name="Notas 8 3 5 4 2" xfId="49352"/>
    <cellStyle name="Notas 8 3 5 5" xfId="38446"/>
    <cellStyle name="Notas 8 3 5 5 2" xfId="38447"/>
    <cellStyle name="Notas 8 3 5 5 2 2" xfId="49354"/>
    <cellStyle name="Notas 8 3 5 5 3" xfId="49353"/>
    <cellStyle name="Notas 8 3 5 6" xfId="38448"/>
    <cellStyle name="Notas 8 3 5 6 2" xfId="49355"/>
    <cellStyle name="Notas 8 3 5 7" xfId="49334"/>
    <cellStyle name="Notas 8 3 6" xfId="38449"/>
    <cellStyle name="Notas 8 3 6 2" xfId="38450"/>
    <cellStyle name="Notas 8 3 6 2 2" xfId="38451"/>
    <cellStyle name="Notas 8 3 6 2 2 2" xfId="38452"/>
    <cellStyle name="Notas 8 3 6 2 2 2 2" xfId="49359"/>
    <cellStyle name="Notas 8 3 6 2 2 3" xfId="49358"/>
    <cellStyle name="Notas 8 3 6 2 3" xfId="38453"/>
    <cellStyle name="Notas 8 3 6 2 3 2" xfId="38454"/>
    <cellStyle name="Notas 8 3 6 2 3 2 2" xfId="49361"/>
    <cellStyle name="Notas 8 3 6 2 3 3" xfId="49360"/>
    <cellStyle name="Notas 8 3 6 2 4" xfId="38455"/>
    <cellStyle name="Notas 8 3 6 2 4 2" xfId="49362"/>
    <cellStyle name="Notas 8 3 6 2 5" xfId="49357"/>
    <cellStyle name="Notas 8 3 6 3" xfId="38456"/>
    <cellStyle name="Notas 8 3 6 3 2" xfId="49363"/>
    <cellStyle name="Notas 8 3 6 4" xfId="38457"/>
    <cellStyle name="Notas 8 3 6 4 2" xfId="38458"/>
    <cellStyle name="Notas 8 3 6 4 2 2" xfId="49365"/>
    <cellStyle name="Notas 8 3 6 4 3" xfId="49364"/>
    <cellStyle name="Notas 8 3 6 5" xfId="38459"/>
    <cellStyle name="Notas 8 3 6 5 2" xfId="49366"/>
    <cellStyle name="Notas 8 3 6 6" xfId="49356"/>
    <cellStyle name="Notas 8 3 7" xfId="38460"/>
    <cellStyle name="Notas 8 3 7 2" xfId="38461"/>
    <cellStyle name="Notas 8 3 7 2 2" xfId="38462"/>
    <cellStyle name="Notas 8 3 7 2 2 2" xfId="49369"/>
    <cellStyle name="Notas 8 3 7 2 3" xfId="49368"/>
    <cellStyle name="Notas 8 3 7 3" xfId="38463"/>
    <cellStyle name="Notas 8 3 7 3 2" xfId="38464"/>
    <cellStyle name="Notas 8 3 7 3 2 2" xfId="49371"/>
    <cellStyle name="Notas 8 3 7 3 3" xfId="49370"/>
    <cellStyle name="Notas 8 3 7 4" xfId="38465"/>
    <cellStyle name="Notas 8 3 7 4 2" xfId="49372"/>
    <cellStyle name="Notas 8 3 7 5" xfId="49367"/>
    <cellStyle name="Notas 8 3 8" xfId="38466"/>
    <cellStyle name="Notas 8 3 8 2" xfId="38467"/>
    <cellStyle name="Notas 8 3 8 2 2" xfId="38468"/>
    <cellStyle name="Notas 8 3 8 2 2 2" xfId="49375"/>
    <cellStyle name="Notas 8 3 8 2 3" xfId="49374"/>
    <cellStyle name="Notas 8 3 8 3" xfId="38469"/>
    <cellStyle name="Notas 8 3 8 3 2" xfId="49376"/>
    <cellStyle name="Notas 8 3 8 4" xfId="49373"/>
    <cellStyle name="Notas 8 3 9" xfId="38470"/>
    <cellStyle name="Notas 8 3 9 2" xfId="38471"/>
    <cellStyle name="Notas 8 3 9 2 2" xfId="38472"/>
    <cellStyle name="Notas 8 3 9 2 2 2" xfId="49379"/>
    <cellStyle name="Notas 8 3 9 2 3" xfId="49378"/>
    <cellStyle name="Notas 8 3 9 3" xfId="38473"/>
    <cellStyle name="Notas 8 3 9 3 2" xfId="49380"/>
    <cellStyle name="Notas 8 3 9 4" xfId="49377"/>
    <cellStyle name="Notas 8 3_SIS I (IFRS)" xfId="38474"/>
    <cellStyle name="Notas 8 4" xfId="13706"/>
    <cellStyle name="Notas 8 4 2" xfId="38476"/>
    <cellStyle name="Notas 8 4 2 2" xfId="38477"/>
    <cellStyle name="Notas 8 4 2 2 2" xfId="38478"/>
    <cellStyle name="Notas 8 4 2 2 2 2" xfId="38479"/>
    <cellStyle name="Notas 8 4 2 2 2 2 2" xfId="38480"/>
    <cellStyle name="Notas 8 4 2 2 2 2 2 2" xfId="49386"/>
    <cellStyle name="Notas 8 4 2 2 2 2 3" xfId="49385"/>
    <cellStyle name="Notas 8 4 2 2 2 3" xfId="38481"/>
    <cellStyle name="Notas 8 4 2 2 2 3 2" xfId="38482"/>
    <cellStyle name="Notas 8 4 2 2 2 3 2 2" xfId="49388"/>
    <cellStyle name="Notas 8 4 2 2 2 3 3" xfId="49387"/>
    <cellStyle name="Notas 8 4 2 2 2 4" xfId="38483"/>
    <cellStyle name="Notas 8 4 2 2 2 4 2" xfId="49389"/>
    <cellStyle name="Notas 8 4 2 2 2 5" xfId="49384"/>
    <cellStyle name="Notas 8 4 2 2 3" xfId="38484"/>
    <cellStyle name="Notas 8 4 2 2 3 2" xfId="49390"/>
    <cellStyle name="Notas 8 4 2 2 4" xfId="38485"/>
    <cellStyle name="Notas 8 4 2 2 4 2" xfId="38486"/>
    <cellStyle name="Notas 8 4 2 2 4 2 2" xfId="49392"/>
    <cellStyle name="Notas 8 4 2 2 4 3" xfId="49391"/>
    <cellStyle name="Notas 8 4 2 2 5" xfId="38487"/>
    <cellStyle name="Notas 8 4 2 2 5 2" xfId="49393"/>
    <cellStyle name="Notas 8 4 2 2 6" xfId="49383"/>
    <cellStyle name="Notas 8 4 2 3" xfId="38488"/>
    <cellStyle name="Notas 8 4 2 3 2" xfId="38489"/>
    <cellStyle name="Notas 8 4 2 3 2 2" xfId="38490"/>
    <cellStyle name="Notas 8 4 2 3 2 2 2" xfId="49396"/>
    <cellStyle name="Notas 8 4 2 3 2 3" xfId="49395"/>
    <cellStyle name="Notas 8 4 2 3 3" xfId="38491"/>
    <cellStyle name="Notas 8 4 2 3 3 2" xfId="38492"/>
    <cellStyle name="Notas 8 4 2 3 3 2 2" xfId="49398"/>
    <cellStyle name="Notas 8 4 2 3 3 3" xfId="49397"/>
    <cellStyle name="Notas 8 4 2 3 4" xfId="38493"/>
    <cellStyle name="Notas 8 4 2 3 4 2" xfId="49399"/>
    <cellStyle name="Notas 8 4 2 3 5" xfId="49394"/>
    <cellStyle name="Notas 8 4 2 4" xfId="38494"/>
    <cellStyle name="Notas 8 4 2 4 2" xfId="49400"/>
    <cellStyle name="Notas 8 4 2 5" xfId="38495"/>
    <cellStyle name="Notas 8 4 2 5 2" xfId="38496"/>
    <cellStyle name="Notas 8 4 2 5 2 2" xfId="49402"/>
    <cellStyle name="Notas 8 4 2 5 3" xfId="49401"/>
    <cellStyle name="Notas 8 4 2 6" xfId="38497"/>
    <cellStyle name="Notas 8 4 2 6 2" xfId="49403"/>
    <cellStyle name="Notas 8 4 2 7" xfId="49382"/>
    <cellStyle name="Notas 8 4 3" xfId="38498"/>
    <cellStyle name="Notas 8 4 3 2" xfId="38499"/>
    <cellStyle name="Notas 8 4 3 2 2" xfId="38500"/>
    <cellStyle name="Notas 8 4 3 2 2 2" xfId="38501"/>
    <cellStyle name="Notas 8 4 3 2 2 2 2" xfId="49407"/>
    <cellStyle name="Notas 8 4 3 2 2 3" xfId="49406"/>
    <cellStyle name="Notas 8 4 3 2 3" xfId="38502"/>
    <cellStyle name="Notas 8 4 3 2 3 2" xfId="38503"/>
    <cellStyle name="Notas 8 4 3 2 3 2 2" xfId="49409"/>
    <cellStyle name="Notas 8 4 3 2 3 3" xfId="49408"/>
    <cellStyle name="Notas 8 4 3 2 4" xfId="38504"/>
    <cellStyle name="Notas 8 4 3 2 4 2" xfId="49410"/>
    <cellStyle name="Notas 8 4 3 2 5" xfId="49405"/>
    <cellStyle name="Notas 8 4 3 3" xfId="38505"/>
    <cellStyle name="Notas 8 4 3 3 2" xfId="49411"/>
    <cellStyle name="Notas 8 4 3 4" xfId="38506"/>
    <cellStyle name="Notas 8 4 3 4 2" xfId="38507"/>
    <cellStyle name="Notas 8 4 3 4 2 2" xfId="49413"/>
    <cellStyle name="Notas 8 4 3 4 3" xfId="49412"/>
    <cellStyle name="Notas 8 4 3 5" xfId="38508"/>
    <cellStyle name="Notas 8 4 3 5 2" xfId="49414"/>
    <cellStyle name="Notas 8 4 3 6" xfId="49404"/>
    <cellStyle name="Notas 8 4 4" xfId="38509"/>
    <cellStyle name="Notas 8 4 4 2" xfId="38510"/>
    <cellStyle name="Notas 8 4 4 2 2" xfId="38511"/>
    <cellStyle name="Notas 8 4 4 2 2 2" xfId="49417"/>
    <cellStyle name="Notas 8 4 4 2 3" xfId="49416"/>
    <cellStyle name="Notas 8 4 4 3" xfId="38512"/>
    <cellStyle name="Notas 8 4 4 3 2" xfId="38513"/>
    <cellStyle name="Notas 8 4 4 3 2 2" xfId="49419"/>
    <cellStyle name="Notas 8 4 4 3 3" xfId="49418"/>
    <cellStyle name="Notas 8 4 4 4" xfId="38514"/>
    <cellStyle name="Notas 8 4 4 4 2" xfId="49420"/>
    <cellStyle name="Notas 8 4 4 5" xfId="49415"/>
    <cellStyle name="Notas 8 4 5" xfId="38515"/>
    <cellStyle name="Notas 8 4 5 2" xfId="49421"/>
    <cellStyle name="Notas 8 4 6" xfId="38516"/>
    <cellStyle name="Notas 8 4 6 2" xfId="38517"/>
    <cellStyle name="Notas 8 4 6 2 2" xfId="49423"/>
    <cellStyle name="Notas 8 4 6 3" xfId="49422"/>
    <cellStyle name="Notas 8 4 7" xfId="38518"/>
    <cellStyle name="Notas 8 4 7 2" xfId="49424"/>
    <cellStyle name="Notas 8 4 8" xfId="49381"/>
    <cellStyle name="Notas 8 4 9" xfId="38475"/>
    <cellStyle name="Notas 8 5" xfId="38519"/>
    <cellStyle name="Notas 8 5 2" xfId="38520"/>
    <cellStyle name="Notas 8 5 2 2" xfId="38521"/>
    <cellStyle name="Notas 8 5 2 2 2" xfId="38522"/>
    <cellStyle name="Notas 8 5 2 2 2 2" xfId="38523"/>
    <cellStyle name="Notas 8 5 2 2 2 2 2" xfId="38524"/>
    <cellStyle name="Notas 8 5 2 2 2 2 2 2" xfId="49430"/>
    <cellStyle name="Notas 8 5 2 2 2 2 3" xfId="49429"/>
    <cellStyle name="Notas 8 5 2 2 2 3" xfId="38525"/>
    <cellStyle name="Notas 8 5 2 2 2 3 2" xfId="38526"/>
    <cellStyle name="Notas 8 5 2 2 2 3 2 2" xfId="49432"/>
    <cellStyle name="Notas 8 5 2 2 2 3 3" xfId="49431"/>
    <cellStyle name="Notas 8 5 2 2 2 4" xfId="38527"/>
    <cellStyle name="Notas 8 5 2 2 2 4 2" xfId="49433"/>
    <cellStyle name="Notas 8 5 2 2 2 5" xfId="49428"/>
    <cellStyle name="Notas 8 5 2 2 3" xfId="38528"/>
    <cellStyle name="Notas 8 5 2 2 3 2" xfId="49434"/>
    <cellStyle name="Notas 8 5 2 2 4" xfId="38529"/>
    <cellStyle name="Notas 8 5 2 2 4 2" xfId="38530"/>
    <cellStyle name="Notas 8 5 2 2 4 2 2" xfId="49436"/>
    <cellStyle name="Notas 8 5 2 2 4 3" xfId="49435"/>
    <cellStyle name="Notas 8 5 2 2 5" xfId="38531"/>
    <cellStyle name="Notas 8 5 2 2 5 2" xfId="49437"/>
    <cellStyle name="Notas 8 5 2 2 6" xfId="49427"/>
    <cellStyle name="Notas 8 5 2 3" xfId="38532"/>
    <cellStyle name="Notas 8 5 2 3 2" xfId="38533"/>
    <cellStyle name="Notas 8 5 2 3 2 2" xfId="38534"/>
    <cellStyle name="Notas 8 5 2 3 2 2 2" xfId="49440"/>
    <cellStyle name="Notas 8 5 2 3 2 3" xfId="49439"/>
    <cellStyle name="Notas 8 5 2 3 3" xfId="38535"/>
    <cellStyle name="Notas 8 5 2 3 3 2" xfId="38536"/>
    <cellStyle name="Notas 8 5 2 3 3 2 2" xfId="49442"/>
    <cellStyle name="Notas 8 5 2 3 3 3" xfId="49441"/>
    <cellStyle name="Notas 8 5 2 3 4" xfId="38537"/>
    <cellStyle name="Notas 8 5 2 3 4 2" xfId="49443"/>
    <cellStyle name="Notas 8 5 2 3 5" xfId="49438"/>
    <cellStyle name="Notas 8 5 2 4" xfId="38538"/>
    <cellStyle name="Notas 8 5 2 4 2" xfId="49444"/>
    <cellStyle name="Notas 8 5 2 5" xfId="38539"/>
    <cellStyle name="Notas 8 5 2 5 2" xfId="38540"/>
    <cellStyle name="Notas 8 5 2 5 2 2" xfId="49446"/>
    <cellStyle name="Notas 8 5 2 5 3" xfId="49445"/>
    <cellStyle name="Notas 8 5 2 6" xfId="38541"/>
    <cellStyle name="Notas 8 5 2 6 2" xfId="49447"/>
    <cellStyle name="Notas 8 5 2 7" xfId="49426"/>
    <cellStyle name="Notas 8 5 3" xfId="38542"/>
    <cellStyle name="Notas 8 5 3 2" xfId="38543"/>
    <cellStyle name="Notas 8 5 3 2 2" xfId="38544"/>
    <cellStyle name="Notas 8 5 3 2 2 2" xfId="38545"/>
    <cellStyle name="Notas 8 5 3 2 2 2 2" xfId="49451"/>
    <cellStyle name="Notas 8 5 3 2 2 3" xfId="49450"/>
    <cellStyle name="Notas 8 5 3 2 3" xfId="38546"/>
    <cellStyle name="Notas 8 5 3 2 3 2" xfId="38547"/>
    <cellStyle name="Notas 8 5 3 2 3 2 2" xfId="49453"/>
    <cellStyle name="Notas 8 5 3 2 3 3" xfId="49452"/>
    <cellStyle name="Notas 8 5 3 2 4" xfId="38548"/>
    <cellStyle name="Notas 8 5 3 2 4 2" xfId="49454"/>
    <cellStyle name="Notas 8 5 3 2 5" xfId="49449"/>
    <cellStyle name="Notas 8 5 3 3" xfId="38549"/>
    <cellStyle name="Notas 8 5 3 3 2" xfId="49455"/>
    <cellStyle name="Notas 8 5 3 4" xfId="38550"/>
    <cellStyle name="Notas 8 5 3 4 2" xfId="38551"/>
    <cellStyle name="Notas 8 5 3 4 2 2" xfId="49457"/>
    <cellStyle name="Notas 8 5 3 4 3" xfId="49456"/>
    <cellStyle name="Notas 8 5 3 5" xfId="38552"/>
    <cellStyle name="Notas 8 5 3 5 2" xfId="49458"/>
    <cellStyle name="Notas 8 5 3 6" xfId="49448"/>
    <cellStyle name="Notas 8 5 4" xfId="38553"/>
    <cellStyle name="Notas 8 5 4 2" xfId="38554"/>
    <cellStyle name="Notas 8 5 4 2 2" xfId="38555"/>
    <cellStyle name="Notas 8 5 4 2 2 2" xfId="49461"/>
    <cellStyle name="Notas 8 5 4 2 3" xfId="49460"/>
    <cellStyle name="Notas 8 5 4 3" xfId="38556"/>
    <cellStyle name="Notas 8 5 4 3 2" xfId="38557"/>
    <cellStyle name="Notas 8 5 4 3 2 2" xfId="49463"/>
    <cellStyle name="Notas 8 5 4 3 3" xfId="49462"/>
    <cellStyle name="Notas 8 5 4 4" xfId="38558"/>
    <cellStyle name="Notas 8 5 4 4 2" xfId="49464"/>
    <cellStyle name="Notas 8 5 4 5" xfId="49459"/>
    <cellStyle name="Notas 8 5 5" xfId="38559"/>
    <cellStyle name="Notas 8 5 5 2" xfId="49465"/>
    <cellStyle name="Notas 8 5 6" xfId="38560"/>
    <cellStyle name="Notas 8 5 6 2" xfId="38561"/>
    <cellStyle name="Notas 8 5 6 2 2" xfId="49467"/>
    <cellStyle name="Notas 8 5 6 3" xfId="49466"/>
    <cellStyle name="Notas 8 5 7" xfId="38562"/>
    <cellStyle name="Notas 8 5 7 2" xfId="49468"/>
    <cellStyle name="Notas 8 5 8" xfId="49425"/>
    <cellStyle name="Notas 8 6" xfId="38563"/>
    <cellStyle name="Notas 8 6 2" xfId="49469"/>
    <cellStyle name="Notas 8 7" xfId="38564"/>
    <cellStyle name="Notas 8 7 2" xfId="38565"/>
    <cellStyle name="Notas 8 7 2 2" xfId="38566"/>
    <cellStyle name="Notas 8 7 2 2 2" xfId="38567"/>
    <cellStyle name="Notas 8 7 2 2 2 2" xfId="38568"/>
    <cellStyle name="Notas 8 7 2 2 2 2 2" xfId="49474"/>
    <cellStyle name="Notas 8 7 2 2 2 3" xfId="49473"/>
    <cellStyle name="Notas 8 7 2 2 3" xfId="38569"/>
    <cellStyle name="Notas 8 7 2 2 3 2" xfId="38570"/>
    <cellStyle name="Notas 8 7 2 2 3 2 2" xfId="49476"/>
    <cellStyle name="Notas 8 7 2 2 3 3" xfId="49475"/>
    <cellStyle name="Notas 8 7 2 2 4" xfId="38571"/>
    <cellStyle name="Notas 8 7 2 2 4 2" xfId="49477"/>
    <cellStyle name="Notas 8 7 2 2 5" xfId="49472"/>
    <cellStyle name="Notas 8 7 2 3" xfId="38572"/>
    <cellStyle name="Notas 8 7 2 3 2" xfId="49478"/>
    <cellStyle name="Notas 8 7 2 4" xfId="38573"/>
    <cellStyle name="Notas 8 7 2 4 2" xfId="38574"/>
    <cellStyle name="Notas 8 7 2 4 2 2" xfId="49480"/>
    <cellStyle name="Notas 8 7 2 4 3" xfId="49479"/>
    <cellStyle name="Notas 8 7 2 5" xfId="38575"/>
    <cellStyle name="Notas 8 7 2 5 2" xfId="49481"/>
    <cellStyle name="Notas 8 7 2 6" xfId="49471"/>
    <cellStyle name="Notas 8 7 3" xfId="38576"/>
    <cellStyle name="Notas 8 7 3 2" xfId="38577"/>
    <cellStyle name="Notas 8 7 3 2 2" xfId="38578"/>
    <cellStyle name="Notas 8 7 3 2 2 2" xfId="49484"/>
    <cellStyle name="Notas 8 7 3 2 3" xfId="49483"/>
    <cellStyle name="Notas 8 7 3 3" xfId="38579"/>
    <cellStyle name="Notas 8 7 3 3 2" xfId="38580"/>
    <cellStyle name="Notas 8 7 3 3 2 2" xfId="49486"/>
    <cellStyle name="Notas 8 7 3 3 3" xfId="49485"/>
    <cellStyle name="Notas 8 7 3 4" xfId="38581"/>
    <cellStyle name="Notas 8 7 3 4 2" xfId="49487"/>
    <cellStyle name="Notas 8 7 3 5" xfId="49482"/>
    <cellStyle name="Notas 8 7 4" xfId="38582"/>
    <cellStyle name="Notas 8 7 4 2" xfId="49488"/>
    <cellStyle name="Notas 8 7 5" xfId="38583"/>
    <cellStyle name="Notas 8 7 5 2" xfId="38584"/>
    <cellStyle name="Notas 8 7 5 2 2" xfId="49490"/>
    <cellStyle name="Notas 8 7 5 3" xfId="49489"/>
    <cellStyle name="Notas 8 7 6" xfId="38585"/>
    <cellStyle name="Notas 8 7 6 2" xfId="49491"/>
    <cellStyle name="Notas 8 7 7" xfId="49470"/>
    <cellStyle name="Notas 8 8" xfId="38586"/>
    <cellStyle name="Notas 8 8 2" xfId="38587"/>
    <cellStyle name="Notas 8 8 2 2" xfId="38588"/>
    <cellStyle name="Notas 8 8 2 2 2" xfId="38589"/>
    <cellStyle name="Notas 8 8 2 2 2 2" xfId="49495"/>
    <cellStyle name="Notas 8 8 2 2 3" xfId="49494"/>
    <cellStyle name="Notas 8 8 2 3" xfId="38590"/>
    <cellStyle name="Notas 8 8 2 3 2" xfId="38591"/>
    <cellStyle name="Notas 8 8 2 3 2 2" xfId="49497"/>
    <cellStyle name="Notas 8 8 2 3 3" xfId="49496"/>
    <cellStyle name="Notas 8 8 2 4" xfId="38592"/>
    <cellStyle name="Notas 8 8 2 4 2" xfId="49498"/>
    <cellStyle name="Notas 8 8 2 5" xfId="49493"/>
    <cellStyle name="Notas 8 8 3" xfId="38593"/>
    <cellStyle name="Notas 8 8 3 2" xfId="49499"/>
    <cellStyle name="Notas 8 8 4" xfId="38594"/>
    <cellStyle name="Notas 8 8 4 2" xfId="38595"/>
    <cellStyle name="Notas 8 8 4 2 2" xfId="49501"/>
    <cellStyle name="Notas 8 8 4 3" xfId="49500"/>
    <cellStyle name="Notas 8 8 5" xfId="38596"/>
    <cellStyle name="Notas 8 8 5 2" xfId="49502"/>
    <cellStyle name="Notas 8 8 6" xfId="49492"/>
    <cellStyle name="Notas 8 9" xfId="38597"/>
    <cellStyle name="Notas 8 9 2" xfId="38598"/>
    <cellStyle name="Notas 8 9 2 2" xfId="38599"/>
    <cellStyle name="Notas 8 9 2 2 2" xfId="49505"/>
    <cellStyle name="Notas 8 9 2 3" xfId="49504"/>
    <cellStyle name="Notas 8 9 3" xfId="38600"/>
    <cellStyle name="Notas 8 9 3 2" xfId="38601"/>
    <cellStyle name="Notas 8 9 3 2 2" xfId="49507"/>
    <cellStyle name="Notas 8 9 3 3" xfId="49506"/>
    <cellStyle name="Notas 8 9 4" xfId="38602"/>
    <cellStyle name="Notas 8 9 4 2" xfId="49508"/>
    <cellStyle name="Notas 8 9 5" xfId="49503"/>
    <cellStyle name="Notas 8_SIS I (IFRS)" xfId="38603"/>
    <cellStyle name="Notas 9" xfId="18877"/>
    <cellStyle name="Notas 9 10" xfId="38605"/>
    <cellStyle name="Notas 9 10 2" xfId="38606"/>
    <cellStyle name="Notas 9 10 2 2" xfId="38607"/>
    <cellStyle name="Notas 9 10 2 2 2" xfId="49512"/>
    <cellStyle name="Notas 9 10 2 3" xfId="49511"/>
    <cellStyle name="Notas 9 10 3" xfId="38608"/>
    <cellStyle name="Notas 9 10 3 2" xfId="49513"/>
    <cellStyle name="Notas 9 10 4" xfId="49510"/>
    <cellStyle name="Notas 9 11" xfId="38609"/>
    <cellStyle name="Notas 9 11 2" xfId="38610"/>
    <cellStyle name="Notas 9 11 2 2" xfId="38611"/>
    <cellStyle name="Notas 9 11 2 2 2" xfId="49516"/>
    <cellStyle name="Notas 9 11 2 3" xfId="49515"/>
    <cellStyle name="Notas 9 11 3" xfId="38612"/>
    <cellStyle name="Notas 9 11 3 2" xfId="49517"/>
    <cellStyle name="Notas 9 11 4" xfId="49514"/>
    <cellStyle name="Notas 9 12" xfId="38613"/>
    <cellStyle name="Notas 9 12 2" xfId="38614"/>
    <cellStyle name="Notas 9 12 2 2" xfId="49519"/>
    <cellStyle name="Notas 9 12 3" xfId="49518"/>
    <cellStyle name="Notas 9 13" xfId="38615"/>
    <cellStyle name="Notas 9 13 2" xfId="38616"/>
    <cellStyle name="Notas 9 13 2 2" xfId="49521"/>
    <cellStyle name="Notas 9 13 3" xfId="49520"/>
    <cellStyle name="Notas 9 14" xfId="38617"/>
    <cellStyle name="Notas 9 14 2" xfId="49522"/>
    <cellStyle name="Notas 9 15" xfId="38618"/>
    <cellStyle name="Notas 9 15 2" xfId="49523"/>
    <cellStyle name="Notas 9 16" xfId="49509"/>
    <cellStyle name="Notas 9 17" xfId="38604"/>
    <cellStyle name="Notas 9 2" xfId="38619"/>
    <cellStyle name="Notas 9 2 10" xfId="38620"/>
    <cellStyle name="Notas 9 2 10 2" xfId="38621"/>
    <cellStyle name="Notas 9 2 10 2 2" xfId="38622"/>
    <cellStyle name="Notas 9 2 10 2 2 2" xfId="49527"/>
    <cellStyle name="Notas 9 2 10 2 3" xfId="49526"/>
    <cellStyle name="Notas 9 2 10 3" xfId="38623"/>
    <cellStyle name="Notas 9 2 10 3 2" xfId="49528"/>
    <cellStyle name="Notas 9 2 10 4" xfId="49525"/>
    <cellStyle name="Notas 9 2 11" xfId="38624"/>
    <cellStyle name="Notas 9 2 11 2" xfId="38625"/>
    <cellStyle name="Notas 9 2 11 2 2" xfId="49530"/>
    <cellStyle name="Notas 9 2 11 3" xfId="49529"/>
    <cellStyle name="Notas 9 2 12" xfId="38626"/>
    <cellStyle name="Notas 9 2 12 2" xfId="38627"/>
    <cellStyle name="Notas 9 2 12 2 2" xfId="49532"/>
    <cellStyle name="Notas 9 2 12 3" xfId="49531"/>
    <cellStyle name="Notas 9 2 13" xfId="38628"/>
    <cellStyle name="Notas 9 2 13 2" xfId="49533"/>
    <cellStyle name="Notas 9 2 14" xfId="38629"/>
    <cellStyle name="Notas 9 2 14 2" xfId="49534"/>
    <cellStyle name="Notas 9 2 15" xfId="49524"/>
    <cellStyle name="Notas 9 2 2" xfId="38630"/>
    <cellStyle name="Notas 9 2 2 2" xfId="38631"/>
    <cellStyle name="Notas 9 2 2 2 2" xfId="38632"/>
    <cellStyle name="Notas 9 2 2 2 2 2" xfId="38633"/>
    <cellStyle name="Notas 9 2 2 2 2 2 2" xfId="38634"/>
    <cellStyle name="Notas 9 2 2 2 2 2 2 2" xfId="38635"/>
    <cellStyle name="Notas 9 2 2 2 2 2 2 2 2" xfId="49540"/>
    <cellStyle name="Notas 9 2 2 2 2 2 2 3" xfId="49539"/>
    <cellStyle name="Notas 9 2 2 2 2 2 3" xfId="38636"/>
    <cellStyle name="Notas 9 2 2 2 2 2 3 2" xfId="38637"/>
    <cellStyle name="Notas 9 2 2 2 2 2 3 2 2" xfId="49542"/>
    <cellStyle name="Notas 9 2 2 2 2 2 3 3" xfId="49541"/>
    <cellStyle name="Notas 9 2 2 2 2 2 4" xfId="38638"/>
    <cellStyle name="Notas 9 2 2 2 2 2 4 2" xfId="49543"/>
    <cellStyle name="Notas 9 2 2 2 2 2 5" xfId="49538"/>
    <cellStyle name="Notas 9 2 2 2 2 3" xfId="38639"/>
    <cellStyle name="Notas 9 2 2 2 2 3 2" xfId="49544"/>
    <cellStyle name="Notas 9 2 2 2 2 4" xfId="38640"/>
    <cellStyle name="Notas 9 2 2 2 2 4 2" xfId="38641"/>
    <cellStyle name="Notas 9 2 2 2 2 4 2 2" xfId="49546"/>
    <cellStyle name="Notas 9 2 2 2 2 4 3" xfId="49545"/>
    <cellStyle name="Notas 9 2 2 2 2 5" xfId="38642"/>
    <cellStyle name="Notas 9 2 2 2 2 5 2" xfId="49547"/>
    <cellStyle name="Notas 9 2 2 2 2 6" xfId="49537"/>
    <cellStyle name="Notas 9 2 2 2 3" xfId="38643"/>
    <cellStyle name="Notas 9 2 2 2 3 2" xfId="38644"/>
    <cellStyle name="Notas 9 2 2 2 3 2 2" xfId="38645"/>
    <cellStyle name="Notas 9 2 2 2 3 2 2 2" xfId="49550"/>
    <cellStyle name="Notas 9 2 2 2 3 2 3" xfId="49549"/>
    <cellStyle name="Notas 9 2 2 2 3 3" xfId="38646"/>
    <cellStyle name="Notas 9 2 2 2 3 3 2" xfId="38647"/>
    <cellStyle name="Notas 9 2 2 2 3 3 2 2" xfId="49552"/>
    <cellStyle name="Notas 9 2 2 2 3 3 3" xfId="49551"/>
    <cellStyle name="Notas 9 2 2 2 3 4" xfId="38648"/>
    <cellStyle name="Notas 9 2 2 2 3 4 2" xfId="49553"/>
    <cellStyle name="Notas 9 2 2 2 3 5" xfId="49548"/>
    <cellStyle name="Notas 9 2 2 2 4" xfId="38649"/>
    <cellStyle name="Notas 9 2 2 2 4 2" xfId="49554"/>
    <cellStyle name="Notas 9 2 2 2 5" xfId="38650"/>
    <cellStyle name="Notas 9 2 2 2 5 2" xfId="38651"/>
    <cellStyle name="Notas 9 2 2 2 5 2 2" xfId="49556"/>
    <cellStyle name="Notas 9 2 2 2 5 3" xfId="49555"/>
    <cellStyle name="Notas 9 2 2 2 6" xfId="38652"/>
    <cellStyle name="Notas 9 2 2 2 6 2" xfId="49557"/>
    <cellStyle name="Notas 9 2 2 2 7" xfId="49536"/>
    <cellStyle name="Notas 9 2 2 3" xfId="38653"/>
    <cellStyle name="Notas 9 2 2 3 2" xfId="38654"/>
    <cellStyle name="Notas 9 2 2 3 2 2" xfId="38655"/>
    <cellStyle name="Notas 9 2 2 3 2 2 2" xfId="38656"/>
    <cellStyle name="Notas 9 2 2 3 2 2 2 2" xfId="49561"/>
    <cellStyle name="Notas 9 2 2 3 2 2 3" xfId="49560"/>
    <cellStyle name="Notas 9 2 2 3 2 3" xfId="38657"/>
    <cellStyle name="Notas 9 2 2 3 2 3 2" xfId="38658"/>
    <cellStyle name="Notas 9 2 2 3 2 3 2 2" xfId="49563"/>
    <cellStyle name="Notas 9 2 2 3 2 3 3" xfId="49562"/>
    <cellStyle name="Notas 9 2 2 3 2 4" xfId="38659"/>
    <cellStyle name="Notas 9 2 2 3 2 4 2" xfId="49564"/>
    <cellStyle name="Notas 9 2 2 3 2 5" xfId="49559"/>
    <cellStyle name="Notas 9 2 2 3 3" xfId="38660"/>
    <cellStyle name="Notas 9 2 2 3 3 2" xfId="49565"/>
    <cellStyle name="Notas 9 2 2 3 4" xfId="38661"/>
    <cellStyle name="Notas 9 2 2 3 4 2" xfId="38662"/>
    <cellStyle name="Notas 9 2 2 3 4 2 2" xfId="49567"/>
    <cellStyle name="Notas 9 2 2 3 4 3" xfId="49566"/>
    <cellStyle name="Notas 9 2 2 3 5" xfId="38663"/>
    <cellStyle name="Notas 9 2 2 3 5 2" xfId="49568"/>
    <cellStyle name="Notas 9 2 2 3 6" xfId="49558"/>
    <cellStyle name="Notas 9 2 2 4" xfId="38664"/>
    <cellStyle name="Notas 9 2 2 4 2" xfId="38665"/>
    <cellStyle name="Notas 9 2 2 4 2 2" xfId="38666"/>
    <cellStyle name="Notas 9 2 2 4 2 2 2" xfId="49571"/>
    <cellStyle name="Notas 9 2 2 4 2 3" xfId="49570"/>
    <cellStyle name="Notas 9 2 2 4 3" xfId="38667"/>
    <cellStyle name="Notas 9 2 2 4 3 2" xfId="38668"/>
    <cellStyle name="Notas 9 2 2 4 3 2 2" xfId="49573"/>
    <cellStyle name="Notas 9 2 2 4 3 3" xfId="49572"/>
    <cellStyle name="Notas 9 2 2 4 4" xfId="38669"/>
    <cellStyle name="Notas 9 2 2 4 4 2" xfId="49574"/>
    <cellStyle name="Notas 9 2 2 4 5" xfId="49569"/>
    <cellStyle name="Notas 9 2 2 5" xfId="38670"/>
    <cellStyle name="Notas 9 2 2 5 2" xfId="49575"/>
    <cellStyle name="Notas 9 2 2 6" xfId="38671"/>
    <cellStyle name="Notas 9 2 2 6 2" xfId="38672"/>
    <cellStyle name="Notas 9 2 2 6 2 2" xfId="49577"/>
    <cellStyle name="Notas 9 2 2 6 3" xfId="49576"/>
    <cellStyle name="Notas 9 2 2 7" xfId="38673"/>
    <cellStyle name="Notas 9 2 2 7 2" xfId="49578"/>
    <cellStyle name="Notas 9 2 2 8" xfId="49535"/>
    <cellStyle name="Notas 9 2 3" xfId="38674"/>
    <cellStyle name="Notas 9 2 3 2" xfId="38675"/>
    <cellStyle name="Notas 9 2 3 2 2" xfId="38676"/>
    <cellStyle name="Notas 9 2 3 2 2 2" xfId="38677"/>
    <cellStyle name="Notas 9 2 3 2 2 2 2" xfId="38678"/>
    <cellStyle name="Notas 9 2 3 2 2 2 2 2" xfId="38679"/>
    <cellStyle name="Notas 9 2 3 2 2 2 2 2 2" xfId="49584"/>
    <cellStyle name="Notas 9 2 3 2 2 2 2 3" xfId="49583"/>
    <cellStyle name="Notas 9 2 3 2 2 2 3" xfId="38680"/>
    <cellStyle name="Notas 9 2 3 2 2 2 3 2" xfId="38681"/>
    <cellStyle name="Notas 9 2 3 2 2 2 3 2 2" xfId="49586"/>
    <cellStyle name="Notas 9 2 3 2 2 2 3 3" xfId="49585"/>
    <cellStyle name="Notas 9 2 3 2 2 2 4" xfId="38682"/>
    <cellStyle name="Notas 9 2 3 2 2 2 4 2" xfId="49587"/>
    <cellStyle name="Notas 9 2 3 2 2 2 5" xfId="49582"/>
    <cellStyle name="Notas 9 2 3 2 2 3" xfId="38683"/>
    <cellStyle name="Notas 9 2 3 2 2 3 2" xfId="49588"/>
    <cellStyle name="Notas 9 2 3 2 2 4" xfId="38684"/>
    <cellStyle name="Notas 9 2 3 2 2 4 2" xfId="38685"/>
    <cellStyle name="Notas 9 2 3 2 2 4 2 2" xfId="49590"/>
    <cellStyle name="Notas 9 2 3 2 2 4 3" xfId="49589"/>
    <cellStyle name="Notas 9 2 3 2 2 5" xfId="38686"/>
    <cellStyle name="Notas 9 2 3 2 2 5 2" xfId="49591"/>
    <cellStyle name="Notas 9 2 3 2 2 6" xfId="49581"/>
    <cellStyle name="Notas 9 2 3 2 3" xfId="38687"/>
    <cellStyle name="Notas 9 2 3 2 3 2" xfId="38688"/>
    <cellStyle name="Notas 9 2 3 2 3 2 2" xfId="38689"/>
    <cellStyle name="Notas 9 2 3 2 3 2 2 2" xfId="49594"/>
    <cellStyle name="Notas 9 2 3 2 3 2 3" xfId="49593"/>
    <cellStyle name="Notas 9 2 3 2 3 3" xfId="38690"/>
    <cellStyle name="Notas 9 2 3 2 3 3 2" xfId="38691"/>
    <cellStyle name="Notas 9 2 3 2 3 3 2 2" xfId="49596"/>
    <cellStyle name="Notas 9 2 3 2 3 3 3" xfId="49595"/>
    <cellStyle name="Notas 9 2 3 2 3 4" xfId="38692"/>
    <cellStyle name="Notas 9 2 3 2 3 4 2" xfId="49597"/>
    <cellStyle name="Notas 9 2 3 2 3 5" xfId="49592"/>
    <cellStyle name="Notas 9 2 3 2 4" xfId="38693"/>
    <cellStyle name="Notas 9 2 3 2 4 2" xfId="49598"/>
    <cellStyle name="Notas 9 2 3 2 5" xfId="38694"/>
    <cellStyle name="Notas 9 2 3 2 5 2" xfId="38695"/>
    <cellStyle name="Notas 9 2 3 2 5 2 2" xfId="49600"/>
    <cellStyle name="Notas 9 2 3 2 5 3" xfId="49599"/>
    <cellStyle name="Notas 9 2 3 2 6" xfId="38696"/>
    <cellStyle name="Notas 9 2 3 2 6 2" xfId="49601"/>
    <cellStyle name="Notas 9 2 3 2 7" xfId="49580"/>
    <cellStyle name="Notas 9 2 3 3" xfId="38697"/>
    <cellStyle name="Notas 9 2 3 3 2" xfId="38698"/>
    <cellStyle name="Notas 9 2 3 3 2 2" xfId="38699"/>
    <cellStyle name="Notas 9 2 3 3 2 2 2" xfId="38700"/>
    <cellStyle name="Notas 9 2 3 3 2 2 2 2" xfId="49605"/>
    <cellStyle name="Notas 9 2 3 3 2 2 3" xfId="49604"/>
    <cellStyle name="Notas 9 2 3 3 2 3" xfId="38701"/>
    <cellStyle name="Notas 9 2 3 3 2 3 2" xfId="38702"/>
    <cellStyle name="Notas 9 2 3 3 2 3 2 2" xfId="49607"/>
    <cellStyle name="Notas 9 2 3 3 2 3 3" xfId="49606"/>
    <cellStyle name="Notas 9 2 3 3 2 4" xfId="38703"/>
    <cellStyle name="Notas 9 2 3 3 2 4 2" xfId="49608"/>
    <cellStyle name="Notas 9 2 3 3 2 5" xfId="49603"/>
    <cellStyle name="Notas 9 2 3 3 3" xfId="38704"/>
    <cellStyle name="Notas 9 2 3 3 3 2" xfId="49609"/>
    <cellStyle name="Notas 9 2 3 3 4" xfId="38705"/>
    <cellStyle name="Notas 9 2 3 3 4 2" xfId="38706"/>
    <cellStyle name="Notas 9 2 3 3 4 2 2" xfId="49611"/>
    <cellStyle name="Notas 9 2 3 3 4 3" xfId="49610"/>
    <cellStyle name="Notas 9 2 3 3 5" xfId="38707"/>
    <cellStyle name="Notas 9 2 3 3 5 2" xfId="49612"/>
    <cellStyle name="Notas 9 2 3 3 6" xfId="49602"/>
    <cellStyle name="Notas 9 2 3 4" xfId="38708"/>
    <cellStyle name="Notas 9 2 3 4 2" xfId="38709"/>
    <cellStyle name="Notas 9 2 3 4 2 2" xfId="38710"/>
    <cellStyle name="Notas 9 2 3 4 2 2 2" xfId="49615"/>
    <cellStyle name="Notas 9 2 3 4 2 3" xfId="49614"/>
    <cellStyle name="Notas 9 2 3 4 3" xfId="38711"/>
    <cellStyle name="Notas 9 2 3 4 3 2" xfId="38712"/>
    <cellStyle name="Notas 9 2 3 4 3 2 2" xfId="49617"/>
    <cellStyle name="Notas 9 2 3 4 3 3" xfId="49616"/>
    <cellStyle name="Notas 9 2 3 4 4" xfId="38713"/>
    <cellStyle name="Notas 9 2 3 4 4 2" xfId="49618"/>
    <cellStyle name="Notas 9 2 3 4 5" xfId="49613"/>
    <cellStyle name="Notas 9 2 3 5" xfId="38714"/>
    <cellStyle name="Notas 9 2 3 5 2" xfId="49619"/>
    <cellStyle name="Notas 9 2 3 6" xfId="38715"/>
    <cellStyle name="Notas 9 2 3 6 2" xfId="38716"/>
    <cellStyle name="Notas 9 2 3 6 2 2" xfId="49621"/>
    <cellStyle name="Notas 9 2 3 6 3" xfId="49620"/>
    <cellStyle name="Notas 9 2 3 7" xfId="38717"/>
    <cellStyle name="Notas 9 2 3 7 2" xfId="49622"/>
    <cellStyle name="Notas 9 2 3 8" xfId="49579"/>
    <cellStyle name="Notas 9 2 4" xfId="38718"/>
    <cellStyle name="Notas 9 2 4 2" xfId="49623"/>
    <cellStyle name="Notas 9 2 5" xfId="38719"/>
    <cellStyle name="Notas 9 2 5 2" xfId="38720"/>
    <cellStyle name="Notas 9 2 5 2 2" xfId="38721"/>
    <cellStyle name="Notas 9 2 5 2 2 2" xfId="38722"/>
    <cellStyle name="Notas 9 2 5 2 2 2 2" xfId="38723"/>
    <cellStyle name="Notas 9 2 5 2 2 2 2 2" xfId="49628"/>
    <cellStyle name="Notas 9 2 5 2 2 2 3" xfId="49627"/>
    <cellStyle name="Notas 9 2 5 2 2 3" xfId="38724"/>
    <cellStyle name="Notas 9 2 5 2 2 3 2" xfId="38725"/>
    <cellStyle name="Notas 9 2 5 2 2 3 2 2" xfId="49630"/>
    <cellStyle name="Notas 9 2 5 2 2 3 3" xfId="49629"/>
    <cellStyle name="Notas 9 2 5 2 2 4" xfId="38726"/>
    <cellStyle name="Notas 9 2 5 2 2 4 2" xfId="49631"/>
    <cellStyle name="Notas 9 2 5 2 2 5" xfId="49626"/>
    <cellStyle name="Notas 9 2 5 2 3" xfId="38727"/>
    <cellStyle name="Notas 9 2 5 2 3 2" xfId="49632"/>
    <cellStyle name="Notas 9 2 5 2 4" xfId="38728"/>
    <cellStyle name="Notas 9 2 5 2 4 2" xfId="38729"/>
    <cellStyle name="Notas 9 2 5 2 4 2 2" xfId="49634"/>
    <cellStyle name="Notas 9 2 5 2 4 3" xfId="49633"/>
    <cellStyle name="Notas 9 2 5 2 5" xfId="38730"/>
    <cellStyle name="Notas 9 2 5 2 5 2" xfId="49635"/>
    <cellStyle name="Notas 9 2 5 2 6" xfId="49625"/>
    <cellStyle name="Notas 9 2 5 3" xfId="38731"/>
    <cellStyle name="Notas 9 2 5 3 2" xfId="38732"/>
    <cellStyle name="Notas 9 2 5 3 2 2" xfId="38733"/>
    <cellStyle name="Notas 9 2 5 3 2 2 2" xfId="49638"/>
    <cellStyle name="Notas 9 2 5 3 2 3" xfId="49637"/>
    <cellStyle name="Notas 9 2 5 3 3" xfId="38734"/>
    <cellStyle name="Notas 9 2 5 3 3 2" xfId="38735"/>
    <cellStyle name="Notas 9 2 5 3 3 2 2" xfId="49640"/>
    <cellStyle name="Notas 9 2 5 3 3 3" xfId="49639"/>
    <cellStyle name="Notas 9 2 5 3 4" xfId="38736"/>
    <cellStyle name="Notas 9 2 5 3 4 2" xfId="49641"/>
    <cellStyle name="Notas 9 2 5 3 5" xfId="49636"/>
    <cellStyle name="Notas 9 2 5 4" xfId="38737"/>
    <cellStyle name="Notas 9 2 5 4 2" xfId="49642"/>
    <cellStyle name="Notas 9 2 5 5" xfId="38738"/>
    <cellStyle name="Notas 9 2 5 5 2" xfId="38739"/>
    <cellStyle name="Notas 9 2 5 5 2 2" xfId="49644"/>
    <cellStyle name="Notas 9 2 5 5 3" xfId="49643"/>
    <cellStyle name="Notas 9 2 5 6" xfId="38740"/>
    <cellStyle name="Notas 9 2 5 6 2" xfId="49645"/>
    <cellStyle name="Notas 9 2 5 7" xfId="49624"/>
    <cellStyle name="Notas 9 2 6" xfId="38741"/>
    <cellStyle name="Notas 9 2 6 2" xfId="38742"/>
    <cellStyle name="Notas 9 2 6 2 2" xfId="38743"/>
    <cellStyle name="Notas 9 2 6 2 2 2" xfId="38744"/>
    <cellStyle name="Notas 9 2 6 2 2 2 2" xfId="49649"/>
    <cellStyle name="Notas 9 2 6 2 2 3" xfId="49648"/>
    <cellStyle name="Notas 9 2 6 2 3" xfId="38745"/>
    <cellStyle name="Notas 9 2 6 2 3 2" xfId="38746"/>
    <cellStyle name="Notas 9 2 6 2 3 2 2" xfId="49651"/>
    <cellStyle name="Notas 9 2 6 2 3 3" xfId="49650"/>
    <cellStyle name="Notas 9 2 6 2 4" xfId="38747"/>
    <cellStyle name="Notas 9 2 6 2 4 2" xfId="49652"/>
    <cellStyle name="Notas 9 2 6 2 5" xfId="49647"/>
    <cellStyle name="Notas 9 2 6 3" xfId="38748"/>
    <cellStyle name="Notas 9 2 6 3 2" xfId="49653"/>
    <cellStyle name="Notas 9 2 6 4" xfId="38749"/>
    <cellStyle name="Notas 9 2 6 4 2" xfId="38750"/>
    <cellStyle name="Notas 9 2 6 4 2 2" xfId="49655"/>
    <cellStyle name="Notas 9 2 6 4 3" xfId="49654"/>
    <cellStyle name="Notas 9 2 6 5" xfId="38751"/>
    <cellStyle name="Notas 9 2 6 5 2" xfId="49656"/>
    <cellStyle name="Notas 9 2 6 6" xfId="49646"/>
    <cellStyle name="Notas 9 2 7" xfId="38752"/>
    <cellStyle name="Notas 9 2 7 2" xfId="38753"/>
    <cellStyle name="Notas 9 2 7 2 2" xfId="38754"/>
    <cellStyle name="Notas 9 2 7 2 2 2" xfId="49659"/>
    <cellStyle name="Notas 9 2 7 2 3" xfId="49658"/>
    <cellStyle name="Notas 9 2 7 3" xfId="38755"/>
    <cellStyle name="Notas 9 2 7 3 2" xfId="38756"/>
    <cellStyle name="Notas 9 2 7 3 2 2" xfId="49661"/>
    <cellStyle name="Notas 9 2 7 3 3" xfId="49660"/>
    <cellStyle name="Notas 9 2 7 4" xfId="38757"/>
    <cellStyle name="Notas 9 2 7 4 2" xfId="49662"/>
    <cellStyle name="Notas 9 2 7 5" xfId="49657"/>
    <cellStyle name="Notas 9 2 8" xfId="38758"/>
    <cellStyle name="Notas 9 2 8 2" xfId="38759"/>
    <cellStyle name="Notas 9 2 8 2 2" xfId="38760"/>
    <cellStyle name="Notas 9 2 8 2 2 2" xfId="49665"/>
    <cellStyle name="Notas 9 2 8 2 3" xfId="49664"/>
    <cellStyle name="Notas 9 2 8 3" xfId="38761"/>
    <cellStyle name="Notas 9 2 8 3 2" xfId="49666"/>
    <cellStyle name="Notas 9 2 8 4" xfId="49663"/>
    <cellStyle name="Notas 9 2 9" xfId="38762"/>
    <cellStyle name="Notas 9 2 9 2" xfId="38763"/>
    <cellStyle name="Notas 9 2 9 2 2" xfId="38764"/>
    <cellStyle name="Notas 9 2 9 2 2 2" xfId="49669"/>
    <cellStyle name="Notas 9 2 9 2 3" xfId="49668"/>
    <cellStyle name="Notas 9 2 9 3" xfId="38765"/>
    <cellStyle name="Notas 9 2 9 3 2" xfId="49670"/>
    <cellStyle name="Notas 9 2 9 4" xfId="49667"/>
    <cellStyle name="Notas 9 2_SIS I (IFRS)" xfId="38766"/>
    <cellStyle name="Notas 9 3" xfId="38767"/>
    <cellStyle name="Notas 9 3 2" xfId="38768"/>
    <cellStyle name="Notas 9 3 2 2" xfId="38769"/>
    <cellStyle name="Notas 9 3 2 2 2" xfId="38770"/>
    <cellStyle name="Notas 9 3 2 2 2 2" xfId="38771"/>
    <cellStyle name="Notas 9 3 2 2 2 2 2" xfId="38772"/>
    <cellStyle name="Notas 9 3 2 2 2 2 2 2" xfId="49676"/>
    <cellStyle name="Notas 9 3 2 2 2 2 3" xfId="49675"/>
    <cellStyle name="Notas 9 3 2 2 2 3" xfId="38773"/>
    <cellStyle name="Notas 9 3 2 2 2 3 2" xfId="38774"/>
    <cellStyle name="Notas 9 3 2 2 2 3 2 2" xfId="49678"/>
    <cellStyle name="Notas 9 3 2 2 2 3 3" xfId="49677"/>
    <cellStyle name="Notas 9 3 2 2 2 4" xfId="38775"/>
    <cellStyle name="Notas 9 3 2 2 2 4 2" xfId="49679"/>
    <cellStyle name="Notas 9 3 2 2 2 5" xfId="49674"/>
    <cellStyle name="Notas 9 3 2 2 3" xfId="38776"/>
    <cellStyle name="Notas 9 3 2 2 3 2" xfId="49680"/>
    <cellStyle name="Notas 9 3 2 2 4" xfId="38777"/>
    <cellStyle name="Notas 9 3 2 2 4 2" xfId="38778"/>
    <cellStyle name="Notas 9 3 2 2 4 2 2" xfId="49682"/>
    <cellStyle name="Notas 9 3 2 2 4 3" xfId="49681"/>
    <cellStyle name="Notas 9 3 2 2 5" xfId="38779"/>
    <cellStyle name="Notas 9 3 2 2 5 2" xfId="49683"/>
    <cellStyle name="Notas 9 3 2 2 6" xfId="49673"/>
    <cellStyle name="Notas 9 3 2 3" xfId="38780"/>
    <cellStyle name="Notas 9 3 2 3 2" xfId="38781"/>
    <cellStyle name="Notas 9 3 2 3 2 2" xfId="38782"/>
    <cellStyle name="Notas 9 3 2 3 2 2 2" xfId="49686"/>
    <cellStyle name="Notas 9 3 2 3 2 3" xfId="49685"/>
    <cellStyle name="Notas 9 3 2 3 3" xfId="38783"/>
    <cellStyle name="Notas 9 3 2 3 3 2" xfId="38784"/>
    <cellStyle name="Notas 9 3 2 3 3 2 2" xfId="49688"/>
    <cellStyle name="Notas 9 3 2 3 3 3" xfId="49687"/>
    <cellStyle name="Notas 9 3 2 3 4" xfId="38785"/>
    <cellStyle name="Notas 9 3 2 3 4 2" xfId="49689"/>
    <cellStyle name="Notas 9 3 2 3 5" xfId="49684"/>
    <cellStyle name="Notas 9 3 2 4" xfId="38786"/>
    <cellStyle name="Notas 9 3 2 4 2" xfId="49690"/>
    <cellStyle name="Notas 9 3 2 5" xfId="38787"/>
    <cellStyle name="Notas 9 3 2 5 2" xfId="38788"/>
    <cellStyle name="Notas 9 3 2 5 2 2" xfId="49692"/>
    <cellStyle name="Notas 9 3 2 5 3" xfId="49691"/>
    <cellStyle name="Notas 9 3 2 6" xfId="38789"/>
    <cellStyle name="Notas 9 3 2 6 2" xfId="49693"/>
    <cellStyle name="Notas 9 3 2 7" xfId="49672"/>
    <cellStyle name="Notas 9 3 3" xfId="38790"/>
    <cellStyle name="Notas 9 3 3 2" xfId="38791"/>
    <cellStyle name="Notas 9 3 3 2 2" xfId="38792"/>
    <cellStyle name="Notas 9 3 3 2 2 2" xfId="38793"/>
    <cellStyle name="Notas 9 3 3 2 2 2 2" xfId="49697"/>
    <cellStyle name="Notas 9 3 3 2 2 3" xfId="49696"/>
    <cellStyle name="Notas 9 3 3 2 3" xfId="38794"/>
    <cellStyle name="Notas 9 3 3 2 3 2" xfId="38795"/>
    <cellStyle name="Notas 9 3 3 2 3 2 2" xfId="49699"/>
    <cellStyle name="Notas 9 3 3 2 3 3" xfId="49698"/>
    <cellStyle name="Notas 9 3 3 2 4" xfId="38796"/>
    <cellStyle name="Notas 9 3 3 2 4 2" xfId="49700"/>
    <cellStyle name="Notas 9 3 3 2 5" xfId="49695"/>
    <cellStyle name="Notas 9 3 3 3" xfId="38797"/>
    <cellStyle name="Notas 9 3 3 3 2" xfId="49701"/>
    <cellStyle name="Notas 9 3 3 4" xfId="38798"/>
    <cellStyle name="Notas 9 3 3 4 2" xfId="38799"/>
    <cellStyle name="Notas 9 3 3 4 2 2" xfId="49703"/>
    <cellStyle name="Notas 9 3 3 4 3" xfId="49702"/>
    <cellStyle name="Notas 9 3 3 5" xfId="38800"/>
    <cellStyle name="Notas 9 3 3 5 2" xfId="49704"/>
    <cellStyle name="Notas 9 3 3 6" xfId="49694"/>
    <cellStyle name="Notas 9 3 4" xfId="38801"/>
    <cellStyle name="Notas 9 3 4 2" xfId="38802"/>
    <cellStyle name="Notas 9 3 4 2 2" xfId="38803"/>
    <cellStyle name="Notas 9 3 4 2 2 2" xfId="49707"/>
    <cellStyle name="Notas 9 3 4 2 3" xfId="49706"/>
    <cellStyle name="Notas 9 3 4 3" xfId="38804"/>
    <cellStyle name="Notas 9 3 4 3 2" xfId="38805"/>
    <cellStyle name="Notas 9 3 4 3 2 2" xfId="49709"/>
    <cellStyle name="Notas 9 3 4 3 3" xfId="49708"/>
    <cellStyle name="Notas 9 3 4 4" xfId="38806"/>
    <cellStyle name="Notas 9 3 4 4 2" xfId="49710"/>
    <cellStyle name="Notas 9 3 4 5" xfId="49705"/>
    <cellStyle name="Notas 9 3 5" xfId="38807"/>
    <cellStyle name="Notas 9 3 5 2" xfId="49711"/>
    <cellStyle name="Notas 9 3 6" xfId="38808"/>
    <cellStyle name="Notas 9 3 6 2" xfId="38809"/>
    <cellStyle name="Notas 9 3 6 2 2" xfId="49713"/>
    <cellStyle name="Notas 9 3 6 3" xfId="49712"/>
    <cellStyle name="Notas 9 3 7" xfId="38810"/>
    <cellStyle name="Notas 9 3 7 2" xfId="49714"/>
    <cellStyle name="Notas 9 3 8" xfId="49671"/>
    <cellStyle name="Notas 9 4" xfId="38811"/>
    <cellStyle name="Notas 9 4 2" xfId="38812"/>
    <cellStyle name="Notas 9 4 2 2" xfId="38813"/>
    <cellStyle name="Notas 9 4 2 2 2" xfId="38814"/>
    <cellStyle name="Notas 9 4 2 2 2 2" xfId="38815"/>
    <cellStyle name="Notas 9 4 2 2 2 2 2" xfId="38816"/>
    <cellStyle name="Notas 9 4 2 2 2 2 2 2" xfId="49720"/>
    <cellStyle name="Notas 9 4 2 2 2 2 3" xfId="49719"/>
    <cellStyle name="Notas 9 4 2 2 2 3" xfId="38817"/>
    <cellStyle name="Notas 9 4 2 2 2 3 2" xfId="38818"/>
    <cellStyle name="Notas 9 4 2 2 2 3 2 2" xfId="49722"/>
    <cellStyle name="Notas 9 4 2 2 2 3 3" xfId="49721"/>
    <cellStyle name="Notas 9 4 2 2 2 4" xfId="38819"/>
    <cellStyle name="Notas 9 4 2 2 2 4 2" xfId="49723"/>
    <cellStyle name="Notas 9 4 2 2 2 5" xfId="49718"/>
    <cellStyle name="Notas 9 4 2 2 3" xfId="38820"/>
    <cellStyle name="Notas 9 4 2 2 3 2" xfId="49724"/>
    <cellStyle name="Notas 9 4 2 2 4" xfId="38821"/>
    <cellStyle name="Notas 9 4 2 2 4 2" xfId="38822"/>
    <cellStyle name="Notas 9 4 2 2 4 2 2" xfId="49726"/>
    <cellStyle name="Notas 9 4 2 2 4 3" xfId="49725"/>
    <cellStyle name="Notas 9 4 2 2 5" xfId="38823"/>
    <cellStyle name="Notas 9 4 2 2 5 2" xfId="49727"/>
    <cellStyle name="Notas 9 4 2 2 6" xfId="49717"/>
    <cellStyle name="Notas 9 4 2 3" xfId="38824"/>
    <cellStyle name="Notas 9 4 2 3 2" xfId="38825"/>
    <cellStyle name="Notas 9 4 2 3 2 2" xfId="38826"/>
    <cellStyle name="Notas 9 4 2 3 2 2 2" xfId="49730"/>
    <cellStyle name="Notas 9 4 2 3 2 3" xfId="49729"/>
    <cellStyle name="Notas 9 4 2 3 3" xfId="38827"/>
    <cellStyle name="Notas 9 4 2 3 3 2" xfId="38828"/>
    <cellStyle name="Notas 9 4 2 3 3 2 2" xfId="49732"/>
    <cellStyle name="Notas 9 4 2 3 3 3" xfId="49731"/>
    <cellStyle name="Notas 9 4 2 3 4" xfId="38829"/>
    <cellStyle name="Notas 9 4 2 3 4 2" xfId="49733"/>
    <cellStyle name="Notas 9 4 2 3 5" xfId="49728"/>
    <cellStyle name="Notas 9 4 2 4" xfId="38830"/>
    <cellStyle name="Notas 9 4 2 4 2" xfId="49734"/>
    <cellStyle name="Notas 9 4 2 5" xfId="38831"/>
    <cellStyle name="Notas 9 4 2 5 2" xfId="38832"/>
    <cellStyle name="Notas 9 4 2 5 2 2" xfId="49736"/>
    <cellStyle name="Notas 9 4 2 5 3" xfId="49735"/>
    <cellStyle name="Notas 9 4 2 6" xfId="38833"/>
    <cellStyle name="Notas 9 4 2 6 2" xfId="49737"/>
    <cellStyle name="Notas 9 4 2 7" xfId="49716"/>
    <cellStyle name="Notas 9 4 3" xfId="38834"/>
    <cellStyle name="Notas 9 4 3 2" xfId="38835"/>
    <cellStyle name="Notas 9 4 3 2 2" xfId="38836"/>
    <cellStyle name="Notas 9 4 3 2 2 2" xfId="38837"/>
    <cellStyle name="Notas 9 4 3 2 2 2 2" xfId="49741"/>
    <cellStyle name="Notas 9 4 3 2 2 3" xfId="49740"/>
    <cellStyle name="Notas 9 4 3 2 3" xfId="38838"/>
    <cellStyle name="Notas 9 4 3 2 3 2" xfId="38839"/>
    <cellStyle name="Notas 9 4 3 2 3 2 2" xfId="49743"/>
    <cellStyle name="Notas 9 4 3 2 3 3" xfId="49742"/>
    <cellStyle name="Notas 9 4 3 2 4" xfId="38840"/>
    <cellStyle name="Notas 9 4 3 2 4 2" xfId="49744"/>
    <cellStyle name="Notas 9 4 3 2 5" xfId="49739"/>
    <cellStyle name="Notas 9 4 3 3" xfId="38841"/>
    <cellStyle name="Notas 9 4 3 3 2" xfId="49745"/>
    <cellStyle name="Notas 9 4 3 4" xfId="38842"/>
    <cellStyle name="Notas 9 4 3 4 2" xfId="38843"/>
    <cellStyle name="Notas 9 4 3 4 2 2" xfId="49747"/>
    <cellStyle name="Notas 9 4 3 4 3" xfId="49746"/>
    <cellStyle name="Notas 9 4 3 5" xfId="38844"/>
    <cellStyle name="Notas 9 4 3 5 2" xfId="49748"/>
    <cellStyle name="Notas 9 4 3 6" xfId="49738"/>
    <cellStyle name="Notas 9 4 4" xfId="38845"/>
    <cellStyle name="Notas 9 4 4 2" xfId="38846"/>
    <cellStyle name="Notas 9 4 4 2 2" xfId="38847"/>
    <cellStyle name="Notas 9 4 4 2 2 2" xfId="49751"/>
    <cellStyle name="Notas 9 4 4 2 3" xfId="49750"/>
    <cellStyle name="Notas 9 4 4 3" xfId="38848"/>
    <cellStyle name="Notas 9 4 4 3 2" xfId="38849"/>
    <cellStyle name="Notas 9 4 4 3 2 2" xfId="49753"/>
    <cellStyle name="Notas 9 4 4 3 3" xfId="49752"/>
    <cellStyle name="Notas 9 4 4 4" xfId="38850"/>
    <cellStyle name="Notas 9 4 4 4 2" xfId="49754"/>
    <cellStyle name="Notas 9 4 4 5" xfId="49749"/>
    <cellStyle name="Notas 9 4 5" xfId="38851"/>
    <cellStyle name="Notas 9 4 5 2" xfId="49755"/>
    <cellStyle name="Notas 9 4 6" xfId="38852"/>
    <cellStyle name="Notas 9 4 6 2" xfId="38853"/>
    <cellStyle name="Notas 9 4 6 2 2" xfId="49757"/>
    <cellStyle name="Notas 9 4 6 3" xfId="49756"/>
    <cellStyle name="Notas 9 4 7" xfId="38854"/>
    <cellStyle name="Notas 9 4 7 2" xfId="49758"/>
    <cellStyle name="Notas 9 4 8" xfId="49715"/>
    <cellStyle name="Notas 9 5" xfId="38855"/>
    <cellStyle name="Notas 9 5 2" xfId="49759"/>
    <cellStyle name="Notas 9 6" xfId="38856"/>
    <cellStyle name="Notas 9 6 2" xfId="38857"/>
    <cellStyle name="Notas 9 6 2 2" xfId="38858"/>
    <cellStyle name="Notas 9 6 2 2 2" xfId="38859"/>
    <cellStyle name="Notas 9 6 2 2 2 2" xfId="38860"/>
    <cellStyle name="Notas 9 6 2 2 2 2 2" xfId="49764"/>
    <cellStyle name="Notas 9 6 2 2 2 3" xfId="49763"/>
    <cellStyle name="Notas 9 6 2 2 3" xfId="38861"/>
    <cellStyle name="Notas 9 6 2 2 3 2" xfId="38862"/>
    <cellStyle name="Notas 9 6 2 2 3 2 2" xfId="49766"/>
    <cellStyle name="Notas 9 6 2 2 3 3" xfId="49765"/>
    <cellStyle name="Notas 9 6 2 2 4" xfId="38863"/>
    <cellStyle name="Notas 9 6 2 2 4 2" xfId="49767"/>
    <cellStyle name="Notas 9 6 2 2 5" xfId="49762"/>
    <cellStyle name="Notas 9 6 2 3" xfId="38864"/>
    <cellStyle name="Notas 9 6 2 3 2" xfId="49768"/>
    <cellStyle name="Notas 9 6 2 4" xfId="38865"/>
    <cellStyle name="Notas 9 6 2 4 2" xfId="38866"/>
    <cellStyle name="Notas 9 6 2 4 2 2" xfId="49770"/>
    <cellStyle name="Notas 9 6 2 4 3" xfId="49769"/>
    <cellStyle name="Notas 9 6 2 5" xfId="38867"/>
    <cellStyle name="Notas 9 6 2 5 2" xfId="49771"/>
    <cellStyle name="Notas 9 6 2 6" xfId="49761"/>
    <cellStyle name="Notas 9 6 3" xfId="38868"/>
    <cellStyle name="Notas 9 6 3 2" xfId="38869"/>
    <cellStyle name="Notas 9 6 3 2 2" xfId="38870"/>
    <cellStyle name="Notas 9 6 3 2 2 2" xfId="49774"/>
    <cellStyle name="Notas 9 6 3 2 3" xfId="49773"/>
    <cellStyle name="Notas 9 6 3 3" xfId="38871"/>
    <cellStyle name="Notas 9 6 3 3 2" xfId="38872"/>
    <cellStyle name="Notas 9 6 3 3 2 2" xfId="49776"/>
    <cellStyle name="Notas 9 6 3 3 3" xfId="49775"/>
    <cellStyle name="Notas 9 6 3 4" xfId="38873"/>
    <cellStyle name="Notas 9 6 3 4 2" xfId="49777"/>
    <cellStyle name="Notas 9 6 3 5" xfId="49772"/>
    <cellStyle name="Notas 9 6 4" xfId="38874"/>
    <cellStyle name="Notas 9 6 4 2" xfId="49778"/>
    <cellStyle name="Notas 9 6 5" xfId="38875"/>
    <cellStyle name="Notas 9 6 5 2" xfId="38876"/>
    <cellStyle name="Notas 9 6 5 2 2" xfId="49780"/>
    <cellStyle name="Notas 9 6 5 3" xfId="49779"/>
    <cellStyle name="Notas 9 6 6" xfId="38877"/>
    <cellStyle name="Notas 9 6 6 2" xfId="49781"/>
    <cellStyle name="Notas 9 6 7" xfId="49760"/>
    <cellStyle name="Notas 9 7" xfId="38878"/>
    <cellStyle name="Notas 9 7 2" xfId="38879"/>
    <cellStyle name="Notas 9 7 2 2" xfId="38880"/>
    <cellStyle name="Notas 9 7 2 2 2" xfId="38881"/>
    <cellStyle name="Notas 9 7 2 2 2 2" xfId="49785"/>
    <cellStyle name="Notas 9 7 2 2 3" xfId="49784"/>
    <cellStyle name="Notas 9 7 2 3" xfId="38882"/>
    <cellStyle name="Notas 9 7 2 3 2" xfId="38883"/>
    <cellStyle name="Notas 9 7 2 3 2 2" xfId="49787"/>
    <cellStyle name="Notas 9 7 2 3 3" xfId="49786"/>
    <cellStyle name="Notas 9 7 2 4" xfId="38884"/>
    <cellStyle name="Notas 9 7 2 4 2" xfId="49788"/>
    <cellStyle name="Notas 9 7 2 5" xfId="49783"/>
    <cellStyle name="Notas 9 7 3" xfId="38885"/>
    <cellStyle name="Notas 9 7 3 2" xfId="49789"/>
    <cellStyle name="Notas 9 7 4" xfId="38886"/>
    <cellStyle name="Notas 9 7 4 2" xfId="38887"/>
    <cellStyle name="Notas 9 7 4 2 2" xfId="49791"/>
    <cellStyle name="Notas 9 7 4 3" xfId="49790"/>
    <cellStyle name="Notas 9 7 5" xfId="38888"/>
    <cellStyle name="Notas 9 7 5 2" xfId="49792"/>
    <cellStyle name="Notas 9 7 6" xfId="49782"/>
    <cellStyle name="Notas 9 8" xfId="38889"/>
    <cellStyle name="Notas 9 8 2" xfId="38890"/>
    <cellStyle name="Notas 9 8 2 2" xfId="38891"/>
    <cellStyle name="Notas 9 8 2 2 2" xfId="49795"/>
    <cellStyle name="Notas 9 8 2 3" xfId="49794"/>
    <cellStyle name="Notas 9 8 3" xfId="38892"/>
    <cellStyle name="Notas 9 8 3 2" xfId="38893"/>
    <cellStyle name="Notas 9 8 3 2 2" xfId="49797"/>
    <cellStyle name="Notas 9 8 3 3" xfId="49796"/>
    <cellStyle name="Notas 9 8 4" xfId="38894"/>
    <cellStyle name="Notas 9 8 4 2" xfId="49798"/>
    <cellStyle name="Notas 9 8 5" xfId="49793"/>
    <cellStyle name="Notas 9 9" xfId="38895"/>
    <cellStyle name="Notas 9 9 2" xfId="38896"/>
    <cellStyle name="Notas 9 9 2 2" xfId="38897"/>
    <cellStyle name="Notas 9 9 2 2 2" xfId="49801"/>
    <cellStyle name="Notas 9 9 2 3" xfId="49800"/>
    <cellStyle name="Notas 9 9 3" xfId="38898"/>
    <cellStyle name="Notas 9 9 3 2" xfId="49802"/>
    <cellStyle name="Notas 9 9 4" xfId="49799"/>
    <cellStyle name="Notas 9_SIS I (IFRS)" xfId="38899"/>
    <cellStyle name="Note" xfId="38900"/>
    <cellStyle name="Note 10" xfId="49803"/>
    <cellStyle name="Note 2" xfId="38901"/>
    <cellStyle name="Note 2 2" xfId="38902"/>
    <cellStyle name="Note 2 2 2" xfId="49805"/>
    <cellStyle name="Note 2 3" xfId="38903"/>
    <cellStyle name="Note 2 3 2" xfId="49806"/>
    <cellStyle name="Note 2 4" xfId="49804"/>
    <cellStyle name="Note 2_Plan by Lob" xfId="38904"/>
    <cellStyle name="Note 3" xfId="38905"/>
    <cellStyle name="Note 3 2" xfId="49807"/>
    <cellStyle name="Note 4" xfId="38906"/>
    <cellStyle name="Note 4 2" xfId="49808"/>
    <cellStyle name="Note 5" xfId="38907"/>
    <cellStyle name="Note 5 2" xfId="49809"/>
    <cellStyle name="Note 6" xfId="38908"/>
    <cellStyle name="Note 6 2" xfId="49810"/>
    <cellStyle name="Note 7" xfId="38909"/>
    <cellStyle name="Note 7 2" xfId="38910"/>
    <cellStyle name="Note 7 2 2" xfId="38911"/>
    <cellStyle name="Note 7 2 2 2" xfId="49813"/>
    <cellStyle name="Note 7 2 3" xfId="49812"/>
    <cellStyle name="Note 7 3" xfId="38912"/>
    <cellStyle name="Note 7 3 2" xfId="49814"/>
    <cellStyle name="Note 7 4" xfId="49811"/>
    <cellStyle name="Note 8" xfId="38913"/>
    <cellStyle name="Note 8 2" xfId="38914"/>
    <cellStyle name="Note 8 2 2" xfId="38915"/>
    <cellStyle name="Note 8 2 2 2" xfId="49817"/>
    <cellStyle name="Note 8 2 3" xfId="49816"/>
    <cellStyle name="Note 8 3" xfId="38916"/>
    <cellStyle name="Note 8 3 2" xfId="49818"/>
    <cellStyle name="Note 8 4" xfId="49815"/>
    <cellStyle name="Note 9" xfId="38917"/>
    <cellStyle name="Note 9 2" xfId="38918"/>
    <cellStyle name="Note 9 2 2" xfId="38919"/>
    <cellStyle name="Note 9 2 2 2" xfId="49821"/>
    <cellStyle name="Note 9 2 3" xfId="49820"/>
    <cellStyle name="Note 9 3" xfId="38920"/>
    <cellStyle name="Note 9 3 2" xfId="49822"/>
    <cellStyle name="Note 9 4" xfId="49819"/>
    <cellStyle name="Note_CC by Function (InsightZ)" xfId="38921"/>
    <cellStyle name="Notiz" xfId="38922"/>
    <cellStyle name="Notiz 2" xfId="49823"/>
    <cellStyle name="Obliczenia" xfId="1120"/>
    <cellStyle name="Obliczenia 2" xfId="38923"/>
    <cellStyle name="Output" xfId="38924"/>
    <cellStyle name="Output 2" xfId="38925"/>
    <cellStyle name="Output 2 2" xfId="49825"/>
    <cellStyle name="Output 3" xfId="38926"/>
    <cellStyle name="Output 3 2" xfId="49826"/>
    <cellStyle name="Output 4" xfId="38927"/>
    <cellStyle name="Output 4 2" xfId="49827"/>
    <cellStyle name="Output 5" xfId="38928"/>
    <cellStyle name="Output 5 2" xfId="49828"/>
    <cellStyle name="Output 6" xfId="38929"/>
    <cellStyle name="Output 6 2" xfId="49829"/>
    <cellStyle name="Output 7" xfId="38930"/>
    <cellStyle name="Output 7 2" xfId="49830"/>
    <cellStyle name="Output 8" xfId="49824"/>
    <cellStyle name="Output_CC by Function (InsightZ)" xfId="38931"/>
    <cellStyle name="Percent 2" xfId="38932"/>
    <cellStyle name="Percent 2 2" xfId="49831"/>
    <cellStyle name="Porcentagem 2" xfId="38933"/>
    <cellStyle name="Porcentagem 2 2" xfId="49832"/>
    <cellStyle name="Porcentaje" xfId="19898" builtinId="5"/>
    <cellStyle name="Porcentaje 2" xfId="1121"/>
    <cellStyle name="Porcentaje 2 10" xfId="7423"/>
    <cellStyle name="Porcentaje 2 10 2" xfId="18880"/>
    <cellStyle name="Porcentaje 2 11" xfId="13625"/>
    <cellStyle name="Porcentaje 2 12" xfId="19973"/>
    <cellStyle name="Porcentaje 2 2" xfId="1122"/>
    <cellStyle name="Porcentaje 2 2 10" xfId="13626"/>
    <cellStyle name="Porcentaje 2 2 11" xfId="20014"/>
    <cellStyle name="Porcentaje 2 2 2" xfId="1123"/>
    <cellStyle name="Porcentaje 2 2 2 10" xfId="38935"/>
    <cellStyle name="Porcentaje 2 2 2 2" xfId="1124"/>
    <cellStyle name="Porcentaje 2 2 2 2 2" xfId="1125"/>
    <cellStyle name="Porcentaje 2 2 2 2 2 2" xfId="1126"/>
    <cellStyle name="Porcentaje 2 2 2 2 2 2 2" xfId="2286"/>
    <cellStyle name="Porcentaje 2 2 2 2 2 2 2 2" xfId="5411"/>
    <cellStyle name="Porcentaje 2 2 2 2 2 2 2 2 2" xfId="11614"/>
    <cellStyle name="Porcentaje 2 2 2 2 2 2 2 2 3" xfId="17816"/>
    <cellStyle name="Porcentaje 2 2 2 2 2 2 2 2 4" xfId="56645"/>
    <cellStyle name="Porcentaje 2 2 2 2 2 2 2 3" xfId="8514"/>
    <cellStyle name="Porcentaje 2 2 2 2 2 2 2 4" xfId="14716"/>
    <cellStyle name="Porcentaje 2 2 2 2 2 2 2 5" xfId="53749"/>
    <cellStyle name="Porcentaje 2 2 2 2 2 2 3" xfId="3286"/>
    <cellStyle name="Porcentaje 2 2 2 2 2 2 3 2" xfId="6397"/>
    <cellStyle name="Porcentaje 2 2 2 2 2 2 3 2 2" xfId="12600"/>
    <cellStyle name="Porcentaje 2 2 2 2 2 2 3 2 3" xfId="18802"/>
    <cellStyle name="Porcentaje 2 2 2 2 2 2 3 2 4" xfId="57584"/>
    <cellStyle name="Porcentaje 2 2 2 2 2 2 3 3" xfId="9500"/>
    <cellStyle name="Porcentaje 2 2 2 2 2 2 3 4" xfId="15702"/>
    <cellStyle name="Porcentaje 2 2 2 2 2 2 3 5" xfId="54666"/>
    <cellStyle name="Porcentaje 2 2 2 2 2 2 4" xfId="4325"/>
    <cellStyle name="Porcentaje 2 2 2 2 2 2 4 2" xfId="10529"/>
    <cellStyle name="Porcentaje 2 2 2 2 2 2 4 3" xfId="16731"/>
    <cellStyle name="Porcentaje 2 2 2 2 2 2 4 4" xfId="55622"/>
    <cellStyle name="Porcentaje 2 2 2 2 2 2 5" xfId="7428"/>
    <cellStyle name="Porcentaje 2 2 2 2 2 2 5 2" xfId="19887"/>
    <cellStyle name="Porcentaje 2 2 2 2 2 2 6" xfId="13630"/>
    <cellStyle name="Porcentaje 2 2 2 2 2 2 7" xfId="52751"/>
    <cellStyle name="Porcentaje 2 2 2 2 2 3" xfId="1762"/>
    <cellStyle name="Porcentaje 2 2 2 2 2 3 2" xfId="4887"/>
    <cellStyle name="Porcentaje 2 2 2 2 2 3 2 2" xfId="11090"/>
    <cellStyle name="Porcentaje 2 2 2 2 2 3 2 3" xfId="17292"/>
    <cellStyle name="Porcentaje 2 2 2 2 2 3 2 4" xfId="56157"/>
    <cellStyle name="Porcentaje 2 2 2 2 2 3 3" xfId="7990"/>
    <cellStyle name="Porcentaje 2 2 2 2 2 3 4" xfId="14192"/>
    <cellStyle name="Porcentaje 2 2 2 2 2 3 5" xfId="53264"/>
    <cellStyle name="Porcentaje 2 2 2 2 2 4" xfId="3285"/>
    <cellStyle name="Porcentaje 2 2 2 2 2 4 2" xfId="6396"/>
    <cellStyle name="Porcentaje 2 2 2 2 2 4 2 2" xfId="12599"/>
    <cellStyle name="Porcentaje 2 2 2 2 2 4 2 3" xfId="18801"/>
    <cellStyle name="Porcentaje 2 2 2 2 2 4 2 4" xfId="57583"/>
    <cellStyle name="Porcentaje 2 2 2 2 2 4 3" xfId="9499"/>
    <cellStyle name="Porcentaje 2 2 2 2 2 4 4" xfId="15701"/>
    <cellStyle name="Porcentaje 2 2 2 2 2 4 5" xfId="54665"/>
    <cellStyle name="Porcentaje 2 2 2 2 2 5" xfId="4324"/>
    <cellStyle name="Porcentaje 2 2 2 2 2 5 2" xfId="10528"/>
    <cellStyle name="Porcentaje 2 2 2 2 2 5 3" xfId="16730"/>
    <cellStyle name="Porcentaje 2 2 2 2 2 5 4" xfId="55621"/>
    <cellStyle name="Porcentaje 2 2 2 2 2 6" xfId="7427"/>
    <cellStyle name="Porcentaje 2 2 2 2 2 6 2" xfId="19363"/>
    <cellStyle name="Porcentaje 2 2 2 2 2 7" xfId="13629"/>
    <cellStyle name="Porcentaje 2 2 2 2 2 8" xfId="52750"/>
    <cellStyle name="Porcentaje 2 2 2 2 3" xfId="1127"/>
    <cellStyle name="Porcentaje 2 2 2 2 3 2" xfId="2041"/>
    <cellStyle name="Porcentaje 2 2 2 2 3 2 2" xfId="5166"/>
    <cellStyle name="Porcentaje 2 2 2 2 3 2 2 2" xfId="11369"/>
    <cellStyle name="Porcentaje 2 2 2 2 3 2 2 3" xfId="17571"/>
    <cellStyle name="Porcentaje 2 2 2 2 3 2 2 4" xfId="56418"/>
    <cellStyle name="Porcentaje 2 2 2 2 3 2 3" xfId="8269"/>
    <cellStyle name="Porcentaje 2 2 2 2 3 2 4" xfId="14471"/>
    <cellStyle name="Porcentaje 2 2 2 2 3 2 5" xfId="53523"/>
    <cellStyle name="Porcentaje 2 2 2 2 3 3" xfId="3287"/>
    <cellStyle name="Porcentaje 2 2 2 2 3 3 2" xfId="6398"/>
    <cellStyle name="Porcentaje 2 2 2 2 3 3 2 2" xfId="12601"/>
    <cellStyle name="Porcentaje 2 2 2 2 3 3 2 3" xfId="18803"/>
    <cellStyle name="Porcentaje 2 2 2 2 3 3 2 4" xfId="57585"/>
    <cellStyle name="Porcentaje 2 2 2 2 3 3 3" xfId="9501"/>
    <cellStyle name="Porcentaje 2 2 2 2 3 3 4" xfId="15703"/>
    <cellStyle name="Porcentaje 2 2 2 2 3 3 5" xfId="54667"/>
    <cellStyle name="Porcentaje 2 2 2 2 3 4" xfId="4326"/>
    <cellStyle name="Porcentaje 2 2 2 2 3 4 2" xfId="10530"/>
    <cellStyle name="Porcentaje 2 2 2 2 3 4 3" xfId="16732"/>
    <cellStyle name="Porcentaje 2 2 2 2 3 4 4" xfId="55623"/>
    <cellStyle name="Porcentaje 2 2 2 2 3 5" xfId="7429"/>
    <cellStyle name="Porcentaje 2 2 2 2 3 5 2" xfId="19642"/>
    <cellStyle name="Porcentaje 2 2 2 2 3 6" xfId="13631"/>
    <cellStyle name="Porcentaje 2 2 2 2 3 7" xfId="52752"/>
    <cellStyle name="Porcentaje 2 2 2 2 4" xfId="1517"/>
    <cellStyle name="Porcentaje 2 2 2 2 4 2" xfId="4642"/>
    <cellStyle name="Porcentaje 2 2 2 2 4 2 2" xfId="10845"/>
    <cellStyle name="Porcentaje 2 2 2 2 4 2 3" xfId="17047"/>
    <cellStyle name="Porcentaje 2 2 2 2 4 2 4" xfId="55924"/>
    <cellStyle name="Porcentaje 2 2 2 2 4 3" xfId="7745"/>
    <cellStyle name="Porcentaje 2 2 2 2 4 4" xfId="13947"/>
    <cellStyle name="Porcentaje 2 2 2 2 4 5" xfId="53039"/>
    <cellStyle name="Porcentaje 2 2 2 2 5" xfId="3284"/>
    <cellStyle name="Porcentaje 2 2 2 2 5 2" xfId="6395"/>
    <cellStyle name="Porcentaje 2 2 2 2 5 2 2" xfId="12598"/>
    <cellStyle name="Porcentaje 2 2 2 2 5 2 3" xfId="18800"/>
    <cellStyle name="Porcentaje 2 2 2 2 5 2 4" xfId="57582"/>
    <cellStyle name="Porcentaje 2 2 2 2 5 3" xfId="9498"/>
    <cellStyle name="Porcentaje 2 2 2 2 5 4" xfId="15700"/>
    <cellStyle name="Porcentaje 2 2 2 2 5 5" xfId="54664"/>
    <cellStyle name="Porcentaje 2 2 2 2 6" xfId="4323"/>
    <cellStyle name="Porcentaje 2 2 2 2 6 2" xfId="10527"/>
    <cellStyle name="Porcentaje 2 2 2 2 6 3" xfId="16729"/>
    <cellStyle name="Porcentaje 2 2 2 2 6 4" xfId="55620"/>
    <cellStyle name="Porcentaje 2 2 2 2 7" xfId="7426"/>
    <cellStyle name="Porcentaje 2 2 2 2 7 2" xfId="19118"/>
    <cellStyle name="Porcentaje 2 2 2 2 8" xfId="13628"/>
    <cellStyle name="Porcentaje 2 2 2 2 9" xfId="52157"/>
    <cellStyle name="Porcentaje 2 2 2 3" xfId="1128"/>
    <cellStyle name="Porcentaje 2 2 2 3 2" xfId="1129"/>
    <cellStyle name="Porcentaje 2 2 2 3 2 2" xfId="2158"/>
    <cellStyle name="Porcentaje 2 2 2 3 2 2 2" xfId="5283"/>
    <cellStyle name="Porcentaje 2 2 2 3 2 2 2 2" xfId="11486"/>
    <cellStyle name="Porcentaje 2 2 2 3 2 2 2 3" xfId="17688"/>
    <cellStyle name="Porcentaje 2 2 2 3 2 2 2 4" xfId="56526"/>
    <cellStyle name="Porcentaje 2 2 2 3 2 2 3" xfId="8386"/>
    <cellStyle name="Porcentaje 2 2 2 3 2 2 4" xfId="14588"/>
    <cellStyle name="Porcentaje 2 2 2 3 2 2 5" xfId="53630"/>
    <cellStyle name="Porcentaje 2 2 2 3 2 3" xfId="3289"/>
    <cellStyle name="Porcentaje 2 2 2 3 2 3 2" xfId="6400"/>
    <cellStyle name="Porcentaje 2 2 2 3 2 3 2 2" xfId="12603"/>
    <cellStyle name="Porcentaje 2 2 2 3 2 3 2 3" xfId="18805"/>
    <cellStyle name="Porcentaje 2 2 2 3 2 3 2 4" xfId="57587"/>
    <cellStyle name="Porcentaje 2 2 2 3 2 3 3" xfId="9503"/>
    <cellStyle name="Porcentaje 2 2 2 3 2 3 4" xfId="15705"/>
    <cellStyle name="Porcentaje 2 2 2 3 2 3 5" xfId="54669"/>
    <cellStyle name="Porcentaje 2 2 2 3 2 4" xfId="4328"/>
    <cellStyle name="Porcentaje 2 2 2 3 2 4 2" xfId="10532"/>
    <cellStyle name="Porcentaje 2 2 2 3 2 4 3" xfId="16734"/>
    <cellStyle name="Porcentaje 2 2 2 3 2 4 4" xfId="55625"/>
    <cellStyle name="Porcentaje 2 2 2 3 2 5" xfId="7431"/>
    <cellStyle name="Porcentaje 2 2 2 3 2 5 2" xfId="19759"/>
    <cellStyle name="Porcentaje 2 2 2 3 2 6" xfId="13633"/>
    <cellStyle name="Porcentaje 2 2 2 3 2 7" xfId="52753"/>
    <cellStyle name="Porcentaje 2 2 2 3 3" xfId="1634"/>
    <cellStyle name="Porcentaje 2 2 2 3 3 2" xfId="4759"/>
    <cellStyle name="Porcentaje 2 2 2 3 3 2 2" xfId="10962"/>
    <cellStyle name="Porcentaje 2 2 2 3 3 2 3" xfId="17164"/>
    <cellStyle name="Porcentaje 2 2 2 3 3 2 4" xfId="56035"/>
    <cellStyle name="Porcentaje 2 2 2 3 3 3" xfId="7862"/>
    <cellStyle name="Porcentaje 2 2 2 3 3 4" xfId="14064"/>
    <cellStyle name="Porcentaje 2 2 2 3 3 5" xfId="53145"/>
    <cellStyle name="Porcentaje 2 2 2 3 4" xfId="3288"/>
    <cellStyle name="Porcentaje 2 2 2 3 4 2" xfId="6399"/>
    <cellStyle name="Porcentaje 2 2 2 3 4 2 2" xfId="12602"/>
    <cellStyle name="Porcentaje 2 2 2 3 4 2 3" xfId="18804"/>
    <cellStyle name="Porcentaje 2 2 2 3 4 2 4" xfId="57586"/>
    <cellStyle name="Porcentaje 2 2 2 3 4 3" xfId="9502"/>
    <cellStyle name="Porcentaje 2 2 2 3 4 4" xfId="15704"/>
    <cellStyle name="Porcentaje 2 2 2 3 4 5" xfId="54668"/>
    <cellStyle name="Porcentaje 2 2 2 3 5" xfId="4327"/>
    <cellStyle name="Porcentaje 2 2 2 3 5 2" xfId="10531"/>
    <cellStyle name="Porcentaje 2 2 2 3 5 3" xfId="16733"/>
    <cellStyle name="Porcentaje 2 2 2 3 5 4" xfId="55624"/>
    <cellStyle name="Porcentaje 2 2 2 3 6" xfId="7430"/>
    <cellStyle name="Porcentaje 2 2 2 3 6 2" xfId="19235"/>
    <cellStyle name="Porcentaje 2 2 2 3 7" xfId="13632"/>
    <cellStyle name="Porcentaje 2 2 2 3 8" xfId="52022"/>
    <cellStyle name="Porcentaje 2 2 2 4" xfId="1130"/>
    <cellStyle name="Porcentaje 2 2 2 4 2" xfId="1899"/>
    <cellStyle name="Porcentaje 2 2 2 4 2 2" xfId="5024"/>
    <cellStyle name="Porcentaje 2 2 2 4 2 2 2" xfId="11227"/>
    <cellStyle name="Porcentaje 2 2 2 4 2 2 3" xfId="17429"/>
    <cellStyle name="Porcentaje 2 2 2 4 2 2 4" xfId="56285"/>
    <cellStyle name="Porcentaje 2 2 2 4 2 3" xfId="8127"/>
    <cellStyle name="Porcentaje 2 2 2 4 2 4" xfId="14329"/>
    <cellStyle name="Porcentaje 2 2 2 4 2 5" xfId="53391"/>
    <cellStyle name="Porcentaje 2 2 2 4 3" xfId="3290"/>
    <cellStyle name="Porcentaje 2 2 2 4 3 2" xfId="6401"/>
    <cellStyle name="Porcentaje 2 2 2 4 3 2 2" xfId="12604"/>
    <cellStyle name="Porcentaje 2 2 2 4 3 2 3" xfId="18806"/>
    <cellStyle name="Porcentaje 2 2 2 4 3 2 4" xfId="57588"/>
    <cellStyle name="Porcentaje 2 2 2 4 3 3" xfId="9504"/>
    <cellStyle name="Porcentaje 2 2 2 4 3 4" xfId="15706"/>
    <cellStyle name="Porcentaje 2 2 2 4 3 5" xfId="54670"/>
    <cellStyle name="Porcentaje 2 2 2 4 4" xfId="4329"/>
    <cellStyle name="Porcentaje 2 2 2 4 4 2" xfId="10533"/>
    <cellStyle name="Porcentaje 2 2 2 4 4 3" xfId="16735"/>
    <cellStyle name="Porcentaje 2 2 2 4 4 4" xfId="55626"/>
    <cellStyle name="Porcentaje 2 2 2 4 5" xfId="7432"/>
    <cellStyle name="Porcentaje 2 2 2 4 5 2" xfId="19500"/>
    <cellStyle name="Porcentaje 2 2 2 4 6" xfId="13634"/>
    <cellStyle name="Porcentaje 2 2 2 4 7" xfId="52754"/>
    <cellStyle name="Porcentaje 2 2 2 5" xfId="1375"/>
    <cellStyle name="Porcentaje 2 2 2 5 2" xfId="4500"/>
    <cellStyle name="Porcentaje 2 2 2 5 2 2" xfId="10703"/>
    <cellStyle name="Porcentaje 2 2 2 5 2 3" xfId="16905"/>
    <cellStyle name="Porcentaje 2 2 2 5 2 4" xfId="55789"/>
    <cellStyle name="Porcentaje 2 2 2 5 3" xfId="7603"/>
    <cellStyle name="Porcentaje 2 2 2 5 4" xfId="13805"/>
    <cellStyle name="Porcentaje 2 2 2 5 5" xfId="52913"/>
    <cellStyle name="Porcentaje 2 2 2 6" xfId="3283"/>
    <cellStyle name="Porcentaje 2 2 2 6 2" xfId="6394"/>
    <cellStyle name="Porcentaje 2 2 2 6 2 2" xfId="12597"/>
    <cellStyle name="Porcentaje 2 2 2 6 2 3" xfId="18799"/>
    <cellStyle name="Porcentaje 2 2 2 6 2 4" xfId="57581"/>
    <cellStyle name="Porcentaje 2 2 2 6 3" xfId="9497"/>
    <cellStyle name="Porcentaje 2 2 2 6 4" xfId="15699"/>
    <cellStyle name="Porcentaje 2 2 2 6 5" xfId="54663"/>
    <cellStyle name="Porcentaje 2 2 2 7" xfId="4322"/>
    <cellStyle name="Porcentaje 2 2 2 7 2" xfId="10526"/>
    <cellStyle name="Porcentaje 2 2 2 7 3" xfId="16728"/>
    <cellStyle name="Porcentaje 2 2 2 7 4" xfId="55619"/>
    <cellStyle name="Porcentaje 2 2 2 8" xfId="7425"/>
    <cellStyle name="Porcentaje 2 2 2 8 2" xfId="18976"/>
    <cellStyle name="Porcentaje 2 2 2 9" xfId="13627"/>
    <cellStyle name="Porcentaje 2 2 3" xfId="1131"/>
    <cellStyle name="Porcentaje 2 2 3 2" xfId="1132"/>
    <cellStyle name="Porcentaje 2 2 3 2 2" xfId="1133"/>
    <cellStyle name="Porcentaje 2 2 3 2 2 2" xfId="2218"/>
    <cellStyle name="Porcentaje 2 2 3 2 2 2 2" xfId="5343"/>
    <cellStyle name="Porcentaje 2 2 3 2 2 2 2 2" xfId="11546"/>
    <cellStyle name="Porcentaje 2 2 3 2 2 2 2 3" xfId="17748"/>
    <cellStyle name="Porcentaje 2 2 3 2 2 2 2 4" xfId="56582"/>
    <cellStyle name="Porcentaje 2 2 3 2 2 2 3" xfId="8446"/>
    <cellStyle name="Porcentaje 2 2 3 2 2 2 4" xfId="14648"/>
    <cellStyle name="Porcentaje 2 2 3 2 2 2 5" xfId="53686"/>
    <cellStyle name="Porcentaje 2 2 3 2 2 3" xfId="3293"/>
    <cellStyle name="Porcentaje 2 2 3 2 2 3 2" xfId="6404"/>
    <cellStyle name="Porcentaje 2 2 3 2 2 3 2 2" xfId="12607"/>
    <cellStyle name="Porcentaje 2 2 3 2 2 3 2 3" xfId="18809"/>
    <cellStyle name="Porcentaje 2 2 3 2 2 3 2 4" xfId="57591"/>
    <cellStyle name="Porcentaje 2 2 3 2 2 3 3" xfId="9507"/>
    <cellStyle name="Porcentaje 2 2 3 2 2 3 4" xfId="15709"/>
    <cellStyle name="Porcentaje 2 2 3 2 2 3 5" xfId="54673"/>
    <cellStyle name="Porcentaje 2 2 3 2 2 4" xfId="4332"/>
    <cellStyle name="Porcentaje 2 2 3 2 2 4 2" xfId="10536"/>
    <cellStyle name="Porcentaje 2 2 3 2 2 4 3" xfId="16738"/>
    <cellStyle name="Porcentaje 2 2 3 2 2 4 4" xfId="55629"/>
    <cellStyle name="Porcentaje 2 2 3 2 2 5" xfId="7435"/>
    <cellStyle name="Porcentaje 2 2 3 2 2 5 2" xfId="19819"/>
    <cellStyle name="Porcentaje 2 2 3 2 2 6" xfId="13637"/>
    <cellStyle name="Porcentaje 2 2 3 2 2 7" xfId="52755"/>
    <cellStyle name="Porcentaje 2 2 3 2 3" xfId="1694"/>
    <cellStyle name="Porcentaje 2 2 3 2 3 2" xfId="4819"/>
    <cellStyle name="Porcentaje 2 2 3 2 3 2 2" xfId="11022"/>
    <cellStyle name="Porcentaje 2 2 3 2 3 2 3" xfId="17224"/>
    <cellStyle name="Porcentaje 2 2 3 2 3 2 4" xfId="56091"/>
    <cellStyle name="Porcentaje 2 2 3 2 3 3" xfId="7922"/>
    <cellStyle name="Porcentaje 2 2 3 2 3 4" xfId="14124"/>
    <cellStyle name="Porcentaje 2 2 3 2 3 5" xfId="53201"/>
    <cellStyle name="Porcentaje 2 2 3 2 4" xfId="3292"/>
    <cellStyle name="Porcentaje 2 2 3 2 4 2" xfId="6403"/>
    <cellStyle name="Porcentaje 2 2 3 2 4 2 2" xfId="12606"/>
    <cellStyle name="Porcentaje 2 2 3 2 4 2 3" xfId="18808"/>
    <cellStyle name="Porcentaje 2 2 3 2 4 2 4" xfId="57590"/>
    <cellStyle name="Porcentaje 2 2 3 2 4 3" xfId="9506"/>
    <cellStyle name="Porcentaje 2 2 3 2 4 4" xfId="15708"/>
    <cellStyle name="Porcentaje 2 2 3 2 4 5" xfId="54672"/>
    <cellStyle name="Porcentaje 2 2 3 2 5" xfId="4331"/>
    <cellStyle name="Porcentaje 2 2 3 2 5 2" xfId="10535"/>
    <cellStyle name="Porcentaje 2 2 3 2 5 3" xfId="16737"/>
    <cellStyle name="Porcentaje 2 2 3 2 5 4" xfId="55628"/>
    <cellStyle name="Porcentaje 2 2 3 2 6" xfId="7434"/>
    <cellStyle name="Porcentaje 2 2 3 2 6 2" xfId="19295"/>
    <cellStyle name="Porcentaje 2 2 3 2 7" xfId="13636"/>
    <cellStyle name="Porcentaje 2 2 3 2 8" xfId="52092"/>
    <cellStyle name="Porcentaje 2 2 3 3" xfId="1134"/>
    <cellStyle name="Porcentaje 2 2 3 3 2" xfId="1973"/>
    <cellStyle name="Porcentaje 2 2 3 3 2 2" xfId="5098"/>
    <cellStyle name="Porcentaje 2 2 3 3 2 2 2" xfId="11301"/>
    <cellStyle name="Porcentaje 2 2 3 3 2 2 3" xfId="17503"/>
    <cellStyle name="Porcentaje 2 2 3 3 2 2 4" xfId="56355"/>
    <cellStyle name="Porcentaje 2 2 3 3 2 3" xfId="8201"/>
    <cellStyle name="Porcentaje 2 2 3 3 2 4" xfId="14403"/>
    <cellStyle name="Porcentaje 2 2 3 3 2 5" xfId="53461"/>
    <cellStyle name="Porcentaje 2 2 3 3 3" xfId="3294"/>
    <cellStyle name="Porcentaje 2 2 3 3 3 2" xfId="6405"/>
    <cellStyle name="Porcentaje 2 2 3 3 3 2 2" xfId="12608"/>
    <cellStyle name="Porcentaje 2 2 3 3 3 2 3" xfId="18810"/>
    <cellStyle name="Porcentaje 2 2 3 3 3 2 4" xfId="57592"/>
    <cellStyle name="Porcentaje 2 2 3 3 3 3" xfId="9508"/>
    <cellStyle name="Porcentaje 2 2 3 3 3 4" xfId="15710"/>
    <cellStyle name="Porcentaje 2 2 3 3 3 5" xfId="54674"/>
    <cellStyle name="Porcentaje 2 2 3 3 4" xfId="4333"/>
    <cellStyle name="Porcentaje 2 2 3 3 4 2" xfId="10537"/>
    <cellStyle name="Porcentaje 2 2 3 3 4 3" xfId="16739"/>
    <cellStyle name="Porcentaje 2 2 3 3 4 4" xfId="55630"/>
    <cellStyle name="Porcentaje 2 2 3 3 5" xfId="7436"/>
    <cellStyle name="Porcentaje 2 2 3 3 5 2" xfId="19574"/>
    <cellStyle name="Porcentaje 2 2 3 3 6" xfId="13638"/>
    <cellStyle name="Porcentaje 2 2 3 3 7" xfId="52756"/>
    <cellStyle name="Porcentaje 2 2 3 4" xfId="1449"/>
    <cellStyle name="Porcentaje 2 2 3 4 2" xfId="4574"/>
    <cellStyle name="Porcentaje 2 2 3 4 2 2" xfId="10777"/>
    <cellStyle name="Porcentaje 2 2 3 4 2 3" xfId="16979"/>
    <cellStyle name="Porcentaje 2 2 3 4 2 4" xfId="55859"/>
    <cellStyle name="Porcentaje 2 2 3 4 3" xfId="7677"/>
    <cellStyle name="Porcentaje 2 2 3 4 4" xfId="13879"/>
    <cellStyle name="Porcentaje 2 2 3 4 5" xfId="52977"/>
    <cellStyle name="Porcentaje 2 2 3 5" xfId="3291"/>
    <cellStyle name="Porcentaje 2 2 3 5 2" xfId="6402"/>
    <cellStyle name="Porcentaje 2 2 3 5 2 2" xfId="12605"/>
    <cellStyle name="Porcentaje 2 2 3 5 2 3" xfId="18807"/>
    <cellStyle name="Porcentaje 2 2 3 5 2 4" xfId="57589"/>
    <cellStyle name="Porcentaje 2 2 3 5 3" xfId="9505"/>
    <cellStyle name="Porcentaje 2 2 3 5 4" xfId="15707"/>
    <cellStyle name="Porcentaje 2 2 3 5 5" xfId="54671"/>
    <cellStyle name="Porcentaje 2 2 3 6" xfId="4330"/>
    <cellStyle name="Porcentaje 2 2 3 6 2" xfId="10534"/>
    <cellStyle name="Porcentaje 2 2 3 6 3" xfId="16736"/>
    <cellStyle name="Porcentaje 2 2 3 6 4" xfId="55627"/>
    <cellStyle name="Porcentaje 2 2 3 7" xfId="7433"/>
    <cellStyle name="Porcentaje 2 2 3 7 2" xfId="19050"/>
    <cellStyle name="Porcentaje 2 2 3 8" xfId="13635"/>
    <cellStyle name="Porcentaje 2 2 3 9" xfId="49833"/>
    <cellStyle name="Porcentaje 2 2 4" xfId="1135"/>
    <cellStyle name="Porcentaje 2 2 4 2" xfId="1136"/>
    <cellStyle name="Porcentaje 2 2 4 2 2" xfId="2101"/>
    <cellStyle name="Porcentaje 2 2 4 2 2 2" xfId="5226"/>
    <cellStyle name="Porcentaje 2 2 4 2 2 2 2" xfId="11429"/>
    <cellStyle name="Porcentaje 2 2 4 2 2 2 3" xfId="17631"/>
    <cellStyle name="Porcentaje 2 2 4 2 2 2 4" xfId="56474"/>
    <cellStyle name="Porcentaje 2 2 4 2 2 3" xfId="8329"/>
    <cellStyle name="Porcentaje 2 2 4 2 2 4" xfId="14531"/>
    <cellStyle name="Porcentaje 2 2 4 2 2 5" xfId="53578"/>
    <cellStyle name="Porcentaje 2 2 4 2 3" xfId="3296"/>
    <cellStyle name="Porcentaje 2 2 4 2 3 2" xfId="6407"/>
    <cellStyle name="Porcentaje 2 2 4 2 3 2 2" xfId="12610"/>
    <cellStyle name="Porcentaje 2 2 4 2 3 2 3" xfId="18812"/>
    <cellStyle name="Porcentaje 2 2 4 2 3 2 4" xfId="57594"/>
    <cellStyle name="Porcentaje 2 2 4 2 3 3" xfId="9510"/>
    <cellStyle name="Porcentaje 2 2 4 2 3 4" xfId="15712"/>
    <cellStyle name="Porcentaje 2 2 4 2 3 5" xfId="54676"/>
    <cellStyle name="Porcentaje 2 2 4 2 4" xfId="4335"/>
    <cellStyle name="Porcentaje 2 2 4 2 4 2" xfId="10539"/>
    <cellStyle name="Porcentaje 2 2 4 2 4 3" xfId="16741"/>
    <cellStyle name="Porcentaje 2 2 4 2 4 4" xfId="55632"/>
    <cellStyle name="Porcentaje 2 2 4 2 5" xfId="7438"/>
    <cellStyle name="Porcentaje 2 2 4 2 5 2" xfId="19702"/>
    <cellStyle name="Porcentaje 2 2 4 2 6" xfId="13640"/>
    <cellStyle name="Porcentaje 2 2 4 2 7" xfId="52758"/>
    <cellStyle name="Porcentaje 2 2 4 3" xfId="1577"/>
    <cellStyle name="Porcentaje 2 2 4 3 2" xfId="4702"/>
    <cellStyle name="Porcentaje 2 2 4 3 2 2" xfId="10905"/>
    <cellStyle name="Porcentaje 2 2 4 3 2 3" xfId="17107"/>
    <cellStyle name="Porcentaje 2 2 4 3 2 4" xfId="55980"/>
    <cellStyle name="Porcentaje 2 2 4 3 3" xfId="7805"/>
    <cellStyle name="Porcentaje 2 2 4 3 4" xfId="14007"/>
    <cellStyle name="Porcentaje 2 2 4 3 5" xfId="53093"/>
    <cellStyle name="Porcentaje 2 2 4 4" xfId="3295"/>
    <cellStyle name="Porcentaje 2 2 4 4 2" xfId="6406"/>
    <cellStyle name="Porcentaje 2 2 4 4 2 2" xfId="12609"/>
    <cellStyle name="Porcentaje 2 2 4 4 2 3" xfId="18811"/>
    <cellStyle name="Porcentaje 2 2 4 4 2 4" xfId="57593"/>
    <cellStyle name="Porcentaje 2 2 4 4 3" xfId="9509"/>
    <cellStyle name="Porcentaje 2 2 4 4 4" xfId="15711"/>
    <cellStyle name="Porcentaje 2 2 4 4 5" xfId="54675"/>
    <cellStyle name="Porcentaje 2 2 4 5" xfId="4334"/>
    <cellStyle name="Porcentaje 2 2 4 5 2" xfId="10538"/>
    <cellStyle name="Porcentaje 2 2 4 5 3" xfId="16740"/>
    <cellStyle name="Porcentaje 2 2 4 5 4" xfId="55631"/>
    <cellStyle name="Porcentaje 2 2 4 6" xfId="7437"/>
    <cellStyle name="Porcentaje 2 2 4 6 2" xfId="19178"/>
    <cellStyle name="Porcentaje 2 2 4 7" xfId="13639"/>
    <cellStyle name="Porcentaje 2 2 4 8" xfId="52757"/>
    <cellStyle name="Porcentaje 2 2 5" xfId="1137"/>
    <cellStyle name="Porcentaje 2 2 5 2" xfId="1831"/>
    <cellStyle name="Porcentaje 2 2 5 2 2" xfId="4956"/>
    <cellStyle name="Porcentaje 2 2 5 2 2 2" xfId="11159"/>
    <cellStyle name="Porcentaje 2 2 5 2 2 3" xfId="17361"/>
    <cellStyle name="Porcentaje 2 2 5 2 2 4" xfId="56220"/>
    <cellStyle name="Porcentaje 2 2 5 2 3" xfId="8059"/>
    <cellStyle name="Porcentaje 2 2 5 2 4" xfId="14261"/>
    <cellStyle name="Porcentaje 2 2 5 2 5" xfId="53326"/>
    <cellStyle name="Porcentaje 2 2 5 3" xfId="3297"/>
    <cellStyle name="Porcentaje 2 2 5 3 2" xfId="6408"/>
    <cellStyle name="Porcentaje 2 2 5 3 2 2" xfId="12611"/>
    <cellStyle name="Porcentaje 2 2 5 3 2 3" xfId="18813"/>
    <cellStyle name="Porcentaje 2 2 5 3 2 4" xfId="57595"/>
    <cellStyle name="Porcentaje 2 2 5 3 3" xfId="9511"/>
    <cellStyle name="Porcentaje 2 2 5 3 4" xfId="15713"/>
    <cellStyle name="Porcentaje 2 2 5 3 5" xfId="54677"/>
    <cellStyle name="Porcentaje 2 2 5 4" xfId="4336"/>
    <cellStyle name="Porcentaje 2 2 5 4 2" xfId="10540"/>
    <cellStyle name="Porcentaje 2 2 5 4 3" xfId="16742"/>
    <cellStyle name="Porcentaje 2 2 5 4 4" xfId="55633"/>
    <cellStyle name="Porcentaje 2 2 5 5" xfId="7439"/>
    <cellStyle name="Porcentaje 2 2 5 5 2" xfId="19432"/>
    <cellStyle name="Porcentaje 2 2 5 6" xfId="13641"/>
    <cellStyle name="Porcentaje 2 2 5 7" xfId="52759"/>
    <cellStyle name="Porcentaje 2 2 6" xfId="1307"/>
    <cellStyle name="Porcentaje 2 2 6 2" xfId="4432"/>
    <cellStyle name="Porcentaje 2 2 6 2 2" xfId="10635"/>
    <cellStyle name="Porcentaje 2 2 6 2 3" xfId="16837"/>
    <cellStyle name="Porcentaje 2 2 6 2 4" xfId="55723"/>
    <cellStyle name="Porcentaje 2 2 6 3" xfId="7535"/>
    <cellStyle name="Porcentaje 2 2 6 4" xfId="13737"/>
    <cellStyle name="Porcentaje 2 2 6 5" xfId="52852"/>
    <cellStyle name="Porcentaje 2 2 7" xfId="3282"/>
    <cellStyle name="Porcentaje 2 2 7 2" xfId="6393"/>
    <cellStyle name="Porcentaje 2 2 7 2 2" xfId="12596"/>
    <cellStyle name="Porcentaje 2 2 7 2 3" xfId="18798"/>
    <cellStyle name="Porcentaje 2 2 7 2 4" xfId="57580"/>
    <cellStyle name="Porcentaje 2 2 7 3" xfId="9496"/>
    <cellStyle name="Porcentaje 2 2 7 4" xfId="15698"/>
    <cellStyle name="Porcentaje 2 2 7 5" xfId="54662"/>
    <cellStyle name="Porcentaje 2 2 8" xfId="4321"/>
    <cellStyle name="Porcentaje 2 2 8 2" xfId="10525"/>
    <cellStyle name="Porcentaje 2 2 8 3" xfId="16727"/>
    <cellStyle name="Porcentaje 2 2 8 4" xfId="55618"/>
    <cellStyle name="Porcentaje 2 2 9" xfId="7424"/>
    <cellStyle name="Porcentaje 2 2 9 2" xfId="18908"/>
    <cellStyle name="Porcentaje 2 3" xfId="1138"/>
    <cellStyle name="Porcentaje 2 3 10" xfId="38936"/>
    <cellStyle name="Porcentaje 2 3 2" xfId="1139"/>
    <cellStyle name="Porcentaje 2 3 2 2" xfId="1140"/>
    <cellStyle name="Porcentaje 2 3 2 2 2" xfId="1141"/>
    <cellStyle name="Porcentaje 2 3 2 2 2 2" xfId="2258"/>
    <cellStyle name="Porcentaje 2 3 2 2 2 2 2" xfId="5383"/>
    <cellStyle name="Porcentaje 2 3 2 2 2 2 2 2" xfId="11586"/>
    <cellStyle name="Porcentaje 2 3 2 2 2 2 2 3" xfId="17788"/>
    <cellStyle name="Porcentaje 2 3 2 2 2 2 2 4" xfId="56620"/>
    <cellStyle name="Porcentaje 2 3 2 2 2 2 3" xfId="8486"/>
    <cellStyle name="Porcentaje 2 3 2 2 2 2 4" xfId="14688"/>
    <cellStyle name="Porcentaje 2 3 2 2 2 2 5" xfId="53724"/>
    <cellStyle name="Porcentaje 2 3 2 2 2 3" xfId="3301"/>
    <cellStyle name="Porcentaje 2 3 2 2 2 3 2" xfId="6412"/>
    <cellStyle name="Porcentaje 2 3 2 2 2 3 2 2" xfId="12615"/>
    <cellStyle name="Porcentaje 2 3 2 2 2 3 2 3" xfId="18817"/>
    <cellStyle name="Porcentaje 2 3 2 2 2 3 2 4" xfId="57599"/>
    <cellStyle name="Porcentaje 2 3 2 2 2 3 3" xfId="9515"/>
    <cellStyle name="Porcentaje 2 3 2 2 2 3 4" xfId="15717"/>
    <cellStyle name="Porcentaje 2 3 2 2 2 3 5" xfId="54681"/>
    <cellStyle name="Porcentaje 2 3 2 2 2 4" xfId="4340"/>
    <cellStyle name="Porcentaje 2 3 2 2 2 4 2" xfId="10544"/>
    <cellStyle name="Porcentaje 2 3 2 2 2 4 3" xfId="16746"/>
    <cellStyle name="Porcentaje 2 3 2 2 2 4 4" xfId="55637"/>
    <cellStyle name="Porcentaje 2 3 2 2 2 5" xfId="7443"/>
    <cellStyle name="Porcentaje 2 3 2 2 2 5 2" xfId="19859"/>
    <cellStyle name="Porcentaje 2 3 2 2 2 6" xfId="13645"/>
    <cellStyle name="Porcentaje 2 3 2 2 2 7" xfId="52761"/>
    <cellStyle name="Porcentaje 2 3 2 2 3" xfId="1734"/>
    <cellStyle name="Porcentaje 2 3 2 2 3 2" xfId="4859"/>
    <cellStyle name="Porcentaje 2 3 2 2 3 2 2" xfId="11062"/>
    <cellStyle name="Porcentaje 2 3 2 2 3 2 3" xfId="17264"/>
    <cellStyle name="Porcentaje 2 3 2 2 3 2 4" xfId="56130"/>
    <cellStyle name="Porcentaje 2 3 2 2 3 3" xfId="7962"/>
    <cellStyle name="Porcentaje 2 3 2 2 3 4" xfId="14164"/>
    <cellStyle name="Porcentaje 2 3 2 2 3 5" xfId="53239"/>
    <cellStyle name="Porcentaje 2 3 2 2 4" xfId="3300"/>
    <cellStyle name="Porcentaje 2 3 2 2 4 2" xfId="6411"/>
    <cellStyle name="Porcentaje 2 3 2 2 4 2 2" xfId="12614"/>
    <cellStyle name="Porcentaje 2 3 2 2 4 2 3" xfId="18816"/>
    <cellStyle name="Porcentaje 2 3 2 2 4 2 4" xfId="57598"/>
    <cellStyle name="Porcentaje 2 3 2 2 4 3" xfId="9514"/>
    <cellStyle name="Porcentaje 2 3 2 2 4 4" xfId="15716"/>
    <cellStyle name="Porcentaje 2 3 2 2 4 5" xfId="54680"/>
    <cellStyle name="Porcentaje 2 3 2 2 5" xfId="4339"/>
    <cellStyle name="Porcentaje 2 3 2 2 5 2" xfId="10543"/>
    <cellStyle name="Porcentaje 2 3 2 2 5 3" xfId="16745"/>
    <cellStyle name="Porcentaje 2 3 2 2 5 4" xfId="55636"/>
    <cellStyle name="Porcentaje 2 3 2 2 6" xfId="7442"/>
    <cellStyle name="Porcentaje 2 3 2 2 6 2" xfId="19335"/>
    <cellStyle name="Porcentaje 2 3 2 2 7" xfId="13644"/>
    <cellStyle name="Porcentaje 2 3 2 2 8" xfId="52760"/>
    <cellStyle name="Porcentaje 2 3 2 3" xfId="1142"/>
    <cellStyle name="Porcentaje 2 3 2 3 2" xfId="2013"/>
    <cellStyle name="Porcentaje 2 3 2 3 2 2" xfId="5138"/>
    <cellStyle name="Porcentaje 2 3 2 3 2 2 2" xfId="11341"/>
    <cellStyle name="Porcentaje 2 3 2 3 2 2 3" xfId="17543"/>
    <cellStyle name="Porcentaje 2 3 2 3 2 2 4" xfId="56393"/>
    <cellStyle name="Porcentaje 2 3 2 3 2 3" xfId="8241"/>
    <cellStyle name="Porcentaje 2 3 2 3 2 4" xfId="14443"/>
    <cellStyle name="Porcentaje 2 3 2 3 2 5" xfId="53498"/>
    <cellStyle name="Porcentaje 2 3 2 3 3" xfId="3302"/>
    <cellStyle name="Porcentaje 2 3 2 3 3 2" xfId="6413"/>
    <cellStyle name="Porcentaje 2 3 2 3 3 2 2" xfId="12616"/>
    <cellStyle name="Porcentaje 2 3 2 3 3 2 3" xfId="18818"/>
    <cellStyle name="Porcentaje 2 3 2 3 3 2 4" xfId="57600"/>
    <cellStyle name="Porcentaje 2 3 2 3 3 3" xfId="9516"/>
    <cellStyle name="Porcentaje 2 3 2 3 3 4" xfId="15718"/>
    <cellStyle name="Porcentaje 2 3 2 3 3 5" xfId="54682"/>
    <cellStyle name="Porcentaje 2 3 2 3 4" xfId="4341"/>
    <cellStyle name="Porcentaje 2 3 2 3 4 2" xfId="10545"/>
    <cellStyle name="Porcentaje 2 3 2 3 4 3" xfId="16747"/>
    <cellStyle name="Porcentaje 2 3 2 3 4 4" xfId="55638"/>
    <cellStyle name="Porcentaje 2 3 2 3 5" xfId="7444"/>
    <cellStyle name="Porcentaje 2 3 2 3 5 2" xfId="19614"/>
    <cellStyle name="Porcentaje 2 3 2 3 6" xfId="13646"/>
    <cellStyle name="Porcentaje 2 3 2 3 7" xfId="52762"/>
    <cellStyle name="Porcentaje 2 3 2 4" xfId="1489"/>
    <cellStyle name="Porcentaje 2 3 2 4 2" xfId="4614"/>
    <cellStyle name="Porcentaje 2 3 2 4 2 2" xfId="10817"/>
    <cellStyle name="Porcentaje 2 3 2 4 2 3" xfId="17019"/>
    <cellStyle name="Porcentaje 2 3 2 4 2 4" xfId="55898"/>
    <cellStyle name="Porcentaje 2 3 2 4 3" xfId="7717"/>
    <cellStyle name="Porcentaje 2 3 2 4 4" xfId="13919"/>
    <cellStyle name="Porcentaje 2 3 2 4 5" xfId="53014"/>
    <cellStyle name="Porcentaje 2 3 2 5" xfId="3299"/>
    <cellStyle name="Porcentaje 2 3 2 5 2" xfId="6410"/>
    <cellStyle name="Porcentaje 2 3 2 5 2 2" xfId="12613"/>
    <cellStyle name="Porcentaje 2 3 2 5 2 3" xfId="18815"/>
    <cellStyle name="Porcentaje 2 3 2 5 2 4" xfId="57597"/>
    <cellStyle name="Porcentaje 2 3 2 5 3" xfId="9513"/>
    <cellStyle name="Porcentaje 2 3 2 5 4" xfId="15715"/>
    <cellStyle name="Porcentaje 2 3 2 5 5" xfId="54679"/>
    <cellStyle name="Porcentaje 2 3 2 6" xfId="4338"/>
    <cellStyle name="Porcentaje 2 3 2 6 2" xfId="10542"/>
    <cellStyle name="Porcentaje 2 3 2 6 3" xfId="16744"/>
    <cellStyle name="Porcentaje 2 3 2 6 4" xfId="55635"/>
    <cellStyle name="Porcentaje 2 3 2 7" xfId="7441"/>
    <cellStyle name="Porcentaje 2 3 2 7 2" xfId="19090"/>
    <cellStyle name="Porcentaje 2 3 2 8" xfId="13643"/>
    <cellStyle name="Porcentaje 2 3 2 9" xfId="52132"/>
    <cellStyle name="Porcentaje 2 3 3" xfId="1143"/>
    <cellStyle name="Porcentaje 2 3 3 2" xfId="1144"/>
    <cellStyle name="Porcentaje 2 3 3 2 2" xfId="2130"/>
    <cellStyle name="Porcentaje 2 3 3 2 2 2" xfId="5255"/>
    <cellStyle name="Porcentaje 2 3 3 2 2 2 2" xfId="11458"/>
    <cellStyle name="Porcentaje 2 3 3 2 2 2 3" xfId="17660"/>
    <cellStyle name="Porcentaje 2 3 3 2 2 2 4" xfId="56501"/>
    <cellStyle name="Porcentaje 2 3 3 2 2 3" xfId="8358"/>
    <cellStyle name="Porcentaje 2 3 3 2 2 4" xfId="14560"/>
    <cellStyle name="Porcentaje 2 3 3 2 2 5" xfId="53605"/>
    <cellStyle name="Porcentaje 2 3 3 2 3" xfId="3304"/>
    <cellStyle name="Porcentaje 2 3 3 2 3 2" xfId="6415"/>
    <cellStyle name="Porcentaje 2 3 3 2 3 2 2" xfId="12618"/>
    <cellStyle name="Porcentaje 2 3 3 2 3 2 3" xfId="18820"/>
    <cellStyle name="Porcentaje 2 3 3 2 3 2 4" xfId="57602"/>
    <cellStyle name="Porcentaje 2 3 3 2 3 3" xfId="9518"/>
    <cellStyle name="Porcentaje 2 3 3 2 3 4" xfId="15720"/>
    <cellStyle name="Porcentaje 2 3 3 2 3 5" xfId="54684"/>
    <cellStyle name="Porcentaje 2 3 3 2 4" xfId="4343"/>
    <cellStyle name="Porcentaje 2 3 3 2 4 2" xfId="10547"/>
    <cellStyle name="Porcentaje 2 3 3 2 4 3" xfId="16749"/>
    <cellStyle name="Porcentaje 2 3 3 2 4 4" xfId="55640"/>
    <cellStyle name="Porcentaje 2 3 3 2 5" xfId="7446"/>
    <cellStyle name="Porcentaje 2 3 3 2 5 2" xfId="19731"/>
    <cellStyle name="Porcentaje 2 3 3 2 6" xfId="13648"/>
    <cellStyle name="Porcentaje 2 3 3 2 7" xfId="52763"/>
    <cellStyle name="Porcentaje 2 3 3 3" xfId="1606"/>
    <cellStyle name="Porcentaje 2 3 3 3 2" xfId="4731"/>
    <cellStyle name="Porcentaje 2 3 3 3 2 2" xfId="10934"/>
    <cellStyle name="Porcentaje 2 3 3 3 2 3" xfId="17136"/>
    <cellStyle name="Porcentaje 2 3 3 3 2 4" xfId="56008"/>
    <cellStyle name="Porcentaje 2 3 3 3 3" xfId="7834"/>
    <cellStyle name="Porcentaje 2 3 3 3 4" xfId="14036"/>
    <cellStyle name="Porcentaje 2 3 3 3 5" xfId="53120"/>
    <cellStyle name="Porcentaje 2 3 3 4" xfId="3303"/>
    <cellStyle name="Porcentaje 2 3 3 4 2" xfId="6414"/>
    <cellStyle name="Porcentaje 2 3 3 4 2 2" xfId="12617"/>
    <cellStyle name="Porcentaje 2 3 3 4 2 3" xfId="18819"/>
    <cellStyle name="Porcentaje 2 3 3 4 2 4" xfId="57601"/>
    <cellStyle name="Porcentaje 2 3 3 4 3" xfId="9517"/>
    <cellStyle name="Porcentaje 2 3 3 4 4" xfId="15719"/>
    <cellStyle name="Porcentaje 2 3 3 4 5" xfId="54683"/>
    <cellStyle name="Porcentaje 2 3 3 5" xfId="4342"/>
    <cellStyle name="Porcentaje 2 3 3 5 2" xfId="10546"/>
    <cellStyle name="Porcentaje 2 3 3 5 3" xfId="16748"/>
    <cellStyle name="Porcentaje 2 3 3 5 4" xfId="55639"/>
    <cellStyle name="Porcentaje 2 3 3 6" xfId="7445"/>
    <cellStyle name="Porcentaje 2 3 3 6 2" xfId="19207"/>
    <cellStyle name="Porcentaje 2 3 3 7" xfId="13647"/>
    <cellStyle name="Porcentaje 2 3 3 8" xfId="52000"/>
    <cellStyle name="Porcentaje 2 3 4" xfId="1145"/>
    <cellStyle name="Porcentaje 2 3 4 2" xfId="1871"/>
    <cellStyle name="Porcentaje 2 3 4 2 2" xfId="4996"/>
    <cellStyle name="Porcentaje 2 3 4 2 2 2" xfId="11199"/>
    <cellStyle name="Porcentaje 2 3 4 2 2 3" xfId="17401"/>
    <cellStyle name="Porcentaje 2 3 4 2 2 4" xfId="56259"/>
    <cellStyle name="Porcentaje 2 3 4 2 3" xfId="8099"/>
    <cellStyle name="Porcentaje 2 3 4 2 4" xfId="14301"/>
    <cellStyle name="Porcentaje 2 3 4 2 5" xfId="53365"/>
    <cellStyle name="Porcentaje 2 3 4 3" xfId="3305"/>
    <cellStyle name="Porcentaje 2 3 4 3 2" xfId="6416"/>
    <cellStyle name="Porcentaje 2 3 4 3 2 2" xfId="12619"/>
    <cellStyle name="Porcentaje 2 3 4 3 2 3" xfId="18821"/>
    <cellStyle name="Porcentaje 2 3 4 3 2 4" xfId="57603"/>
    <cellStyle name="Porcentaje 2 3 4 3 3" xfId="9519"/>
    <cellStyle name="Porcentaje 2 3 4 3 4" xfId="15721"/>
    <cellStyle name="Porcentaje 2 3 4 3 5" xfId="54685"/>
    <cellStyle name="Porcentaje 2 3 4 4" xfId="4344"/>
    <cellStyle name="Porcentaje 2 3 4 4 2" xfId="10548"/>
    <cellStyle name="Porcentaje 2 3 4 4 3" xfId="16750"/>
    <cellStyle name="Porcentaje 2 3 4 4 4" xfId="55641"/>
    <cellStyle name="Porcentaje 2 3 4 5" xfId="7447"/>
    <cellStyle name="Porcentaje 2 3 4 5 2" xfId="19472"/>
    <cellStyle name="Porcentaje 2 3 4 6" xfId="13649"/>
    <cellStyle name="Porcentaje 2 3 4 7" xfId="52764"/>
    <cellStyle name="Porcentaje 2 3 5" xfId="1347"/>
    <cellStyle name="Porcentaje 2 3 5 2" xfId="4472"/>
    <cellStyle name="Porcentaje 2 3 5 2 2" xfId="10675"/>
    <cellStyle name="Porcentaje 2 3 5 2 3" xfId="16877"/>
    <cellStyle name="Porcentaje 2 3 5 2 4" xfId="55762"/>
    <cellStyle name="Porcentaje 2 3 5 3" xfId="7575"/>
    <cellStyle name="Porcentaje 2 3 5 4" xfId="13777"/>
    <cellStyle name="Porcentaje 2 3 5 5" xfId="52888"/>
    <cellStyle name="Porcentaje 2 3 6" xfId="3298"/>
    <cellStyle name="Porcentaje 2 3 6 2" xfId="6409"/>
    <cellStyle name="Porcentaje 2 3 6 2 2" xfId="12612"/>
    <cellStyle name="Porcentaje 2 3 6 2 3" xfId="18814"/>
    <cellStyle name="Porcentaje 2 3 6 2 4" xfId="57596"/>
    <cellStyle name="Porcentaje 2 3 6 3" xfId="9512"/>
    <cellStyle name="Porcentaje 2 3 6 4" xfId="15714"/>
    <cellStyle name="Porcentaje 2 3 6 5" xfId="54678"/>
    <cellStyle name="Porcentaje 2 3 7" xfId="4337"/>
    <cellStyle name="Porcentaje 2 3 7 2" xfId="10541"/>
    <cellStyle name="Porcentaje 2 3 7 3" xfId="16743"/>
    <cellStyle name="Porcentaje 2 3 7 4" xfId="55634"/>
    <cellStyle name="Porcentaje 2 3 8" xfId="7440"/>
    <cellStyle name="Porcentaje 2 3 8 2" xfId="18948"/>
    <cellStyle name="Porcentaje 2 3 9" xfId="13642"/>
    <cellStyle name="Porcentaje 2 4" xfId="1146"/>
    <cellStyle name="Porcentaje 2 4 2" xfId="1147"/>
    <cellStyle name="Porcentaje 2 4 2 2" xfId="1148"/>
    <cellStyle name="Porcentaje 2 4 2 2 2" xfId="2179"/>
    <cellStyle name="Porcentaje 2 4 2 2 2 2" xfId="5304"/>
    <cellStyle name="Porcentaje 2 4 2 2 2 2 2" xfId="11507"/>
    <cellStyle name="Porcentaje 2 4 2 2 2 2 3" xfId="17709"/>
    <cellStyle name="Porcentaje 2 4 2 2 2 2 4" xfId="56546"/>
    <cellStyle name="Porcentaje 2 4 2 2 2 3" xfId="8407"/>
    <cellStyle name="Porcentaje 2 4 2 2 2 4" xfId="14609"/>
    <cellStyle name="Porcentaje 2 4 2 2 2 5" xfId="53650"/>
    <cellStyle name="Porcentaje 2 4 2 2 3" xfId="3308"/>
    <cellStyle name="Porcentaje 2 4 2 2 3 2" xfId="6419"/>
    <cellStyle name="Porcentaje 2 4 2 2 3 2 2" xfId="12622"/>
    <cellStyle name="Porcentaje 2 4 2 2 3 2 3" xfId="18824"/>
    <cellStyle name="Porcentaje 2 4 2 2 3 2 4" xfId="57606"/>
    <cellStyle name="Porcentaje 2 4 2 2 3 3" xfId="9522"/>
    <cellStyle name="Porcentaje 2 4 2 2 3 4" xfId="15724"/>
    <cellStyle name="Porcentaje 2 4 2 2 3 5" xfId="54688"/>
    <cellStyle name="Porcentaje 2 4 2 2 4" xfId="4347"/>
    <cellStyle name="Porcentaje 2 4 2 2 4 2" xfId="10551"/>
    <cellStyle name="Porcentaje 2 4 2 2 4 3" xfId="16753"/>
    <cellStyle name="Porcentaje 2 4 2 2 4 4" xfId="55644"/>
    <cellStyle name="Porcentaje 2 4 2 2 5" xfId="7450"/>
    <cellStyle name="Porcentaje 2 4 2 2 5 2" xfId="19780"/>
    <cellStyle name="Porcentaje 2 4 2 2 6" xfId="13652"/>
    <cellStyle name="Porcentaje 2 4 2 2 7" xfId="52765"/>
    <cellStyle name="Porcentaje 2 4 2 3" xfId="1655"/>
    <cellStyle name="Porcentaje 2 4 2 3 2" xfId="4780"/>
    <cellStyle name="Porcentaje 2 4 2 3 2 2" xfId="10983"/>
    <cellStyle name="Porcentaje 2 4 2 3 2 3" xfId="17185"/>
    <cellStyle name="Porcentaje 2 4 2 3 2 4" xfId="56055"/>
    <cellStyle name="Porcentaje 2 4 2 3 3" xfId="7883"/>
    <cellStyle name="Porcentaje 2 4 2 3 4" xfId="14085"/>
    <cellStyle name="Porcentaje 2 4 2 3 5" xfId="53165"/>
    <cellStyle name="Porcentaje 2 4 2 4" xfId="3307"/>
    <cellStyle name="Porcentaje 2 4 2 4 2" xfId="6418"/>
    <cellStyle name="Porcentaje 2 4 2 4 2 2" xfId="12621"/>
    <cellStyle name="Porcentaje 2 4 2 4 2 3" xfId="18823"/>
    <cellStyle name="Porcentaje 2 4 2 4 2 4" xfId="57605"/>
    <cellStyle name="Porcentaje 2 4 2 4 3" xfId="9521"/>
    <cellStyle name="Porcentaje 2 4 2 4 4" xfId="15723"/>
    <cellStyle name="Porcentaje 2 4 2 4 5" xfId="54687"/>
    <cellStyle name="Porcentaje 2 4 2 5" xfId="4346"/>
    <cellStyle name="Porcentaje 2 4 2 5 2" xfId="10550"/>
    <cellStyle name="Porcentaje 2 4 2 5 3" xfId="16752"/>
    <cellStyle name="Porcentaje 2 4 2 5 4" xfId="55643"/>
    <cellStyle name="Porcentaje 2 4 2 6" xfId="7449"/>
    <cellStyle name="Porcentaje 2 4 2 6 2" xfId="19256"/>
    <cellStyle name="Porcentaje 2 4 2 7" xfId="13651"/>
    <cellStyle name="Porcentaje 2 4 2 8" xfId="52062"/>
    <cellStyle name="Porcentaje 2 4 3" xfId="1149"/>
    <cellStyle name="Porcentaje 2 4 3 2" xfId="1934"/>
    <cellStyle name="Porcentaje 2 4 3 2 2" xfId="5059"/>
    <cellStyle name="Porcentaje 2 4 3 2 2 2" xfId="11262"/>
    <cellStyle name="Porcentaje 2 4 3 2 2 3" xfId="17464"/>
    <cellStyle name="Porcentaje 2 4 3 2 2 4" xfId="56319"/>
    <cellStyle name="Porcentaje 2 4 3 2 3" xfId="8162"/>
    <cellStyle name="Porcentaje 2 4 3 2 4" xfId="14364"/>
    <cellStyle name="Porcentaje 2 4 3 2 5" xfId="53425"/>
    <cellStyle name="Porcentaje 2 4 3 3" xfId="3309"/>
    <cellStyle name="Porcentaje 2 4 3 3 2" xfId="6420"/>
    <cellStyle name="Porcentaje 2 4 3 3 2 2" xfId="12623"/>
    <cellStyle name="Porcentaje 2 4 3 3 2 3" xfId="18825"/>
    <cellStyle name="Porcentaje 2 4 3 3 2 4" xfId="57607"/>
    <cellStyle name="Porcentaje 2 4 3 3 3" xfId="9523"/>
    <cellStyle name="Porcentaje 2 4 3 3 4" xfId="15725"/>
    <cellStyle name="Porcentaje 2 4 3 3 5" xfId="54689"/>
    <cellStyle name="Porcentaje 2 4 3 4" xfId="4348"/>
    <cellStyle name="Porcentaje 2 4 3 4 2" xfId="10552"/>
    <cellStyle name="Porcentaje 2 4 3 4 3" xfId="16754"/>
    <cellStyle name="Porcentaje 2 4 3 4 4" xfId="55645"/>
    <cellStyle name="Porcentaje 2 4 3 5" xfId="7451"/>
    <cellStyle name="Porcentaje 2 4 3 5 2" xfId="19535"/>
    <cellStyle name="Porcentaje 2 4 3 6" xfId="13653"/>
    <cellStyle name="Porcentaje 2 4 3 7" xfId="52766"/>
    <cellStyle name="Porcentaje 2 4 4" xfId="1410"/>
    <cellStyle name="Porcentaje 2 4 4 2" xfId="4535"/>
    <cellStyle name="Porcentaje 2 4 4 2 2" xfId="10738"/>
    <cellStyle name="Porcentaje 2 4 4 2 3" xfId="16940"/>
    <cellStyle name="Porcentaje 2 4 4 2 4" xfId="55823"/>
    <cellStyle name="Porcentaje 2 4 4 3" xfId="7638"/>
    <cellStyle name="Porcentaje 2 4 4 4" xfId="13840"/>
    <cellStyle name="Porcentaje 2 4 4 5" xfId="52941"/>
    <cellStyle name="Porcentaje 2 4 5" xfId="3306"/>
    <cellStyle name="Porcentaje 2 4 5 2" xfId="6417"/>
    <cellStyle name="Porcentaje 2 4 5 2 2" xfId="12620"/>
    <cellStyle name="Porcentaje 2 4 5 2 3" xfId="18822"/>
    <cellStyle name="Porcentaje 2 4 5 2 4" xfId="57604"/>
    <cellStyle name="Porcentaje 2 4 5 3" xfId="9520"/>
    <cellStyle name="Porcentaje 2 4 5 4" xfId="15722"/>
    <cellStyle name="Porcentaje 2 4 5 5" xfId="54686"/>
    <cellStyle name="Porcentaje 2 4 6" xfId="4345"/>
    <cellStyle name="Porcentaje 2 4 6 2" xfId="10549"/>
    <cellStyle name="Porcentaje 2 4 6 3" xfId="16751"/>
    <cellStyle name="Porcentaje 2 4 6 4" xfId="55642"/>
    <cellStyle name="Porcentaje 2 4 7" xfId="7448"/>
    <cellStyle name="Porcentaje 2 4 7 2" xfId="19011"/>
    <cellStyle name="Porcentaje 2 4 8" xfId="13650"/>
    <cellStyle name="Porcentaje 2 4 9" xfId="38934"/>
    <cellStyle name="Porcentaje 2 5" xfId="1150"/>
    <cellStyle name="Porcentaje 2 5 2" xfId="1151"/>
    <cellStyle name="Porcentaje 2 5 2 2" xfId="2077"/>
    <cellStyle name="Porcentaje 2 5 2 2 2" xfId="5202"/>
    <cellStyle name="Porcentaje 2 5 2 2 2 2" xfId="11405"/>
    <cellStyle name="Porcentaje 2 5 2 2 2 3" xfId="17607"/>
    <cellStyle name="Porcentaje 2 5 2 2 2 4" xfId="56452"/>
    <cellStyle name="Porcentaje 2 5 2 2 3" xfId="8305"/>
    <cellStyle name="Porcentaje 2 5 2 2 4" xfId="14507"/>
    <cellStyle name="Porcentaje 2 5 2 2 5" xfId="53556"/>
    <cellStyle name="Porcentaje 2 5 2 3" xfId="3311"/>
    <cellStyle name="Porcentaje 2 5 2 3 2" xfId="6422"/>
    <cellStyle name="Porcentaje 2 5 2 3 2 2" xfId="12625"/>
    <cellStyle name="Porcentaje 2 5 2 3 2 3" xfId="18827"/>
    <cellStyle name="Porcentaje 2 5 2 3 2 4" xfId="57609"/>
    <cellStyle name="Porcentaje 2 5 2 3 3" xfId="9525"/>
    <cellStyle name="Porcentaje 2 5 2 3 4" xfId="15727"/>
    <cellStyle name="Porcentaje 2 5 2 3 5" xfId="54691"/>
    <cellStyle name="Porcentaje 2 5 2 4" xfId="4350"/>
    <cellStyle name="Porcentaje 2 5 2 4 2" xfId="10554"/>
    <cellStyle name="Porcentaje 2 5 2 4 3" xfId="16756"/>
    <cellStyle name="Porcentaje 2 5 2 4 4" xfId="55647"/>
    <cellStyle name="Porcentaje 2 5 2 5" xfId="7453"/>
    <cellStyle name="Porcentaje 2 5 2 5 2" xfId="19678"/>
    <cellStyle name="Porcentaje 2 5 2 6" xfId="13655"/>
    <cellStyle name="Porcentaje 2 5 2 7" xfId="52768"/>
    <cellStyle name="Porcentaje 2 5 3" xfId="1553"/>
    <cellStyle name="Porcentaje 2 5 3 2" xfId="4678"/>
    <cellStyle name="Porcentaje 2 5 3 2 2" xfId="10881"/>
    <cellStyle name="Porcentaje 2 5 3 2 3" xfId="17083"/>
    <cellStyle name="Porcentaje 2 5 3 2 4" xfId="55957"/>
    <cellStyle name="Porcentaje 2 5 3 3" xfId="7781"/>
    <cellStyle name="Porcentaje 2 5 3 4" xfId="13983"/>
    <cellStyle name="Porcentaje 2 5 3 5" xfId="53071"/>
    <cellStyle name="Porcentaje 2 5 4" xfId="3310"/>
    <cellStyle name="Porcentaje 2 5 4 2" xfId="6421"/>
    <cellStyle name="Porcentaje 2 5 4 2 2" xfId="12624"/>
    <cellStyle name="Porcentaje 2 5 4 2 3" xfId="18826"/>
    <cellStyle name="Porcentaje 2 5 4 2 4" xfId="57608"/>
    <cellStyle name="Porcentaje 2 5 4 3" xfId="9524"/>
    <cellStyle name="Porcentaje 2 5 4 4" xfId="15726"/>
    <cellStyle name="Porcentaje 2 5 4 5" xfId="54690"/>
    <cellStyle name="Porcentaje 2 5 5" xfId="4349"/>
    <cellStyle name="Porcentaje 2 5 5 2" xfId="10553"/>
    <cellStyle name="Porcentaje 2 5 5 3" xfId="16755"/>
    <cellStyle name="Porcentaje 2 5 5 4" xfId="55646"/>
    <cellStyle name="Porcentaje 2 5 6" xfId="7452"/>
    <cellStyle name="Porcentaje 2 5 6 2" xfId="19154"/>
    <cellStyle name="Porcentaje 2 5 7" xfId="13654"/>
    <cellStyle name="Porcentaje 2 5 8" xfId="52767"/>
    <cellStyle name="Porcentaje 2 6" xfId="1152"/>
    <cellStyle name="Porcentaje 2 6 2" xfId="1806"/>
    <cellStyle name="Porcentaje 2 6 2 2" xfId="4931"/>
    <cellStyle name="Porcentaje 2 6 2 2 2" xfId="11134"/>
    <cellStyle name="Porcentaje 2 6 2 2 3" xfId="17336"/>
    <cellStyle name="Porcentaje 2 6 2 2 4" xfId="56198"/>
    <cellStyle name="Porcentaje 2 6 2 3" xfId="8034"/>
    <cellStyle name="Porcentaje 2 6 2 4" xfId="14236"/>
    <cellStyle name="Porcentaje 2 6 2 5" xfId="53304"/>
    <cellStyle name="Porcentaje 2 6 3" xfId="3312"/>
    <cellStyle name="Porcentaje 2 6 3 2" xfId="6423"/>
    <cellStyle name="Porcentaje 2 6 3 2 2" xfId="12626"/>
    <cellStyle name="Porcentaje 2 6 3 2 3" xfId="18828"/>
    <cellStyle name="Porcentaje 2 6 3 2 4" xfId="57610"/>
    <cellStyle name="Porcentaje 2 6 3 3" xfId="9526"/>
    <cellStyle name="Porcentaje 2 6 3 4" xfId="15728"/>
    <cellStyle name="Porcentaje 2 6 3 5" xfId="54692"/>
    <cellStyle name="Porcentaje 2 6 4" xfId="4351"/>
    <cellStyle name="Porcentaje 2 6 4 2" xfId="10555"/>
    <cellStyle name="Porcentaje 2 6 4 3" xfId="16757"/>
    <cellStyle name="Porcentaje 2 6 4 4" xfId="55648"/>
    <cellStyle name="Porcentaje 2 6 5" xfId="7454"/>
    <cellStyle name="Porcentaje 2 6 5 2" xfId="19407"/>
    <cellStyle name="Porcentaje 2 6 6" xfId="13656"/>
    <cellStyle name="Porcentaje 2 6 7" xfId="52769"/>
    <cellStyle name="Porcentaje 2 7" xfId="1279"/>
    <cellStyle name="Porcentaje 2 7 2" xfId="4404"/>
    <cellStyle name="Porcentaje 2 7 2 2" xfId="10607"/>
    <cellStyle name="Porcentaje 2 7 2 3" xfId="16809"/>
    <cellStyle name="Porcentaje 2 7 2 4" xfId="55697"/>
    <cellStyle name="Porcentaje 2 7 3" xfId="7507"/>
    <cellStyle name="Porcentaje 2 7 4" xfId="13709"/>
    <cellStyle name="Porcentaje 2 7 5" xfId="52827"/>
    <cellStyle name="Porcentaje 2 8" xfId="3281"/>
    <cellStyle name="Porcentaje 2 8 2" xfId="6392"/>
    <cellStyle name="Porcentaje 2 8 2 2" xfId="12595"/>
    <cellStyle name="Porcentaje 2 8 2 3" xfId="18797"/>
    <cellStyle name="Porcentaje 2 8 2 4" xfId="57579"/>
    <cellStyle name="Porcentaje 2 8 3" xfId="9495"/>
    <cellStyle name="Porcentaje 2 8 4" xfId="15697"/>
    <cellStyle name="Porcentaje 2 8 5" xfId="54661"/>
    <cellStyle name="Porcentaje 2 9" xfId="4320"/>
    <cellStyle name="Porcentaje 2 9 2" xfId="10524"/>
    <cellStyle name="Porcentaje 2 9 3" xfId="16726"/>
    <cellStyle name="Porcentaje 2 9 4" xfId="55617"/>
    <cellStyle name="Porcentaje 3" xfId="1153"/>
    <cellStyle name="Porcentaje 3 10" xfId="13657"/>
    <cellStyle name="Porcentaje 3 11" xfId="19974"/>
    <cellStyle name="Porcentaje 3 2" xfId="1154"/>
    <cellStyle name="Porcentaje 3 2 10" xfId="38938"/>
    <cellStyle name="Porcentaje 3 2 2" xfId="1155"/>
    <cellStyle name="Porcentaje 3 2 2 2" xfId="1156"/>
    <cellStyle name="Porcentaje 3 2 2 2 2" xfId="1157"/>
    <cellStyle name="Porcentaje 3 2 2 2 2 2" xfId="2285"/>
    <cellStyle name="Porcentaje 3 2 2 2 2 2 2" xfId="5410"/>
    <cellStyle name="Porcentaje 3 2 2 2 2 2 2 2" xfId="11613"/>
    <cellStyle name="Porcentaje 3 2 2 2 2 2 2 3" xfId="17815"/>
    <cellStyle name="Porcentaje 3 2 2 2 2 2 2 4" xfId="56644"/>
    <cellStyle name="Porcentaje 3 2 2 2 2 2 3" xfId="8513"/>
    <cellStyle name="Porcentaje 3 2 2 2 2 2 4" xfId="14715"/>
    <cellStyle name="Porcentaje 3 2 2 2 2 2 5" xfId="53748"/>
    <cellStyle name="Porcentaje 3 2 2 2 2 3" xfId="3317"/>
    <cellStyle name="Porcentaje 3 2 2 2 2 3 2" xfId="6428"/>
    <cellStyle name="Porcentaje 3 2 2 2 2 3 2 2" xfId="12631"/>
    <cellStyle name="Porcentaje 3 2 2 2 2 3 2 3" xfId="18833"/>
    <cellStyle name="Porcentaje 3 2 2 2 2 3 2 4" xfId="57615"/>
    <cellStyle name="Porcentaje 3 2 2 2 2 3 3" xfId="9531"/>
    <cellStyle name="Porcentaje 3 2 2 2 2 3 4" xfId="15733"/>
    <cellStyle name="Porcentaje 3 2 2 2 2 3 5" xfId="54697"/>
    <cellStyle name="Porcentaje 3 2 2 2 2 4" xfId="4356"/>
    <cellStyle name="Porcentaje 3 2 2 2 2 4 2" xfId="10560"/>
    <cellStyle name="Porcentaje 3 2 2 2 2 4 3" xfId="16762"/>
    <cellStyle name="Porcentaje 3 2 2 2 2 4 4" xfId="55653"/>
    <cellStyle name="Porcentaje 3 2 2 2 2 5" xfId="7459"/>
    <cellStyle name="Porcentaje 3 2 2 2 2 5 2" xfId="19886"/>
    <cellStyle name="Porcentaje 3 2 2 2 2 6" xfId="13661"/>
    <cellStyle name="Porcentaje 3 2 2 2 2 7" xfId="52770"/>
    <cellStyle name="Porcentaje 3 2 2 2 3" xfId="1761"/>
    <cellStyle name="Porcentaje 3 2 2 2 3 2" xfId="4886"/>
    <cellStyle name="Porcentaje 3 2 2 2 3 2 2" xfId="11089"/>
    <cellStyle name="Porcentaje 3 2 2 2 3 2 3" xfId="17291"/>
    <cellStyle name="Porcentaje 3 2 2 2 3 2 4" xfId="56156"/>
    <cellStyle name="Porcentaje 3 2 2 2 3 3" xfId="7989"/>
    <cellStyle name="Porcentaje 3 2 2 2 3 4" xfId="14191"/>
    <cellStyle name="Porcentaje 3 2 2 2 3 5" xfId="53263"/>
    <cellStyle name="Porcentaje 3 2 2 2 4" xfId="3316"/>
    <cellStyle name="Porcentaje 3 2 2 2 4 2" xfId="6427"/>
    <cellStyle name="Porcentaje 3 2 2 2 4 2 2" xfId="12630"/>
    <cellStyle name="Porcentaje 3 2 2 2 4 2 3" xfId="18832"/>
    <cellStyle name="Porcentaje 3 2 2 2 4 2 4" xfId="57614"/>
    <cellStyle name="Porcentaje 3 2 2 2 4 3" xfId="9530"/>
    <cellStyle name="Porcentaje 3 2 2 2 4 4" xfId="15732"/>
    <cellStyle name="Porcentaje 3 2 2 2 4 5" xfId="54696"/>
    <cellStyle name="Porcentaje 3 2 2 2 5" xfId="4355"/>
    <cellStyle name="Porcentaje 3 2 2 2 5 2" xfId="10559"/>
    <cellStyle name="Porcentaje 3 2 2 2 5 3" xfId="16761"/>
    <cellStyle name="Porcentaje 3 2 2 2 5 4" xfId="55652"/>
    <cellStyle name="Porcentaje 3 2 2 2 6" xfId="7458"/>
    <cellStyle name="Porcentaje 3 2 2 2 6 2" xfId="19362"/>
    <cellStyle name="Porcentaje 3 2 2 2 7" xfId="13660"/>
    <cellStyle name="Porcentaje 3 2 2 2 8" xfId="52156"/>
    <cellStyle name="Porcentaje 3 2 2 3" xfId="1158"/>
    <cellStyle name="Porcentaje 3 2 2 3 2" xfId="2040"/>
    <cellStyle name="Porcentaje 3 2 2 3 2 2" xfId="5165"/>
    <cellStyle name="Porcentaje 3 2 2 3 2 2 2" xfId="11368"/>
    <cellStyle name="Porcentaje 3 2 2 3 2 2 3" xfId="17570"/>
    <cellStyle name="Porcentaje 3 2 2 3 2 2 4" xfId="56417"/>
    <cellStyle name="Porcentaje 3 2 2 3 2 3" xfId="8268"/>
    <cellStyle name="Porcentaje 3 2 2 3 2 4" xfId="14470"/>
    <cellStyle name="Porcentaje 3 2 2 3 2 5" xfId="53522"/>
    <cellStyle name="Porcentaje 3 2 2 3 3" xfId="3318"/>
    <cellStyle name="Porcentaje 3 2 2 3 3 2" xfId="6429"/>
    <cellStyle name="Porcentaje 3 2 2 3 3 2 2" xfId="12632"/>
    <cellStyle name="Porcentaje 3 2 2 3 3 2 3" xfId="18834"/>
    <cellStyle name="Porcentaje 3 2 2 3 3 2 4" xfId="57616"/>
    <cellStyle name="Porcentaje 3 2 2 3 3 3" xfId="9532"/>
    <cellStyle name="Porcentaje 3 2 2 3 3 4" xfId="15734"/>
    <cellStyle name="Porcentaje 3 2 2 3 3 5" xfId="54698"/>
    <cellStyle name="Porcentaje 3 2 2 3 4" xfId="4357"/>
    <cellStyle name="Porcentaje 3 2 2 3 4 2" xfId="10561"/>
    <cellStyle name="Porcentaje 3 2 2 3 4 3" xfId="16763"/>
    <cellStyle name="Porcentaje 3 2 2 3 4 4" xfId="55654"/>
    <cellStyle name="Porcentaje 3 2 2 3 5" xfId="7460"/>
    <cellStyle name="Porcentaje 3 2 2 3 5 2" xfId="19641"/>
    <cellStyle name="Porcentaje 3 2 2 3 6" xfId="13662"/>
    <cellStyle name="Porcentaje 3 2 2 3 7" xfId="52771"/>
    <cellStyle name="Porcentaje 3 2 2 4" xfId="1516"/>
    <cellStyle name="Porcentaje 3 2 2 4 2" xfId="4641"/>
    <cellStyle name="Porcentaje 3 2 2 4 2 2" xfId="10844"/>
    <cellStyle name="Porcentaje 3 2 2 4 2 3" xfId="17046"/>
    <cellStyle name="Porcentaje 3 2 2 4 2 4" xfId="55923"/>
    <cellStyle name="Porcentaje 3 2 2 4 3" xfId="7744"/>
    <cellStyle name="Porcentaje 3 2 2 4 4" xfId="13946"/>
    <cellStyle name="Porcentaje 3 2 2 4 5" xfId="53038"/>
    <cellStyle name="Porcentaje 3 2 2 5" xfId="3315"/>
    <cellStyle name="Porcentaje 3 2 2 5 2" xfId="6426"/>
    <cellStyle name="Porcentaje 3 2 2 5 2 2" xfId="12629"/>
    <cellStyle name="Porcentaje 3 2 2 5 2 3" xfId="18831"/>
    <cellStyle name="Porcentaje 3 2 2 5 2 4" xfId="57613"/>
    <cellStyle name="Porcentaje 3 2 2 5 3" xfId="9529"/>
    <cellStyle name="Porcentaje 3 2 2 5 4" xfId="15731"/>
    <cellStyle name="Porcentaje 3 2 2 5 5" xfId="54695"/>
    <cellStyle name="Porcentaje 3 2 2 6" xfId="4354"/>
    <cellStyle name="Porcentaje 3 2 2 6 2" xfId="10558"/>
    <cellStyle name="Porcentaje 3 2 2 6 3" xfId="16760"/>
    <cellStyle name="Porcentaje 3 2 2 6 4" xfId="55651"/>
    <cellStyle name="Porcentaje 3 2 2 7" xfId="7457"/>
    <cellStyle name="Porcentaje 3 2 2 7 2" xfId="19117"/>
    <cellStyle name="Porcentaje 3 2 2 8" xfId="13659"/>
    <cellStyle name="Porcentaje 3 2 2 9" xfId="49834"/>
    <cellStyle name="Porcentaje 3 2 3" xfId="1159"/>
    <cellStyle name="Porcentaje 3 2 3 2" xfId="1160"/>
    <cellStyle name="Porcentaje 3 2 3 2 2" xfId="2157"/>
    <cellStyle name="Porcentaje 3 2 3 2 2 2" xfId="5282"/>
    <cellStyle name="Porcentaje 3 2 3 2 2 2 2" xfId="11485"/>
    <cellStyle name="Porcentaje 3 2 3 2 2 2 3" xfId="17687"/>
    <cellStyle name="Porcentaje 3 2 3 2 2 2 4" xfId="56525"/>
    <cellStyle name="Porcentaje 3 2 3 2 2 3" xfId="8385"/>
    <cellStyle name="Porcentaje 3 2 3 2 2 4" xfId="14587"/>
    <cellStyle name="Porcentaje 3 2 3 2 2 5" xfId="53629"/>
    <cellStyle name="Porcentaje 3 2 3 2 3" xfId="3320"/>
    <cellStyle name="Porcentaje 3 2 3 2 3 2" xfId="6431"/>
    <cellStyle name="Porcentaje 3 2 3 2 3 2 2" xfId="12634"/>
    <cellStyle name="Porcentaje 3 2 3 2 3 2 3" xfId="18836"/>
    <cellStyle name="Porcentaje 3 2 3 2 3 2 4" xfId="57618"/>
    <cellStyle name="Porcentaje 3 2 3 2 3 3" xfId="9534"/>
    <cellStyle name="Porcentaje 3 2 3 2 3 4" xfId="15736"/>
    <cellStyle name="Porcentaje 3 2 3 2 3 5" xfId="54700"/>
    <cellStyle name="Porcentaje 3 2 3 2 4" xfId="4359"/>
    <cellStyle name="Porcentaje 3 2 3 2 4 2" xfId="10563"/>
    <cellStyle name="Porcentaje 3 2 3 2 4 3" xfId="16765"/>
    <cellStyle name="Porcentaje 3 2 3 2 4 4" xfId="55656"/>
    <cellStyle name="Porcentaje 3 2 3 2 5" xfId="7462"/>
    <cellStyle name="Porcentaje 3 2 3 2 5 2" xfId="19758"/>
    <cellStyle name="Porcentaje 3 2 3 2 6" xfId="13664"/>
    <cellStyle name="Porcentaje 3 2 3 2 7" xfId="52772"/>
    <cellStyle name="Porcentaje 3 2 3 3" xfId="1633"/>
    <cellStyle name="Porcentaje 3 2 3 3 2" xfId="4758"/>
    <cellStyle name="Porcentaje 3 2 3 3 2 2" xfId="10961"/>
    <cellStyle name="Porcentaje 3 2 3 3 2 3" xfId="17163"/>
    <cellStyle name="Porcentaje 3 2 3 3 2 4" xfId="56034"/>
    <cellStyle name="Porcentaje 3 2 3 3 3" xfId="7861"/>
    <cellStyle name="Porcentaje 3 2 3 3 4" xfId="14063"/>
    <cellStyle name="Porcentaje 3 2 3 3 5" xfId="53144"/>
    <cellStyle name="Porcentaje 3 2 3 4" xfId="3319"/>
    <cellStyle name="Porcentaje 3 2 3 4 2" xfId="6430"/>
    <cellStyle name="Porcentaje 3 2 3 4 2 2" xfId="12633"/>
    <cellStyle name="Porcentaje 3 2 3 4 2 3" xfId="18835"/>
    <cellStyle name="Porcentaje 3 2 3 4 2 4" xfId="57617"/>
    <cellStyle name="Porcentaje 3 2 3 4 3" xfId="9533"/>
    <cellStyle name="Porcentaje 3 2 3 4 4" xfId="15735"/>
    <cellStyle name="Porcentaje 3 2 3 4 5" xfId="54699"/>
    <cellStyle name="Porcentaje 3 2 3 5" xfId="4358"/>
    <cellStyle name="Porcentaje 3 2 3 5 2" xfId="10562"/>
    <cellStyle name="Porcentaje 3 2 3 5 3" xfId="16764"/>
    <cellStyle name="Porcentaje 3 2 3 5 4" xfId="55655"/>
    <cellStyle name="Porcentaje 3 2 3 6" xfId="7461"/>
    <cellStyle name="Porcentaje 3 2 3 6 2" xfId="19234"/>
    <cellStyle name="Porcentaje 3 2 3 7" xfId="13663"/>
    <cellStyle name="Porcentaje 3 2 3 8" xfId="52021"/>
    <cellStyle name="Porcentaje 3 2 4" xfId="1161"/>
    <cellStyle name="Porcentaje 3 2 4 2" xfId="1898"/>
    <cellStyle name="Porcentaje 3 2 4 2 2" xfId="5023"/>
    <cellStyle name="Porcentaje 3 2 4 2 2 2" xfId="11226"/>
    <cellStyle name="Porcentaje 3 2 4 2 2 3" xfId="17428"/>
    <cellStyle name="Porcentaje 3 2 4 2 2 4" xfId="56284"/>
    <cellStyle name="Porcentaje 3 2 4 2 3" xfId="8126"/>
    <cellStyle name="Porcentaje 3 2 4 2 4" xfId="14328"/>
    <cellStyle name="Porcentaje 3 2 4 2 5" xfId="53390"/>
    <cellStyle name="Porcentaje 3 2 4 3" xfId="3321"/>
    <cellStyle name="Porcentaje 3 2 4 3 2" xfId="6432"/>
    <cellStyle name="Porcentaje 3 2 4 3 2 2" xfId="12635"/>
    <cellStyle name="Porcentaje 3 2 4 3 2 3" xfId="18837"/>
    <cellStyle name="Porcentaje 3 2 4 3 2 4" xfId="57619"/>
    <cellStyle name="Porcentaje 3 2 4 3 3" xfId="9535"/>
    <cellStyle name="Porcentaje 3 2 4 3 4" xfId="15737"/>
    <cellStyle name="Porcentaje 3 2 4 3 5" xfId="54701"/>
    <cellStyle name="Porcentaje 3 2 4 4" xfId="4360"/>
    <cellStyle name="Porcentaje 3 2 4 4 2" xfId="10564"/>
    <cellStyle name="Porcentaje 3 2 4 4 3" xfId="16766"/>
    <cellStyle name="Porcentaje 3 2 4 4 4" xfId="55657"/>
    <cellStyle name="Porcentaje 3 2 4 5" xfId="7463"/>
    <cellStyle name="Porcentaje 3 2 4 5 2" xfId="19499"/>
    <cellStyle name="Porcentaje 3 2 4 6" xfId="13665"/>
    <cellStyle name="Porcentaje 3 2 4 7" xfId="52773"/>
    <cellStyle name="Porcentaje 3 2 5" xfId="1374"/>
    <cellStyle name="Porcentaje 3 2 5 2" xfId="4499"/>
    <cellStyle name="Porcentaje 3 2 5 2 2" xfId="10702"/>
    <cellStyle name="Porcentaje 3 2 5 2 3" xfId="16904"/>
    <cellStyle name="Porcentaje 3 2 5 2 4" xfId="55788"/>
    <cellStyle name="Porcentaje 3 2 5 3" xfId="7602"/>
    <cellStyle name="Porcentaje 3 2 5 4" xfId="13804"/>
    <cellStyle name="Porcentaje 3 2 5 5" xfId="52912"/>
    <cellStyle name="Porcentaje 3 2 6" xfId="3314"/>
    <cellStyle name="Porcentaje 3 2 6 2" xfId="6425"/>
    <cellStyle name="Porcentaje 3 2 6 2 2" xfId="12628"/>
    <cellStyle name="Porcentaje 3 2 6 2 3" xfId="18830"/>
    <cellStyle name="Porcentaje 3 2 6 2 4" xfId="57612"/>
    <cellStyle name="Porcentaje 3 2 6 3" xfId="9528"/>
    <cellStyle name="Porcentaje 3 2 6 4" xfId="15730"/>
    <cellStyle name="Porcentaje 3 2 6 5" xfId="54694"/>
    <cellStyle name="Porcentaje 3 2 7" xfId="4353"/>
    <cellStyle name="Porcentaje 3 2 7 2" xfId="10557"/>
    <cellStyle name="Porcentaje 3 2 7 3" xfId="16759"/>
    <cellStyle name="Porcentaje 3 2 7 4" xfId="55650"/>
    <cellStyle name="Porcentaje 3 2 8" xfId="7456"/>
    <cellStyle name="Porcentaje 3 2 8 2" xfId="18975"/>
    <cellStyle name="Porcentaje 3 2 9" xfId="13658"/>
    <cellStyle name="Porcentaje 3 3" xfId="1162"/>
    <cellStyle name="Porcentaje 3 3 2" xfId="1163"/>
    <cellStyle name="Porcentaje 3 3 2 2" xfId="1164"/>
    <cellStyle name="Porcentaje 3 3 2 2 2" xfId="2217"/>
    <cellStyle name="Porcentaje 3 3 2 2 2 2" xfId="5342"/>
    <cellStyle name="Porcentaje 3 3 2 2 2 2 2" xfId="11545"/>
    <cellStyle name="Porcentaje 3 3 2 2 2 2 3" xfId="17747"/>
    <cellStyle name="Porcentaje 3 3 2 2 2 2 4" xfId="56581"/>
    <cellStyle name="Porcentaje 3 3 2 2 2 3" xfId="8445"/>
    <cellStyle name="Porcentaje 3 3 2 2 2 4" xfId="14647"/>
    <cellStyle name="Porcentaje 3 3 2 2 2 5" xfId="53685"/>
    <cellStyle name="Porcentaje 3 3 2 2 3" xfId="3324"/>
    <cellStyle name="Porcentaje 3 3 2 2 3 2" xfId="6435"/>
    <cellStyle name="Porcentaje 3 3 2 2 3 2 2" xfId="12638"/>
    <cellStyle name="Porcentaje 3 3 2 2 3 2 3" xfId="18840"/>
    <cellStyle name="Porcentaje 3 3 2 2 3 2 4" xfId="57622"/>
    <cellStyle name="Porcentaje 3 3 2 2 3 3" xfId="9538"/>
    <cellStyle name="Porcentaje 3 3 2 2 3 4" xfId="15740"/>
    <cellStyle name="Porcentaje 3 3 2 2 3 5" xfId="54704"/>
    <cellStyle name="Porcentaje 3 3 2 2 4" xfId="4363"/>
    <cellStyle name="Porcentaje 3 3 2 2 4 2" xfId="10567"/>
    <cellStyle name="Porcentaje 3 3 2 2 4 3" xfId="16769"/>
    <cellStyle name="Porcentaje 3 3 2 2 4 4" xfId="55660"/>
    <cellStyle name="Porcentaje 3 3 2 2 5" xfId="7466"/>
    <cellStyle name="Porcentaje 3 3 2 2 5 2" xfId="19818"/>
    <cellStyle name="Porcentaje 3 3 2 2 6" xfId="13668"/>
    <cellStyle name="Porcentaje 3 3 2 2 7" xfId="52774"/>
    <cellStyle name="Porcentaje 3 3 2 3" xfId="1693"/>
    <cellStyle name="Porcentaje 3 3 2 3 2" xfId="4818"/>
    <cellStyle name="Porcentaje 3 3 2 3 2 2" xfId="11021"/>
    <cellStyle name="Porcentaje 3 3 2 3 2 3" xfId="17223"/>
    <cellStyle name="Porcentaje 3 3 2 3 2 4" xfId="56090"/>
    <cellStyle name="Porcentaje 3 3 2 3 3" xfId="7921"/>
    <cellStyle name="Porcentaje 3 3 2 3 4" xfId="14123"/>
    <cellStyle name="Porcentaje 3 3 2 3 5" xfId="53200"/>
    <cellStyle name="Porcentaje 3 3 2 4" xfId="3323"/>
    <cellStyle name="Porcentaje 3 3 2 4 2" xfId="6434"/>
    <cellStyle name="Porcentaje 3 3 2 4 2 2" xfId="12637"/>
    <cellStyle name="Porcentaje 3 3 2 4 2 3" xfId="18839"/>
    <cellStyle name="Porcentaje 3 3 2 4 2 4" xfId="57621"/>
    <cellStyle name="Porcentaje 3 3 2 4 3" xfId="9537"/>
    <cellStyle name="Porcentaje 3 3 2 4 4" xfId="15739"/>
    <cellStyle name="Porcentaje 3 3 2 4 5" xfId="54703"/>
    <cellStyle name="Porcentaje 3 3 2 5" xfId="4362"/>
    <cellStyle name="Porcentaje 3 3 2 5 2" xfId="10566"/>
    <cellStyle name="Porcentaje 3 3 2 5 3" xfId="16768"/>
    <cellStyle name="Porcentaje 3 3 2 5 4" xfId="55659"/>
    <cellStyle name="Porcentaje 3 3 2 6" xfId="7465"/>
    <cellStyle name="Porcentaje 3 3 2 6 2" xfId="19294"/>
    <cellStyle name="Porcentaje 3 3 2 7" xfId="13667"/>
    <cellStyle name="Porcentaje 3 3 2 8" xfId="49835"/>
    <cellStyle name="Porcentaje 3 3 3" xfId="1165"/>
    <cellStyle name="Porcentaje 3 3 3 2" xfId="1972"/>
    <cellStyle name="Porcentaje 3 3 3 2 2" xfId="5097"/>
    <cellStyle name="Porcentaje 3 3 3 2 2 2" xfId="11300"/>
    <cellStyle name="Porcentaje 3 3 3 2 2 3" xfId="17502"/>
    <cellStyle name="Porcentaje 3 3 3 2 2 4" xfId="56354"/>
    <cellStyle name="Porcentaje 3 3 3 2 3" xfId="8200"/>
    <cellStyle name="Porcentaje 3 3 3 2 4" xfId="14402"/>
    <cellStyle name="Porcentaje 3 3 3 2 5" xfId="53460"/>
    <cellStyle name="Porcentaje 3 3 3 3" xfId="3325"/>
    <cellStyle name="Porcentaje 3 3 3 3 2" xfId="6436"/>
    <cellStyle name="Porcentaje 3 3 3 3 2 2" xfId="12639"/>
    <cellStyle name="Porcentaje 3 3 3 3 2 3" xfId="18841"/>
    <cellStyle name="Porcentaje 3 3 3 3 2 4" xfId="57623"/>
    <cellStyle name="Porcentaje 3 3 3 3 3" xfId="9539"/>
    <cellStyle name="Porcentaje 3 3 3 3 4" xfId="15741"/>
    <cellStyle name="Porcentaje 3 3 3 3 5" xfId="54705"/>
    <cellStyle name="Porcentaje 3 3 3 4" xfId="4364"/>
    <cellStyle name="Porcentaje 3 3 3 4 2" xfId="10568"/>
    <cellStyle name="Porcentaje 3 3 3 4 3" xfId="16770"/>
    <cellStyle name="Porcentaje 3 3 3 4 4" xfId="55661"/>
    <cellStyle name="Porcentaje 3 3 3 5" xfId="7467"/>
    <cellStyle name="Porcentaje 3 3 3 5 2" xfId="19573"/>
    <cellStyle name="Porcentaje 3 3 3 6" xfId="13669"/>
    <cellStyle name="Porcentaje 3 3 3 7" xfId="52775"/>
    <cellStyle name="Porcentaje 3 3 4" xfId="1448"/>
    <cellStyle name="Porcentaje 3 3 4 2" xfId="4573"/>
    <cellStyle name="Porcentaje 3 3 4 2 2" xfId="10776"/>
    <cellStyle name="Porcentaje 3 3 4 2 3" xfId="16978"/>
    <cellStyle name="Porcentaje 3 3 4 2 4" xfId="55858"/>
    <cellStyle name="Porcentaje 3 3 4 3" xfId="7676"/>
    <cellStyle name="Porcentaje 3 3 4 4" xfId="13878"/>
    <cellStyle name="Porcentaje 3 3 4 5" xfId="52976"/>
    <cellStyle name="Porcentaje 3 3 5" xfId="3322"/>
    <cellStyle name="Porcentaje 3 3 5 2" xfId="6433"/>
    <cellStyle name="Porcentaje 3 3 5 2 2" xfId="12636"/>
    <cellStyle name="Porcentaje 3 3 5 2 3" xfId="18838"/>
    <cellStyle name="Porcentaje 3 3 5 2 4" xfId="57620"/>
    <cellStyle name="Porcentaje 3 3 5 3" xfId="9536"/>
    <cellStyle name="Porcentaje 3 3 5 4" xfId="15738"/>
    <cellStyle name="Porcentaje 3 3 5 5" xfId="54702"/>
    <cellStyle name="Porcentaje 3 3 6" xfId="4361"/>
    <cellStyle name="Porcentaje 3 3 6 2" xfId="10565"/>
    <cellStyle name="Porcentaje 3 3 6 3" xfId="16767"/>
    <cellStyle name="Porcentaje 3 3 6 4" xfId="55658"/>
    <cellStyle name="Porcentaje 3 3 7" xfId="7464"/>
    <cellStyle name="Porcentaje 3 3 7 2" xfId="19049"/>
    <cellStyle name="Porcentaje 3 3 8" xfId="13666"/>
    <cellStyle name="Porcentaje 3 3 9" xfId="38939"/>
    <cellStyle name="Porcentaje 3 4" xfId="1166"/>
    <cellStyle name="Porcentaje 3 4 2" xfId="1167"/>
    <cellStyle name="Porcentaje 3 4 2 2" xfId="2100"/>
    <cellStyle name="Porcentaje 3 4 2 2 2" xfId="5225"/>
    <cellStyle name="Porcentaje 3 4 2 2 2 2" xfId="11428"/>
    <cellStyle name="Porcentaje 3 4 2 2 2 3" xfId="17630"/>
    <cellStyle name="Porcentaje 3 4 2 2 2 4" xfId="56473"/>
    <cellStyle name="Porcentaje 3 4 2 2 3" xfId="8328"/>
    <cellStyle name="Porcentaje 3 4 2 2 4" xfId="14530"/>
    <cellStyle name="Porcentaje 3 4 2 2 5" xfId="53577"/>
    <cellStyle name="Porcentaje 3 4 2 3" xfId="3327"/>
    <cellStyle name="Porcentaje 3 4 2 3 2" xfId="6438"/>
    <cellStyle name="Porcentaje 3 4 2 3 2 2" xfId="12641"/>
    <cellStyle name="Porcentaje 3 4 2 3 2 3" xfId="18843"/>
    <cellStyle name="Porcentaje 3 4 2 3 2 4" xfId="57625"/>
    <cellStyle name="Porcentaje 3 4 2 3 3" xfId="9541"/>
    <cellStyle name="Porcentaje 3 4 2 3 4" xfId="15743"/>
    <cellStyle name="Porcentaje 3 4 2 3 5" xfId="54707"/>
    <cellStyle name="Porcentaje 3 4 2 4" xfId="4366"/>
    <cellStyle name="Porcentaje 3 4 2 4 2" xfId="10570"/>
    <cellStyle name="Porcentaje 3 4 2 4 3" xfId="16772"/>
    <cellStyle name="Porcentaje 3 4 2 4 4" xfId="55663"/>
    <cellStyle name="Porcentaje 3 4 2 5" xfId="7469"/>
    <cellStyle name="Porcentaje 3 4 2 5 2" xfId="19701"/>
    <cellStyle name="Porcentaje 3 4 2 6" xfId="13671"/>
    <cellStyle name="Porcentaje 3 4 2 7" xfId="52777"/>
    <cellStyle name="Porcentaje 3 4 3" xfId="1576"/>
    <cellStyle name="Porcentaje 3 4 3 2" xfId="4701"/>
    <cellStyle name="Porcentaje 3 4 3 2 2" xfId="10904"/>
    <cellStyle name="Porcentaje 3 4 3 2 3" xfId="17106"/>
    <cellStyle name="Porcentaje 3 4 3 2 4" xfId="55979"/>
    <cellStyle name="Porcentaje 3 4 3 3" xfId="7804"/>
    <cellStyle name="Porcentaje 3 4 3 4" xfId="14006"/>
    <cellStyle name="Porcentaje 3 4 3 5" xfId="53092"/>
    <cellStyle name="Porcentaje 3 4 4" xfId="3326"/>
    <cellStyle name="Porcentaje 3 4 4 2" xfId="6437"/>
    <cellStyle name="Porcentaje 3 4 4 2 2" xfId="12640"/>
    <cellStyle name="Porcentaje 3 4 4 2 3" xfId="18842"/>
    <cellStyle name="Porcentaje 3 4 4 2 4" xfId="57624"/>
    <cellStyle name="Porcentaje 3 4 4 3" xfId="9540"/>
    <cellStyle name="Porcentaje 3 4 4 4" xfId="15742"/>
    <cellStyle name="Porcentaje 3 4 4 5" xfId="54706"/>
    <cellStyle name="Porcentaje 3 4 5" xfId="4365"/>
    <cellStyle name="Porcentaje 3 4 5 2" xfId="10569"/>
    <cellStyle name="Porcentaje 3 4 5 3" xfId="16771"/>
    <cellStyle name="Porcentaje 3 4 5 4" xfId="55662"/>
    <cellStyle name="Porcentaje 3 4 6" xfId="7468"/>
    <cellStyle name="Porcentaje 3 4 6 2" xfId="19177"/>
    <cellStyle name="Porcentaje 3 4 6 3" xfId="52776"/>
    <cellStyle name="Porcentaje 3 4 7" xfId="13670"/>
    <cellStyle name="Porcentaje 3 4 8" xfId="38940"/>
    <cellStyle name="Porcentaje 3 5" xfId="1168"/>
    <cellStyle name="Porcentaje 3 5 2" xfId="1830"/>
    <cellStyle name="Porcentaje 3 5 2 2" xfId="4955"/>
    <cellStyle name="Porcentaje 3 5 2 2 2" xfId="11158"/>
    <cellStyle name="Porcentaje 3 5 2 2 3" xfId="17360"/>
    <cellStyle name="Porcentaje 3 5 2 2 4" xfId="56219"/>
    <cellStyle name="Porcentaje 3 5 2 3" xfId="8058"/>
    <cellStyle name="Porcentaje 3 5 2 4" xfId="14260"/>
    <cellStyle name="Porcentaje 3 5 2 5" xfId="53325"/>
    <cellStyle name="Porcentaje 3 5 3" xfId="3328"/>
    <cellStyle name="Porcentaje 3 5 3 2" xfId="6439"/>
    <cellStyle name="Porcentaje 3 5 3 2 2" xfId="12642"/>
    <cellStyle name="Porcentaje 3 5 3 2 3" xfId="18844"/>
    <cellStyle name="Porcentaje 3 5 3 2 4" xfId="57626"/>
    <cellStyle name="Porcentaje 3 5 3 3" xfId="9542"/>
    <cellStyle name="Porcentaje 3 5 3 4" xfId="15744"/>
    <cellStyle name="Porcentaje 3 5 3 5" xfId="54708"/>
    <cellStyle name="Porcentaje 3 5 4" xfId="4367"/>
    <cellStyle name="Porcentaje 3 5 4 2" xfId="10571"/>
    <cellStyle name="Porcentaje 3 5 4 3" xfId="16773"/>
    <cellStyle name="Porcentaje 3 5 4 4" xfId="55664"/>
    <cellStyle name="Porcentaje 3 5 5" xfId="7470"/>
    <cellStyle name="Porcentaje 3 5 5 2" xfId="19431"/>
    <cellStyle name="Porcentaje 3 5 5 3" xfId="52778"/>
    <cellStyle name="Porcentaje 3 5 6" xfId="13672"/>
    <cellStyle name="Porcentaje 3 5 7" xfId="38937"/>
    <cellStyle name="Porcentaje 3 6" xfId="1306"/>
    <cellStyle name="Porcentaje 3 6 2" xfId="4431"/>
    <cellStyle name="Porcentaje 3 6 2 2" xfId="10634"/>
    <cellStyle name="Porcentaje 3 6 2 3" xfId="16836"/>
    <cellStyle name="Porcentaje 3 6 2 4" xfId="55722"/>
    <cellStyle name="Porcentaje 3 6 3" xfId="7534"/>
    <cellStyle name="Porcentaje 3 6 4" xfId="13736"/>
    <cellStyle name="Porcentaje 3 6 5" xfId="52851"/>
    <cellStyle name="Porcentaje 3 7" xfId="3313"/>
    <cellStyle name="Porcentaje 3 7 2" xfId="6424"/>
    <cellStyle name="Porcentaje 3 7 2 2" xfId="12627"/>
    <cellStyle name="Porcentaje 3 7 2 3" xfId="18829"/>
    <cellStyle name="Porcentaje 3 7 2 4" xfId="57611"/>
    <cellStyle name="Porcentaje 3 7 3" xfId="9527"/>
    <cellStyle name="Porcentaje 3 7 4" xfId="15729"/>
    <cellStyle name="Porcentaje 3 7 5" xfId="54693"/>
    <cellStyle name="Porcentaje 3 8" xfId="4352"/>
    <cellStyle name="Porcentaje 3 8 2" xfId="10556"/>
    <cellStyle name="Porcentaje 3 8 3" xfId="16758"/>
    <cellStyle name="Porcentaje 3 8 4" xfId="55649"/>
    <cellStyle name="Porcentaje 3 9" xfId="7455"/>
    <cellStyle name="Porcentaje 3 9 2" xfId="18907"/>
    <cellStyle name="Porcentaje 4" xfId="1169"/>
    <cellStyle name="Porcentaje 4 10" xfId="19975"/>
    <cellStyle name="Porcentaje 4 2" xfId="1170"/>
    <cellStyle name="Porcentaje 4 2 2" xfId="1171"/>
    <cellStyle name="Porcentaje 4 2 2 2" xfId="1172"/>
    <cellStyle name="Porcentaje 4 2 2 2 2" xfId="2257"/>
    <cellStyle name="Porcentaje 4 2 2 2 2 2" xfId="5382"/>
    <cellStyle name="Porcentaje 4 2 2 2 2 2 2" xfId="11585"/>
    <cellStyle name="Porcentaje 4 2 2 2 2 2 3" xfId="17787"/>
    <cellStyle name="Porcentaje 4 2 2 2 2 2 4" xfId="56619"/>
    <cellStyle name="Porcentaje 4 2 2 2 2 3" xfId="8485"/>
    <cellStyle name="Porcentaje 4 2 2 2 2 4" xfId="14687"/>
    <cellStyle name="Porcentaje 4 2 2 2 2 5" xfId="53723"/>
    <cellStyle name="Porcentaje 4 2 2 2 3" xfId="3332"/>
    <cellStyle name="Porcentaje 4 2 2 2 3 2" xfId="6443"/>
    <cellStyle name="Porcentaje 4 2 2 2 3 2 2" xfId="12646"/>
    <cellStyle name="Porcentaje 4 2 2 2 3 2 3" xfId="18848"/>
    <cellStyle name="Porcentaje 4 2 2 2 3 2 4" xfId="57630"/>
    <cellStyle name="Porcentaje 4 2 2 2 3 3" xfId="9546"/>
    <cellStyle name="Porcentaje 4 2 2 2 3 4" xfId="15748"/>
    <cellStyle name="Porcentaje 4 2 2 2 3 5" xfId="54711"/>
    <cellStyle name="Porcentaje 4 2 2 2 4" xfId="4371"/>
    <cellStyle name="Porcentaje 4 2 2 2 4 2" xfId="10575"/>
    <cellStyle name="Porcentaje 4 2 2 2 4 3" xfId="16777"/>
    <cellStyle name="Porcentaje 4 2 2 2 4 4" xfId="55668"/>
    <cellStyle name="Porcentaje 4 2 2 2 5" xfId="7474"/>
    <cellStyle name="Porcentaje 4 2 2 2 5 2" xfId="19858"/>
    <cellStyle name="Porcentaje 4 2 2 2 6" xfId="13676"/>
    <cellStyle name="Porcentaje 4 2 2 2 7" xfId="52780"/>
    <cellStyle name="Porcentaje 4 2 2 3" xfId="1733"/>
    <cellStyle name="Porcentaje 4 2 2 3 2" xfId="4858"/>
    <cellStyle name="Porcentaje 4 2 2 3 2 2" xfId="11061"/>
    <cellStyle name="Porcentaje 4 2 2 3 2 3" xfId="17263"/>
    <cellStyle name="Porcentaje 4 2 2 3 2 4" xfId="56129"/>
    <cellStyle name="Porcentaje 4 2 2 3 3" xfId="7961"/>
    <cellStyle name="Porcentaje 4 2 2 3 4" xfId="14163"/>
    <cellStyle name="Porcentaje 4 2 2 3 5" xfId="53238"/>
    <cellStyle name="Porcentaje 4 2 2 4" xfId="3331"/>
    <cellStyle name="Porcentaje 4 2 2 4 2" xfId="6442"/>
    <cellStyle name="Porcentaje 4 2 2 4 2 2" xfId="12645"/>
    <cellStyle name="Porcentaje 4 2 2 4 2 3" xfId="18847"/>
    <cellStyle name="Porcentaje 4 2 2 4 2 4" xfId="57629"/>
    <cellStyle name="Porcentaje 4 2 2 4 3" xfId="9545"/>
    <cellStyle name="Porcentaje 4 2 2 4 4" xfId="15747"/>
    <cellStyle name="Porcentaje 4 2 2 4 5" xfId="54710"/>
    <cellStyle name="Porcentaje 4 2 2 5" xfId="4370"/>
    <cellStyle name="Porcentaje 4 2 2 5 2" xfId="10574"/>
    <cellStyle name="Porcentaje 4 2 2 5 3" xfId="16776"/>
    <cellStyle name="Porcentaje 4 2 2 5 4" xfId="55667"/>
    <cellStyle name="Porcentaje 4 2 2 6" xfId="7473"/>
    <cellStyle name="Porcentaje 4 2 2 6 2" xfId="19334"/>
    <cellStyle name="Porcentaje 4 2 2 6 3" xfId="52779"/>
    <cellStyle name="Porcentaje 4 2 2 7" xfId="13675"/>
    <cellStyle name="Porcentaje 4 2 2 8" xfId="38942"/>
    <cellStyle name="Porcentaje 4 2 3" xfId="1173"/>
    <cellStyle name="Porcentaje 4 2 3 2" xfId="2012"/>
    <cellStyle name="Porcentaje 4 2 3 2 2" xfId="5137"/>
    <cellStyle name="Porcentaje 4 2 3 2 2 2" xfId="11340"/>
    <cellStyle name="Porcentaje 4 2 3 2 2 3" xfId="17542"/>
    <cellStyle name="Porcentaje 4 2 3 2 2 4" xfId="56392"/>
    <cellStyle name="Porcentaje 4 2 3 2 3" xfId="8240"/>
    <cellStyle name="Porcentaje 4 2 3 2 4" xfId="14442"/>
    <cellStyle name="Porcentaje 4 2 3 2 5" xfId="53497"/>
    <cellStyle name="Porcentaje 4 2 3 3" xfId="3333"/>
    <cellStyle name="Porcentaje 4 2 3 3 2" xfId="6444"/>
    <cellStyle name="Porcentaje 4 2 3 3 2 2" xfId="12647"/>
    <cellStyle name="Porcentaje 4 2 3 3 2 3" xfId="18849"/>
    <cellStyle name="Porcentaje 4 2 3 3 2 4" xfId="57631"/>
    <cellStyle name="Porcentaje 4 2 3 3 3" xfId="9547"/>
    <cellStyle name="Porcentaje 4 2 3 3 4" xfId="15749"/>
    <cellStyle name="Porcentaje 4 2 3 3 5" xfId="54712"/>
    <cellStyle name="Porcentaje 4 2 3 4" xfId="4372"/>
    <cellStyle name="Porcentaje 4 2 3 4 2" xfId="10576"/>
    <cellStyle name="Porcentaje 4 2 3 4 3" xfId="16778"/>
    <cellStyle name="Porcentaje 4 2 3 4 4" xfId="55669"/>
    <cellStyle name="Porcentaje 4 2 3 5" xfId="7475"/>
    <cellStyle name="Porcentaje 4 2 3 5 2" xfId="19613"/>
    <cellStyle name="Porcentaje 4 2 3 6" xfId="13677"/>
    <cellStyle name="Porcentaje 4 2 3 7" xfId="52131"/>
    <cellStyle name="Porcentaje 4 2 4" xfId="1488"/>
    <cellStyle name="Porcentaje 4 2 4 2" xfId="4613"/>
    <cellStyle name="Porcentaje 4 2 4 2 2" xfId="10816"/>
    <cellStyle name="Porcentaje 4 2 4 2 3" xfId="17018"/>
    <cellStyle name="Porcentaje 4 2 4 2 4" xfId="55897"/>
    <cellStyle name="Porcentaje 4 2 4 3" xfId="7716"/>
    <cellStyle name="Porcentaje 4 2 4 4" xfId="13918"/>
    <cellStyle name="Porcentaje 4 2 4 5" xfId="53013"/>
    <cellStyle name="Porcentaje 4 2 5" xfId="3330"/>
    <cellStyle name="Porcentaje 4 2 5 2" xfId="6441"/>
    <cellStyle name="Porcentaje 4 2 5 2 2" xfId="12644"/>
    <cellStyle name="Porcentaje 4 2 5 2 3" xfId="18846"/>
    <cellStyle name="Porcentaje 4 2 5 2 4" xfId="57628"/>
    <cellStyle name="Porcentaje 4 2 5 3" xfId="9544"/>
    <cellStyle name="Porcentaje 4 2 5 4" xfId="15746"/>
    <cellStyle name="Porcentaje 4 2 5 5" xfId="54709"/>
    <cellStyle name="Porcentaje 4 2 6" xfId="4369"/>
    <cellStyle name="Porcentaje 4 2 6 2" xfId="10573"/>
    <cellStyle name="Porcentaje 4 2 6 3" xfId="16775"/>
    <cellStyle name="Porcentaje 4 2 6 4" xfId="55666"/>
    <cellStyle name="Porcentaje 4 2 7" xfId="7472"/>
    <cellStyle name="Porcentaje 4 2 7 2" xfId="19089"/>
    <cellStyle name="Porcentaje 4 2 8" xfId="13674"/>
    <cellStyle name="Porcentaje 4 2 9" xfId="20007"/>
    <cellStyle name="Porcentaje 4 3" xfId="1174"/>
    <cellStyle name="Porcentaje 4 3 2" xfId="1175"/>
    <cellStyle name="Porcentaje 4 3 2 2" xfId="2129"/>
    <cellStyle name="Porcentaje 4 3 2 2 2" xfId="5254"/>
    <cellStyle name="Porcentaje 4 3 2 2 2 2" xfId="11457"/>
    <cellStyle name="Porcentaje 4 3 2 2 2 3" xfId="17659"/>
    <cellStyle name="Porcentaje 4 3 2 2 2 4" xfId="56500"/>
    <cellStyle name="Porcentaje 4 3 2 2 3" xfId="8357"/>
    <cellStyle name="Porcentaje 4 3 2 2 4" xfId="14559"/>
    <cellStyle name="Porcentaje 4 3 2 2 5" xfId="53604"/>
    <cellStyle name="Porcentaje 4 3 2 3" xfId="3335"/>
    <cellStyle name="Porcentaje 4 3 2 3 2" xfId="6446"/>
    <cellStyle name="Porcentaje 4 3 2 3 2 2" xfId="12649"/>
    <cellStyle name="Porcentaje 4 3 2 3 2 3" xfId="18851"/>
    <cellStyle name="Porcentaje 4 3 2 3 2 4" xfId="57633"/>
    <cellStyle name="Porcentaje 4 3 2 3 3" xfId="9549"/>
    <cellStyle name="Porcentaje 4 3 2 3 4" xfId="15751"/>
    <cellStyle name="Porcentaje 4 3 2 3 5" xfId="54714"/>
    <cellStyle name="Porcentaje 4 3 2 4" xfId="4374"/>
    <cellStyle name="Porcentaje 4 3 2 4 2" xfId="10578"/>
    <cellStyle name="Porcentaje 4 3 2 4 3" xfId="16780"/>
    <cellStyle name="Porcentaje 4 3 2 4 4" xfId="55671"/>
    <cellStyle name="Porcentaje 4 3 2 5" xfId="7477"/>
    <cellStyle name="Porcentaje 4 3 2 5 2" xfId="19730"/>
    <cellStyle name="Porcentaje 4 3 2 6" xfId="13679"/>
    <cellStyle name="Porcentaje 4 3 2 7" xfId="52782"/>
    <cellStyle name="Porcentaje 4 3 3" xfId="1605"/>
    <cellStyle name="Porcentaje 4 3 3 2" xfId="4730"/>
    <cellStyle name="Porcentaje 4 3 3 2 2" xfId="10933"/>
    <cellStyle name="Porcentaje 4 3 3 2 3" xfId="17135"/>
    <cellStyle name="Porcentaje 4 3 3 2 4" xfId="56007"/>
    <cellStyle name="Porcentaje 4 3 3 3" xfId="7833"/>
    <cellStyle name="Porcentaje 4 3 3 4" xfId="14035"/>
    <cellStyle name="Porcentaje 4 3 3 5" xfId="53119"/>
    <cellStyle name="Porcentaje 4 3 4" xfId="3334"/>
    <cellStyle name="Porcentaje 4 3 4 2" xfId="6445"/>
    <cellStyle name="Porcentaje 4 3 4 2 2" xfId="12648"/>
    <cellStyle name="Porcentaje 4 3 4 2 3" xfId="18850"/>
    <cellStyle name="Porcentaje 4 3 4 2 4" xfId="57632"/>
    <cellStyle name="Porcentaje 4 3 4 3" xfId="9548"/>
    <cellStyle name="Porcentaje 4 3 4 4" xfId="15750"/>
    <cellStyle name="Porcentaje 4 3 4 5" xfId="54713"/>
    <cellStyle name="Porcentaje 4 3 5" xfId="4373"/>
    <cellStyle name="Porcentaje 4 3 5 2" xfId="10577"/>
    <cellStyle name="Porcentaje 4 3 5 3" xfId="16779"/>
    <cellStyle name="Porcentaje 4 3 5 4" xfId="55670"/>
    <cellStyle name="Porcentaje 4 3 6" xfId="7476"/>
    <cellStyle name="Porcentaje 4 3 6 2" xfId="19206"/>
    <cellStyle name="Porcentaje 4 3 6 3" xfId="52781"/>
    <cellStyle name="Porcentaje 4 3 7" xfId="13678"/>
    <cellStyle name="Porcentaje 4 3 8" xfId="38943"/>
    <cellStyle name="Porcentaje 4 4" xfId="1176"/>
    <cellStyle name="Porcentaje 4 4 2" xfId="1870"/>
    <cellStyle name="Porcentaje 4 4 2 2" xfId="4995"/>
    <cellStyle name="Porcentaje 4 4 2 2 2" xfId="11198"/>
    <cellStyle name="Porcentaje 4 4 2 2 3" xfId="17400"/>
    <cellStyle name="Porcentaje 4 4 2 2 4" xfId="56258"/>
    <cellStyle name="Porcentaje 4 4 2 3" xfId="8098"/>
    <cellStyle name="Porcentaje 4 4 2 4" xfId="14300"/>
    <cellStyle name="Porcentaje 4 4 2 5" xfId="53364"/>
    <cellStyle name="Porcentaje 4 4 3" xfId="3336"/>
    <cellStyle name="Porcentaje 4 4 3 2" xfId="6447"/>
    <cellStyle name="Porcentaje 4 4 3 2 2" xfId="12650"/>
    <cellStyle name="Porcentaje 4 4 3 2 3" xfId="18852"/>
    <cellStyle name="Porcentaje 4 4 3 2 4" xfId="57634"/>
    <cellStyle name="Porcentaje 4 4 3 3" xfId="9550"/>
    <cellStyle name="Porcentaje 4 4 3 4" xfId="15752"/>
    <cellStyle name="Porcentaje 4 4 3 5" xfId="54715"/>
    <cellStyle name="Porcentaje 4 4 4" xfId="4375"/>
    <cellStyle name="Porcentaje 4 4 4 2" xfId="10579"/>
    <cellStyle name="Porcentaje 4 4 4 3" xfId="16781"/>
    <cellStyle name="Porcentaje 4 4 4 4" xfId="55672"/>
    <cellStyle name="Porcentaje 4 4 5" xfId="7478"/>
    <cellStyle name="Porcentaje 4 4 5 2" xfId="19471"/>
    <cellStyle name="Porcentaje 4 4 5 3" xfId="52783"/>
    <cellStyle name="Porcentaje 4 4 6" xfId="13680"/>
    <cellStyle name="Porcentaje 4 4 7" xfId="38944"/>
    <cellStyle name="Porcentaje 4 5" xfId="1346"/>
    <cellStyle name="Porcentaje 4 5 2" xfId="4471"/>
    <cellStyle name="Porcentaje 4 5 2 2" xfId="10674"/>
    <cellStyle name="Porcentaje 4 5 2 3" xfId="16876"/>
    <cellStyle name="Porcentaje 4 5 2 4" xfId="55761"/>
    <cellStyle name="Porcentaje 4 5 3" xfId="7574"/>
    <cellStyle name="Porcentaje 4 5 3 2" xfId="52887"/>
    <cellStyle name="Porcentaje 4 5 4" xfId="13776"/>
    <cellStyle name="Porcentaje 4 5 5" xfId="38941"/>
    <cellStyle name="Porcentaje 4 6" xfId="3329"/>
    <cellStyle name="Porcentaje 4 6 2" xfId="6440"/>
    <cellStyle name="Porcentaje 4 6 2 2" xfId="12643"/>
    <cellStyle name="Porcentaje 4 6 2 3" xfId="18845"/>
    <cellStyle name="Porcentaje 4 6 2 4" xfId="57627"/>
    <cellStyle name="Porcentaje 4 6 3" xfId="9543"/>
    <cellStyle name="Porcentaje 4 6 4" xfId="15745"/>
    <cellStyle name="Porcentaje 4 6 5" xfId="51999"/>
    <cellStyle name="Porcentaje 4 7" xfId="4368"/>
    <cellStyle name="Porcentaje 4 7 2" xfId="10572"/>
    <cellStyle name="Porcentaje 4 7 3" xfId="16774"/>
    <cellStyle name="Porcentaje 4 7 4" xfId="55665"/>
    <cellStyle name="Porcentaje 4 8" xfId="7471"/>
    <cellStyle name="Porcentaje 4 8 2" xfId="18947"/>
    <cellStyle name="Porcentaje 4 9" xfId="13673"/>
    <cellStyle name="Porcentaje 5" xfId="1177"/>
    <cellStyle name="Porcentaje 5 2" xfId="49836"/>
    <cellStyle name="Porcentaje 5 3" xfId="52159"/>
    <cellStyle name="Porcentaje 5 4" xfId="38945"/>
    <cellStyle name="Porcentaje 6" xfId="1178"/>
    <cellStyle name="Porcentaje 6 2" xfId="19977"/>
    <cellStyle name="Porcentaje 6 2 2" xfId="20008"/>
    <cellStyle name="Porcentaje 6 2 2 2" xfId="38948"/>
    <cellStyle name="Porcentaje 6 2 3" xfId="38949"/>
    <cellStyle name="Porcentaje 6 2 4" xfId="38947"/>
    <cellStyle name="Porcentaje 6 2 5" xfId="49838"/>
    <cellStyle name="Porcentaje 6 3" xfId="20015"/>
    <cellStyle name="Porcentaje 6 3 2" xfId="38951"/>
    <cellStyle name="Porcentaje 6 3 2 2" xfId="49840"/>
    <cellStyle name="Porcentaje 6 3 3" xfId="38950"/>
    <cellStyle name="Porcentaje 6 3 4" xfId="49839"/>
    <cellStyle name="Porcentaje 6 4" xfId="38952"/>
    <cellStyle name="Porcentaje 6 4 2" xfId="49841"/>
    <cellStyle name="Porcentaje 6 5" xfId="38953"/>
    <cellStyle name="Porcentaje 6 6" xfId="38946"/>
    <cellStyle name="Porcentaje 6 7" xfId="49837"/>
    <cellStyle name="Porcentaje 6 8" xfId="19976"/>
    <cellStyle name="Porcentaje 7" xfId="1278"/>
    <cellStyle name="Porcentaje 7 2" xfId="4403"/>
    <cellStyle name="Porcentaje 7 2 2" xfId="10606"/>
    <cellStyle name="Porcentaje 7 2 2 2" xfId="49843"/>
    <cellStyle name="Porcentaje 7 2 3" xfId="16808"/>
    <cellStyle name="Porcentaje 7 2 4" xfId="38955"/>
    <cellStyle name="Porcentaje 7 3" xfId="7506"/>
    <cellStyle name="Porcentaje 7 3 2" xfId="49842"/>
    <cellStyle name="Porcentaje 7 4" xfId="13708"/>
    <cellStyle name="Porcentaje 7 5" xfId="38954"/>
    <cellStyle name="Porcentaje 8" xfId="18879"/>
    <cellStyle name="Porcentaje 9" xfId="51821"/>
    <cellStyle name="Porcentual 10" xfId="38956"/>
    <cellStyle name="Porcentual 10 2" xfId="38957"/>
    <cellStyle name="Porcentual 10 2 2" xfId="49845"/>
    <cellStyle name="Porcentual 10 3" xfId="49844"/>
    <cellStyle name="Porcentual 11" xfId="38958"/>
    <cellStyle name="Porcentual 11 2" xfId="38959"/>
    <cellStyle name="Porcentual 11 2 2" xfId="49847"/>
    <cellStyle name="Porcentual 11 3" xfId="38960"/>
    <cellStyle name="Porcentual 11 3 2" xfId="49848"/>
    <cellStyle name="Porcentual 11 4" xfId="49846"/>
    <cellStyle name="Porcentual 12" xfId="38961"/>
    <cellStyle name="Porcentual 12 2" xfId="38962"/>
    <cellStyle name="Porcentual 12 2 2" xfId="38963"/>
    <cellStyle name="Porcentual 12 2 2 2" xfId="38964"/>
    <cellStyle name="Porcentual 12 2 2 2 2" xfId="49852"/>
    <cellStyle name="Porcentual 12 2 2 3" xfId="49851"/>
    <cellStyle name="Porcentual 12 2 3" xfId="38965"/>
    <cellStyle name="Porcentual 12 2 3 2" xfId="49853"/>
    <cellStyle name="Porcentual 12 2 4" xfId="49850"/>
    <cellStyle name="Porcentual 12 3" xfId="38966"/>
    <cellStyle name="Porcentual 12 3 2" xfId="38967"/>
    <cellStyle name="Porcentual 12 3 2 2" xfId="49855"/>
    <cellStyle name="Porcentual 12 3 3" xfId="49854"/>
    <cellStyle name="Porcentual 12 4" xfId="38968"/>
    <cellStyle name="Porcentual 12 4 2" xfId="49856"/>
    <cellStyle name="Porcentual 12 5" xfId="49849"/>
    <cellStyle name="Porcentual 2" xfId="1179"/>
    <cellStyle name="Porcentual 2 10" xfId="38970"/>
    <cellStyle name="Porcentual 2 10 2" xfId="38971"/>
    <cellStyle name="Porcentual 2 10 2 2" xfId="49859"/>
    <cellStyle name="Porcentual 2 10 3" xfId="38972"/>
    <cellStyle name="Porcentual 2 10 3 2" xfId="49860"/>
    <cellStyle name="Porcentual 2 10 4" xfId="38973"/>
    <cellStyle name="Porcentual 2 10 4 2" xfId="49861"/>
    <cellStyle name="Porcentual 2 10 5" xfId="49858"/>
    <cellStyle name="Porcentual 2 11" xfId="38974"/>
    <cellStyle name="Porcentual 2 11 2" xfId="38975"/>
    <cellStyle name="Porcentual 2 11 2 2" xfId="49863"/>
    <cellStyle name="Porcentual 2 11 3" xfId="38976"/>
    <cellStyle name="Porcentual 2 11 3 2" xfId="49864"/>
    <cellStyle name="Porcentual 2 11 4" xfId="38977"/>
    <cellStyle name="Porcentual 2 11 4 2" xfId="49865"/>
    <cellStyle name="Porcentual 2 11 5" xfId="49862"/>
    <cellStyle name="Porcentual 2 12" xfId="38978"/>
    <cellStyle name="Porcentual 2 12 2" xfId="38979"/>
    <cellStyle name="Porcentual 2 12 2 2" xfId="49867"/>
    <cellStyle name="Porcentual 2 12 3" xfId="49866"/>
    <cellStyle name="Porcentual 2 13" xfId="38980"/>
    <cellStyle name="Porcentual 2 13 2" xfId="38981"/>
    <cellStyle name="Porcentual 2 13 2 2" xfId="49869"/>
    <cellStyle name="Porcentual 2 13 3" xfId="49868"/>
    <cellStyle name="Porcentual 2 14" xfId="38982"/>
    <cellStyle name="Porcentual 2 14 2" xfId="38983"/>
    <cellStyle name="Porcentual 2 14 2 2" xfId="49871"/>
    <cellStyle name="Porcentual 2 14 3" xfId="49870"/>
    <cellStyle name="Porcentual 2 15" xfId="38984"/>
    <cellStyle name="Porcentual 2 15 2" xfId="49872"/>
    <cellStyle name="Porcentual 2 16" xfId="38985"/>
    <cellStyle name="Porcentual 2 17" xfId="38986"/>
    <cellStyle name="Porcentual 2 18" xfId="38969"/>
    <cellStyle name="Porcentual 2 19" xfId="19978"/>
    <cellStyle name="Porcentual 2 2" xfId="19979"/>
    <cellStyle name="Porcentual 2 2 2" xfId="19980"/>
    <cellStyle name="Porcentual 2 2 2 2" xfId="38989"/>
    <cellStyle name="Porcentual 2 2 2 3" xfId="38988"/>
    <cellStyle name="Porcentual 2 2 3" xfId="19981"/>
    <cellStyle name="Porcentual 2 2 3 2" xfId="38991"/>
    <cellStyle name="Porcentual 2 2 3 3" xfId="38990"/>
    <cellStyle name="Porcentual 2 2 3 4" xfId="49875"/>
    <cellStyle name="Porcentual 2 2 4" xfId="38992"/>
    <cellStyle name="Porcentual 2 2 4 2" xfId="49876"/>
    <cellStyle name="Porcentual 2 2 5" xfId="38993"/>
    <cellStyle name="Porcentual 2 2 6" xfId="38994"/>
    <cellStyle name="Porcentual 2 2 7" xfId="38987"/>
    <cellStyle name="Porcentual 2 3" xfId="19982"/>
    <cellStyle name="Porcentual 2 3 2" xfId="38996"/>
    <cellStyle name="Porcentual 2 3 2 2" xfId="49878"/>
    <cellStyle name="Porcentual 2 3 3" xfId="38997"/>
    <cellStyle name="Porcentual 2 3 3 2" xfId="49879"/>
    <cellStyle name="Porcentual 2 3 4" xfId="38998"/>
    <cellStyle name="Porcentual 2 3 4 2" xfId="49880"/>
    <cellStyle name="Porcentual 2 3 5" xfId="38999"/>
    <cellStyle name="Porcentual 2 3 6" xfId="39000"/>
    <cellStyle name="Porcentual 2 3 7" xfId="38995"/>
    <cellStyle name="Porcentual 2 3 8" xfId="49877"/>
    <cellStyle name="Porcentual 2 4" xfId="39001"/>
    <cellStyle name="Porcentual 2 4 2" xfId="39002"/>
    <cellStyle name="Porcentual 2 4 2 2" xfId="49882"/>
    <cellStyle name="Porcentual 2 4 3" xfId="39003"/>
    <cellStyle name="Porcentual 2 4 3 2" xfId="49883"/>
    <cellStyle name="Porcentual 2 4 4" xfId="39004"/>
    <cellStyle name="Porcentual 2 4 4 2" xfId="49884"/>
    <cellStyle name="Porcentual 2 4 5" xfId="49881"/>
    <cellStyle name="Porcentual 2 5" xfId="39005"/>
    <cellStyle name="Porcentual 2 5 2" xfId="39006"/>
    <cellStyle name="Porcentual 2 5 2 2" xfId="49886"/>
    <cellStyle name="Porcentual 2 5 3" xfId="39007"/>
    <cellStyle name="Porcentual 2 5 3 2" xfId="49887"/>
    <cellStyle name="Porcentual 2 5 4" xfId="39008"/>
    <cellStyle name="Porcentual 2 5 4 2" xfId="49888"/>
    <cellStyle name="Porcentual 2 5 5" xfId="49885"/>
    <cellStyle name="Porcentual 2 6" xfId="39009"/>
    <cellStyle name="Porcentual 2 6 2" xfId="39010"/>
    <cellStyle name="Porcentual 2 6 2 2" xfId="49890"/>
    <cellStyle name="Porcentual 2 6 3" xfId="39011"/>
    <cellStyle name="Porcentual 2 6 3 2" xfId="49891"/>
    <cellStyle name="Porcentual 2 6 4" xfId="39012"/>
    <cellStyle name="Porcentual 2 6 4 2" xfId="49892"/>
    <cellStyle name="Porcentual 2 6 5" xfId="49889"/>
    <cellStyle name="Porcentual 2 7" xfId="39013"/>
    <cellStyle name="Porcentual 2 7 2" xfId="39014"/>
    <cellStyle name="Porcentual 2 7 2 2" xfId="49894"/>
    <cellStyle name="Porcentual 2 7 3" xfId="39015"/>
    <cellStyle name="Porcentual 2 7 3 2" xfId="49895"/>
    <cellStyle name="Porcentual 2 7 4" xfId="39016"/>
    <cellStyle name="Porcentual 2 7 4 2" xfId="49896"/>
    <cellStyle name="Porcentual 2 7 5" xfId="49893"/>
    <cellStyle name="Porcentual 2 8" xfId="39017"/>
    <cellStyle name="Porcentual 2 8 2" xfId="39018"/>
    <cellStyle name="Porcentual 2 8 2 2" xfId="49898"/>
    <cellStyle name="Porcentual 2 8 3" xfId="39019"/>
    <cellStyle name="Porcentual 2 8 3 2" xfId="49899"/>
    <cellStyle name="Porcentual 2 8 4" xfId="39020"/>
    <cellStyle name="Porcentual 2 8 4 2" xfId="49900"/>
    <cellStyle name="Porcentual 2 8 5" xfId="49897"/>
    <cellStyle name="Porcentual 2 9" xfId="39021"/>
    <cellStyle name="Porcentual 2 9 2" xfId="39022"/>
    <cellStyle name="Porcentual 2 9 2 2" xfId="49902"/>
    <cellStyle name="Porcentual 2 9 3" xfId="39023"/>
    <cellStyle name="Porcentual 2 9 3 2" xfId="49903"/>
    <cellStyle name="Porcentual 2 9 4" xfId="39024"/>
    <cellStyle name="Porcentual 2 9 4 2" xfId="49904"/>
    <cellStyle name="Porcentual 2 9 5" xfId="49901"/>
    <cellStyle name="Porcentual 3" xfId="39025"/>
    <cellStyle name="Porcentual 3 10" xfId="39026"/>
    <cellStyle name="Porcentual 3 10 2" xfId="39027"/>
    <cellStyle name="Porcentual 3 10 2 2" xfId="49907"/>
    <cellStyle name="Porcentual 3 10 3" xfId="39028"/>
    <cellStyle name="Porcentual 3 10 3 2" xfId="49908"/>
    <cellStyle name="Porcentual 3 10 4" xfId="39029"/>
    <cellStyle name="Porcentual 3 10 4 2" xfId="49909"/>
    <cellStyle name="Porcentual 3 10 5" xfId="49906"/>
    <cellStyle name="Porcentual 3 11" xfId="39030"/>
    <cellStyle name="Porcentual 3 11 2" xfId="39031"/>
    <cellStyle name="Porcentual 3 11 2 2" xfId="49911"/>
    <cellStyle name="Porcentual 3 11 3" xfId="39032"/>
    <cellStyle name="Porcentual 3 11 3 2" xfId="49912"/>
    <cellStyle name="Porcentual 3 11 4" xfId="39033"/>
    <cellStyle name="Porcentual 3 11 4 2" xfId="49913"/>
    <cellStyle name="Porcentual 3 11 5" xfId="49910"/>
    <cellStyle name="Porcentual 3 12" xfId="39034"/>
    <cellStyle name="Porcentual 3 12 2" xfId="39035"/>
    <cellStyle name="Porcentual 3 12 2 2" xfId="49915"/>
    <cellStyle name="Porcentual 3 12 3" xfId="39036"/>
    <cellStyle name="Porcentual 3 12 3 2" xfId="49916"/>
    <cellStyle name="Porcentual 3 12 4" xfId="39037"/>
    <cellStyle name="Porcentual 3 12 4 2" xfId="49917"/>
    <cellStyle name="Porcentual 3 12 5" xfId="49914"/>
    <cellStyle name="Porcentual 3 13" xfId="39038"/>
    <cellStyle name="Porcentual 3 13 2" xfId="39039"/>
    <cellStyle name="Porcentual 3 13 2 2" xfId="49919"/>
    <cellStyle name="Porcentual 3 13 3" xfId="49918"/>
    <cellStyle name="Porcentual 3 14" xfId="39040"/>
    <cellStyle name="Porcentual 3 14 2" xfId="49920"/>
    <cellStyle name="Porcentual 3 15" xfId="39041"/>
    <cellStyle name="Porcentual 3 15 2" xfId="39042"/>
    <cellStyle name="Porcentual 3 15 2 2" xfId="49922"/>
    <cellStyle name="Porcentual 3 15 3" xfId="49921"/>
    <cellStyle name="Porcentual 3 16" xfId="39043"/>
    <cellStyle name="Porcentual 3 16 2" xfId="39044"/>
    <cellStyle name="Porcentual 3 16 2 2" xfId="39045"/>
    <cellStyle name="Porcentual 3 16 2 2 2" xfId="49925"/>
    <cellStyle name="Porcentual 3 16 2 3" xfId="49924"/>
    <cellStyle name="Porcentual 3 16 3" xfId="39046"/>
    <cellStyle name="Porcentual 3 16 3 2" xfId="49926"/>
    <cellStyle name="Porcentual 3 16 4" xfId="49923"/>
    <cellStyle name="Porcentual 3 17" xfId="39047"/>
    <cellStyle name="Porcentual 3 17 2" xfId="49927"/>
    <cellStyle name="Porcentual 3 18" xfId="49905"/>
    <cellStyle name="Porcentual 3 2" xfId="39048"/>
    <cellStyle name="Porcentual 3 2 2" xfId="39049"/>
    <cellStyle name="Porcentual 3 2 2 2" xfId="39050"/>
    <cellStyle name="Porcentual 3 2 2 2 2" xfId="49930"/>
    <cellStyle name="Porcentual 3 2 2 3" xfId="49929"/>
    <cellStyle name="Porcentual 3 2 3" xfId="39051"/>
    <cellStyle name="Porcentual 3 2 3 2" xfId="49931"/>
    <cellStyle name="Porcentual 3 2 4" xfId="39052"/>
    <cellStyle name="Porcentual 3 2 4 2" xfId="49932"/>
    <cellStyle name="Porcentual 3 2 5" xfId="39053"/>
    <cellStyle name="Porcentual 3 2 5 2" xfId="49933"/>
    <cellStyle name="Porcentual 3 2 6" xfId="39054"/>
    <cellStyle name="Porcentual 3 2 6 2" xfId="49934"/>
    <cellStyle name="Porcentual 3 2 7" xfId="49928"/>
    <cellStyle name="Porcentual 3 3" xfId="39055"/>
    <cellStyle name="Porcentual 3 3 2" xfId="39056"/>
    <cellStyle name="Porcentual 3 3 2 2" xfId="49936"/>
    <cellStyle name="Porcentual 3 3 3" xfId="39057"/>
    <cellStyle name="Porcentual 3 3 3 2" xfId="49937"/>
    <cellStyle name="Porcentual 3 3 4" xfId="39058"/>
    <cellStyle name="Porcentual 3 3 4 2" xfId="49938"/>
    <cellStyle name="Porcentual 3 3 5" xfId="39059"/>
    <cellStyle name="Porcentual 3 3 5 2" xfId="39060"/>
    <cellStyle name="Porcentual 3 3 5 2 2" xfId="39061"/>
    <cellStyle name="Porcentual 3 3 5 2 2 2" xfId="49941"/>
    <cellStyle name="Porcentual 3 3 5 2 3" xfId="49940"/>
    <cellStyle name="Porcentual 3 3 5 3" xfId="39062"/>
    <cellStyle name="Porcentual 3 3 5 3 2" xfId="49942"/>
    <cellStyle name="Porcentual 3 3 5 4" xfId="49939"/>
    <cellStyle name="Porcentual 3 3 6" xfId="49935"/>
    <cellStyle name="Porcentual 3 4" xfId="39063"/>
    <cellStyle name="Porcentual 3 4 2" xfId="39064"/>
    <cellStyle name="Porcentual 3 4 2 2" xfId="49944"/>
    <cellStyle name="Porcentual 3 4 3" xfId="39065"/>
    <cellStyle name="Porcentual 3 4 3 2" xfId="49945"/>
    <cellStyle name="Porcentual 3 4 4" xfId="39066"/>
    <cellStyle name="Porcentual 3 4 4 2" xfId="49946"/>
    <cellStyle name="Porcentual 3 4 5" xfId="49943"/>
    <cellStyle name="Porcentual 3 5" xfId="39067"/>
    <cellStyle name="Porcentual 3 5 2" xfId="39068"/>
    <cellStyle name="Porcentual 3 5 2 2" xfId="49948"/>
    <cellStyle name="Porcentual 3 5 3" xfId="39069"/>
    <cellStyle name="Porcentual 3 5 3 2" xfId="49949"/>
    <cellStyle name="Porcentual 3 5 4" xfId="39070"/>
    <cellStyle name="Porcentual 3 5 4 2" xfId="49950"/>
    <cellStyle name="Porcentual 3 5 5" xfId="49947"/>
    <cellStyle name="Porcentual 3 6" xfId="39071"/>
    <cellStyle name="Porcentual 3 6 2" xfId="39072"/>
    <cellStyle name="Porcentual 3 6 2 2" xfId="49952"/>
    <cellStyle name="Porcentual 3 6 3" xfId="39073"/>
    <cellStyle name="Porcentual 3 6 3 2" xfId="49953"/>
    <cellStyle name="Porcentual 3 6 4" xfId="39074"/>
    <cellStyle name="Porcentual 3 6 4 2" xfId="49954"/>
    <cellStyle name="Porcentual 3 6 5" xfId="49951"/>
    <cellStyle name="Porcentual 3 7" xfId="39075"/>
    <cellStyle name="Porcentual 3 7 2" xfId="39076"/>
    <cellStyle name="Porcentual 3 7 2 2" xfId="49956"/>
    <cellStyle name="Porcentual 3 7 3" xfId="39077"/>
    <cellStyle name="Porcentual 3 7 3 2" xfId="49957"/>
    <cellStyle name="Porcentual 3 7 4" xfId="39078"/>
    <cellStyle name="Porcentual 3 7 4 2" xfId="49958"/>
    <cellStyle name="Porcentual 3 7 5" xfId="49955"/>
    <cellStyle name="Porcentual 3 8" xfId="39079"/>
    <cellStyle name="Porcentual 3 8 2" xfId="39080"/>
    <cellStyle name="Porcentual 3 8 2 2" xfId="49960"/>
    <cellStyle name="Porcentual 3 8 3" xfId="39081"/>
    <cellStyle name="Porcentual 3 8 3 2" xfId="49961"/>
    <cellStyle name="Porcentual 3 8 4" xfId="39082"/>
    <cellStyle name="Porcentual 3 8 4 2" xfId="49962"/>
    <cellStyle name="Porcentual 3 8 5" xfId="49959"/>
    <cellStyle name="Porcentual 3 9" xfId="39083"/>
    <cellStyle name="Porcentual 3 9 2" xfId="39084"/>
    <cellStyle name="Porcentual 3 9 2 2" xfId="49964"/>
    <cellStyle name="Porcentual 3 9 3" xfId="39085"/>
    <cellStyle name="Porcentual 3 9 3 2" xfId="49965"/>
    <cellStyle name="Porcentual 3 9 4" xfId="39086"/>
    <cellStyle name="Porcentual 3 9 4 2" xfId="49966"/>
    <cellStyle name="Porcentual 3 9 5" xfId="49963"/>
    <cellStyle name="Porcentual 4" xfId="39087"/>
    <cellStyle name="Porcentual 4 10" xfId="39088"/>
    <cellStyle name="Porcentual 4 10 2" xfId="39089"/>
    <cellStyle name="Porcentual 4 10 2 2" xfId="49969"/>
    <cellStyle name="Porcentual 4 10 3" xfId="39090"/>
    <cellStyle name="Porcentual 4 10 3 2" xfId="49970"/>
    <cellStyle name="Porcentual 4 10 4" xfId="39091"/>
    <cellStyle name="Porcentual 4 10 4 2" xfId="49971"/>
    <cellStyle name="Porcentual 4 10 5" xfId="49968"/>
    <cellStyle name="Porcentual 4 11" xfId="39092"/>
    <cellStyle name="Porcentual 4 11 2" xfId="39093"/>
    <cellStyle name="Porcentual 4 11 2 2" xfId="49973"/>
    <cellStyle name="Porcentual 4 11 3" xfId="39094"/>
    <cellStyle name="Porcentual 4 11 3 2" xfId="49974"/>
    <cellStyle name="Porcentual 4 11 4" xfId="39095"/>
    <cellStyle name="Porcentual 4 11 4 2" xfId="49975"/>
    <cellStyle name="Porcentual 4 11 5" xfId="49972"/>
    <cellStyle name="Porcentual 4 12" xfId="39096"/>
    <cellStyle name="Porcentual 4 12 2" xfId="39097"/>
    <cellStyle name="Porcentual 4 12 2 2" xfId="49977"/>
    <cellStyle name="Porcentual 4 12 3" xfId="39098"/>
    <cellStyle name="Porcentual 4 12 3 2" xfId="49978"/>
    <cellStyle name="Porcentual 4 12 4" xfId="39099"/>
    <cellStyle name="Porcentual 4 12 4 2" xfId="49979"/>
    <cellStyle name="Porcentual 4 12 5" xfId="49976"/>
    <cellStyle name="Porcentual 4 13" xfId="39100"/>
    <cellStyle name="Porcentual 4 13 2" xfId="39101"/>
    <cellStyle name="Porcentual 4 13 2 2" xfId="49981"/>
    <cellStyle name="Porcentual 4 13 3" xfId="49980"/>
    <cellStyle name="Porcentual 4 14" xfId="39102"/>
    <cellStyle name="Porcentual 4 14 2" xfId="49982"/>
    <cellStyle name="Porcentual 4 15" xfId="39103"/>
    <cellStyle name="Porcentual 4 15 2" xfId="49983"/>
    <cellStyle name="Porcentual 4 16" xfId="39104"/>
    <cellStyle name="Porcentual 4 16 2" xfId="49984"/>
    <cellStyle name="Porcentual 4 17" xfId="39105"/>
    <cellStyle name="Porcentual 4 17 2" xfId="39106"/>
    <cellStyle name="Porcentual 4 17 2 2" xfId="49986"/>
    <cellStyle name="Porcentual 4 17 3" xfId="49985"/>
    <cellStyle name="Porcentual 4 18" xfId="49967"/>
    <cellStyle name="Porcentual 4 2" xfId="39107"/>
    <cellStyle name="Porcentual 4 2 2" xfId="39108"/>
    <cellStyle name="Porcentual 4 2 2 2" xfId="49988"/>
    <cellStyle name="Porcentual 4 2 3" xfId="39109"/>
    <cellStyle name="Porcentual 4 2 3 2" xfId="49989"/>
    <cellStyle name="Porcentual 4 2 4" xfId="39110"/>
    <cellStyle name="Porcentual 4 2 4 2" xfId="49990"/>
    <cellStyle name="Porcentual 4 2 5" xfId="49987"/>
    <cellStyle name="Porcentual 4 3" xfId="39111"/>
    <cellStyle name="Porcentual 4 3 2" xfId="39112"/>
    <cellStyle name="Porcentual 4 3 2 2" xfId="49992"/>
    <cellStyle name="Porcentual 4 3 3" xfId="39113"/>
    <cellStyle name="Porcentual 4 3 3 2" xfId="49993"/>
    <cellStyle name="Porcentual 4 3 4" xfId="39114"/>
    <cellStyle name="Porcentual 4 3 4 2" xfId="49994"/>
    <cellStyle name="Porcentual 4 3 5" xfId="49991"/>
    <cellStyle name="Porcentual 4 4" xfId="39115"/>
    <cellStyle name="Porcentual 4 4 2" xfId="39116"/>
    <cellStyle name="Porcentual 4 4 2 2" xfId="49996"/>
    <cellStyle name="Porcentual 4 4 3" xfId="39117"/>
    <cellStyle name="Porcentual 4 4 3 2" xfId="49997"/>
    <cellStyle name="Porcentual 4 4 4" xfId="39118"/>
    <cellStyle name="Porcentual 4 4 4 2" xfId="49998"/>
    <cellStyle name="Porcentual 4 4 5" xfId="49995"/>
    <cellStyle name="Porcentual 4 5" xfId="39119"/>
    <cellStyle name="Porcentual 4 5 2" xfId="39120"/>
    <cellStyle name="Porcentual 4 5 2 2" xfId="50000"/>
    <cellStyle name="Porcentual 4 5 3" xfId="39121"/>
    <cellStyle name="Porcentual 4 5 3 2" xfId="50001"/>
    <cellStyle name="Porcentual 4 5 4" xfId="39122"/>
    <cellStyle name="Porcentual 4 5 4 2" xfId="50002"/>
    <cellStyle name="Porcentual 4 5 5" xfId="49999"/>
    <cellStyle name="Porcentual 4 6" xfId="39123"/>
    <cellStyle name="Porcentual 4 6 2" xfId="39124"/>
    <cellStyle name="Porcentual 4 6 2 2" xfId="50004"/>
    <cellStyle name="Porcentual 4 6 3" xfId="39125"/>
    <cellStyle name="Porcentual 4 6 3 2" xfId="50005"/>
    <cellStyle name="Porcentual 4 6 4" xfId="39126"/>
    <cellStyle name="Porcentual 4 6 4 2" xfId="50006"/>
    <cellStyle name="Porcentual 4 6 5" xfId="50003"/>
    <cellStyle name="Porcentual 4 7" xfId="39127"/>
    <cellStyle name="Porcentual 4 7 2" xfId="39128"/>
    <cellStyle name="Porcentual 4 7 2 2" xfId="50008"/>
    <cellStyle name="Porcentual 4 7 3" xfId="39129"/>
    <cellStyle name="Porcentual 4 7 3 2" xfId="50009"/>
    <cellStyle name="Porcentual 4 7 4" xfId="39130"/>
    <cellStyle name="Porcentual 4 7 4 2" xfId="50010"/>
    <cellStyle name="Porcentual 4 7 5" xfId="50007"/>
    <cellStyle name="Porcentual 4 8" xfId="39131"/>
    <cellStyle name="Porcentual 4 8 2" xfId="39132"/>
    <cellStyle name="Porcentual 4 8 2 2" xfId="50012"/>
    <cellStyle name="Porcentual 4 8 3" xfId="39133"/>
    <cellStyle name="Porcentual 4 8 3 2" xfId="50013"/>
    <cellStyle name="Porcentual 4 8 4" xfId="39134"/>
    <cellStyle name="Porcentual 4 8 4 2" xfId="50014"/>
    <cellStyle name="Porcentual 4 8 5" xfId="50011"/>
    <cellStyle name="Porcentual 4 9" xfId="39135"/>
    <cellStyle name="Porcentual 4 9 2" xfId="39136"/>
    <cellStyle name="Porcentual 4 9 2 2" xfId="50016"/>
    <cellStyle name="Porcentual 4 9 3" xfId="39137"/>
    <cellStyle name="Porcentual 4 9 3 2" xfId="50017"/>
    <cellStyle name="Porcentual 4 9 4" xfId="39138"/>
    <cellStyle name="Porcentual 4 9 4 2" xfId="50018"/>
    <cellStyle name="Porcentual 4 9 5" xfId="50015"/>
    <cellStyle name="Porcentual 5" xfId="39139"/>
    <cellStyle name="Porcentual 5 10" xfId="50019"/>
    <cellStyle name="Porcentual 5 2" xfId="39140"/>
    <cellStyle name="Porcentual 5 2 10" xfId="39141"/>
    <cellStyle name="Porcentual 5 2 10 2" xfId="39142"/>
    <cellStyle name="Porcentual 5 2 10 2 2" xfId="39143"/>
    <cellStyle name="Porcentual 5 2 10 2 2 2" xfId="50023"/>
    <cellStyle name="Porcentual 5 2 10 2 3" xfId="50022"/>
    <cellStyle name="Porcentual 5 2 10 3" xfId="39144"/>
    <cellStyle name="Porcentual 5 2 10 3 2" xfId="50024"/>
    <cellStyle name="Porcentual 5 2 10 4" xfId="50021"/>
    <cellStyle name="Porcentual 5 2 11" xfId="39145"/>
    <cellStyle name="Porcentual 5 2 11 2" xfId="39146"/>
    <cellStyle name="Porcentual 5 2 11 2 2" xfId="39147"/>
    <cellStyle name="Porcentual 5 2 11 2 2 2" xfId="50027"/>
    <cellStyle name="Porcentual 5 2 11 2 3" xfId="50026"/>
    <cellStyle name="Porcentual 5 2 11 3" xfId="39148"/>
    <cellStyle name="Porcentual 5 2 11 3 2" xfId="50028"/>
    <cellStyle name="Porcentual 5 2 11 4" xfId="50025"/>
    <cellStyle name="Porcentual 5 2 12" xfId="39149"/>
    <cellStyle name="Porcentual 5 2 12 2" xfId="39150"/>
    <cellStyle name="Porcentual 5 2 12 2 2" xfId="39151"/>
    <cellStyle name="Porcentual 5 2 12 2 2 2" xfId="50031"/>
    <cellStyle name="Porcentual 5 2 12 2 3" xfId="50030"/>
    <cellStyle name="Porcentual 5 2 12 3" xfId="39152"/>
    <cellStyle name="Porcentual 5 2 12 3 2" xfId="50032"/>
    <cellStyle name="Porcentual 5 2 12 4" xfId="50029"/>
    <cellStyle name="Porcentual 5 2 13" xfId="39153"/>
    <cellStyle name="Porcentual 5 2 13 2" xfId="39154"/>
    <cellStyle name="Porcentual 5 2 13 2 2" xfId="50034"/>
    <cellStyle name="Porcentual 5 2 13 3" xfId="50033"/>
    <cellStyle name="Porcentual 5 2 14" xfId="39155"/>
    <cellStyle name="Porcentual 5 2 14 2" xfId="39156"/>
    <cellStyle name="Porcentual 5 2 14 2 2" xfId="50036"/>
    <cellStyle name="Porcentual 5 2 14 3" xfId="50035"/>
    <cellStyle name="Porcentual 5 2 15" xfId="39157"/>
    <cellStyle name="Porcentual 5 2 15 2" xfId="50037"/>
    <cellStyle name="Porcentual 5 2 16" xfId="39158"/>
    <cellStyle name="Porcentual 5 2 16 2" xfId="50038"/>
    <cellStyle name="Porcentual 5 2 17" xfId="50020"/>
    <cellStyle name="Porcentual 5 2 2" xfId="39159"/>
    <cellStyle name="Porcentual 5 2 2 10" xfId="39160"/>
    <cellStyle name="Porcentual 5 2 2 10 2" xfId="39161"/>
    <cellStyle name="Porcentual 5 2 2 10 2 2" xfId="39162"/>
    <cellStyle name="Porcentual 5 2 2 10 2 2 2" xfId="50042"/>
    <cellStyle name="Porcentual 5 2 2 10 2 3" xfId="50041"/>
    <cellStyle name="Porcentual 5 2 2 10 3" xfId="39163"/>
    <cellStyle name="Porcentual 5 2 2 10 3 2" xfId="50043"/>
    <cellStyle name="Porcentual 5 2 2 10 4" xfId="50040"/>
    <cellStyle name="Porcentual 5 2 2 11" xfId="39164"/>
    <cellStyle name="Porcentual 5 2 2 11 2" xfId="39165"/>
    <cellStyle name="Porcentual 5 2 2 11 2 2" xfId="50045"/>
    <cellStyle name="Porcentual 5 2 2 11 3" xfId="50044"/>
    <cellStyle name="Porcentual 5 2 2 12" xfId="39166"/>
    <cellStyle name="Porcentual 5 2 2 12 2" xfId="39167"/>
    <cellStyle name="Porcentual 5 2 2 12 2 2" xfId="50047"/>
    <cellStyle name="Porcentual 5 2 2 12 3" xfId="50046"/>
    <cellStyle name="Porcentual 5 2 2 13" xfId="39168"/>
    <cellStyle name="Porcentual 5 2 2 13 2" xfId="50048"/>
    <cellStyle name="Porcentual 5 2 2 14" xfId="39169"/>
    <cellStyle name="Porcentual 5 2 2 14 2" xfId="50049"/>
    <cellStyle name="Porcentual 5 2 2 15" xfId="50039"/>
    <cellStyle name="Porcentual 5 2 2 2" xfId="39170"/>
    <cellStyle name="Porcentual 5 2 2 2 2" xfId="39171"/>
    <cellStyle name="Porcentual 5 2 2 2 2 2" xfId="39172"/>
    <cellStyle name="Porcentual 5 2 2 2 2 2 2" xfId="39173"/>
    <cellStyle name="Porcentual 5 2 2 2 2 2 2 2" xfId="39174"/>
    <cellStyle name="Porcentual 5 2 2 2 2 2 2 2 2" xfId="39175"/>
    <cellStyle name="Porcentual 5 2 2 2 2 2 2 2 2 2" xfId="50055"/>
    <cellStyle name="Porcentual 5 2 2 2 2 2 2 2 3" xfId="50054"/>
    <cellStyle name="Porcentual 5 2 2 2 2 2 2 3" xfId="39176"/>
    <cellStyle name="Porcentual 5 2 2 2 2 2 2 3 2" xfId="39177"/>
    <cellStyle name="Porcentual 5 2 2 2 2 2 2 3 2 2" xfId="50057"/>
    <cellStyle name="Porcentual 5 2 2 2 2 2 2 3 3" xfId="50056"/>
    <cellStyle name="Porcentual 5 2 2 2 2 2 2 4" xfId="39178"/>
    <cellStyle name="Porcentual 5 2 2 2 2 2 2 4 2" xfId="50058"/>
    <cellStyle name="Porcentual 5 2 2 2 2 2 2 5" xfId="50053"/>
    <cellStyle name="Porcentual 5 2 2 2 2 2 3" xfId="39179"/>
    <cellStyle name="Porcentual 5 2 2 2 2 2 3 2" xfId="50059"/>
    <cellStyle name="Porcentual 5 2 2 2 2 2 4" xfId="39180"/>
    <cellStyle name="Porcentual 5 2 2 2 2 2 4 2" xfId="39181"/>
    <cellStyle name="Porcentual 5 2 2 2 2 2 4 2 2" xfId="50061"/>
    <cellStyle name="Porcentual 5 2 2 2 2 2 4 3" xfId="50060"/>
    <cellStyle name="Porcentual 5 2 2 2 2 2 5" xfId="39182"/>
    <cellStyle name="Porcentual 5 2 2 2 2 2 5 2" xfId="50062"/>
    <cellStyle name="Porcentual 5 2 2 2 2 2 6" xfId="50052"/>
    <cellStyle name="Porcentual 5 2 2 2 2 3" xfId="39183"/>
    <cellStyle name="Porcentual 5 2 2 2 2 3 2" xfId="39184"/>
    <cellStyle name="Porcentual 5 2 2 2 2 3 2 2" xfId="39185"/>
    <cellStyle name="Porcentual 5 2 2 2 2 3 2 2 2" xfId="50065"/>
    <cellStyle name="Porcentual 5 2 2 2 2 3 2 3" xfId="50064"/>
    <cellStyle name="Porcentual 5 2 2 2 2 3 3" xfId="39186"/>
    <cellStyle name="Porcentual 5 2 2 2 2 3 3 2" xfId="39187"/>
    <cellStyle name="Porcentual 5 2 2 2 2 3 3 2 2" xfId="50067"/>
    <cellStyle name="Porcentual 5 2 2 2 2 3 3 3" xfId="50066"/>
    <cellStyle name="Porcentual 5 2 2 2 2 3 4" xfId="39188"/>
    <cellStyle name="Porcentual 5 2 2 2 2 3 4 2" xfId="50068"/>
    <cellStyle name="Porcentual 5 2 2 2 2 3 5" xfId="50063"/>
    <cellStyle name="Porcentual 5 2 2 2 2 4" xfId="39189"/>
    <cellStyle name="Porcentual 5 2 2 2 2 4 2" xfId="50069"/>
    <cellStyle name="Porcentual 5 2 2 2 2 5" xfId="39190"/>
    <cellStyle name="Porcentual 5 2 2 2 2 5 2" xfId="39191"/>
    <cellStyle name="Porcentual 5 2 2 2 2 5 2 2" xfId="50071"/>
    <cellStyle name="Porcentual 5 2 2 2 2 5 3" xfId="50070"/>
    <cellStyle name="Porcentual 5 2 2 2 2 6" xfId="39192"/>
    <cellStyle name="Porcentual 5 2 2 2 2 6 2" xfId="50072"/>
    <cellStyle name="Porcentual 5 2 2 2 2 7" xfId="50051"/>
    <cellStyle name="Porcentual 5 2 2 2 3" xfId="39193"/>
    <cellStyle name="Porcentual 5 2 2 2 3 2" xfId="39194"/>
    <cellStyle name="Porcentual 5 2 2 2 3 2 2" xfId="39195"/>
    <cellStyle name="Porcentual 5 2 2 2 3 2 2 2" xfId="39196"/>
    <cellStyle name="Porcentual 5 2 2 2 3 2 2 2 2" xfId="50076"/>
    <cellStyle name="Porcentual 5 2 2 2 3 2 2 3" xfId="50075"/>
    <cellStyle name="Porcentual 5 2 2 2 3 2 3" xfId="39197"/>
    <cellStyle name="Porcentual 5 2 2 2 3 2 3 2" xfId="39198"/>
    <cellStyle name="Porcentual 5 2 2 2 3 2 3 2 2" xfId="50078"/>
    <cellStyle name="Porcentual 5 2 2 2 3 2 3 3" xfId="50077"/>
    <cellStyle name="Porcentual 5 2 2 2 3 2 4" xfId="39199"/>
    <cellStyle name="Porcentual 5 2 2 2 3 2 4 2" xfId="50079"/>
    <cellStyle name="Porcentual 5 2 2 2 3 2 5" xfId="50074"/>
    <cellStyle name="Porcentual 5 2 2 2 3 3" xfId="39200"/>
    <cellStyle name="Porcentual 5 2 2 2 3 3 2" xfId="50080"/>
    <cellStyle name="Porcentual 5 2 2 2 3 4" xfId="39201"/>
    <cellStyle name="Porcentual 5 2 2 2 3 4 2" xfId="39202"/>
    <cellStyle name="Porcentual 5 2 2 2 3 4 2 2" xfId="50082"/>
    <cellStyle name="Porcentual 5 2 2 2 3 4 3" xfId="50081"/>
    <cellStyle name="Porcentual 5 2 2 2 3 5" xfId="39203"/>
    <cellStyle name="Porcentual 5 2 2 2 3 5 2" xfId="50083"/>
    <cellStyle name="Porcentual 5 2 2 2 3 6" xfId="50073"/>
    <cellStyle name="Porcentual 5 2 2 2 4" xfId="39204"/>
    <cellStyle name="Porcentual 5 2 2 2 4 2" xfId="39205"/>
    <cellStyle name="Porcentual 5 2 2 2 4 2 2" xfId="39206"/>
    <cellStyle name="Porcentual 5 2 2 2 4 2 2 2" xfId="50086"/>
    <cellStyle name="Porcentual 5 2 2 2 4 2 3" xfId="50085"/>
    <cellStyle name="Porcentual 5 2 2 2 4 3" xfId="39207"/>
    <cellStyle name="Porcentual 5 2 2 2 4 3 2" xfId="39208"/>
    <cellStyle name="Porcentual 5 2 2 2 4 3 2 2" xfId="50088"/>
    <cellStyle name="Porcentual 5 2 2 2 4 3 3" xfId="50087"/>
    <cellStyle name="Porcentual 5 2 2 2 4 4" xfId="39209"/>
    <cellStyle name="Porcentual 5 2 2 2 4 4 2" xfId="50089"/>
    <cellStyle name="Porcentual 5 2 2 2 4 5" xfId="50084"/>
    <cellStyle name="Porcentual 5 2 2 2 5" xfId="39210"/>
    <cellStyle name="Porcentual 5 2 2 2 5 2" xfId="50090"/>
    <cellStyle name="Porcentual 5 2 2 2 6" xfId="39211"/>
    <cellStyle name="Porcentual 5 2 2 2 6 2" xfId="39212"/>
    <cellStyle name="Porcentual 5 2 2 2 6 2 2" xfId="50092"/>
    <cellStyle name="Porcentual 5 2 2 2 6 3" xfId="50091"/>
    <cellStyle name="Porcentual 5 2 2 2 7" xfId="39213"/>
    <cellStyle name="Porcentual 5 2 2 2 7 2" xfId="50093"/>
    <cellStyle name="Porcentual 5 2 2 2 8" xfId="50050"/>
    <cellStyle name="Porcentual 5 2 2 3" xfId="39214"/>
    <cellStyle name="Porcentual 5 2 2 3 2" xfId="39215"/>
    <cellStyle name="Porcentual 5 2 2 3 2 2" xfId="39216"/>
    <cellStyle name="Porcentual 5 2 2 3 2 2 2" xfId="39217"/>
    <cellStyle name="Porcentual 5 2 2 3 2 2 2 2" xfId="39218"/>
    <cellStyle name="Porcentual 5 2 2 3 2 2 2 2 2" xfId="39219"/>
    <cellStyle name="Porcentual 5 2 2 3 2 2 2 2 2 2" xfId="50099"/>
    <cellStyle name="Porcentual 5 2 2 3 2 2 2 2 3" xfId="50098"/>
    <cellStyle name="Porcentual 5 2 2 3 2 2 2 3" xfId="39220"/>
    <cellStyle name="Porcentual 5 2 2 3 2 2 2 3 2" xfId="39221"/>
    <cellStyle name="Porcentual 5 2 2 3 2 2 2 3 2 2" xfId="50101"/>
    <cellStyle name="Porcentual 5 2 2 3 2 2 2 3 3" xfId="50100"/>
    <cellStyle name="Porcentual 5 2 2 3 2 2 2 4" xfId="39222"/>
    <cellStyle name="Porcentual 5 2 2 3 2 2 2 4 2" xfId="50102"/>
    <cellStyle name="Porcentual 5 2 2 3 2 2 2 5" xfId="50097"/>
    <cellStyle name="Porcentual 5 2 2 3 2 2 3" xfId="39223"/>
    <cellStyle name="Porcentual 5 2 2 3 2 2 3 2" xfId="50103"/>
    <cellStyle name="Porcentual 5 2 2 3 2 2 4" xfId="39224"/>
    <cellStyle name="Porcentual 5 2 2 3 2 2 4 2" xfId="39225"/>
    <cellStyle name="Porcentual 5 2 2 3 2 2 4 2 2" xfId="50105"/>
    <cellStyle name="Porcentual 5 2 2 3 2 2 4 3" xfId="50104"/>
    <cellStyle name="Porcentual 5 2 2 3 2 2 5" xfId="39226"/>
    <cellStyle name="Porcentual 5 2 2 3 2 2 5 2" xfId="50106"/>
    <cellStyle name="Porcentual 5 2 2 3 2 2 6" xfId="50096"/>
    <cellStyle name="Porcentual 5 2 2 3 2 3" xfId="39227"/>
    <cellStyle name="Porcentual 5 2 2 3 2 3 2" xfId="39228"/>
    <cellStyle name="Porcentual 5 2 2 3 2 3 2 2" xfId="39229"/>
    <cellStyle name="Porcentual 5 2 2 3 2 3 2 2 2" xfId="50109"/>
    <cellStyle name="Porcentual 5 2 2 3 2 3 2 3" xfId="50108"/>
    <cellStyle name="Porcentual 5 2 2 3 2 3 3" xfId="39230"/>
    <cellStyle name="Porcentual 5 2 2 3 2 3 3 2" xfId="39231"/>
    <cellStyle name="Porcentual 5 2 2 3 2 3 3 2 2" xfId="50111"/>
    <cellStyle name="Porcentual 5 2 2 3 2 3 3 3" xfId="50110"/>
    <cellStyle name="Porcentual 5 2 2 3 2 3 4" xfId="39232"/>
    <cellStyle name="Porcentual 5 2 2 3 2 3 4 2" xfId="50112"/>
    <cellStyle name="Porcentual 5 2 2 3 2 3 5" xfId="50107"/>
    <cellStyle name="Porcentual 5 2 2 3 2 4" xfId="39233"/>
    <cellStyle name="Porcentual 5 2 2 3 2 4 2" xfId="50113"/>
    <cellStyle name="Porcentual 5 2 2 3 2 5" xfId="39234"/>
    <cellStyle name="Porcentual 5 2 2 3 2 5 2" xfId="39235"/>
    <cellStyle name="Porcentual 5 2 2 3 2 5 2 2" xfId="50115"/>
    <cellStyle name="Porcentual 5 2 2 3 2 5 3" xfId="50114"/>
    <cellStyle name="Porcentual 5 2 2 3 2 6" xfId="39236"/>
    <cellStyle name="Porcentual 5 2 2 3 2 6 2" xfId="50116"/>
    <cellStyle name="Porcentual 5 2 2 3 2 7" xfId="50095"/>
    <cellStyle name="Porcentual 5 2 2 3 3" xfId="39237"/>
    <cellStyle name="Porcentual 5 2 2 3 3 2" xfId="39238"/>
    <cellStyle name="Porcentual 5 2 2 3 3 2 2" xfId="39239"/>
    <cellStyle name="Porcentual 5 2 2 3 3 2 2 2" xfId="39240"/>
    <cellStyle name="Porcentual 5 2 2 3 3 2 2 2 2" xfId="50120"/>
    <cellStyle name="Porcentual 5 2 2 3 3 2 2 3" xfId="50119"/>
    <cellStyle name="Porcentual 5 2 2 3 3 2 3" xfId="39241"/>
    <cellStyle name="Porcentual 5 2 2 3 3 2 3 2" xfId="39242"/>
    <cellStyle name="Porcentual 5 2 2 3 3 2 3 2 2" xfId="50122"/>
    <cellStyle name="Porcentual 5 2 2 3 3 2 3 3" xfId="50121"/>
    <cellStyle name="Porcentual 5 2 2 3 3 2 4" xfId="39243"/>
    <cellStyle name="Porcentual 5 2 2 3 3 2 4 2" xfId="50123"/>
    <cellStyle name="Porcentual 5 2 2 3 3 2 5" xfId="50118"/>
    <cellStyle name="Porcentual 5 2 2 3 3 3" xfId="39244"/>
    <cellStyle name="Porcentual 5 2 2 3 3 3 2" xfId="50124"/>
    <cellStyle name="Porcentual 5 2 2 3 3 4" xfId="39245"/>
    <cellStyle name="Porcentual 5 2 2 3 3 4 2" xfId="39246"/>
    <cellStyle name="Porcentual 5 2 2 3 3 4 2 2" xfId="50126"/>
    <cellStyle name="Porcentual 5 2 2 3 3 4 3" xfId="50125"/>
    <cellStyle name="Porcentual 5 2 2 3 3 5" xfId="39247"/>
    <cellStyle name="Porcentual 5 2 2 3 3 5 2" xfId="50127"/>
    <cellStyle name="Porcentual 5 2 2 3 3 6" xfId="50117"/>
    <cellStyle name="Porcentual 5 2 2 3 4" xfId="39248"/>
    <cellStyle name="Porcentual 5 2 2 3 4 2" xfId="39249"/>
    <cellStyle name="Porcentual 5 2 2 3 4 2 2" xfId="39250"/>
    <cellStyle name="Porcentual 5 2 2 3 4 2 2 2" xfId="50130"/>
    <cellStyle name="Porcentual 5 2 2 3 4 2 3" xfId="50129"/>
    <cellStyle name="Porcentual 5 2 2 3 4 3" xfId="39251"/>
    <cellStyle name="Porcentual 5 2 2 3 4 3 2" xfId="39252"/>
    <cellStyle name="Porcentual 5 2 2 3 4 3 2 2" xfId="50132"/>
    <cellStyle name="Porcentual 5 2 2 3 4 3 3" xfId="50131"/>
    <cellStyle name="Porcentual 5 2 2 3 4 4" xfId="39253"/>
    <cellStyle name="Porcentual 5 2 2 3 4 4 2" xfId="50133"/>
    <cellStyle name="Porcentual 5 2 2 3 4 5" xfId="50128"/>
    <cellStyle name="Porcentual 5 2 2 3 5" xfId="39254"/>
    <cellStyle name="Porcentual 5 2 2 3 5 2" xfId="50134"/>
    <cellStyle name="Porcentual 5 2 2 3 6" xfId="39255"/>
    <cellStyle name="Porcentual 5 2 2 3 6 2" xfId="39256"/>
    <cellStyle name="Porcentual 5 2 2 3 6 2 2" xfId="50136"/>
    <cellStyle name="Porcentual 5 2 2 3 6 3" xfId="50135"/>
    <cellStyle name="Porcentual 5 2 2 3 7" xfId="39257"/>
    <cellStyle name="Porcentual 5 2 2 3 7 2" xfId="50137"/>
    <cellStyle name="Porcentual 5 2 2 3 8" xfId="50094"/>
    <cellStyle name="Porcentual 5 2 2 4" xfId="39258"/>
    <cellStyle name="Porcentual 5 2 2 4 2" xfId="50138"/>
    <cellStyle name="Porcentual 5 2 2 5" xfId="39259"/>
    <cellStyle name="Porcentual 5 2 2 5 2" xfId="39260"/>
    <cellStyle name="Porcentual 5 2 2 5 2 2" xfId="39261"/>
    <cellStyle name="Porcentual 5 2 2 5 2 2 2" xfId="39262"/>
    <cellStyle name="Porcentual 5 2 2 5 2 2 2 2" xfId="39263"/>
    <cellStyle name="Porcentual 5 2 2 5 2 2 2 2 2" xfId="50143"/>
    <cellStyle name="Porcentual 5 2 2 5 2 2 2 3" xfId="50142"/>
    <cellStyle name="Porcentual 5 2 2 5 2 2 3" xfId="39264"/>
    <cellStyle name="Porcentual 5 2 2 5 2 2 3 2" xfId="39265"/>
    <cellStyle name="Porcentual 5 2 2 5 2 2 3 2 2" xfId="50145"/>
    <cellStyle name="Porcentual 5 2 2 5 2 2 3 3" xfId="50144"/>
    <cellStyle name="Porcentual 5 2 2 5 2 2 4" xfId="39266"/>
    <cellStyle name="Porcentual 5 2 2 5 2 2 4 2" xfId="50146"/>
    <cellStyle name="Porcentual 5 2 2 5 2 2 5" xfId="50141"/>
    <cellStyle name="Porcentual 5 2 2 5 2 3" xfId="39267"/>
    <cellStyle name="Porcentual 5 2 2 5 2 3 2" xfId="50147"/>
    <cellStyle name="Porcentual 5 2 2 5 2 4" xfId="39268"/>
    <cellStyle name="Porcentual 5 2 2 5 2 4 2" xfId="39269"/>
    <cellStyle name="Porcentual 5 2 2 5 2 4 2 2" xfId="50149"/>
    <cellStyle name="Porcentual 5 2 2 5 2 4 3" xfId="50148"/>
    <cellStyle name="Porcentual 5 2 2 5 2 5" xfId="39270"/>
    <cellStyle name="Porcentual 5 2 2 5 2 5 2" xfId="50150"/>
    <cellStyle name="Porcentual 5 2 2 5 2 6" xfId="50140"/>
    <cellStyle name="Porcentual 5 2 2 5 3" xfId="39271"/>
    <cellStyle name="Porcentual 5 2 2 5 3 2" xfId="39272"/>
    <cellStyle name="Porcentual 5 2 2 5 3 2 2" xfId="39273"/>
    <cellStyle name="Porcentual 5 2 2 5 3 2 2 2" xfId="50153"/>
    <cellStyle name="Porcentual 5 2 2 5 3 2 3" xfId="50152"/>
    <cellStyle name="Porcentual 5 2 2 5 3 3" xfId="39274"/>
    <cellStyle name="Porcentual 5 2 2 5 3 3 2" xfId="39275"/>
    <cellStyle name="Porcentual 5 2 2 5 3 3 2 2" xfId="50155"/>
    <cellStyle name="Porcentual 5 2 2 5 3 3 3" xfId="50154"/>
    <cellStyle name="Porcentual 5 2 2 5 3 4" xfId="39276"/>
    <cellStyle name="Porcentual 5 2 2 5 3 4 2" xfId="50156"/>
    <cellStyle name="Porcentual 5 2 2 5 3 5" xfId="50151"/>
    <cellStyle name="Porcentual 5 2 2 5 4" xfId="39277"/>
    <cellStyle name="Porcentual 5 2 2 5 4 2" xfId="50157"/>
    <cellStyle name="Porcentual 5 2 2 5 5" xfId="39278"/>
    <cellStyle name="Porcentual 5 2 2 5 5 2" xfId="39279"/>
    <cellStyle name="Porcentual 5 2 2 5 5 2 2" xfId="50159"/>
    <cellStyle name="Porcentual 5 2 2 5 5 3" xfId="50158"/>
    <cellStyle name="Porcentual 5 2 2 5 6" xfId="39280"/>
    <cellStyle name="Porcentual 5 2 2 5 6 2" xfId="50160"/>
    <cellStyle name="Porcentual 5 2 2 5 7" xfId="50139"/>
    <cellStyle name="Porcentual 5 2 2 6" xfId="39281"/>
    <cellStyle name="Porcentual 5 2 2 6 2" xfId="39282"/>
    <cellStyle name="Porcentual 5 2 2 6 2 2" xfId="39283"/>
    <cellStyle name="Porcentual 5 2 2 6 2 2 2" xfId="39284"/>
    <cellStyle name="Porcentual 5 2 2 6 2 2 2 2" xfId="50164"/>
    <cellStyle name="Porcentual 5 2 2 6 2 2 3" xfId="50163"/>
    <cellStyle name="Porcentual 5 2 2 6 2 3" xfId="39285"/>
    <cellStyle name="Porcentual 5 2 2 6 2 3 2" xfId="39286"/>
    <cellStyle name="Porcentual 5 2 2 6 2 3 2 2" xfId="50166"/>
    <cellStyle name="Porcentual 5 2 2 6 2 3 3" xfId="50165"/>
    <cellStyle name="Porcentual 5 2 2 6 2 4" xfId="39287"/>
    <cellStyle name="Porcentual 5 2 2 6 2 4 2" xfId="50167"/>
    <cellStyle name="Porcentual 5 2 2 6 2 5" xfId="50162"/>
    <cellStyle name="Porcentual 5 2 2 6 3" xfId="39288"/>
    <cellStyle name="Porcentual 5 2 2 6 3 2" xfId="50168"/>
    <cellStyle name="Porcentual 5 2 2 6 4" xfId="39289"/>
    <cellStyle name="Porcentual 5 2 2 6 4 2" xfId="39290"/>
    <cellStyle name="Porcentual 5 2 2 6 4 2 2" xfId="50170"/>
    <cellStyle name="Porcentual 5 2 2 6 4 3" xfId="50169"/>
    <cellStyle name="Porcentual 5 2 2 6 5" xfId="39291"/>
    <cellStyle name="Porcentual 5 2 2 6 5 2" xfId="50171"/>
    <cellStyle name="Porcentual 5 2 2 6 6" xfId="50161"/>
    <cellStyle name="Porcentual 5 2 2 7" xfId="39292"/>
    <cellStyle name="Porcentual 5 2 2 7 2" xfId="39293"/>
    <cellStyle name="Porcentual 5 2 2 7 2 2" xfId="39294"/>
    <cellStyle name="Porcentual 5 2 2 7 2 2 2" xfId="50174"/>
    <cellStyle name="Porcentual 5 2 2 7 2 3" xfId="50173"/>
    <cellStyle name="Porcentual 5 2 2 7 3" xfId="39295"/>
    <cellStyle name="Porcentual 5 2 2 7 3 2" xfId="39296"/>
    <cellStyle name="Porcentual 5 2 2 7 3 2 2" xfId="50176"/>
    <cellStyle name="Porcentual 5 2 2 7 3 3" xfId="50175"/>
    <cellStyle name="Porcentual 5 2 2 7 4" xfId="39297"/>
    <cellStyle name="Porcentual 5 2 2 7 4 2" xfId="50177"/>
    <cellStyle name="Porcentual 5 2 2 7 5" xfId="50172"/>
    <cellStyle name="Porcentual 5 2 2 8" xfId="39298"/>
    <cellStyle name="Porcentual 5 2 2 8 2" xfId="39299"/>
    <cellStyle name="Porcentual 5 2 2 8 2 2" xfId="39300"/>
    <cellStyle name="Porcentual 5 2 2 8 2 2 2" xfId="50180"/>
    <cellStyle name="Porcentual 5 2 2 8 2 3" xfId="50179"/>
    <cellStyle name="Porcentual 5 2 2 8 3" xfId="39301"/>
    <cellStyle name="Porcentual 5 2 2 8 3 2" xfId="50181"/>
    <cellStyle name="Porcentual 5 2 2 8 4" xfId="50178"/>
    <cellStyle name="Porcentual 5 2 2 9" xfId="39302"/>
    <cellStyle name="Porcentual 5 2 2 9 2" xfId="39303"/>
    <cellStyle name="Porcentual 5 2 2 9 2 2" xfId="39304"/>
    <cellStyle name="Porcentual 5 2 2 9 2 2 2" xfId="50184"/>
    <cellStyle name="Porcentual 5 2 2 9 2 3" xfId="50183"/>
    <cellStyle name="Porcentual 5 2 2 9 3" xfId="39305"/>
    <cellStyle name="Porcentual 5 2 2 9 3 2" xfId="50185"/>
    <cellStyle name="Porcentual 5 2 2 9 4" xfId="50182"/>
    <cellStyle name="Porcentual 5 2 3" xfId="39306"/>
    <cellStyle name="Porcentual 5 2 3 2" xfId="39307"/>
    <cellStyle name="Porcentual 5 2 3 2 2" xfId="39308"/>
    <cellStyle name="Porcentual 5 2 3 2 2 2" xfId="39309"/>
    <cellStyle name="Porcentual 5 2 3 2 2 2 2" xfId="39310"/>
    <cellStyle name="Porcentual 5 2 3 2 2 2 2 2" xfId="39311"/>
    <cellStyle name="Porcentual 5 2 3 2 2 2 2 2 2" xfId="50191"/>
    <cellStyle name="Porcentual 5 2 3 2 2 2 2 3" xfId="50190"/>
    <cellStyle name="Porcentual 5 2 3 2 2 2 3" xfId="39312"/>
    <cellStyle name="Porcentual 5 2 3 2 2 2 3 2" xfId="39313"/>
    <cellStyle name="Porcentual 5 2 3 2 2 2 3 2 2" xfId="50193"/>
    <cellStyle name="Porcentual 5 2 3 2 2 2 3 3" xfId="50192"/>
    <cellStyle name="Porcentual 5 2 3 2 2 2 4" xfId="39314"/>
    <cellStyle name="Porcentual 5 2 3 2 2 2 4 2" xfId="50194"/>
    <cellStyle name="Porcentual 5 2 3 2 2 2 5" xfId="50189"/>
    <cellStyle name="Porcentual 5 2 3 2 2 3" xfId="39315"/>
    <cellStyle name="Porcentual 5 2 3 2 2 3 2" xfId="50195"/>
    <cellStyle name="Porcentual 5 2 3 2 2 4" xfId="39316"/>
    <cellStyle name="Porcentual 5 2 3 2 2 4 2" xfId="39317"/>
    <cellStyle name="Porcentual 5 2 3 2 2 4 2 2" xfId="50197"/>
    <cellStyle name="Porcentual 5 2 3 2 2 4 3" xfId="50196"/>
    <cellStyle name="Porcentual 5 2 3 2 2 5" xfId="39318"/>
    <cellStyle name="Porcentual 5 2 3 2 2 5 2" xfId="50198"/>
    <cellStyle name="Porcentual 5 2 3 2 2 6" xfId="50188"/>
    <cellStyle name="Porcentual 5 2 3 2 3" xfId="39319"/>
    <cellStyle name="Porcentual 5 2 3 2 3 2" xfId="39320"/>
    <cellStyle name="Porcentual 5 2 3 2 3 2 2" xfId="39321"/>
    <cellStyle name="Porcentual 5 2 3 2 3 2 2 2" xfId="50201"/>
    <cellStyle name="Porcentual 5 2 3 2 3 2 3" xfId="50200"/>
    <cellStyle name="Porcentual 5 2 3 2 3 3" xfId="39322"/>
    <cellStyle name="Porcentual 5 2 3 2 3 3 2" xfId="39323"/>
    <cellStyle name="Porcentual 5 2 3 2 3 3 2 2" xfId="50203"/>
    <cellStyle name="Porcentual 5 2 3 2 3 3 3" xfId="50202"/>
    <cellStyle name="Porcentual 5 2 3 2 3 4" xfId="39324"/>
    <cellStyle name="Porcentual 5 2 3 2 3 4 2" xfId="50204"/>
    <cellStyle name="Porcentual 5 2 3 2 3 5" xfId="50199"/>
    <cellStyle name="Porcentual 5 2 3 2 4" xfId="39325"/>
    <cellStyle name="Porcentual 5 2 3 2 4 2" xfId="50205"/>
    <cellStyle name="Porcentual 5 2 3 2 5" xfId="39326"/>
    <cellStyle name="Porcentual 5 2 3 2 5 2" xfId="39327"/>
    <cellStyle name="Porcentual 5 2 3 2 5 2 2" xfId="50207"/>
    <cellStyle name="Porcentual 5 2 3 2 5 3" xfId="50206"/>
    <cellStyle name="Porcentual 5 2 3 2 6" xfId="39328"/>
    <cellStyle name="Porcentual 5 2 3 2 6 2" xfId="50208"/>
    <cellStyle name="Porcentual 5 2 3 2 7" xfId="50187"/>
    <cellStyle name="Porcentual 5 2 3 3" xfId="39329"/>
    <cellStyle name="Porcentual 5 2 3 3 2" xfId="39330"/>
    <cellStyle name="Porcentual 5 2 3 3 2 2" xfId="39331"/>
    <cellStyle name="Porcentual 5 2 3 3 2 2 2" xfId="39332"/>
    <cellStyle name="Porcentual 5 2 3 3 2 2 2 2" xfId="50212"/>
    <cellStyle name="Porcentual 5 2 3 3 2 2 3" xfId="50211"/>
    <cellStyle name="Porcentual 5 2 3 3 2 3" xfId="39333"/>
    <cellStyle name="Porcentual 5 2 3 3 2 3 2" xfId="39334"/>
    <cellStyle name="Porcentual 5 2 3 3 2 3 2 2" xfId="50214"/>
    <cellStyle name="Porcentual 5 2 3 3 2 3 3" xfId="50213"/>
    <cellStyle name="Porcentual 5 2 3 3 2 4" xfId="39335"/>
    <cellStyle name="Porcentual 5 2 3 3 2 4 2" xfId="50215"/>
    <cellStyle name="Porcentual 5 2 3 3 2 5" xfId="50210"/>
    <cellStyle name="Porcentual 5 2 3 3 3" xfId="39336"/>
    <cellStyle name="Porcentual 5 2 3 3 3 2" xfId="50216"/>
    <cellStyle name="Porcentual 5 2 3 3 4" xfId="39337"/>
    <cellStyle name="Porcentual 5 2 3 3 4 2" xfId="39338"/>
    <cellStyle name="Porcentual 5 2 3 3 4 2 2" xfId="50218"/>
    <cellStyle name="Porcentual 5 2 3 3 4 3" xfId="50217"/>
    <cellStyle name="Porcentual 5 2 3 3 5" xfId="39339"/>
    <cellStyle name="Porcentual 5 2 3 3 5 2" xfId="50219"/>
    <cellStyle name="Porcentual 5 2 3 3 6" xfId="50209"/>
    <cellStyle name="Porcentual 5 2 3 4" xfId="39340"/>
    <cellStyle name="Porcentual 5 2 3 4 2" xfId="39341"/>
    <cellStyle name="Porcentual 5 2 3 4 2 2" xfId="39342"/>
    <cellStyle name="Porcentual 5 2 3 4 2 2 2" xfId="50222"/>
    <cellStyle name="Porcentual 5 2 3 4 2 3" xfId="50221"/>
    <cellStyle name="Porcentual 5 2 3 4 3" xfId="39343"/>
    <cellStyle name="Porcentual 5 2 3 4 3 2" xfId="39344"/>
    <cellStyle name="Porcentual 5 2 3 4 3 2 2" xfId="50224"/>
    <cellStyle name="Porcentual 5 2 3 4 3 3" xfId="50223"/>
    <cellStyle name="Porcentual 5 2 3 4 4" xfId="39345"/>
    <cellStyle name="Porcentual 5 2 3 4 4 2" xfId="50225"/>
    <cellStyle name="Porcentual 5 2 3 4 5" xfId="50220"/>
    <cellStyle name="Porcentual 5 2 3 5" xfId="39346"/>
    <cellStyle name="Porcentual 5 2 3 5 2" xfId="50226"/>
    <cellStyle name="Porcentual 5 2 3 6" xfId="39347"/>
    <cellStyle name="Porcentual 5 2 3 6 2" xfId="39348"/>
    <cellStyle name="Porcentual 5 2 3 6 2 2" xfId="50228"/>
    <cellStyle name="Porcentual 5 2 3 6 3" xfId="50227"/>
    <cellStyle name="Porcentual 5 2 3 7" xfId="39349"/>
    <cellStyle name="Porcentual 5 2 3 7 2" xfId="50229"/>
    <cellStyle name="Porcentual 5 2 3 8" xfId="50186"/>
    <cellStyle name="Porcentual 5 2 4" xfId="39350"/>
    <cellStyle name="Porcentual 5 2 4 2" xfId="39351"/>
    <cellStyle name="Porcentual 5 2 4 2 2" xfId="39352"/>
    <cellStyle name="Porcentual 5 2 4 2 2 2" xfId="39353"/>
    <cellStyle name="Porcentual 5 2 4 2 2 2 2" xfId="39354"/>
    <cellStyle name="Porcentual 5 2 4 2 2 2 2 2" xfId="39355"/>
    <cellStyle name="Porcentual 5 2 4 2 2 2 2 2 2" xfId="50235"/>
    <cellStyle name="Porcentual 5 2 4 2 2 2 2 3" xfId="50234"/>
    <cellStyle name="Porcentual 5 2 4 2 2 2 3" xfId="39356"/>
    <cellStyle name="Porcentual 5 2 4 2 2 2 3 2" xfId="39357"/>
    <cellStyle name="Porcentual 5 2 4 2 2 2 3 2 2" xfId="50237"/>
    <cellStyle name="Porcentual 5 2 4 2 2 2 3 3" xfId="50236"/>
    <cellStyle name="Porcentual 5 2 4 2 2 2 4" xfId="39358"/>
    <cellStyle name="Porcentual 5 2 4 2 2 2 4 2" xfId="50238"/>
    <cellStyle name="Porcentual 5 2 4 2 2 2 5" xfId="50233"/>
    <cellStyle name="Porcentual 5 2 4 2 2 3" xfId="39359"/>
    <cellStyle name="Porcentual 5 2 4 2 2 3 2" xfId="50239"/>
    <cellStyle name="Porcentual 5 2 4 2 2 4" xfId="39360"/>
    <cellStyle name="Porcentual 5 2 4 2 2 4 2" xfId="39361"/>
    <cellStyle name="Porcentual 5 2 4 2 2 4 2 2" xfId="50241"/>
    <cellStyle name="Porcentual 5 2 4 2 2 4 3" xfId="50240"/>
    <cellStyle name="Porcentual 5 2 4 2 2 5" xfId="39362"/>
    <cellStyle name="Porcentual 5 2 4 2 2 5 2" xfId="50242"/>
    <cellStyle name="Porcentual 5 2 4 2 2 6" xfId="50232"/>
    <cellStyle name="Porcentual 5 2 4 2 3" xfId="39363"/>
    <cellStyle name="Porcentual 5 2 4 2 3 2" xfId="39364"/>
    <cellStyle name="Porcentual 5 2 4 2 3 2 2" xfId="39365"/>
    <cellStyle name="Porcentual 5 2 4 2 3 2 2 2" xfId="50245"/>
    <cellStyle name="Porcentual 5 2 4 2 3 2 3" xfId="50244"/>
    <cellStyle name="Porcentual 5 2 4 2 3 3" xfId="39366"/>
    <cellStyle name="Porcentual 5 2 4 2 3 3 2" xfId="39367"/>
    <cellStyle name="Porcentual 5 2 4 2 3 3 2 2" xfId="50247"/>
    <cellStyle name="Porcentual 5 2 4 2 3 3 3" xfId="50246"/>
    <cellStyle name="Porcentual 5 2 4 2 3 4" xfId="39368"/>
    <cellStyle name="Porcentual 5 2 4 2 3 4 2" xfId="50248"/>
    <cellStyle name="Porcentual 5 2 4 2 3 5" xfId="50243"/>
    <cellStyle name="Porcentual 5 2 4 2 4" xfId="39369"/>
    <cellStyle name="Porcentual 5 2 4 2 4 2" xfId="50249"/>
    <cellStyle name="Porcentual 5 2 4 2 5" xfId="39370"/>
    <cellStyle name="Porcentual 5 2 4 2 5 2" xfId="39371"/>
    <cellStyle name="Porcentual 5 2 4 2 5 2 2" xfId="50251"/>
    <cellStyle name="Porcentual 5 2 4 2 5 3" xfId="50250"/>
    <cellStyle name="Porcentual 5 2 4 2 6" xfId="39372"/>
    <cellStyle name="Porcentual 5 2 4 2 6 2" xfId="50252"/>
    <cellStyle name="Porcentual 5 2 4 2 7" xfId="50231"/>
    <cellStyle name="Porcentual 5 2 4 3" xfId="39373"/>
    <cellStyle name="Porcentual 5 2 4 3 2" xfId="39374"/>
    <cellStyle name="Porcentual 5 2 4 3 2 2" xfId="39375"/>
    <cellStyle name="Porcentual 5 2 4 3 2 2 2" xfId="39376"/>
    <cellStyle name="Porcentual 5 2 4 3 2 2 2 2" xfId="50256"/>
    <cellStyle name="Porcentual 5 2 4 3 2 2 3" xfId="50255"/>
    <cellStyle name="Porcentual 5 2 4 3 2 3" xfId="39377"/>
    <cellStyle name="Porcentual 5 2 4 3 2 3 2" xfId="39378"/>
    <cellStyle name="Porcentual 5 2 4 3 2 3 2 2" xfId="50258"/>
    <cellStyle name="Porcentual 5 2 4 3 2 3 3" xfId="50257"/>
    <cellStyle name="Porcentual 5 2 4 3 2 4" xfId="39379"/>
    <cellStyle name="Porcentual 5 2 4 3 2 4 2" xfId="50259"/>
    <cellStyle name="Porcentual 5 2 4 3 2 5" xfId="50254"/>
    <cellStyle name="Porcentual 5 2 4 3 3" xfId="39380"/>
    <cellStyle name="Porcentual 5 2 4 3 3 2" xfId="50260"/>
    <cellStyle name="Porcentual 5 2 4 3 4" xfId="39381"/>
    <cellStyle name="Porcentual 5 2 4 3 4 2" xfId="39382"/>
    <cellStyle name="Porcentual 5 2 4 3 4 2 2" xfId="50262"/>
    <cellStyle name="Porcentual 5 2 4 3 4 3" xfId="50261"/>
    <cellStyle name="Porcentual 5 2 4 3 5" xfId="39383"/>
    <cellStyle name="Porcentual 5 2 4 3 5 2" xfId="50263"/>
    <cellStyle name="Porcentual 5 2 4 3 6" xfId="50253"/>
    <cellStyle name="Porcentual 5 2 4 4" xfId="39384"/>
    <cellStyle name="Porcentual 5 2 4 4 2" xfId="39385"/>
    <cellStyle name="Porcentual 5 2 4 4 2 2" xfId="39386"/>
    <cellStyle name="Porcentual 5 2 4 4 2 2 2" xfId="50266"/>
    <cellStyle name="Porcentual 5 2 4 4 2 3" xfId="50265"/>
    <cellStyle name="Porcentual 5 2 4 4 3" xfId="39387"/>
    <cellStyle name="Porcentual 5 2 4 4 3 2" xfId="39388"/>
    <cellStyle name="Porcentual 5 2 4 4 3 2 2" xfId="50268"/>
    <cellStyle name="Porcentual 5 2 4 4 3 3" xfId="50267"/>
    <cellStyle name="Porcentual 5 2 4 4 4" xfId="39389"/>
    <cellStyle name="Porcentual 5 2 4 4 4 2" xfId="50269"/>
    <cellStyle name="Porcentual 5 2 4 4 5" xfId="50264"/>
    <cellStyle name="Porcentual 5 2 4 5" xfId="39390"/>
    <cellStyle name="Porcentual 5 2 4 5 2" xfId="50270"/>
    <cellStyle name="Porcentual 5 2 4 6" xfId="39391"/>
    <cellStyle name="Porcentual 5 2 4 6 2" xfId="39392"/>
    <cellStyle name="Porcentual 5 2 4 6 2 2" xfId="50272"/>
    <cellStyle name="Porcentual 5 2 4 6 3" xfId="50271"/>
    <cellStyle name="Porcentual 5 2 4 7" xfId="39393"/>
    <cellStyle name="Porcentual 5 2 4 7 2" xfId="50273"/>
    <cellStyle name="Porcentual 5 2 4 8" xfId="50230"/>
    <cellStyle name="Porcentual 5 2 5" xfId="39394"/>
    <cellStyle name="Porcentual 5 2 5 2" xfId="50274"/>
    <cellStyle name="Porcentual 5 2 6" xfId="39395"/>
    <cellStyle name="Porcentual 5 2 6 2" xfId="39396"/>
    <cellStyle name="Porcentual 5 2 6 2 2" xfId="39397"/>
    <cellStyle name="Porcentual 5 2 6 2 2 2" xfId="39398"/>
    <cellStyle name="Porcentual 5 2 6 2 2 2 2" xfId="39399"/>
    <cellStyle name="Porcentual 5 2 6 2 2 2 2 2" xfId="50279"/>
    <cellStyle name="Porcentual 5 2 6 2 2 2 3" xfId="50278"/>
    <cellStyle name="Porcentual 5 2 6 2 2 3" xfId="39400"/>
    <cellStyle name="Porcentual 5 2 6 2 2 3 2" xfId="39401"/>
    <cellStyle name="Porcentual 5 2 6 2 2 3 2 2" xfId="50281"/>
    <cellStyle name="Porcentual 5 2 6 2 2 3 3" xfId="50280"/>
    <cellStyle name="Porcentual 5 2 6 2 2 4" xfId="39402"/>
    <cellStyle name="Porcentual 5 2 6 2 2 4 2" xfId="50282"/>
    <cellStyle name="Porcentual 5 2 6 2 2 5" xfId="50277"/>
    <cellStyle name="Porcentual 5 2 6 2 3" xfId="39403"/>
    <cellStyle name="Porcentual 5 2 6 2 3 2" xfId="50283"/>
    <cellStyle name="Porcentual 5 2 6 2 4" xfId="39404"/>
    <cellStyle name="Porcentual 5 2 6 2 4 2" xfId="39405"/>
    <cellStyle name="Porcentual 5 2 6 2 4 2 2" xfId="50285"/>
    <cellStyle name="Porcentual 5 2 6 2 4 3" xfId="50284"/>
    <cellStyle name="Porcentual 5 2 6 2 5" xfId="39406"/>
    <cellStyle name="Porcentual 5 2 6 2 5 2" xfId="50286"/>
    <cellStyle name="Porcentual 5 2 6 2 6" xfId="50276"/>
    <cellStyle name="Porcentual 5 2 6 3" xfId="39407"/>
    <cellStyle name="Porcentual 5 2 6 3 2" xfId="39408"/>
    <cellStyle name="Porcentual 5 2 6 3 2 2" xfId="39409"/>
    <cellStyle name="Porcentual 5 2 6 3 2 2 2" xfId="50289"/>
    <cellStyle name="Porcentual 5 2 6 3 2 3" xfId="50288"/>
    <cellStyle name="Porcentual 5 2 6 3 3" xfId="39410"/>
    <cellStyle name="Porcentual 5 2 6 3 3 2" xfId="39411"/>
    <cellStyle name="Porcentual 5 2 6 3 3 2 2" xfId="50291"/>
    <cellStyle name="Porcentual 5 2 6 3 3 3" xfId="50290"/>
    <cellStyle name="Porcentual 5 2 6 3 4" xfId="39412"/>
    <cellStyle name="Porcentual 5 2 6 3 4 2" xfId="50292"/>
    <cellStyle name="Porcentual 5 2 6 3 5" xfId="50287"/>
    <cellStyle name="Porcentual 5 2 6 4" xfId="39413"/>
    <cellStyle name="Porcentual 5 2 6 4 2" xfId="50293"/>
    <cellStyle name="Porcentual 5 2 6 5" xfId="39414"/>
    <cellStyle name="Porcentual 5 2 6 5 2" xfId="39415"/>
    <cellStyle name="Porcentual 5 2 6 5 2 2" xfId="50295"/>
    <cellStyle name="Porcentual 5 2 6 5 3" xfId="50294"/>
    <cellStyle name="Porcentual 5 2 6 6" xfId="39416"/>
    <cellStyle name="Porcentual 5 2 6 6 2" xfId="50296"/>
    <cellStyle name="Porcentual 5 2 6 7" xfId="50275"/>
    <cellStyle name="Porcentual 5 2 7" xfId="39417"/>
    <cellStyle name="Porcentual 5 2 7 2" xfId="50297"/>
    <cellStyle name="Porcentual 5 2 8" xfId="39418"/>
    <cellStyle name="Porcentual 5 2 8 2" xfId="39419"/>
    <cellStyle name="Porcentual 5 2 8 2 2" xfId="39420"/>
    <cellStyle name="Porcentual 5 2 8 2 2 2" xfId="39421"/>
    <cellStyle name="Porcentual 5 2 8 2 2 2 2" xfId="50301"/>
    <cellStyle name="Porcentual 5 2 8 2 2 3" xfId="50300"/>
    <cellStyle name="Porcentual 5 2 8 2 3" xfId="39422"/>
    <cellStyle name="Porcentual 5 2 8 2 3 2" xfId="39423"/>
    <cellStyle name="Porcentual 5 2 8 2 3 2 2" xfId="50303"/>
    <cellStyle name="Porcentual 5 2 8 2 3 3" xfId="50302"/>
    <cellStyle name="Porcentual 5 2 8 2 4" xfId="39424"/>
    <cellStyle name="Porcentual 5 2 8 2 4 2" xfId="50304"/>
    <cellStyle name="Porcentual 5 2 8 2 5" xfId="50299"/>
    <cellStyle name="Porcentual 5 2 8 3" xfId="39425"/>
    <cellStyle name="Porcentual 5 2 8 3 2" xfId="50305"/>
    <cellStyle name="Porcentual 5 2 8 4" xfId="39426"/>
    <cellStyle name="Porcentual 5 2 8 4 2" xfId="39427"/>
    <cellStyle name="Porcentual 5 2 8 4 2 2" xfId="50307"/>
    <cellStyle name="Porcentual 5 2 8 4 3" xfId="50306"/>
    <cellStyle name="Porcentual 5 2 8 5" xfId="39428"/>
    <cellStyle name="Porcentual 5 2 8 5 2" xfId="50308"/>
    <cellStyle name="Porcentual 5 2 8 6" xfId="50298"/>
    <cellStyle name="Porcentual 5 2 9" xfId="39429"/>
    <cellStyle name="Porcentual 5 2 9 2" xfId="39430"/>
    <cellStyle name="Porcentual 5 2 9 2 2" xfId="39431"/>
    <cellStyle name="Porcentual 5 2 9 2 2 2" xfId="50311"/>
    <cellStyle name="Porcentual 5 2 9 2 3" xfId="50310"/>
    <cellStyle name="Porcentual 5 2 9 3" xfId="39432"/>
    <cellStyle name="Porcentual 5 2 9 3 2" xfId="39433"/>
    <cellStyle name="Porcentual 5 2 9 3 2 2" xfId="50313"/>
    <cellStyle name="Porcentual 5 2 9 3 3" xfId="50312"/>
    <cellStyle name="Porcentual 5 2 9 4" xfId="39434"/>
    <cellStyle name="Porcentual 5 2 9 4 2" xfId="50314"/>
    <cellStyle name="Porcentual 5 2 9 5" xfId="50309"/>
    <cellStyle name="Porcentual 5 3" xfId="39435"/>
    <cellStyle name="Porcentual 5 3 10" xfId="39436"/>
    <cellStyle name="Porcentual 5 3 10 2" xfId="39437"/>
    <cellStyle name="Porcentual 5 3 10 2 2" xfId="39438"/>
    <cellStyle name="Porcentual 5 3 10 2 2 2" xfId="50318"/>
    <cellStyle name="Porcentual 5 3 10 2 3" xfId="50317"/>
    <cellStyle name="Porcentual 5 3 10 3" xfId="39439"/>
    <cellStyle name="Porcentual 5 3 10 3 2" xfId="50319"/>
    <cellStyle name="Porcentual 5 3 10 4" xfId="50316"/>
    <cellStyle name="Porcentual 5 3 11" xfId="39440"/>
    <cellStyle name="Porcentual 5 3 11 2" xfId="39441"/>
    <cellStyle name="Porcentual 5 3 11 2 2" xfId="50321"/>
    <cellStyle name="Porcentual 5 3 11 3" xfId="50320"/>
    <cellStyle name="Porcentual 5 3 12" xfId="39442"/>
    <cellStyle name="Porcentual 5 3 12 2" xfId="39443"/>
    <cellStyle name="Porcentual 5 3 12 2 2" xfId="50323"/>
    <cellStyle name="Porcentual 5 3 12 3" xfId="50322"/>
    <cellStyle name="Porcentual 5 3 13" xfId="39444"/>
    <cellStyle name="Porcentual 5 3 13 2" xfId="50324"/>
    <cellStyle name="Porcentual 5 3 14" xfId="39445"/>
    <cellStyle name="Porcentual 5 3 14 2" xfId="50325"/>
    <cellStyle name="Porcentual 5 3 15" xfId="39446"/>
    <cellStyle name="Porcentual 5 3 15 2" xfId="50326"/>
    <cellStyle name="Porcentual 5 3 16" xfId="50315"/>
    <cellStyle name="Porcentual 5 3 2" xfId="39447"/>
    <cellStyle name="Porcentual 5 3 2 2" xfId="39448"/>
    <cellStyle name="Porcentual 5 3 2 2 2" xfId="39449"/>
    <cellStyle name="Porcentual 5 3 2 2 2 2" xfId="39450"/>
    <cellStyle name="Porcentual 5 3 2 2 2 2 2" xfId="39451"/>
    <cellStyle name="Porcentual 5 3 2 2 2 2 2 2" xfId="39452"/>
    <cellStyle name="Porcentual 5 3 2 2 2 2 2 2 2" xfId="50332"/>
    <cellStyle name="Porcentual 5 3 2 2 2 2 2 3" xfId="50331"/>
    <cellStyle name="Porcentual 5 3 2 2 2 2 3" xfId="39453"/>
    <cellStyle name="Porcentual 5 3 2 2 2 2 3 2" xfId="39454"/>
    <cellStyle name="Porcentual 5 3 2 2 2 2 3 2 2" xfId="50334"/>
    <cellStyle name="Porcentual 5 3 2 2 2 2 3 3" xfId="50333"/>
    <cellStyle name="Porcentual 5 3 2 2 2 2 4" xfId="39455"/>
    <cellStyle name="Porcentual 5 3 2 2 2 2 4 2" xfId="50335"/>
    <cellStyle name="Porcentual 5 3 2 2 2 2 5" xfId="50330"/>
    <cellStyle name="Porcentual 5 3 2 2 2 3" xfId="39456"/>
    <cellStyle name="Porcentual 5 3 2 2 2 3 2" xfId="50336"/>
    <cellStyle name="Porcentual 5 3 2 2 2 4" xfId="39457"/>
    <cellStyle name="Porcentual 5 3 2 2 2 4 2" xfId="39458"/>
    <cellStyle name="Porcentual 5 3 2 2 2 4 2 2" xfId="50338"/>
    <cellStyle name="Porcentual 5 3 2 2 2 4 3" xfId="50337"/>
    <cellStyle name="Porcentual 5 3 2 2 2 5" xfId="39459"/>
    <cellStyle name="Porcentual 5 3 2 2 2 5 2" xfId="50339"/>
    <cellStyle name="Porcentual 5 3 2 2 2 6" xfId="50329"/>
    <cellStyle name="Porcentual 5 3 2 2 3" xfId="39460"/>
    <cellStyle name="Porcentual 5 3 2 2 3 2" xfId="39461"/>
    <cellStyle name="Porcentual 5 3 2 2 3 2 2" xfId="39462"/>
    <cellStyle name="Porcentual 5 3 2 2 3 2 2 2" xfId="50342"/>
    <cellStyle name="Porcentual 5 3 2 2 3 2 3" xfId="50341"/>
    <cellStyle name="Porcentual 5 3 2 2 3 3" xfId="39463"/>
    <cellStyle name="Porcentual 5 3 2 2 3 3 2" xfId="39464"/>
    <cellStyle name="Porcentual 5 3 2 2 3 3 2 2" xfId="50344"/>
    <cellStyle name="Porcentual 5 3 2 2 3 3 3" xfId="50343"/>
    <cellStyle name="Porcentual 5 3 2 2 3 4" xfId="39465"/>
    <cellStyle name="Porcentual 5 3 2 2 3 4 2" xfId="50345"/>
    <cellStyle name="Porcentual 5 3 2 2 3 5" xfId="50340"/>
    <cellStyle name="Porcentual 5 3 2 2 4" xfId="39466"/>
    <cellStyle name="Porcentual 5 3 2 2 4 2" xfId="50346"/>
    <cellStyle name="Porcentual 5 3 2 2 5" xfId="39467"/>
    <cellStyle name="Porcentual 5 3 2 2 5 2" xfId="39468"/>
    <cellStyle name="Porcentual 5 3 2 2 5 2 2" xfId="50348"/>
    <cellStyle name="Porcentual 5 3 2 2 5 3" xfId="50347"/>
    <cellStyle name="Porcentual 5 3 2 2 6" xfId="39469"/>
    <cellStyle name="Porcentual 5 3 2 2 6 2" xfId="50349"/>
    <cellStyle name="Porcentual 5 3 2 2 7" xfId="50328"/>
    <cellStyle name="Porcentual 5 3 2 3" xfId="39470"/>
    <cellStyle name="Porcentual 5 3 2 3 2" xfId="39471"/>
    <cellStyle name="Porcentual 5 3 2 3 2 2" xfId="39472"/>
    <cellStyle name="Porcentual 5 3 2 3 2 2 2" xfId="39473"/>
    <cellStyle name="Porcentual 5 3 2 3 2 2 2 2" xfId="50353"/>
    <cellStyle name="Porcentual 5 3 2 3 2 2 3" xfId="50352"/>
    <cellStyle name="Porcentual 5 3 2 3 2 3" xfId="39474"/>
    <cellStyle name="Porcentual 5 3 2 3 2 3 2" xfId="39475"/>
    <cellStyle name="Porcentual 5 3 2 3 2 3 2 2" xfId="50355"/>
    <cellStyle name="Porcentual 5 3 2 3 2 3 3" xfId="50354"/>
    <cellStyle name="Porcentual 5 3 2 3 2 4" xfId="39476"/>
    <cellStyle name="Porcentual 5 3 2 3 2 4 2" xfId="50356"/>
    <cellStyle name="Porcentual 5 3 2 3 2 5" xfId="50351"/>
    <cellStyle name="Porcentual 5 3 2 3 3" xfId="39477"/>
    <cellStyle name="Porcentual 5 3 2 3 3 2" xfId="50357"/>
    <cellStyle name="Porcentual 5 3 2 3 4" xfId="39478"/>
    <cellStyle name="Porcentual 5 3 2 3 4 2" xfId="39479"/>
    <cellStyle name="Porcentual 5 3 2 3 4 2 2" xfId="50359"/>
    <cellStyle name="Porcentual 5 3 2 3 4 3" xfId="50358"/>
    <cellStyle name="Porcentual 5 3 2 3 5" xfId="39480"/>
    <cellStyle name="Porcentual 5 3 2 3 5 2" xfId="50360"/>
    <cellStyle name="Porcentual 5 3 2 3 6" xfId="50350"/>
    <cellStyle name="Porcentual 5 3 2 4" xfId="39481"/>
    <cellStyle name="Porcentual 5 3 2 4 2" xfId="39482"/>
    <cellStyle name="Porcentual 5 3 2 4 2 2" xfId="39483"/>
    <cellStyle name="Porcentual 5 3 2 4 2 2 2" xfId="50363"/>
    <cellStyle name="Porcentual 5 3 2 4 2 3" xfId="50362"/>
    <cellStyle name="Porcentual 5 3 2 4 3" xfId="39484"/>
    <cellStyle name="Porcentual 5 3 2 4 3 2" xfId="39485"/>
    <cellStyle name="Porcentual 5 3 2 4 3 2 2" xfId="50365"/>
    <cellStyle name="Porcentual 5 3 2 4 3 3" xfId="50364"/>
    <cellStyle name="Porcentual 5 3 2 4 4" xfId="39486"/>
    <cellStyle name="Porcentual 5 3 2 4 4 2" xfId="50366"/>
    <cellStyle name="Porcentual 5 3 2 4 5" xfId="50361"/>
    <cellStyle name="Porcentual 5 3 2 5" xfId="39487"/>
    <cellStyle name="Porcentual 5 3 2 5 2" xfId="50367"/>
    <cellStyle name="Porcentual 5 3 2 6" xfId="39488"/>
    <cellStyle name="Porcentual 5 3 2 6 2" xfId="39489"/>
    <cellStyle name="Porcentual 5 3 2 6 2 2" xfId="50369"/>
    <cellStyle name="Porcentual 5 3 2 6 3" xfId="50368"/>
    <cellStyle name="Porcentual 5 3 2 7" xfId="39490"/>
    <cellStyle name="Porcentual 5 3 2 7 2" xfId="50370"/>
    <cellStyle name="Porcentual 5 3 2 8" xfId="50327"/>
    <cellStyle name="Porcentual 5 3 3" xfId="39491"/>
    <cellStyle name="Porcentual 5 3 3 2" xfId="39492"/>
    <cellStyle name="Porcentual 5 3 3 2 2" xfId="39493"/>
    <cellStyle name="Porcentual 5 3 3 2 2 2" xfId="39494"/>
    <cellStyle name="Porcentual 5 3 3 2 2 2 2" xfId="39495"/>
    <cellStyle name="Porcentual 5 3 3 2 2 2 2 2" xfId="39496"/>
    <cellStyle name="Porcentual 5 3 3 2 2 2 2 2 2" xfId="50376"/>
    <cellStyle name="Porcentual 5 3 3 2 2 2 2 3" xfId="50375"/>
    <cellStyle name="Porcentual 5 3 3 2 2 2 3" xfId="39497"/>
    <cellStyle name="Porcentual 5 3 3 2 2 2 3 2" xfId="39498"/>
    <cellStyle name="Porcentual 5 3 3 2 2 2 3 2 2" xfId="50378"/>
    <cellStyle name="Porcentual 5 3 3 2 2 2 3 3" xfId="50377"/>
    <cellStyle name="Porcentual 5 3 3 2 2 2 4" xfId="39499"/>
    <cellStyle name="Porcentual 5 3 3 2 2 2 4 2" xfId="50379"/>
    <cellStyle name="Porcentual 5 3 3 2 2 2 5" xfId="50374"/>
    <cellStyle name="Porcentual 5 3 3 2 2 3" xfId="39500"/>
    <cellStyle name="Porcentual 5 3 3 2 2 3 2" xfId="50380"/>
    <cellStyle name="Porcentual 5 3 3 2 2 4" xfId="39501"/>
    <cellStyle name="Porcentual 5 3 3 2 2 4 2" xfId="39502"/>
    <cellStyle name="Porcentual 5 3 3 2 2 4 2 2" xfId="50382"/>
    <cellStyle name="Porcentual 5 3 3 2 2 4 3" xfId="50381"/>
    <cellStyle name="Porcentual 5 3 3 2 2 5" xfId="39503"/>
    <cellStyle name="Porcentual 5 3 3 2 2 5 2" xfId="50383"/>
    <cellStyle name="Porcentual 5 3 3 2 2 6" xfId="50373"/>
    <cellStyle name="Porcentual 5 3 3 2 3" xfId="39504"/>
    <cellStyle name="Porcentual 5 3 3 2 3 2" xfId="39505"/>
    <cellStyle name="Porcentual 5 3 3 2 3 2 2" xfId="39506"/>
    <cellStyle name="Porcentual 5 3 3 2 3 2 2 2" xfId="50386"/>
    <cellStyle name="Porcentual 5 3 3 2 3 2 3" xfId="50385"/>
    <cellStyle name="Porcentual 5 3 3 2 3 3" xfId="39507"/>
    <cellStyle name="Porcentual 5 3 3 2 3 3 2" xfId="39508"/>
    <cellStyle name="Porcentual 5 3 3 2 3 3 2 2" xfId="50388"/>
    <cellStyle name="Porcentual 5 3 3 2 3 3 3" xfId="50387"/>
    <cellStyle name="Porcentual 5 3 3 2 3 4" xfId="39509"/>
    <cellStyle name="Porcentual 5 3 3 2 3 4 2" xfId="50389"/>
    <cellStyle name="Porcentual 5 3 3 2 3 5" xfId="50384"/>
    <cellStyle name="Porcentual 5 3 3 2 4" xfId="39510"/>
    <cellStyle name="Porcentual 5 3 3 2 4 2" xfId="50390"/>
    <cellStyle name="Porcentual 5 3 3 2 5" xfId="39511"/>
    <cellStyle name="Porcentual 5 3 3 2 5 2" xfId="39512"/>
    <cellStyle name="Porcentual 5 3 3 2 5 2 2" xfId="50392"/>
    <cellStyle name="Porcentual 5 3 3 2 5 3" xfId="50391"/>
    <cellStyle name="Porcentual 5 3 3 2 6" xfId="39513"/>
    <cellStyle name="Porcentual 5 3 3 2 6 2" xfId="50393"/>
    <cellStyle name="Porcentual 5 3 3 2 7" xfId="50372"/>
    <cellStyle name="Porcentual 5 3 3 3" xfId="39514"/>
    <cellStyle name="Porcentual 5 3 3 3 2" xfId="39515"/>
    <cellStyle name="Porcentual 5 3 3 3 2 2" xfId="39516"/>
    <cellStyle name="Porcentual 5 3 3 3 2 2 2" xfId="39517"/>
    <cellStyle name="Porcentual 5 3 3 3 2 2 2 2" xfId="50397"/>
    <cellStyle name="Porcentual 5 3 3 3 2 2 3" xfId="50396"/>
    <cellStyle name="Porcentual 5 3 3 3 2 3" xfId="39518"/>
    <cellStyle name="Porcentual 5 3 3 3 2 3 2" xfId="39519"/>
    <cellStyle name="Porcentual 5 3 3 3 2 3 2 2" xfId="50399"/>
    <cellStyle name="Porcentual 5 3 3 3 2 3 3" xfId="50398"/>
    <cellStyle name="Porcentual 5 3 3 3 2 4" xfId="39520"/>
    <cellStyle name="Porcentual 5 3 3 3 2 4 2" xfId="50400"/>
    <cellStyle name="Porcentual 5 3 3 3 2 5" xfId="50395"/>
    <cellStyle name="Porcentual 5 3 3 3 3" xfId="39521"/>
    <cellStyle name="Porcentual 5 3 3 3 3 2" xfId="50401"/>
    <cellStyle name="Porcentual 5 3 3 3 4" xfId="39522"/>
    <cellStyle name="Porcentual 5 3 3 3 4 2" xfId="39523"/>
    <cellStyle name="Porcentual 5 3 3 3 4 2 2" xfId="50403"/>
    <cellStyle name="Porcentual 5 3 3 3 4 3" xfId="50402"/>
    <cellStyle name="Porcentual 5 3 3 3 5" xfId="39524"/>
    <cellStyle name="Porcentual 5 3 3 3 5 2" xfId="50404"/>
    <cellStyle name="Porcentual 5 3 3 3 6" xfId="50394"/>
    <cellStyle name="Porcentual 5 3 3 4" xfId="39525"/>
    <cellStyle name="Porcentual 5 3 3 4 2" xfId="39526"/>
    <cellStyle name="Porcentual 5 3 3 4 2 2" xfId="39527"/>
    <cellStyle name="Porcentual 5 3 3 4 2 2 2" xfId="50407"/>
    <cellStyle name="Porcentual 5 3 3 4 2 3" xfId="50406"/>
    <cellStyle name="Porcentual 5 3 3 4 3" xfId="39528"/>
    <cellStyle name="Porcentual 5 3 3 4 3 2" xfId="39529"/>
    <cellStyle name="Porcentual 5 3 3 4 3 2 2" xfId="50409"/>
    <cellStyle name="Porcentual 5 3 3 4 3 3" xfId="50408"/>
    <cellStyle name="Porcentual 5 3 3 4 4" xfId="39530"/>
    <cellStyle name="Porcentual 5 3 3 4 4 2" xfId="50410"/>
    <cellStyle name="Porcentual 5 3 3 4 5" xfId="50405"/>
    <cellStyle name="Porcentual 5 3 3 5" xfId="39531"/>
    <cellStyle name="Porcentual 5 3 3 5 2" xfId="50411"/>
    <cellStyle name="Porcentual 5 3 3 6" xfId="39532"/>
    <cellStyle name="Porcentual 5 3 3 6 2" xfId="39533"/>
    <cellStyle name="Porcentual 5 3 3 6 2 2" xfId="50413"/>
    <cellStyle name="Porcentual 5 3 3 6 3" xfId="50412"/>
    <cellStyle name="Porcentual 5 3 3 7" xfId="39534"/>
    <cellStyle name="Porcentual 5 3 3 7 2" xfId="50414"/>
    <cellStyle name="Porcentual 5 3 3 8" xfId="50371"/>
    <cellStyle name="Porcentual 5 3 4" xfId="39535"/>
    <cellStyle name="Porcentual 5 3 4 2" xfId="50415"/>
    <cellStyle name="Porcentual 5 3 5" xfId="39536"/>
    <cellStyle name="Porcentual 5 3 5 2" xfId="39537"/>
    <cellStyle name="Porcentual 5 3 5 2 2" xfId="39538"/>
    <cellStyle name="Porcentual 5 3 5 2 2 2" xfId="39539"/>
    <cellStyle name="Porcentual 5 3 5 2 2 2 2" xfId="39540"/>
    <cellStyle name="Porcentual 5 3 5 2 2 2 2 2" xfId="50420"/>
    <cellStyle name="Porcentual 5 3 5 2 2 2 3" xfId="50419"/>
    <cellStyle name="Porcentual 5 3 5 2 2 3" xfId="39541"/>
    <cellStyle name="Porcentual 5 3 5 2 2 3 2" xfId="39542"/>
    <cellStyle name="Porcentual 5 3 5 2 2 3 2 2" xfId="50422"/>
    <cellStyle name="Porcentual 5 3 5 2 2 3 3" xfId="50421"/>
    <cellStyle name="Porcentual 5 3 5 2 2 4" xfId="39543"/>
    <cellStyle name="Porcentual 5 3 5 2 2 4 2" xfId="50423"/>
    <cellStyle name="Porcentual 5 3 5 2 2 5" xfId="50418"/>
    <cellStyle name="Porcentual 5 3 5 2 3" xfId="39544"/>
    <cellStyle name="Porcentual 5 3 5 2 3 2" xfId="50424"/>
    <cellStyle name="Porcentual 5 3 5 2 4" xfId="39545"/>
    <cellStyle name="Porcentual 5 3 5 2 4 2" xfId="39546"/>
    <cellStyle name="Porcentual 5 3 5 2 4 2 2" xfId="50426"/>
    <cellStyle name="Porcentual 5 3 5 2 4 3" xfId="50425"/>
    <cellStyle name="Porcentual 5 3 5 2 5" xfId="39547"/>
    <cellStyle name="Porcentual 5 3 5 2 5 2" xfId="50427"/>
    <cellStyle name="Porcentual 5 3 5 2 6" xfId="50417"/>
    <cellStyle name="Porcentual 5 3 5 3" xfId="39548"/>
    <cellStyle name="Porcentual 5 3 5 3 2" xfId="39549"/>
    <cellStyle name="Porcentual 5 3 5 3 2 2" xfId="39550"/>
    <cellStyle name="Porcentual 5 3 5 3 2 2 2" xfId="50430"/>
    <cellStyle name="Porcentual 5 3 5 3 2 3" xfId="50429"/>
    <cellStyle name="Porcentual 5 3 5 3 3" xfId="39551"/>
    <cellStyle name="Porcentual 5 3 5 3 3 2" xfId="39552"/>
    <cellStyle name="Porcentual 5 3 5 3 3 2 2" xfId="50432"/>
    <cellStyle name="Porcentual 5 3 5 3 3 3" xfId="50431"/>
    <cellStyle name="Porcentual 5 3 5 3 4" xfId="39553"/>
    <cellStyle name="Porcentual 5 3 5 3 4 2" xfId="50433"/>
    <cellStyle name="Porcentual 5 3 5 3 5" xfId="50428"/>
    <cellStyle name="Porcentual 5 3 5 4" xfId="39554"/>
    <cellStyle name="Porcentual 5 3 5 4 2" xfId="50434"/>
    <cellStyle name="Porcentual 5 3 5 5" xfId="39555"/>
    <cellStyle name="Porcentual 5 3 5 5 2" xfId="39556"/>
    <cellStyle name="Porcentual 5 3 5 5 2 2" xfId="50436"/>
    <cellStyle name="Porcentual 5 3 5 5 3" xfId="50435"/>
    <cellStyle name="Porcentual 5 3 5 6" xfId="39557"/>
    <cellStyle name="Porcentual 5 3 5 6 2" xfId="50437"/>
    <cellStyle name="Porcentual 5 3 5 7" xfId="50416"/>
    <cellStyle name="Porcentual 5 3 6" xfId="39558"/>
    <cellStyle name="Porcentual 5 3 6 2" xfId="39559"/>
    <cellStyle name="Porcentual 5 3 6 2 2" xfId="39560"/>
    <cellStyle name="Porcentual 5 3 6 2 2 2" xfId="39561"/>
    <cellStyle name="Porcentual 5 3 6 2 2 2 2" xfId="50441"/>
    <cellStyle name="Porcentual 5 3 6 2 2 3" xfId="50440"/>
    <cellStyle name="Porcentual 5 3 6 2 3" xfId="39562"/>
    <cellStyle name="Porcentual 5 3 6 2 3 2" xfId="39563"/>
    <cellStyle name="Porcentual 5 3 6 2 3 2 2" xfId="50443"/>
    <cellStyle name="Porcentual 5 3 6 2 3 3" xfId="50442"/>
    <cellStyle name="Porcentual 5 3 6 2 4" xfId="39564"/>
    <cellStyle name="Porcentual 5 3 6 2 4 2" xfId="50444"/>
    <cellStyle name="Porcentual 5 3 6 2 5" xfId="50439"/>
    <cellStyle name="Porcentual 5 3 6 3" xfId="39565"/>
    <cellStyle name="Porcentual 5 3 6 3 2" xfId="50445"/>
    <cellStyle name="Porcentual 5 3 6 4" xfId="39566"/>
    <cellStyle name="Porcentual 5 3 6 4 2" xfId="39567"/>
    <cellStyle name="Porcentual 5 3 6 4 2 2" xfId="50447"/>
    <cellStyle name="Porcentual 5 3 6 4 3" xfId="50446"/>
    <cellStyle name="Porcentual 5 3 6 5" xfId="39568"/>
    <cellStyle name="Porcentual 5 3 6 5 2" xfId="50448"/>
    <cellStyle name="Porcentual 5 3 6 6" xfId="50438"/>
    <cellStyle name="Porcentual 5 3 7" xfId="39569"/>
    <cellStyle name="Porcentual 5 3 7 2" xfId="39570"/>
    <cellStyle name="Porcentual 5 3 7 2 2" xfId="39571"/>
    <cellStyle name="Porcentual 5 3 7 2 2 2" xfId="50451"/>
    <cellStyle name="Porcentual 5 3 7 2 3" xfId="50450"/>
    <cellStyle name="Porcentual 5 3 7 3" xfId="39572"/>
    <cellStyle name="Porcentual 5 3 7 3 2" xfId="39573"/>
    <cellStyle name="Porcentual 5 3 7 3 2 2" xfId="50453"/>
    <cellStyle name="Porcentual 5 3 7 3 3" xfId="50452"/>
    <cellStyle name="Porcentual 5 3 7 4" xfId="39574"/>
    <cellStyle name="Porcentual 5 3 7 4 2" xfId="50454"/>
    <cellStyle name="Porcentual 5 3 7 5" xfId="50449"/>
    <cellStyle name="Porcentual 5 3 8" xfId="39575"/>
    <cellStyle name="Porcentual 5 3 8 2" xfId="39576"/>
    <cellStyle name="Porcentual 5 3 8 2 2" xfId="39577"/>
    <cellStyle name="Porcentual 5 3 8 2 2 2" xfId="50457"/>
    <cellStyle name="Porcentual 5 3 8 2 3" xfId="50456"/>
    <cellStyle name="Porcentual 5 3 8 3" xfId="39578"/>
    <cellStyle name="Porcentual 5 3 8 3 2" xfId="50458"/>
    <cellStyle name="Porcentual 5 3 8 4" xfId="50455"/>
    <cellStyle name="Porcentual 5 3 9" xfId="39579"/>
    <cellStyle name="Porcentual 5 3 9 2" xfId="39580"/>
    <cellStyle name="Porcentual 5 3 9 2 2" xfId="39581"/>
    <cellStyle name="Porcentual 5 3 9 2 2 2" xfId="50461"/>
    <cellStyle name="Porcentual 5 3 9 2 3" xfId="50460"/>
    <cellStyle name="Porcentual 5 3 9 3" xfId="39582"/>
    <cellStyle name="Porcentual 5 3 9 3 2" xfId="50462"/>
    <cellStyle name="Porcentual 5 3 9 4" xfId="50459"/>
    <cellStyle name="Porcentual 5 4" xfId="39583"/>
    <cellStyle name="Porcentual 5 4 2" xfId="50463"/>
    <cellStyle name="Porcentual 5 5" xfId="39584"/>
    <cellStyle name="Porcentual 5 5 2" xfId="50464"/>
    <cellStyle name="Porcentual 5 6" xfId="39585"/>
    <cellStyle name="Porcentual 5 6 2" xfId="50465"/>
    <cellStyle name="Porcentual 5 7" xfId="39586"/>
    <cellStyle name="Porcentual 5 7 2" xfId="39587"/>
    <cellStyle name="Porcentual 5 7 2 2" xfId="39588"/>
    <cellStyle name="Porcentual 5 7 2 2 2" xfId="50468"/>
    <cellStyle name="Porcentual 5 7 2 3" xfId="50467"/>
    <cellStyle name="Porcentual 5 7 3" xfId="39589"/>
    <cellStyle name="Porcentual 5 7 3 2" xfId="50469"/>
    <cellStyle name="Porcentual 5 7 4" xfId="50466"/>
    <cellStyle name="Porcentual 5 8" xfId="39590"/>
    <cellStyle name="Porcentual 5 8 2" xfId="39591"/>
    <cellStyle name="Porcentual 5 8 2 2" xfId="50471"/>
    <cellStyle name="Porcentual 5 8 3" xfId="50470"/>
    <cellStyle name="Porcentual 5 9" xfId="39592"/>
    <cellStyle name="Porcentual 5 9 2" xfId="50472"/>
    <cellStyle name="Porcentual 6" xfId="39593"/>
    <cellStyle name="Porcentual 6 10" xfId="39594"/>
    <cellStyle name="Porcentual 6 10 2" xfId="39595"/>
    <cellStyle name="Porcentual 6 10 2 2" xfId="39596"/>
    <cellStyle name="Porcentual 6 10 2 2 2" xfId="50476"/>
    <cellStyle name="Porcentual 6 10 2 3" xfId="50475"/>
    <cellStyle name="Porcentual 6 10 3" xfId="39597"/>
    <cellStyle name="Porcentual 6 10 3 2" xfId="39598"/>
    <cellStyle name="Porcentual 6 10 3 2 2" xfId="50478"/>
    <cellStyle name="Porcentual 6 10 3 3" xfId="50477"/>
    <cellStyle name="Porcentual 6 10 4" xfId="39599"/>
    <cellStyle name="Porcentual 6 10 4 2" xfId="50479"/>
    <cellStyle name="Porcentual 6 10 5" xfId="50474"/>
    <cellStyle name="Porcentual 6 11" xfId="39600"/>
    <cellStyle name="Porcentual 6 11 2" xfId="39601"/>
    <cellStyle name="Porcentual 6 11 2 2" xfId="39602"/>
    <cellStyle name="Porcentual 6 11 2 2 2" xfId="50482"/>
    <cellStyle name="Porcentual 6 11 2 3" xfId="50481"/>
    <cellStyle name="Porcentual 6 11 3" xfId="39603"/>
    <cellStyle name="Porcentual 6 11 3 2" xfId="50483"/>
    <cellStyle name="Porcentual 6 11 4" xfId="50480"/>
    <cellStyle name="Porcentual 6 12" xfId="39604"/>
    <cellStyle name="Porcentual 6 12 2" xfId="39605"/>
    <cellStyle name="Porcentual 6 12 2 2" xfId="39606"/>
    <cellStyle name="Porcentual 6 12 2 2 2" xfId="50486"/>
    <cellStyle name="Porcentual 6 12 2 3" xfId="50485"/>
    <cellStyle name="Porcentual 6 12 3" xfId="39607"/>
    <cellStyle name="Porcentual 6 12 3 2" xfId="50487"/>
    <cellStyle name="Porcentual 6 12 4" xfId="50484"/>
    <cellStyle name="Porcentual 6 13" xfId="39608"/>
    <cellStyle name="Porcentual 6 13 2" xfId="39609"/>
    <cellStyle name="Porcentual 6 13 2 2" xfId="39610"/>
    <cellStyle name="Porcentual 6 13 2 2 2" xfId="50490"/>
    <cellStyle name="Porcentual 6 13 2 3" xfId="50489"/>
    <cellStyle name="Porcentual 6 13 3" xfId="39611"/>
    <cellStyle name="Porcentual 6 13 3 2" xfId="50491"/>
    <cellStyle name="Porcentual 6 13 4" xfId="50488"/>
    <cellStyle name="Porcentual 6 14" xfId="39612"/>
    <cellStyle name="Porcentual 6 14 2" xfId="39613"/>
    <cellStyle name="Porcentual 6 14 2 2" xfId="50493"/>
    <cellStyle name="Porcentual 6 14 3" xfId="50492"/>
    <cellStyle name="Porcentual 6 15" xfId="39614"/>
    <cellStyle name="Porcentual 6 15 2" xfId="50494"/>
    <cellStyle name="Porcentual 6 16" xfId="39615"/>
    <cellStyle name="Porcentual 6 16 2" xfId="39616"/>
    <cellStyle name="Porcentual 6 16 2 2" xfId="50496"/>
    <cellStyle name="Porcentual 6 16 3" xfId="50495"/>
    <cellStyle name="Porcentual 6 17" xfId="39617"/>
    <cellStyle name="Porcentual 6 17 2" xfId="50497"/>
    <cellStyle name="Porcentual 6 18" xfId="39618"/>
    <cellStyle name="Porcentual 6 18 2" xfId="50498"/>
    <cellStyle name="Porcentual 6 19" xfId="50473"/>
    <cellStyle name="Porcentual 6 2" xfId="39619"/>
    <cellStyle name="Porcentual 6 2 10" xfId="39620"/>
    <cellStyle name="Porcentual 6 2 10 2" xfId="39621"/>
    <cellStyle name="Porcentual 6 2 10 2 2" xfId="39622"/>
    <cellStyle name="Porcentual 6 2 10 2 2 2" xfId="50502"/>
    <cellStyle name="Porcentual 6 2 10 2 3" xfId="50501"/>
    <cellStyle name="Porcentual 6 2 10 3" xfId="39623"/>
    <cellStyle name="Porcentual 6 2 10 3 2" xfId="50503"/>
    <cellStyle name="Porcentual 6 2 10 4" xfId="50500"/>
    <cellStyle name="Porcentual 6 2 11" xfId="39624"/>
    <cellStyle name="Porcentual 6 2 11 2" xfId="39625"/>
    <cellStyle name="Porcentual 6 2 11 2 2" xfId="39626"/>
    <cellStyle name="Porcentual 6 2 11 2 2 2" xfId="50506"/>
    <cellStyle name="Porcentual 6 2 11 2 3" xfId="50505"/>
    <cellStyle name="Porcentual 6 2 11 3" xfId="39627"/>
    <cellStyle name="Porcentual 6 2 11 3 2" xfId="50507"/>
    <cellStyle name="Porcentual 6 2 11 4" xfId="50504"/>
    <cellStyle name="Porcentual 6 2 12" xfId="39628"/>
    <cellStyle name="Porcentual 6 2 12 2" xfId="39629"/>
    <cellStyle name="Porcentual 6 2 12 2 2" xfId="39630"/>
    <cellStyle name="Porcentual 6 2 12 2 2 2" xfId="50510"/>
    <cellStyle name="Porcentual 6 2 12 2 3" xfId="50509"/>
    <cellStyle name="Porcentual 6 2 12 3" xfId="39631"/>
    <cellStyle name="Porcentual 6 2 12 3 2" xfId="50511"/>
    <cellStyle name="Porcentual 6 2 12 4" xfId="50508"/>
    <cellStyle name="Porcentual 6 2 13" xfId="39632"/>
    <cellStyle name="Porcentual 6 2 13 2" xfId="39633"/>
    <cellStyle name="Porcentual 6 2 13 2 2" xfId="50513"/>
    <cellStyle name="Porcentual 6 2 13 3" xfId="50512"/>
    <cellStyle name="Porcentual 6 2 14" xfId="39634"/>
    <cellStyle name="Porcentual 6 2 14 2" xfId="39635"/>
    <cellStyle name="Porcentual 6 2 14 2 2" xfId="50515"/>
    <cellStyle name="Porcentual 6 2 14 3" xfId="50514"/>
    <cellStyle name="Porcentual 6 2 15" xfId="39636"/>
    <cellStyle name="Porcentual 6 2 15 2" xfId="50516"/>
    <cellStyle name="Porcentual 6 2 16" xfId="39637"/>
    <cellStyle name="Porcentual 6 2 16 2" xfId="50517"/>
    <cellStyle name="Porcentual 6 2 17" xfId="50499"/>
    <cellStyle name="Porcentual 6 2 2" xfId="39638"/>
    <cellStyle name="Porcentual 6 2 2 10" xfId="39639"/>
    <cellStyle name="Porcentual 6 2 2 10 2" xfId="39640"/>
    <cellStyle name="Porcentual 6 2 2 10 2 2" xfId="39641"/>
    <cellStyle name="Porcentual 6 2 2 10 2 2 2" xfId="50521"/>
    <cellStyle name="Porcentual 6 2 2 10 2 3" xfId="50520"/>
    <cellStyle name="Porcentual 6 2 2 10 3" xfId="39642"/>
    <cellStyle name="Porcentual 6 2 2 10 3 2" xfId="50522"/>
    <cellStyle name="Porcentual 6 2 2 10 4" xfId="50519"/>
    <cellStyle name="Porcentual 6 2 2 11" xfId="39643"/>
    <cellStyle name="Porcentual 6 2 2 11 2" xfId="39644"/>
    <cellStyle name="Porcentual 6 2 2 11 2 2" xfId="50524"/>
    <cellStyle name="Porcentual 6 2 2 11 3" xfId="50523"/>
    <cellStyle name="Porcentual 6 2 2 12" xfId="39645"/>
    <cellStyle name="Porcentual 6 2 2 12 2" xfId="39646"/>
    <cellStyle name="Porcentual 6 2 2 12 2 2" xfId="50526"/>
    <cellStyle name="Porcentual 6 2 2 12 3" xfId="50525"/>
    <cellStyle name="Porcentual 6 2 2 13" xfId="39647"/>
    <cellStyle name="Porcentual 6 2 2 13 2" xfId="50527"/>
    <cellStyle name="Porcentual 6 2 2 14" xfId="39648"/>
    <cellStyle name="Porcentual 6 2 2 14 2" xfId="50528"/>
    <cellStyle name="Porcentual 6 2 2 15" xfId="50518"/>
    <cellStyle name="Porcentual 6 2 2 2" xfId="39649"/>
    <cellStyle name="Porcentual 6 2 2 2 2" xfId="39650"/>
    <cellStyle name="Porcentual 6 2 2 2 2 2" xfId="39651"/>
    <cellStyle name="Porcentual 6 2 2 2 2 2 2" xfId="39652"/>
    <cellStyle name="Porcentual 6 2 2 2 2 2 2 2" xfId="39653"/>
    <cellStyle name="Porcentual 6 2 2 2 2 2 2 2 2" xfId="39654"/>
    <cellStyle name="Porcentual 6 2 2 2 2 2 2 2 2 2" xfId="50534"/>
    <cellStyle name="Porcentual 6 2 2 2 2 2 2 2 3" xfId="50533"/>
    <cellStyle name="Porcentual 6 2 2 2 2 2 2 3" xfId="39655"/>
    <cellStyle name="Porcentual 6 2 2 2 2 2 2 3 2" xfId="39656"/>
    <cellStyle name="Porcentual 6 2 2 2 2 2 2 3 2 2" xfId="50536"/>
    <cellStyle name="Porcentual 6 2 2 2 2 2 2 3 3" xfId="50535"/>
    <cellStyle name="Porcentual 6 2 2 2 2 2 2 4" xfId="39657"/>
    <cellStyle name="Porcentual 6 2 2 2 2 2 2 4 2" xfId="50537"/>
    <cellStyle name="Porcentual 6 2 2 2 2 2 2 5" xfId="50532"/>
    <cellStyle name="Porcentual 6 2 2 2 2 2 3" xfId="39658"/>
    <cellStyle name="Porcentual 6 2 2 2 2 2 3 2" xfId="50538"/>
    <cellStyle name="Porcentual 6 2 2 2 2 2 4" xfId="39659"/>
    <cellStyle name="Porcentual 6 2 2 2 2 2 4 2" xfId="39660"/>
    <cellStyle name="Porcentual 6 2 2 2 2 2 4 2 2" xfId="50540"/>
    <cellStyle name="Porcentual 6 2 2 2 2 2 4 3" xfId="50539"/>
    <cellStyle name="Porcentual 6 2 2 2 2 2 5" xfId="39661"/>
    <cellStyle name="Porcentual 6 2 2 2 2 2 5 2" xfId="50541"/>
    <cellStyle name="Porcentual 6 2 2 2 2 2 6" xfId="50531"/>
    <cellStyle name="Porcentual 6 2 2 2 2 3" xfId="39662"/>
    <cellStyle name="Porcentual 6 2 2 2 2 3 2" xfId="39663"/>
    <cellStyle name="Porcentual 6 2 2 2 2 3 2 2" xfId="39664"/>
    <cellStyle name="Porcentual 6 2 2 2 2 3 2 2 2" xfId="50544"/>
    <cellStyle name="Porcentual 6 2 2 2 2 3 2 3" xfId="50543"/>
    <cellStyle name="Porcentual 6 2 2 2 2 3 3" xfId="39665"/>
    <cellStyle name="Porcentual 6 2 2 2 2 3 3 2" xfId="39666"/>
    <cellStyle name="Porcentual 6 2 2 2 2 3 3 2 2" xfId="50546"/>
    <cellStyle name="Porcentual 6 2 2 2 2 3 3 3" xfId="50545"/>
    <cellStyle name="Porcentual 6 2 2 2 2 3 4" xfId="39667"/>
    <cellStyle name="Porcentual 6 2 2 2 2 3 4 2" xfId="50547"/>
    <cellStyle name="Porcentual 6 2 2 2 2 3 5" xfId="50542"/>
    <cellStyle name="Porcentual 6 2 2 2 2 4" xfId="39668"/>
    <cellStyle name="Porcentual 6 2 2 2 2 4 2" xfId="50548"/>
    <cellStyle name="Porcentual 6 2 2 2 2 5" xfId="39669"/>
    <cellStyle name="Porcentual 6 2 2 2 2 5 2" xfId="39670"/>
    <cellStyle name="Porcentual 6 2 2 2 2 5 2 2" xfId="50550"/>
    <cellStyle name="Porcentual 6 2 2 2 2 5 3" xfId="50549"/>
    <cellStyle name="Porcentual 6 2 2 2 2 6" xfId="39671"/>
    <cellStyle name="Porcentual 6 2 2 2 2 6 2" xfId="50551"/>
    <cellStyle name="Porcentual 6 2 2 2 2 7" xfId="50530"/>
    <cellStyle name="Porcentual 6 2 2 2 3" xfId="39672"/>
    <cellStyle name="Porcentual 6 2 2 2 3 2" xfId="39673"/>
    <cellStyle name="Porcentual 6 2 2 2 3 2 2" xfId="39674"/>
    <cellStyle name="Porcentual 6 2 2 2 3 2 2 2" xfId="39675"/>
    <cellStyle name="Porcentual 6 2 2 2 3 2 2 2 2" xfId="50555"/>
    <cellStyle name="Porcentual 6 2 2 2 3 2 2 3" xfId="50554"/>
    <cellStyle name="Porcentual 6 2 2 2 3 2 3" xfId="39676"/>
    <cellStyle name="Porcentual 6 2 2 2 3 2 3 2" xfId="39677"/>
    <cellStyle name="Porcentual 6 2 2 2 3 2 3 2 2" xfId="50557"/>
    <cellStyle name="Porcentual 6 2 2 2 3 2 3 3" xfId="50556"/>
    <cellStyle name="Porcentual 6 2 2 2 3 2 4" xfId="39678"/>
    <cellStyle name="Porcentual 6 2 2 2 3 2 4 2" xfId="50558"/>
    <cellStyle name="Porcentual 6 2 2 2 3 2 5" xfId="50553"/>
    <cellStyle name="Porcentual 6 2 2 2 3 3" xfId="39679"/>
    <cellStyle name="Porcentual 6 2 2 2 3 3 2" xfId="50559"/>
    <cellStyle name="Porcentual 6 2 2 2 3 4" xfId="39680"/>
    <cellStyle name="Porcentual 6 2 2 2 3 4 2" xfId="39681"/>
    <cellStyle name="Porcentual 6 2 2 2 3 4 2 2" xfId="50561"/>
    <cellStyle name="Porcentual 6 2 2 2 3 4 3" xfId="50560"/>
    <cellStyle name="Porcentual 6 2 2 2 3 5" xfId="39682"/>
    <cellStyle name="Porcentual 6 2 2 2 3 5 2" xfId="50562"/>
    <cellStyle name="Porcentual 6 2 2 2 3 6" xfId="50552"/>
    <cellStyle name="Porcentual 6 2 2 2 4" xfId="39683"/>
    <cellStyle name="Porcentual 6 2 2 2 4 2" xfId="39684"/>
    <cellStyle name="Porcentual 6 2 2 2 4 2 2" xfId="39685"/>
    <cellStyle name="Porcentual 6 2 2 2 4 2 2 2" xfId="50565"/>
    <cellStyle name="Porcentual 6 2 2 2 4 2 3" xfId="50564"/>
    <cellStyle name="Porcentual 6 2 2 2 4 3" xfId="39686"/>
    <cellStyle name="Porcentual 6 2 2 2 4 3 2" xfId="39687"/>
    <cellStyle name="Porcentual 6 2 2 2 4 3 2 2" xfId="50567"/>
    <cellStyle name="Porcentual 6 2 2 2 4 3 3" xfId="50566"/>
    <cellStyle name="Porcentual 6 2 2 2 4 4" xfId="39688"/>
    <cellStyle name="Porcentual 6 2 2 2 4 4 2" xfId="50568"/>
    <cellStyle name="Porcentual 6 2 2 2 4 5" xfId="50563"/>
    <cellStyle name="Porcentual 6 2 2 2 5" xfId="39689"/>
    <cellStyle name="Porcentual 6 2 2 2 5 2" xfId="50569"/>
    <cellStyle name="Porcentual 6 2 2 2 6" xfId="39690"/>
    <cellStyle name="Porcentual 6 2 2 2 6 2" xfId="39691"/>
    <cellStyle name="Porcentual 6 2 2 2 6 2 2" xfId="50571"/>
    <cellStyle name="Porcentual 6 2 2 2 6 3" xfId="50570"/>
    <cellStyle name="Porcentual 6 2 2 2 7" xfId="39692"/>
    <cellStyle name="Porcentual 6 2 2 2 7 2" xfId="50572"/>
    <cellStyle name="Porcentual 6 2 2 2 8" xfId="50529"/>
    <cellStyle name="Porcentual 6 2 2 3" xfId="39693"/>
    <cellStyle name="Porcentual 6 2 2 3 2" xfId="39694"/>
    <cellStyle name="Porcentual 6 2 2 3 2 2" xfId="39695"/>
    <cellStyle name="Porcentual 6 2 2 3 2 2 2" xfId="39696"/>
    <cellStyle name="Porcentual 6 2 2 3 2 2 2 2" xfId="39697"/>
    <cellStyle name="Porcentual 6 2 2 3 2 2 2 2 2" xfId="39698"/>
    <cellStyle name="Porcentual 6 2 2 3 2 2 2 2 2 2" xfId="50578"/>
    <cellStyle name="Porcentual 6 2 2 3 2 2 2 2 3" xfId="50577"/>
    <cellStyle name="Porcentual 6 2 2 3 2 2 2 3" xfId="39699"/>
    <cellStyle name="Porcentual 6 2 2 3 2 2 2 3 2" xfId="39700"/>
    <cellStyle name="Porcentual 6 2 2 3 2 2 2 3 2 2" xfId="50580"/>
    <cellStyle name="Porcentual 6 2 2 3 2 2 2 3 3" xfId="50579"/>
    <cellStyle name="Porcentual 6 2 2 3 2 2 2 4" xfId="39701"/>
    <cellStyle name="Porcentual 6 2 2 3 2 2 2 4 2" xfId="50581"/>
    <cellStyle name="Porcentual 6 2 2 3 2 2 2 5" xfId="50576"/>
    <cellStyle name="Porcentual 6 2 2 3 2 2 3" xfId="39702"/>
    <cellStyle name="Porcentual 6 2 2 3 2 2 3 2" xfId="50582"/>
    <cellStyle name="Porcentual 6 2 2 3 2 2 4" xfId="39703"/>
    <cellStyle name="Porcentual 6 2 2 3 2 2 4 2" xfId="39704"/>
    <cellStyle name="Porcentual 6 2 2 3 2 2 4 2 2" xfId="50584"/>
    <cellStyle name="Porcentual 6 2 2 3 2 2 4 3" xfId="50583"/>
    <cellStyle name="Porcentual 6 2 2 3 2 2 5" xfId="39705"/>
    <cellStyle name="Porcentual 6 2 2 3 2 2 5 2" xfId="50585"/>
    <cellStyle name="Porcentual 6 2 2 3 2 2 6" xfId="50575"/>
    <cellStyle name="Porcentual 6 2 2 3 2 3" xfId="39706"/>
    <cellStyle name="Porcentual 6 2 2 3 2 3 2" xfId="39707"/>
    <cellStyle name="Porcentual 6 2 2 3 2 3 2 2" xfId="39708"/>
    <cellStyle name="Porcentual 6 2 2 3 2 3 2 2 2" xfId="50588"/>
    <cellStyle name="Porcentual 6 2 2 3 2 3 2 3" xfId="50587"/>
    <cellStyle name="Porcentual 6 2 2 3 2 3 3" xfId="39709"/>
    <cellStyle name="Porcentual 6 2 2 3 2 3 3 2" xfId="39710"/>
    <cellStyle name="Porcentual 6 2 2 3 2 3 3 2 2" xfId="50590"/>
    <cellStyle name="Porcentual 6 2 2 3 2 3 3 3" xfId="50589"/>
    <cellStyle name="Porcentual 6 2 2 3 2 3 4" xfId="39711"/>
    <cellStyle name="Porcentual 6 2 2 3 2 3 4 2" xfId="50591"/>
    <cellStyle name="Porcentual 6 2 2 3 2 3 5" xfId="50586"/>
    <cellStyle name="Porcentual 6 2 2 3 2 4" xfId="39712"/>
    <cellStyle name="Porcentual 6 2 2 3 2 4 2" xfId="50592"/>
    <cellStyle name="Porcentual 6 2 2 3 2 5" xfId="39713"/>
    <cellStyle name="Porcentual 6 2 2 3 2 5 2" xfId="39714"/>
    <cellStyle name="Porcentual 6 2 2 3 2 5 2 2" xfId="50594"/>
    <cellStyle name="Porcentual 6 2 2 3 2 5 3" xfId="50593"/>
    <cellStyle name="Porcentual 6 2 2 3 2 6" xfId="39715"/>
    <cellStyle name="Porcentual 6 2 2 3 2 6 2" xfId="50595"/>
    <cellStyle name="Porcentual 6 2 2 3 2 7" xfId="50574"/>
    <cellStyle name="Porcentual 6 2 2 3 3" xfId="39716"/>
    <cellStyle name="Porcentual 6 2 2 3 3 2" xfId="39717"/>
    <cellStyle name="Porcentual 6 2 2 3 3 2 2" xfId="39718"/>
    <cellStyle name="Porcentual 6 2 2 3 3 2 2 2" xfId="39719"/>
    <cellStyle name="Porcentual 6 2 2 3 3 2 2 2 2" xfId="50599"/>
    <cellStyle name="Porcentual 6 2 2 3 3 2 2 3" xfId="50598"/>
    <cellStyle name="Porcentual 6 2 2 3 3 2 3" xfId="39720"/>
    <cellStyle name="Porcentual 6 2 2 3 3 2 3 2" xfId="39721"/>
    <cellStyle name="Porcentual 6 2 2 3 3 2 3 2 2" xfId="50601"/>
    <cellStyle name="Porcentual 6 2 2 3 3 2 3 3" xfId="50600"/>
    <cellStyle name="Porcentual 6 2 2 3 3 2 4" xfId="39722"/>
    <cellStyle name="Porcentual 6 2 2 3 3 2 4 2" xfId="50602"/>
    <cellStyle name="Porcentual 6 2 2 3 3 2 5" xfId="50597"/>
    <cellStyle name="Porcentual 6 2 2 3 3 3" xfId="39723"/>
    <cellStyle name="Porcentual 6 2 2 3 3 3 2" xfId="50603"/>
    <cellStyle name="Porcentual 6 2 2 3 3 4" xfId="39724"/>
    <cellStyle name="Porcentual 6 2 2 3 3 4 2" xfId="39725"/>
    <cellStyle name="Porcentual 6 2 2 3 3 4 2 2" xfId="50605"/>
    <cellStyle name="Porcentual 6 2 2 3 3 4 3" xfId="50604"/>
    <cellStyle name="Porcentual 6 2 2 3 3 5" xfId="39726"/>
    <cellStyle name="Porcentual 6 2 2 3 3 5 2" xfId="50606"/>
    <cellStyle name="Porcentual 6 2 2 3 3 6" xfId="50596"/>
    <cellStyle name="Porcentual 6 2 2 3 4" xfId="39727"/>
    <cellStyle name="Porcentual 6 2 2 3 4 2" xfId="39728"/>
    <cellStyle name="Porcentual 6 2 2 3 4 2 2" xfId="39729"/>
    <cellStyle name="Porcentual 6 2 2 3 4 2 2 2" xfId="50609"/>
    <cellStyle name="Porcentual 6 2 2 3 4 2 3" xfId="50608"/>
    <cellStyle name="Porcentual 6 2 2 3 4 3" xfId="39730"/>
    <cellStyle name="Porcentual 6 2 2 3 4 3 2" xfId="39731"/>
    <cellStyle name="Porcentual 6 2 2 3 4 3 2 2" xfId="50611"/>
    <cellStyle name="Porcentual 6 2 2 3 4 3 3" xfId="50610"/>
    <cellStyle name="Porcentual 6 2 2 3 4 4" xfId="39732"/>
    <cellStyle name="Porcentual 6 2 2 3 4 4 2" xfId="50612"/>
    <cellStyle name="Porcentual 6 2 2 3 4 5" xfId="50607"/>
    <cellStyle name="Porcentual 6 2 2 3 5" xfId="39733"/>
    <cellStyle name="Porcentual 6 2 2 3 5 2" xfId="50613"/>
    <cellStyle name="Porcentual 6 2 2 3 6" xfId="39734"/>
    <cellStyle name="Porcentual 6 2 2 3 6 2" xfId="39735"/>
    <cellStyle name="Porcentual 6 2 2 3 6 2 2" xfId="50615"/>
    <cellStyle name="Porcentual 6 2 2 3 6 3" xfId="50614"/>
    <cellStyle name="Porcentual 6 2 2 3 7" xfId="39736"/>
    <cellStyle name="Porcentual 6 2 2 3 7 2" xfId="50616"/>
    <cellStyle name="Porcentual 6 2 2 3 8" xfId="50573"/>
    <cellStyle name="Porcentual 6 2 2 4" xfId="39737"/>
    <cellStyle name="Porcentual 6 2 2 4 2" xfId="50617"/>
    <cellStyle name="Porcentual 6 2 2 5" xfId="39738"/>
    <cellStyle name="Porcentual 6 2 2 5 2" xfId="39739"/>
    <cellStyle name="Porcentual 6 2 2 5 2 2" xfId="39740"/>
    <cellStyle name="Porcentual 6 2 2 5 2 2 2" xfId="39741"/>
    <cellStyle name="Porcentual 6 2 2 5 2 2 2 2" xfId="39742"/>
    <cellStyle name="Porcentual 6 2 2 5 2 2 2 2 2" xfId="50622"/>
    <cellStyle name="Porcentual 6 2 2 5 2 2 2 3" xfId="50621"/>
    <cellStyle name="Porcentual 6 2 2 5 2 2 3" xfId="39743"/>
    <cellStyle name="Porcentual 6 2 2 5 2 2 3 2" xfId="39744"/>
    <cellStyle name="Porcentual 6 2 2 5 2 2 3 2 2" xfId="50624"/>
    <cellStyle name="Porcentual 6 2 2 5 2 2 3 3" xfId="50623"/>
    <cellStyle name="Porcentual 6 2 2 5 2 2 4" xfId="39745"/>
    <cellStyle name="Porcentual 6 2 2 5 2 2 4 2" xfId="50625"/>
    <cellStyle name="Porcentual 6 2 2 5 2 2 5" xfId="50620"/>
    <cellStyle name="Porcentual 6 2 2 5 2 3" xfId="39746"/>
    <cellStyle name="Porcentual 6 2 2 5 2 3 2" xfId="50626"/>
    <cellStyle name="Porcentual 6 2 2 5 2 4" xfId="39747"/>
    <cellStyle name="Porcentual 6 2 2 5 2 4 2" xfId="39748"/>
    <cellStyle name="Porcentual 6 2 2 5 2 4 2 2" xfId="50628"/>
    <cellStyle name="Porcentual 6 2 2 5 2 4 3" xfId="50627"/>
    <cellStyle name="Porcentual 6 2 2 5 2 5" xfId="39749"/>
    <cellStyle name="Porcentual 6 2 2 5 2 5 2" xfId="50629"/>
    <cellStyle name="Porcentual 6 2 2 5 2 6" xfId="50619"/>
    <cellStyle name="Porcentual 6 2 2 5 3" xfId="39750"/>
    <cellStyle name="Porcentual 6 2 2 5 3 2" xfId="39751"/>
    <cellStyle name="Porcentual 6 2 2 5 3 2 2" xfId="39752"/>
    <cellStyle name="Porcentual 6 2 2 5 3 2 2 2" xfId="50632"/>
    <cellStyle name="Porcentual 6 2 2 5 3 2 3" xfId="50631"/>
    <cellStyle name="Porcentual 6 2 2 5 3 3" xfId="39753"/>
    <cellStyle name="Porcentual 6 2 2 5 3 3 2" xfId="39754"/>
    <cellStyle name="Porcentual 6 2 2 5 3 3 2 2" xfId="50634"/>
    <cellStyle name="Porcentual 6 2 2 5 3 3 3" xfId="50633"/>
    <cellStyle name="Porcentual 6 2 2 5 3 4" xfId="39755"/>
    <cellStyle name="Porcentual 6 2 2 5 3 4 2" xfId="50635"/>
    <cellStyle name="Porcentual 6 2 2 5 3 5" xfId="50630"/>
    <cellStyle name="Porcentual 6 2 2 5 4" xfId="39756"/>
    <cellStyle name="Porcentual 6 2 2 5 4 2" xfId="50636"/>
    <cellStyle name="Porcentual 6 2 2 5 5" xfId="39757"/>
    <cellStyle name="Porcentual 6 2 2 5 5 2" xfId="39758"/>
    <cellStyle name="Porcentual 6 2 2 5 5 2 2" xfId="50638"/>
    <cellStyle name="Porcentual 6 2 2 5 5 3" xfId="50637"/>
    <cellStyle name="Porcentual 6 2 2 5 6" xfId="39759"/>
    <cellStyle name="Porcentual 6 2 2 5 6 2" xfId="50639"/>
    <cellStyle name="Porcentual 6 2 2 5 7" xfId="50618"/>
    <cellStyle name="Porcentual 6 2 2 6" xfId="39760"/>
    <cellStyle name="Porcentual 6 2 2 6 2" xfId="39761"/>
    <cellStyle name="Porcentual 6 2 2 6 2 2" xfId="39762"/>
    <cellStyle name="Porcentual 6 2 2 6 2 2 2" xfId="39763"/>
    <cellStyle name="Porcentual 6 2 2 6 2 2 2 2" xfId="50643"/>
    <cellStyle name="Porcentual 6 2 2 6 2 2 3" xfId="50642"/>
    <cellStyle name="Porcentual 6 2 2 6 2 3" xfId="39764"/>
    <cellStyle name="Porcentual 6 2 2 6 2 3 2" xfId="39765"/>
    <cellStyle name="Porcentual 6 2 2 6 2 3 2 2" xfId="50645"/>
    <cellStyle name="Porcentual 6 2 2 6 2 3 3" xfId="50644"/>
    <cellStyle name="Porcentual 6 2 2 6 2 4" xfId="39766"/>
    <cellStyle name="Porcentual 6 2 2 6 2 4 2" xfId="50646"/>
    <cellStyle name="Porcentual 6 2 2 6 2 5" xfId="50641"/>
    <cellStyle name="Porcentual 6 2 2 6 3" xfId="39767"/>
    <cellStyle name="Porcentual 6 2 2 6 3 2" xfId="50647"/>
    <cellStyle name="Porcentual 6 2 2 6 4" xfId="39768"/>
    <cellStyle name="Porcentual 6 2 2 6 4 2" xfId="39769"/>
    <cellStyle name="Porcentual 6 2 2 6 4 2 2" xfId="50649"/>
    <cellStyle name="Porcentual 6 2 2 6 4 3" xfId="50648"/>
    <cellStyle name="Porcentual 6 2 2 6 5" xfId="39770"/>
    <cellStyle name="Porcentual 6 2 2 6 5 2" xfId="50650"/>
    <cellStyle name="Porcentual 6 2 2 6 6" xfId="50640"/>
    <cellStyle name="Porcentual 6 2 2 7" xfId="39771"/>
    <cellStyle name="Porcentual 6 2 2 7 2" xfId="39772"/>
    <cellStyle name="Porcentual 6 2 2 7 2 2" xfId="39773"/>
    <cellStyle name="Porcentual 6 2 2 7 2 2 2" xfId="50653"/>
    <cellStyle name="Porcentual 6 2 2 7 2 3" xfId="50652"/>
    <cellStyle name="Porcentual 6 2 2 7 3" xfId="39774"/>
    <cellStyle name="Porcentual 6 2 2 7 3 2" xfId="39775"/>
    <cellStyle name="Porcentual 6 2 2 7 3 2 2" xfId="50655"/>
    <cellStyle name="Porcentual 6 2 2 7 3 3" xfId="50654"/>
    <cellStyle name="Porcentual 6 2 2 7 4" xfId="39776"/>
    <cellStyle name="Porcentual 6 2 2 7 4 2" xfId="50656"/>
    <cellStyle name="Porcentual 6 2 2 7 5" xfId="50651"/>
    <cellStyle name="Porcentual 6 2 2 8" xfId="39777"/>
    <cellStyle name="Porcentual 6 2 2 8 2" xfId="39778"/>
    <cellStyle name="Porcentual 6 2 2 8 2 2" xfId="39779"/>
    <cellStyle name="Porcentual 6 2 2 8 2 2 2" xfId="50659"/>
    <cellStyle name="Porcentual 6 2 2 8 2 3" xfId="50658"/>
    <cellStyle name="Porcentual 6 2 2 8 3" xfId="39780"/>
    <cellStyle name="Porcentual 6 2 2 8 3 2" xfId="50660"/>
    <cellStyle name="Porcentual 6 2 2 8 4" xfId="50657"/>
    <cellStyle name="Porcentual 6 2 2 9" xfId="39781"/>
    <cellStyle name="Porcentual 6 2 2 9 2" xfId="39782"/>
    <cellStyle name="Porcentual 6 2 2 9 2 2" xfId="39783"/>
    <cellStyle name="Porcentual 6 2 2 9 2 2 2" xfId="50663"/>
    <cellStyle name="Porcentual 6 2 2 9 2 3" xfId="50662"/>
    <cellStyle name="Porcentual 6 2 2 9 3" xfId="39784"/>
    <cellStyle name="Porcentual 6 2 2 9 3 2" xfId="50664"/>
    <cellStyle name="Porcentual 6 2 2 9 4" xfId="50661"/>
    <cellStyle name="Porcentual 6 2 3" xfId="39785"/>
    <cellStyle name="Porcentual 6 2 3 2" xfId="39786"/>
    <cellStyle name="Porcentual 6 2 3 2 2" xfId="39787"/>
    <cellStyle name="Porcentual 6 2 3 2 2 2" xfId="39788"/>
    <cellStyle name="Porcentual 6 2 3 2 2 2 2" xfId="39789"/>
    <cellStyle name="Porcentual 6 2 3 2 2 2 2 2" xfId="39790"/>
    <cellStyle name="Porcentual 6 2 3 2 2 2 2 2 2" xfId="50670"/>
    <cellStyle name="Porcentual 6 2 3 2 2 2 2 3" xfId="50669"/>
    <cellStyle name="Porcentual 6 2 3 2 2 2 3" xfId="39791"/>
    <cellStyle name="Porcentual 6 2 3 2 2 2 3 2" xfId="39792"/>
    <cellStyle name="Porcentual 6 2 3 2 2 2 3 2 2" xfId="50672"/>
    <cellStyle name="Porcentual 6 2 3 2 2 2 3 3" xfId="50671"/>
    <cellStyle name="Porcentual 6 2 3 2 2 2 4" xfId="39793"/>
    <cellStyle name="Porcentual 6 2 3 2 2 2 4 2" xfId="50673"/>
    <cellStyle name="Porcentual 6 2 3 2 2 2 5" xfId="50668"/>
    <cellStyle name="Porcentual 6 2 3 2 2 3" xfId="39794"/>
    <cellStyle name="Porcentual 6 2 3 2 2 3 2" xfId="50674"/>
    <cellStyle name="Porcentual 6 2 3 2 2 4" xfId="39795"/>
    <cellStyle name="Porcentual 6 2 3 2 2 4 2" xfId="39796"/>
    <cellStyle name="Porcentual 6 2 3 2 2 4 2 2" xfId="50676"/>
    <cellStyle name="Porcentual 6 2 3 2 2 4 3" xfId="50675"/>
    <cellStyle name="Porcentual 6 2 3 2 2 5" xfId="39797"/>
    <cellStyle name="Porcentual 6 2 3 2 2 5 2" xfId="50677"/>
    <cellStyle name="Porcentual 6 2 3 2 2 6" xfId="50667"/>
    <cellStyle name="Porcentual 6 2 3 2 3" xfId="39798"/>
    <cellStyle name="Porcentual 6 2 3 2 3 2" xfId="39799"/>
    <cellStyle name="Porcentual 6 2 3 2 3 2 2" xfId="39800"/>
    <cellStyle name="Porcentual 6 2 3 2 3 2 2 2" xfId="50680"/>
    <cellStyle name="Porcentual 6 2 3 2 3 2 3" xfId="50679"/>
    <cellStyle name="Porcentual 6 2 3 2 3 3" xfId="39801"/>
    <cellStyle name="Porcentual 6 2 3 2 3 3 2" xfId="39802"/>
    <cellStyle name="Porcentual 6 2 3 2 3 3 2 2" xfId="50682"/>
    <cellStyle name="Porcentual 6 2 3 2 3 3 3" xfId="50681"/>
    <cellStyle name="Porcentual 6 2 3 2 3 4" xfId="39803"/>
    <cellStyle name="Porcentual 6 2 3 2 3 4 2" xfId="50683"/>
    <cellStyle name="Porcentual 6 2 3 2 3 5" xfId="50678"/>
    <cellStyle name="Porcentual 6 2 3 2 4" xfId="39804"/>
    <cellStyle name="Porcentual 6 2 3 2 4 2" xfId="50684"/>
    <cellStyle name="Porcentual 6 2 3 2 5" xfId="39805"/>
    <cellStyle name="Porcentual 6 2 3 2 5 2" xfId="39806"/>
    <cellStyle name="Porcentual 6 2 3 2 5 2 2" xfId="50686"/>
    <cellStyle name="Porcentual 6 2 3 2 5 3" xfId="50685"/>
    <cellStyle name="Porcentual 6 2 3 2 6" xfId="39807"/>
    <cellStyle name="Porcentual 6 2 3 2 6 2" xfId="50687"/>
    <cellStyle name="Porcentual 6 2 3 2 7" xfId="50666"/>
    <cellStyle name="Porcentual 6 2 3 3" xfId="39808"/>
    <cellStyle name="Porcentual 6 2 3 3 2" xfId="39809"/>
    <cellStyle name="Porcentual 6 2 3 3 2 2" xfId="39810"/>
    <cellStyle name="Porcentual 6 2 3 3 2 2 2" xfId="39811"/>
    <cellStyle name="Porcentual 6 2 3 3 2 2 2 2" xfId="50691"/>
    <cellStyle name="Porcentual 6 2 3 3 2 2 3" xfId="50690"/>
    <cellStyle name="Porcentual 6 2 3 3 2 3" xfId="39812"/>
    <cellStyle name="Porcentual 6 2 3 3 2 3 2" xfId="39813"/>
    <cellStyle name="Porcentual 6 2 3 3 2 3 2 2" xfId="50693"/>
    <cellStyle name="Porcentual 6 2 3 3 2 3 3" xfId="50692"/>
    <cellStyle name="Porcentual 6 2 3 3 2 4" xfId="39814"/>
    <cellStyle name="Porcentual 6 2 3 3 2 4 2" xfId="50694"/>
    <cellStyle name="Porcentual 6 2 3 3 2 5" xfId="50689"/>
    <cellStyle name="Porcentual 6 2 3 3 3" xfId="39815"/>
    <cellStyle name="Porcentual 6 2 3 3 3 2" xfId="50695"/>
    <cellStyle name="Porcentual 6 2 3 3 4" xfId="39816"/>
    <cellStyle name="Porcentual 6 2 3 3 4 2" xfId="39817"/>
    <cellStyle name="Porcentual 6 2 3 3 4 2 2" xfId="50697"/>
    <cellStyle name="Porcentual 6 2 3 3 4 3" xfId="50696"/>
    <cellStyle name="Porcentual 6 2 3 3 5" xfId="39818"/>
    <cellStyle name="Porcentual 6 2 3 3 5 2" xfId="50698"/>
    <cellStyle name="Porcentual 6 2 3 3 6" xfId="50688"/>
    <cellStyle name="Porcentual 6 2 3 4" xfId="39819"/>
    <cellStyle name="Porcentual 6 2 3 4 2" xfId="39820"/>
    <cellStyle name="Porcentual 6 2 3 4 2 2" xfId="39821"/>
    <cellStyle name="Porcentual 6 2 3 4 2 2 2" xfId="50701"/>
    <cellStyle name="Porcentual 6 2 3 4 2 3" xfId="50700"/>
    <cellStyle name="Porcentual 6 2 3 4 3" xfId="39822"/>
    <cellStyle name="Porcentual 6 2 3 4 3 2" xfId="39823"/>
    <cellStyle name="Porcentual 6 2 3 4 3 2 2" xfId="50703"/>
    <cellStyle name="Porcentual 6 2 3 4 3 3" xfId="50702"/>
    <cellStyle name="Porcentual 6 2 3 4 4" xfId="39824"/>
    <cellStyle name="Porcentual 6 2 3 4 4 2" xfId="50704"/>
    <cellStyle name="Porcentual 6 2 3 4 5" xfId="50699"/>
    <cellStyle name="Porcentual 6 2 3 5" xfId="39825"/>
    <cellStyle name="Porcentual 6 2 3 5 2" xfId="50705"/>
    <cellStyle name="Porcentual 6 2 3 6" xfId="39826"/>
    <cellStyle name="Porcentual 6 2 3 6 2" xfId="39827"/>
    <cellStyle name="Porcentual 6 2 3 6 2 2" xfId="50707"/>
    <cellStyle name="Porcentual 6 2 3 6 3" xfId="50706"/>
    <cellStyle name="Porcentual 6 2 3 7" xfId="39828"/>
    <cellStyle name="Porcentual 6 2 3 7 2" xfId="50708"/>
    <cellStyle name="Porcentual 6 2 3 8" xfId="50665"/>
    <cellStyle name="Porcentual 6 2 4" xfId="39829"/>
    <cellStyle name="Porcentual 6 2 4 2" xfId="39830"/>
    <cellStyle name="Porcentual 6 2 4 2 2" xfId="39831"/>
    <cellStyle name="Porcentual 6 2 4 2 2 2" xfId="39832"/>
    <cellStyle name="Porcentual 6 2 4 2 2 2 2" xfId="39833"/>
    <cellStyle name="Porcentual 6 2 4 2 2 2 2 2" xfId="39834"/>
    <cellStyle name="Porcentual 6 2 4 2 2 2 2 2 2" xfId="50714"/>
    <cellStyle name="Porcentual 6 2 4 2 2 2 2 3" xfId="50713"/>
    <cellStyle name="Porcentual 6 2 4 2 2 2 3" xfId="39835"/>
    <cellStyle name="Porcentual 6 2 4 2 2 2 3 2" xfId="39836"/>
    <cellStyle name="Porcentual 6 2 4 2 2 2 3 2 2" xfId="50716"/>
    <cellStyle name="Porcentual 6 2 4 2 2 2 3 3" xfId="50715"/>
    <cellStyle name="Porcentual 6 2 4 2 2 2 4" xfId="39837"/>
    <cellStyle name="Porcentual 6 2 4 2 2 2 4 2" xfId="50717"/>
    <cellStyle name="Porcentual 6 2 4 2 2 2 5" xfId="50712"/>
    <cellStyle name="Porcentual 6 2 4 2 2 3" xfId="39838"/>
    <cellStyle name="Porcentual 6 2 4 2 2 3 2" xfId="50718"/>
    <cellStyle name="Porcentual 6 2 4 2 2 4" xfId="39839"/>
    <cellStyle name="Porcentual 6 2 4 2 2 4 2" xfId="39840"/>
    <cellStyle name="Porcentual 6 2 4 2 2 4 2 2" xfId="50720"/>
    <cellStyle name="Porcentual 6 2 4 2 2 4 3" xfId="50719"/>
    <cellStyle name="Porcentual 6 2 4 2 2 5" xfId="39841"/>
    <cellStyle name="Porcentual 6 2 4 2 2 5 2" xfId="50721"/>
    <cellStyle name="Porcentual 6 2 4 2 2 6" xfId="50711"/>
    <cellStyle name="Porcentual 6 2 4 2 3" xfId="39842"/>
    <cellStyle name="Porcentual 6 2 4 2 3 2" xfId="39843"/>
    <cellStyle name="Porcentual 6 2 4 2 3 2 2" xfId="39844"/>
    <cellStyle name="Porcentual 6 2 4 2 3 2 2 2" xfId="50724"/>
    <cellStyle name="Porcentual 6 2 4 2 3 2 3" xfId="50723"/>
    <cellStyle name="Porcentual 6 2 4 2 3 3" xfId="39845"/>
    <cellStyle name="Porcentual 6 2 4 2 3 3 2" xfId="39846"/>
    <cellStyle name="Porcentual 6 2 4 2 3 3 2 2" xfId="50726"/>
    <cellStyle name="Porcentual 6 2 4 2 3 3 3" xfId="50725"/>
    <cellStyle name="Porcentual 6 2 4 2 3 4" xfId="39847"/>
    <cellStyle name="Porcentual 6 2 4 2 3 4 2" xfId="50727"/>
    <cellStyle name="Porcentual 6 2 4 2 3 5" xfId="50722"/>
    <cellStyle name="Porcentual 6 2 4 2 4" xfId="39848"/>
    <cellStyle name="Porcentual 6 2 4 2 4 2" xfId="50728"/>
    <cellStyle name="Porcentual 6 2 4 2 5" xfId="39849"/>
    <cellStyle name="Porcentual 6 2 4 2 5 2" xfId="39850"/>
    <cellStyle name="Porcentual 6 2 4 2 5 2 2" xfId="50730"/>
    <cellStyle name="Porcentual 6 2 4 2 5 3" xfId="50729"/>
    <cellStyle name="Porcentual 6 2 4 2 6" xfId="39851"/>
    <cellStyle name="Porcentual 6 2 4 2 6 2" xfId="50731"/>
    <cellStyle name="Porcentual 6 2 4 2 7" xfId="50710"/>
    <cellStyle name="Porcentual 6 2 4 3" xfId="39852"/>
    <cellStyle name="Porcentual 6 2 4 3 2" xfId="39853"/>
    <cellStyle name="Porcentual 6 2 4 3 2 2" xfId="39854"/>
    <cellStyle name="Porcentual 6 2 4 3 2 2 2" xfId="39855"/>
    <cellStyle name="Porcentual 6 2 4 3 2 2 2 2" xfId="50735"/>
    <cellStyle name="Porcentual 6 2 4 3 2 2 3" xfId="50734"/>
    <cellStyle name="Porcentual 6 2 4 3 2 3" xfId="39856"/>
    <cellStyle name="Porcentual 6 2 4 3 2 3 2" xfId="39857"/>
    <cellStyle name="Porcentual 6 2 4 3 2 3 2 2" xfId="50737"/>
    <cellStyle name="Porcentual 6 2 4 3 2 3 3" xfId="50736"/>
    <cellStyle name="Porcentual 6 2 4 3 2 4" xfId="39858"/>
    <cellStyle name="Porcentual 6 2 4 3 2 4 2" xfId="50738"/>
    <cellStyle name="Porcentual 6 2 4 3 2 5" xfId="50733"/>
    <cellStyle name="Porcentual 6 2 4 3 3" xfId="39859"/>
    <cellStyle name="Porcentual 6 2 4 3 3 2" xfId="50739"/>
    <cellStyle name="Porcentual 6 2 4 3 4" xfId="39860"/>
    <cellStyle name="Porcentual 6 2 4 3 4 2" xfId="39861"/>
    <cellStyle name="Porcentual 6 2 4 3 4 2 2" xfId="50741"/>
    <cellStyle name="Porcentual 6 2 4 3 4 3" xfId="50740"/>
    <cellStyle name="Porcentual 6 2 4 3 5" xfId="39862"/>
    <cellStyle name="Porcentual 6 2 4 3 5 2" xfId="50742"/>
    <cellStyle name="Porcentual 6 2 4 3 6" xfId="50732"/>
    <cellStyle name="Porcentual 6 2 4 4" xfId="39863"/>
    <cellStyle name="Porcentual 6 2 4 4 2" xfId="39864"/>
    <cellStyle name="Porcentual 6 2 4 4 2 2" xfId="39865"/>
    <cellStyle name="Porcentual 6 2 4 4 2 2 2" xfId="50745"/>
    <cellStyle name="Porcentual 6 2 4 4 2 3" xfId="50744"/>
    <cellStyle name="Porcentual 6 2 4 4 3" xfId="39866"/>
    <cellStyle name="Porcentual 6 2 4 4 3 2" xfId="39867"/>
    <cellStyle name="Porcentual 6 2 4 4 3 2 2" xfId="50747"/>
    <cellStyle name="Porcentual 6 2 4 4 3 3" xfId="50746"/>
    <cellStyle name="Porcentual 6 2 4 4 4" xfId="39868"/>
    <cellStyle name="Porcentual 6 2 4 4 4 2" xfId="50748"/>
    <cellStyle name="Porcentual 6 2 4 4 5" xfId="50743"/>
    <cellStyle name="Porcentual 6 2 4 5" xfId="39869"/>
    <cellStyle name="Porcentual 6 2 4 5 2" xfId="50749"/>
    <cellStyle name="Porcentual 6 2 4 6" xfId="39870"/>
    <cellStyle name="Porcentual 6 2 4 6 2" xfId="39871"/>
    <cellStyle name="Porcentual 6 2 4 6 2 2" xfId="50751"/>
    <cellStyle name="Porcentual 6 2 4 6 3" xfId="50750"/>
    <cellStyle name="Porcentual 6 2 4 7" xfId="39872"/>
    <cellStyle name="Porcentual 6 2 4 7 2" xfId="50752"/>
    <cellStyle name="Porcentual 6 2 4 8" xfId="50709"/>
    <cellStyle name="Porcentual 6 2 5" xfId="39873"/>
    <cellStyle name="Porcentual 6 2 5 2" xfId="50753"/>
    <cellStyle name="Porcentual 6 2 6" xfId="39874"/>
    <cellStyle name="Porcentual 6 2 6 2" xfId="39875"/>
    <cellStyle name="Porcentual 6 2 6 2 2" xfId="39876"/>
    <cellStyle name="Porcentual 6 2 6 2 2 2" xfId="39877"/>
    <cellStyle name="Porcentual 6 2 6 2 2 2 2" xfId="39878"/>
    <cellStyle name="Porcentual 6 2 6 2 2 2 2 2" xfId="50758"/>
    <cellStyle name="Porcentual 6 2 6 2 2 2 3" xfId="50757"/>
    <cellStyle name="Porcentual 6 2 6 2 2 3" xfId="39879"/>
    <cellStyle name="Porcentual 6 2 6 2 2 3 2" xfId="39880"/>
    <cellStyle name="Porcentual 6 2 6 2 2 3 2 2" xfId="50760"/>
    <cellStyle name="Porcentual 6 2 6 2 2 3 3" xfId="50759"/>
    <cellStyle name="Porcentual 6 2 6 2 2 4" xfId="39881"/>
    <cellStyle name="Porcentual 6 2 6 2 2 4 2" xfId="50761"/>
    <cellStyle name="Porcentual 6 2 6 2 2 5" xfId="50756"/>
    <cellStyle name="Porcentual 6 2 6 2 3" xfId="39882"/>
    <cellStyle name="Porcentual 6 2 6 2 3 2" xfId="50762"/>
    <cellStyle name="Porcentual 6 2 6 2 4" xfId="39883"/>
    <cellStyle name="Porcentual 6 2 6 2 4 2" xfId="39884"/>
    <cellStyle name="Porcentual 6 2 6 2 4 2 2" xfId="50764"/>
    <cellStyle name="Porcentual 6 2 6 2 4 3" xfId="50763"/>
    <cellStyle name="Porcentual 6 2 6 2 5" xfId="39885"/>
    <cellStyle name="Porcentual 6 2 6 2 5 2" xfId="50765"/>
    <cellStyle name="Porcentual 6 2 6 2 6" xfId="50755"/>
    <cellStyle name="Porcentual 6 2 6 3" xfId="39886"/>
    <cellStyle name="Porcentual 6 2 6 3 2" xfId="39887"/>
    <cellStyle name="Porcentual 6 2 6 3 2 2" xfId="39888"/>
    <cellStyle name="Porcentual 6 2 6 3 2 2 2" xfId="50768"/>
    <cellStyle name="Porcentual 6 2 6 3 2 3" xfId="50767"/>
    <cellStyle name="Porcentual 6 2 6 3 3" xfId="39889"/>
    <cellStyle name="Porcentual 6 2 6 3 3 2" xfId="39890"/>
    <cellStyle name="Porcentual 6 2 6 3 3 2 2" xfId="50770"/>
    <cellStyle name="Porcentual 6 2 6 3 3 3" xfId="50769"/>
    <cellStyle name="Porcentual 6 2 6 3 4" xfId="39891"/>
    <cellStyle name="Porcentual 6 2 6 3 4 2" xfId="50771"/>
    <cellStyle name="Porcentual 6 2 6 3 5" xfId="50766"/>
    <cellStyle name="Porcentual 6 2 6 4" xfId="39892"/>
    <cellStyle name="Porcentual 6 2 6 4 2" xfId="50772"/>
    <cellStyle name="Porcentual 6 2 6 5" xfId="39893"/>
    <cellStyle name="Porcentual 6 2 6 5 2" xfId="39894"/>
    <cellStyle name="Porcentual 6 2 6 5 2 2" xfId="50774"/>
    <cellStyle name="Porcentual 6 2 6 5 3" xfId="50773"/>
    <cellStyle name="Porcentual 6 2 6 6" xfId="39895"/>
    <cellStyle name="Porcentual 6 2 6 6 2" xfId="50775"/>
    <cellStyle name="Porcentual 6 2 6 7" xfId="50754"/>
    <cellStyle name="Porcentual 6 2 7" xfId="39896"/>
    <cellStyle name="Porcentual 6 2 7 2" xfId="50776"/>
    <cellStyle name="Porcentual 6 2 8" xfId="39897"/>
    <cellStyle name="Porcentual 6 2 8 2" xfId="39898"/>
    <cellStyle name="Porcentual 6 2 8 2 2" xfId="39899"/>
    <cellStyle name="Porcentual 6 2 8 2 2 2" xfId="39900"/>
    <cellStyle name="Porcentual 6 2 8 2 2 2 2" xfId="50780"/>
    <cellStyle name="Porcentual 6 2 8 2 2 3" xfId="50779"/>
    <cellStyle name="Porcentual 6 2 8 2 3" xfId="39901"/>
    <cellStyle name="Porcentual 6 2 8 2 3 2" xfId="39902"/>
    <cellStyle name="Porcentual 6 2 8 2 3 2 2" xfId="50782"/>
    <cellStyle name="Porcentual 6 2 8 2 3 3" xfId="50781"/>
    <cellStyle name="Porcentual 6 2 8 2 4" xfId="39903"/>
    <cellStyle name="Porcentual 6 2 8 2 4 2" xfId="50783"/>
    <cellStyle name="Porcentual 6 2 8 2 5" xfId="50778"/>
    <cellStyle name="Porcentual 6 2 8 3" xfId="39904"/>
    <cellStyle name="Porcentual 6 2 8 3 2" xfId="50784"/>
    <cellStyle name="Porcentual 6 2 8 4" xfId="39905"/>
    <cellStyle name="Porcentual 6 2 8 4 2" xfId="39906"/>
    <cellStyle name="Porcentual 6 2 8 4 2 2" xfId="50786"/>
    <cellStyle name="Porcentual 6 2 8 4 3" xfId="50785"/>
    <cellStyle name="Porcentual 6 2 8 5" xfId="39907"/>
    <cellStyle name="Porcentual 6 2 8 5 2" xfId="50787"/>
    <cellStyle name="Porcentual 6 2 8 6" xfId="50777"/>
    <cellStyle name="Porcentual 6 2 9" xfId="39908"/>
    <cellStyle name="Porcentual 6 2 9 2" xfId="39909"/>
    <cellStyle name="Porcentual 6 2 9 2 2" xfId="39910"/>
    <cellStyle name="Porcentual 6 2 9 2 2 2" xfId="50790"/>
    <cellStyle name="Porcentual 6 2 9 2 3" xfId="50789"/>
    <cellStyle name="Porcentual 6 2 9 3" xfId="39911"/>
    <cellStyle name="Porcentual 6 2 9 3 2" xfId="39912"/>
    <cellStyle name="Porcentual 6 2 9 3 2 2" xfId="50792"/>
    <cellStyle name="Porcentual 6 2 9 3 3" xfId="50791"/>
    <cellStyle name="Porcentual 6 2 9 4" xfId="39913"/>
    <cellStyle name="Porcentual 6 2 9 4 2" xfId="50793"/>
    <cellStyle name="Porcentual 6 2 9 5" xfId="50788"/>
    <cellStyle name="Porcentual 6 3" xfId="39914"/>
    <cellStyle name="Porcentual 6 3 10" xfId="39915"/>
    <cellStyle name="Porcentual 6 3 10 2" xfId="39916"/>
    <cellStyle name="Porcentual 6 3 10 2 2" xfId="39917"/>
    <cellStyle name="Porcentual 6 3 10 2 2 2" xfId="50797"/>
    <cellStyle name="Porcentual 6 3 10 2 3" xfId="50796"/>
    <cellStyle name="Porcentual 6 3 10 3" xfId="39918"/>
    <cellStyle name="Porcentual 6 3 10 3 2" xfId="50798"/>
    <cellStyle name="Porcentual 6 3 10 4" xfId="50795"/>
    <cellStyle name="Porcentual 6 3 11" xfId="39919"/>
    <cellStyle name="Porcentual 6 3 11 2" xfId="39920"/>
    <cellStyle name="Porcentual 6 3 11 2 2" xfId="50800"/>
    <cellStyle name="Porcentual 6 3 11 3" xfId="50799"/>
    <cellStyle name="Porcentual 6 3 12" xfId="39921"/>
    <cellStyle name="Porcentual 6 3 12 2" xfId="39922"/>
    <cellStyle name="Porcentual 6 3 12 2 2" xfId="50802"/>
    <cellStyle name="Porcentual 6 3 12 3" xfId="50801"/>
    <cellStyle name="Porcentual 6 3 13" xfId="39923"/>
    <cellStyle name="Porcentual 6 3 13 2" xfId="50803"/>
    <cellStyle name="Porcentual 6 3 14" xfId="39924"/>
    <cellStyle name="Porcentual 6 3 14 2" xfId="50804"/>
    <cellStyle name="Porcentual 6 3 15" xfId="39925"/>
    <cellStyle name="Porcentual 6 3 15 2" xfId="50805"/>
    <cellStyle name="Porcentual 6 3 16" xfId="50794"/>
    <cellStyle name="Porcentual 6 3 2" xfId="39926"/>
    <cellStyle name="Porcentual 6 3 2 2" xfId="39927"/>
    <cellStyle name="Porcentual 6 3 2 2 2" xfId="39928"/>
    <cellStyle name="Porcentual 6 3 2 2 2 2" xfId="39929"/>
    <cellStyle name="Porcentual 6 3 2 2 2 2 2" xfId="39930"/>
    <cellStyle name="Porcentual 6 3 2 2 2 2 2 2" xfId="39931"/>
    <cellStyle name="Porcentual 6 3 2 2 2 2 2 2 2" xfId="50811"/>
    <cellStyle name="Porcentual 6 3 2 2 2 2 2 3" xfId="50810"/>
    <cellStyle name="Porcentual 6 3 2 2 2 2 3" xfId="39932"/>
    <cellStyle name="Porcentual 6 3 2 2 2 2 3 2" xfId="39933"/>
    <cellStyle name="Porcentual 6 3 2 2 2 2 3 2 2" xfId="50813"/>
    <cellStyle name="Porcentual 6 3 2 2 2 2 3 3" xfId="50812"/>
    <cellStyle name="Porcentual 6 3 2 2 2 2 4" xfId="39934"/>
    <cellStyle name="Porcentual 6 3 2 2 2 2 4 2" xfId="50814"/>
    <cellStyle name="Porcentual 6 3 2 2 2 2 5" xfId="50809"/>
    <cellStyle name="Porcentual 6 3 2 2 2 3" xfId="39935"/>
    <cellStyle name="Porcentual 6 3 2 2 2 3 2" xfId="50815"/>
    <cellStyle name="Porcentual 6 3 2 2 2 4" xfId="39936"/>
    <cellStyle name="Porcentual 6 3 2 2 2 4 2" xfId="39937"/>
    <cellStyle name="Porcentual 6 3 2 2 2 4 2 2" xfId="50817"/>
    <cellStyle name="Porcentual 6 3 2 2 2 4 3" xfId="50816"/>
    <cellStyle name="Porcentual 6 3 2 2 2 5" xfId="39938"/>
    <cellStyle name="Porcentual 6 3 2 2 2 5 2" xfId="50818"/>
    <cellStyle name="Porcentual 6 3 2 2 2 6" xfId="50808"/>
    <cellStyle name="Porcentual 6 3 2 2 3" xfId="39939"/>
    <cellStyle name="Porcentual 6 3 2 2 3 2" xfId="39940"/>
    <cellStyle name="Porcentual 6 3 2 2 3 2 2" xfId="39941"/>
    <cellStyle name="Porcentual 6 3 2 2 3 2 2 2" xfId="50821"/>
    <cellStyle name="Porcentual 6 3 2 2 3 2 3" xfId="50820"/>
    <cellStyle name="Porcentual 6 3 2 2 3 3" xfId="39942"/>
    <cellStyle name="Porcentual 6 3 2 2 3 3 2" xfId="39943"/>
    <cellStyle name="Porcentual 6 3 2 2 3 3 2 2" xfId="50823"/>
    <cellStyle name="Porcentual 6 3 2 2 3 3 3" xfId="50822"/>
    <cellStyle name="Porcentual 6 3 2 2 3 4" xfId="39944"/>
    <cellStyle name="Porcentual 6 3 2 2 3 4 2" xfId="50824"/>
    <cellStyle name="Porcentual 6 3 2 2 3 5" xfId="50819"/>
    <cellStyle name="Porcentual 6 3 2 2 4" xfId="39945"/>
    <cellStyle name="Porcentual 6 3 2 2 4 2" xfId="50825"/>
    <cellStyle name="Porcentual 6 3 2 2 5" xfId="39946"/>
    <cellStyle name="Porcentual 6 3 2 2 5 2" xfId="39947"/>
    <cellStyle name="Porcentual 6 3 2 2 5 2 2" xfId="50827"/>
    <cellStyle name="Porcentual 6 3 2 2 5 3" xfId="50826"/>
    <cellStyle name="Porcentual 6 3 2 2 6" xfId="39948"/>
    <cellStyle name="Porcentual 6 3 2 2 6 2" xfId="50828"/>
    <cellStyle name="Porcentual 6 3 2 2 7" xfId="50807"/>
    <cellStyle name="Porcentual 6 3 2 3" xfId="39949"/>
    <cellStyle name="Porcentual 6 3 2 3 2" xfId="39950"/>
    <cellStyle name="Porcentual 6 3 2 3 2 2" xfId="39951"/>
    <cellStyle name="Porcentual 6 3 2 3 2 2 2" xfId="39952"/>
    <cellStyle name="Porcentual 6 3 2 3 2 2 2 2" xfId="50832"/>
    <cellStyle name="Porcentual 6 3 2 3 2 2 3" xfId="50831"/>
    <cellStyle name="Porcentual 6 3 2 3 2 3" xfId="39953"/>
    <cellStyle name="Porcentual 6 3 2 3 2 3 2" xfId="39954"/>
    <cellStyle name="Porcentual 6 3 2 3 2 3 2 2" xfId="50834"/>
    <cellStyle name="Porcentual 6 3 2 3 2 3 3" xfId="50833"/>
    <cellStyle name="Porcentual 6 3 2 3 2 4" xfId="39955"/>
    <cellStyle name="Porcentual 6 3 2 3 2 4 2" xfId="50835"/>
    <cellStyle name="Porcentual 6 3 2 3 2 5" xfId="50830"/>
    <cellStyle name="Porcentual 6 3 2 3 3" xfId="39956"/>
    <cellStyle name="Porcentual 6 3 2 3 3 2" xfId="50836"/>
    <cellStyle name="Porcentual 6 3 2 3 4" xfId="39957"/>
    <cellStyle name="Porcentual 6 3 2 3 4 2" xfId="39958"/>
    <cellStyle name="Porcentual 6 3 2 3 4 2 2" xfId="50838"/>
    <cellStyle name="Porcentual 6 3 2 3 4 3" xfId="50837"/>
    <cellStyle name="Porcentual 6 3 2 3 5" xfId="39959"/>
    <cellStyle name="Porcentual 6 3 2 3 5 2" xfId="50839"/>
    <cellStyle name="Porcentual 6 3 2 3 6" xfId="50829"/>
    <cellStyle name="Porcentual 6 3 2 4" xfId="39960"/>
    <cellStyle name="Porcentual 6 3 2 4 2" xfId="39961"/>
    <cellStyle name="Porcentual 6 3 2 4 2 2" xfId="39962"/>
    <cellStyle name="Porcentual 6 3 2 4 2 2 2" xfId="50842"/>
    <cellStyle name="Porcentual 6 3 2 4 2 3" xfId="50841"/>
    <cellStyle name="Porcentual 6 3 2 4 3" xfId="39963"/>
    <cellStyle name="Porcentual 6 3 2 4 3 2" xfId="39964"/>
    <cellStyle name="Porcentual 6 3 2 4 3 2 2" xfId="50844"/>
    <cellStyle name="Porcentual 6 3 2 4 3 3" xfId="50843"/>
    <cellStyle name="Porcentual 6 3 2 4 4" xfId="39965"/>
    <cellStyle name="Porcentual 6 3 2 4 4 2" xfId="50845"/>
    <cellStyle name="Porcentual 6 3 2 4 5" xfId="50840"/>
    <cellStyle name="Porcentual 6 3 2 5" xfId="39966"/>
    <cellStyle name="Porcentual 6 3 2 5 2" xfId="50846"/>
    <cellStyle name="Porcentual 6 3 2 6" xfId="39967"/>
    <cellStyle name="Porcentual 6 3 2 6 2" xfId="39968"/>
    <cellStyle name="Porcentual 6 3 2 6 2 2" xfId="50848"/>
    <cellStyle name="Porcentual 6 3 2 6 3" xfId="50847"/>
    <cellStyle name="Porcentual 6 3 2 7" xfId="39969"/>
    <cellStyle name="Porcentual 6 3 2 7 2" xfId="50849"/>
    <cellStyle name="Porcentual 6 3 2 8" xfId="50806"/>
    <cellStyle name="Porcentual 6 3 3" xfId="39970"/>
    <cellStyle name="Porcentual 6 3 3 2" xfId="39971"/>
    <cellStyle name="Porcentual 6 3 3 2 2" xfId="39972"/>
    <cellStyle name="Porcentual 6 3 3 2 2 2" xfId="39973"/>
    <cellStyle name="Porcentual 6 3 3 2 2 2 2" xfId="39974"/>
    <cellStyle name="Porcentual 6 3 3 2 2 2 2 2" xfId="39975"/>
    <cellStyle name="Porcentual 6 3 3 2 2 2 2 2 2" xfId="50855"/>
    <cellStyle name="Porcentual 6 3 3 2 2 2 2 3" xfId="50854"/>
    <cellStyle name="Porcentual 6 3 3 2 2 2 3" xfId="39976"/>
    <cellStyle name="Porcentual 6 3 3 2 2 2 3 2" xfId="39977"/>
    <cellStyle name="Porcentual 6 3 3 2 2 2 3 2 2" xfId="50857"/>
    <cellStyle name="Porcentual 6 3 3 2 2 2 3 3" xfId="50856"/>
    <cellStyle name="Porcentual 6 3 3 2 2 2 4" xfId="39978"/>
    <cellStyle name="Porcentual 6 3 3 2 2 2 4 2" xfId="50858"/>
    <cellStyle name="Porcentual 6 3 3 2 2 2 5" xfId="50853"/>
    <cellStyle name="Porcentual 6 3 3 2 2 3" xfId="39979"/>
    <cellStyle name="Porcentual 6 3 3 2 2 3 2" xfId="50859"/>
    <cellStyle name="Porcentual 6 3 3 2 2 4" xfId="39980"/>
    <cellStyle name="Porcentual 6 3 3 2 2 4 2" xfId="39981"/>
    <cellStyle name="Porcentual 6 3 3 2 2 4 2 2" xfId="50861"/>
    <cellStyle name="Porcentual 6 3 3 2 2 4 3" xfId="50860"/>
    <cellStyle name="Porcentual 6 3 3 2 2 5" xfId="39982"/>
    <cellStyle name="Porcentual 6 3 3 2 2 5 2" xfId="50862"/>
    <cellStyle name="Porcentual 6 3 3 2 2 6" xfId="50852"/>
    <cellStyle name="Porcentual 6 3 3 2 3" xfId="39983"/>
    <cellStyle name="Porcentual 6 3 3 2 3 2" xfId="39984"/>
    <cellStyle name="Porcentual 6 3 3 2 3 2 2" xfId="39985"/>
    <cellStyle name="Porcentual 6 3 3 2 3 2 2 2" xfId="50865"/>
    <cellStyle name="Porcentual 6 3 3 2 3 2 3" xfId="50864"/>
    <cellStyle name="Porcentual 6 3 3 2 3 3" xfId="39986"/>
    <cellStyle name="Porcentual 6 3 3 2 3 3 2" xfId="39987"/>
    <cellStyle name="Porcentual 6 3 3 2 3 3 2 2" xfId="50867"/>
    <cellStyle name="Porcentual 6 3 3 2 3 3 3" xfId="50866"/>
    <cellStyle name="Porcentual 6 3 3 2 3 4" xfId="39988"/>
    <cellStyle name="Porcentual 6 3 3 2 3 4 2" xfId="50868"/>
    <cellStyle name="Porcentual 6 3 3 2 3 5" xfId="50863"/>
    <cellStyle name="Porcentual 6 3 3 2 4" xfId="39989"/>
    <cellStyle name="Porcentual 6 3 3 2 4 2" xfId="50869"/>
    <cellStyle name="Porcentual 6 3 3 2 5" xfId="39990"/>
    <cellStyle name="Porcentual 6 3 3 2 5 2" xfId="39991"/>
    <cellStyle name="Porcentual 6 3 3 2 5 2 2" xfId="50871"/>
    <cellStyle name="Porcentual 6 3 3 2 5 3" xfId="50870"/>
    <cellStyle name="Porcentual 6 3 3 2 6" xfId="39992"/>
    <cellStyle name="Porcentual 6 3 3 2 6 2" xfId="50872"/>
    <cellStyle name="Porcentual 6 3 3 2 7" xfId="50851"/>
    <cellStyle name="Porcentual 6 3 3 3" xfId="39993"/>
    <cellStyle name="Porcentual 6 3 3 3 2" xfId="39994"/>
    <cellStyle name="Porcentual 6 3 3 3 2 2" xfId="39995"/>
    <cellStyle name="Porcentual 6 3 3 3 2 2 2" xfId="39996"/>
    <cellStyle name="Porcentual 6 3 3 3 2 2 2 2" xfId="50876"/>
    <cellStyle name="Porcentual 6 3 3 3 2 2 3" xfId="50875"/>
    <cellStyle name="Porcentual 6 3 3 3 2 3" xfId="39997"/>
    <cellStyle name="Porcentual 6 3 3 3 2 3 2" xfId="39998"/>
    <cellStyle name="Porcentual 6 3 3 3 2 3 2 2" xfId="50878"/>
    <cellStyle name="Porcentual 6 3 3 3 2 3 3" xfId="50877"/>
    <cellStyle name="Porcentual 6 3 3 3 2 4" xfId="39999"/>
    <cellStyle name="Porcentual 6 3 3 3 2 4 2" xfId="50879"/>
    <cellStyle name="Porcentual 6 3 3 3 2 5" xfId="50874"/>
    <cellStyle name="Porcentual 6 3 3 3 3" xfId="40000"/>
    <cellStyle name="Porcentual 6 3 3 3 3 2" xfId="50880"/>
    <cellStyle name="Porcentual 6 3 3 3 4" xfId="40001"/>
    <cellStyle name="Porcentual 6 3 3 3 4 2" xfId="40002"/>
    <cellStyle name="Porcentual 6 3 3 3 4 2 2" xfId="50882"/>
    <cellStyle name="Porcentual 6 3 3 3 4 3" xfId="50881"/>
    <cellStyle name="Porcentual 6 3 3 3 5" xfId="40003"/>
    <cellStyle name="Porcentual 6 3 3 3 5 2" xfId="50883"/>
    <cellStyle name="Porcentual 6 3 3 3 6" xfId="50873"/>
    <cellStyle name="Porcentual 6 3 3 4" xfId="40004"/>
    <cellStyle name="Porcentual 6 3 3 4 2" xfId="40005"/>
    <cellStyle name="Porcentual 6 3 3 4 2 2" xfId="40006"/>
    <cellStyle name="Porcentual 6 3 3 4 2 2 2" xfId="50886"/>
    <cellStyle name="Porcentual 6 3 3 4 2 3" xfId="50885"/>
    <cellStyle name="Porcentual 6 3 3 4 3" xfId="40007"/>
    <cellStyle name="Porcentual 6 3 3 4 3 2" xfId="40008"/>
    <cellStyle name="Porcentual 6 3 3 4 3 2 2" xfId="50888"/>
    <cellStyle name="Porcentual 6 3 3 4 3 3" xfId="50887"/>
    <cellStyle name="Porcentual 6 3 3 4 4" xfId="40009"/>
    <cellStyle name="Porcentual 6 3 3 4 4 2" xfId="50889"/>
    <cellStyle name="Porcentual 6 3 3 4 5" xfId="50884"/>
    <cellStyle name="Porcentual 6 3 3 5" xfId="40010"/>
    <cellStyle name="Porcentual 6 3 3 5 2" xfId="50890"/>
    <cellStyle name="Porcentual 6 3 3 6" xfId="40011"/>
    <cellStyle name="Porcentual 6 3 3 6 2" xfId="40012"/>
    <cellStyle name="Porcentual 6 3 3 6 2 2" xfId="50892"/>
    <cellStyle name="Porcentual 6 3 3 6 3" xfId="50891"/>
    <cellStyle name="Porcentual 6 3 3 7" xfId="40013"/>
    <cellStyle name="Porcentual 6 3 3 7 2" xfId="50893"/>
    <cellStyle name="Porcentual 6 3 3 8" xfId="50850"/>
    <cellStyle name="Porcentual 6 3 4" xfId="40014"/>
    <cellStyle name="Porcentual 6 3 4 2" xfId="50894"/>
    <cellStyle name="Porcentual 6 3 5" xfId="40015"/>
    <cellStyle name="Porcentual 6 3 5 2" xfId="40016"/>
    <cellStyle name="Porcentual 6 3 5 2 2" xfId="40017"/>
    <cellStyle name="Porcentual 6 3 5 2 2 2" xfId="40018"/>
    <cellStyle name="Porcentual 6 3 5 2 2 2 2" xfId="40019"/>
    <cellStyle name="Porcentual 6 3 5 2 2 2 2 2" xfId="50899"/>
    <cellStyle name="Porcentual 6 3 5 2 2 2 3" xfId="50898"/>
    <cellStyle name="Porcentual 6 3 5 2 2 3" xfId="40020"/>
    <cellStyle name="Porcentual 6 3 5 2 2 3 2" xfId="40021"/>
    <cellStyle name="Porcentual 6 3 5 2 2 3 2 2" xfId="50901"/>
    <cellStyle name="Porcentual 6 3 5 2 2 3 3" xfId="50900"/>
    <cellStyle name="Porcentual 6 3 5 2 2 4" xfId="40022"/>
    <cellStyle name="Porcentual 6 3 5 2 2 4 2" xfId="50902"/>
    <cellStyle name="Porcentual 6 3 5 2 2 5" xfId="50897"/>
    <cellStyle name="Porcentual 6 3 5 2 3" xfId="40023"/>
    <cellStyle name="Porcentual 6 3 5 2 3 2" xfId="50903"/>
    <cellStyle name="Porcentual 6 3 5 2 4" xfId="40024"/>
    <cellStyle name="Porcentual 6 3 5 2 4 2" xfId="40025"/>
    <cellStyle name="Porcentual 6 3 5 2 4 2 2" xfId="50905"/>
    <cellStyle name="Porcentual 6 3 5 2 4 3" xfId="50904"/>
    <cellStyle name="Porcentual 6 3 5 2 5" xfId="40026"/>
    <cellStyle name="Porcentual 6 3 5 2 5 2" xfId="50906"/>
    <cellStyle name="Porcentual 6 3 5 2 6" xfId="50896"/>
    <cellStyle name="Porcentual 6 3 5 3" xfId="40027"/>
    <cellStyle name="Porcentual 6 3 5 3 2" xfId="40028"/>
    <cellStyle name="Porcentual 6 3 5 3 2 2" xfId="40029"/>
    <cellStyle name="Porcentual 6 3 5 3 2 2 2" xfId="50909"/>
    <cellStyle name="Porcentual 6 3 5 3 2 3" xfId="50908"/>
    <cellStyle name="Porcentual 6 3 5 3 3" xfId="40030"/>
    <cellStyle name="Porcentual 6 3 5 3 3 2" xfId="40031"/>
    <cellStyle name="Porcentual 6 3 5 3 3 2 2" xfId="50911"/>
    <cellStyle name="Porcentual 6 3 5 3 3 3" xfId="50910"/>
    <cellStyle name="Porcentual 6 3 5 3 4" xfId="40032"/>
    <cellStyle name="Porcentual 6 3 5 3 4 2" xfId="50912"/>
    <cellStyle name="Porcentual 6 3 5 3 5" xfId="50907"/>
    <cellStyle name="Porcentual 6 3 5 4" xfId="40033"/>
    <cellStyle name="Porcentual 6 3 5 4 2" xfId="50913"/>
    <cellStyle name="Porcentual 6 3 5 5" xfId="40034"/>
    <cellStyle name="Porcentual 6 3 5 5 2" xfId="40035"/>
    <cellStyle name="Porcentual 6 3 5 5 2 2" xfId="50915"/>
    <cellStyle name="Porcentual 6 3 5 5 3" xfId="50914"/>
    <cellStyle name="Porcentual 6 3 5 6" xfId="40036"/>
    <cellStyle name="Porcentual 6 3 5 6 2" xfId="50916"/>
    <cellStyle name="Porcentual 6 3 5 7" xfId="50895"/>
    <cellStyle name="Porcentual 6 3 6" xfId="40037"/>
    <cellStyle name="Porcentual 6 3 6 2" xfId="40038"/>
    <cellStyle name="Porcentual 6 3 6 2 2" xfId="40039"/>
    <cellStyle name="Porcentual 6 3 6 2 2 2" xfId="40040"/>
    <cellStyle name="Porcentual 6 3 6 2 2 2 2" xfId="50920"/>
    <cellStyle name="Porcentual 6 3 6 2 2 3" xfId="50919"/>
    <cellStyle name="Porcentual 6 3 6 2 3" xfId="40041"/>
    <cellStyle name="Porcentual 6 3 6 2 3 2" xfId="40042"/>
    <cellStyle name="Porcentual 6 3 6 2 3 2 2" xfId="50922"/>
    <cellStyle name="Porcentual 6 3 6 2 3 3" xfId="50921"/>
    <cellStyle name="Porcentual 6 3 6 2 4" xfId="40043"/>
    <cellStyle name="Porcentual 6 3 6 2 4 2" xfId="50923"/>
    <cellStyle name="Porcentual 6 3 6 2 5" xfId="50918"/>
    <cellStyle name="Porcentual 6 3 6 3" xfId="40044"/>
    <cellStyle name="Porcentual 6 3 6 3 2" xfId="50924"/>
    <cellStyle name="Porcentual 6 3 6 4" xfId="40045"/>
    <cellStyle name="Porcentual 6 3 6 4 2" xfId="40046"/>
    <cellStyle name="Porcentual 6 3 6 4 2 2" xfId="50926"/>
    <cellStyle name="Porcentual 6 3 6 4 3" xfId="50925"/>
    <cellStyle name="Porcentual 6 3 6 5" xfId="40047"/>
    <cellStyle name="Porcentual 6 3 6 5 2" xfId="50927"/>
    <cellStyle name="Porcentual 6 3 6 6" xfId="50917"/>
    <cellStyle name="Porcentual 6 3 7" xfId="40048"/>
    <cellStyle name="Porcentual 6 3 7 2" xfId="40049"/>
    <cellStyle name="Porcentual 6 3 7 2 2" xfId="40050"/>
    <cellStyle name="Porcentual 6 3 7 2 2 2" xfId="50930"/>
    <cellStyle name="Porcentual 6 3 7 2 3" xfId="50929"/>
    <cellStyle name="Porcentual 6 3 7 3" xfId="40051"/>
    <cellStyle name="Porcentual 6 3 7 3 2" xfId="40052"/>
    <cellStyle name="Porcentual 6 3 7 3 2 2" xfId="50932"/>
    <cellStyle name="Porcentual 6 3 7 3 3" xfId="50931"/>
    <cellStyle name="Porcentual 6 3 7 4" xfId="40053"/>
    <cellStyle name="Porcentual 6 3 7 4 2" xfId="50933"/>
    <cellStyle name="Porcentual 6 3 7 5" xfId="50928"/>
    <cellStyle name="Porcentual 6 3 8" xfId="40054"/>
    <cellStyle name="Porcentual 6 3 8 2" xfId="40055"/>
    <cellStyle name="Porcentual 6 3 8 2 2" xfId="40056"/>
    <cellStyle name="Porcentual 6 3 8 2 2 2" xfId="50936"/>
    <cellStyle name="Porcentual 6 3 8 2 3" xfId="50935"/>
    <cellStyle name="Porcentual 6 3 8 3" xfId="40057"/>
    <cellStyle name="Porcentual 6 3 8 3 2" xfId="50937"/>
    <cellStyle name="Porcentual 6 3 8 4" xfId="50934"/>
    <cellStyle name="Porcentual 6 3 9" xfId="40058"/>
    <cellStyle name="Porcentual 6 3 9 2" xfId="40059"/>
    <cellStyle name="Porcentual 6 3 9 2 2" xfId="40060"/>
    <cellStyle name="Porcentual 6 3 9 2 2 2" xfId="50940"/>
    <cellStyle name="Porcentual 6 3 9 2 3" xfId="50939"/>
    <cellStyle name="Porcentual 6 3 9 3" xfId="40061"/>
    <cellStyle name="Porcentual 6 3 9 3 2" xfId="50941"/>
    <cellStyle name="Porcentual 6 3 9 4" xfId="50938"/>
    <cellStyle name="Porcentual 6 4" xfId="40062"/>
    <cellStyle name="Porcentual 6 4 2" xfId="40063"/>
    <cellStyle name="Porcentual 6 4 2 2" xfId="40064"/>
    <cellStyle name="Porcentual 6 4 2 2 2" xfId="40065"/>
    <cellStyle name="Porcentual 6 4 2 2 2 2" xfId="40066"/>
    <cellStyle name="Porcentual 6 4 2 2 2 2 2" xfId="40067"/>
    <cellStyle name="Porcentual 6 4 2 2 2 2 2 2" xfId="50947"/>
    <cellStyle name="Porcentual 6 4 2 2 2 2 3" xfId="50946"/>
    <cellStyle name="Porcentual 6 4 2 2 2 3" xfId="40068"/>
    <cellStyle name="Porcentual 6 4 2 2 2 3 2" xfId="40069"/>
    <cellStyle name="Porcentual 6 4 2 2 2 3 2 2" xfId="50949"/>
    <cellStyle name="Porcentual 6 4 2 2 2 3 3" xfId="50948"/>
    <cellStyle name="Porcentual 6 4 2 2 2 4" xfId="40070"/>
    <cellStyle name="Porcentual 6 4 2 2 2 4 2" xfId="50950"/>
    <cellStyle name="Porcentual 6 4 2 2 2 5" xfId="50945"/>
    <cellStyle name="Porcentual 6 4 2 2 3" xfId="40071"/>
    <cellStyle name="Porcentual 6 4 2 2 3 2" xfId="50951"/>
    <cellStyle name="Porcentual 6 4 2 2 4" xfId="40072"/>
    <cellStyle name="Porcentual 6 4 2 2 4 2" xfId="40073"/>
    <cellStyle name="Porcentual 6 4 2 2 4 2 2" xfId="50953"/>
    <cellStyle name="Porcentual 6 4 2 2 4 3" xfId="50952"/>
    <cellStyle name="Porcentual 6 4 2 2 5" xfId="40074"/>
    <cellStyle name="Porcentual 6 4 2 2 5 2" xfId="50954"/>
    <cellStyle name="Porcentual 6 4 2 2 6" xfId="50944"/>
    <cellStyle name="Porcentual 6 4 2 3" xfId="40075"/>
    <cellStyle name="Porcentual 6 4 2 3 2" xfId="40076"/>
    <cellStyle name="Porcentual 6 4 2 3 2 2" xfId="40077"/>
    <cellStyle name="Porcentual 6 4 2 3 2 2 2" xfId="50957"/>
    <cellStyle name="Porcentual 6 4 2 3 2 3" xfId="50956"/>
    <cellStyle name="Porcentual 6 4 2 3 3" xfId="40078"/>
    <cellStyle name="Porcentual 6 4 2 3 3 2" xfId="40079"/>
    <cellStyle name="Porcentual 6 4 2 3 3 2 2" xfId="50959"/>
    <cellStyle name="Porcentual 6 4 2 3 3 3" xfId="50958"/>
    <cellStyle name="Porcentual 6 4 2 3 4" xfId="40080"/>
    <cellStyle name="Porcentual 6 4 2 3 4 2" xfId="50960"/>
    <cellStyle name="Porcentual 6 4 2 3 5" xfId="50955"/>
    <cellStyle name="Porcentual 6 4 2 4" xfId="40081"/>
    <cellStyle name="Porcentual 6 4 2 4 2" xfId="50961"/>
    <cellStyle name="Porcentual 6 4 2 5" xfId="40082"/>
    <cellStyle name="Porcentual 6 4 2 5 2" xfId="40083"/>
    <cellStyle name="Porcentual 6 4 2 5 2 2" xfId="50963"/>
    <cellStyle name="Porcentual 6 4 2 5 3" xfId="50962"/>
    <cellStyle name="Porcentual 6 4 2 6" xfId="40084"/>
    <cellStyle name="Porcentual 6 4 2 6 2" xfId="50964"/>
    <cellStyle name="Porcentual 6 4 2 7" xfId="50943"/>
    <cellStyle name="Porcentual 6 4 3" xfId="40085"/>
    <cellStyle name="Porcentual 6 4 3 2" xfId="40086"/>
    <cellStyle name="Porcentual 6 4 3 2 2" xfId="40087"/>
    <cellStyle name="Porcentual 6 4 3 2 2 2" xfId="40088"/>
    <cellStyle name="Porcentual 6 4 3 2 2 2 2" xfId="50968"/>
    <cellStyle name="Porcentual 6 4 3 2 2 3" xfId="50967"/>
    <cellStyle name="Porcentual 6 4 3 2 3" xfId="40089"/>
    <cellStyle name="Porcentual 6 4 3 2 3 2" xfId="40090"/>
    <cellStyle name="Porcentual 6 4 3 2 3 2 2" xfId="50970"/>
    <cellStyle name="Porcentual 6 4 3 2 3 3" xfId="50969"/>
    <cellStyle name="Porcentual 6 4 3 2 4" xfId="40091"/>
    <cellStyle name="Porcentual 6 4 3 2 4 2" xfId="50971"/>
    <cellStyle name="Porcentual 6 4 3 2 5" xfId="50966"/>
    <cellStyle name="Porcentual 6 4 3 3" xfId="40092"/>
    <cellStyle name="Porcentual 6 4 3 3 2" xfId="50972"/>
    <cellStyle name="Porcentual 6 4 3 4" xfId="40093"/>
    <cellStyle name="Porcentual 6 4 3 4 2" xfId="40094"/>
    <cellStyle name="Porcentual 6 4 3 4 2 2" xfId="50974"/>
    <cellStyle name="Porcentual 6 4 3 4 3" xfId="50973"/>
    <cellStyle name="Porcentual 6 4 3 5" xfId="40095"/>
    <cellStyle name="Porcentual 6 4 3 5 2" xfId="50975"/>
    <cellStyle name="Porcentual 6 4 3 6" xfId="50965"/>
    <cellStyle name="Porcentual 6 4 4" xfId="40096"/>
    <cellStyle name="Porcentual 6 4 4 2" xfId="40097"/>
    <cellStyle name="Porcentual 6 4 4 2 2" xfId="40098"/>
    <cellStyle name="Porcentual 6 4 4 2 2 2" xfId="50978"/>
    <cellStyle name="Porcentual 6 4 4 2 3" xfId="50977"/>
    <cellStyle name="Porcentual 6 4 4 3" xfId="40099"/>
    <cellStyle name="Porcentual 6 4 4 3 2" xfId="40100"/>
    <cellStyle name="Porcentual 6 4 4 3 2 2" xfId="50980"/>
    <cellStyle name="Porcentual 6 4 4 3 3" xfId="50979"/>
    <cellStyle name="Porcentual 6 4 4 4" xfId="40101"/>
    <cellStyle name="Porcentual 6 4 4 4 2" xfId="50981"/>
    <cellStyle name="Porcentual 6 4 4 5" xfId="50976"/>
    <cellStyle name="Porcentual 6 4 5" xfId="40102"/>
    <cellStyle name="Porcentual 6 4 5 2" xfId="50982"/>
    <cellStyle name="Porcentual 6 4 6" xfId="40103"/>
    <cellStyle name="Porcentual 6 4 6 2" xfId="40104"/>
    <cellStyle name="Porcentual 6 4 6 2 2" xfId="50984"/>
    <cellStyle name="Porcentual 6 4 6 3" xfId="50983"/>
    <cellStyle name="Porcentual 6 4 7" xfId="40105"/>
    <cellStyle name="Porcentual 6 4 7 2" xfId="50985"/>
    <cellStyle name="Porcentual 6 4 8" xfId="50942"/>
    <cellStyle name="Porcentual 6 5" xfId="40106"/>
    <cellStyle name="Porcentual 6 5 2" xfId="40107"/>
    <cellStyle name="Porcentual 6 5 2 2" xfId="40108"/>
    <cellStyle name="Porcentual 6 5 2 2 2" xfId="40109"/>
    <cellStyle name="Porcentual 6 5 2 2 2 2" xfId="40110"/>
    <cellStyle name="Porcentual 6 5 2 2 2 2 2" xfId="40111"/>
    <cellStyle name="Porcentual 6 5 2 2 2 2 2 2" xfId="50991"/>
    <cellStyle name="Porcentual 6 5 2 2 2 2 3" xfId="50990"/>
    <cellStyle name="Porcentual 6 5 2 2 2 3" xfId="40112"/>
    <cellStyle name="Porcentual 6 5 2 2 2 3 2" xfId="40113"/>
    <cellStyle name="Porcentual 6 5 2 2 2 3 2 2" xfId="50993"/>
    <cellStyle name="Porcentual 6 5 2 2 2 3 3" xfId="50992"/>
    <cellStyle name="Porcentual 6 5 2 2 2 4" xfId="40114"/>
    <cellStyle name="Porcentual 6 5 2 2 2 4 2" xfId="50994"/>
    <cellStyle name="Porcentual 6 5 2 2 2 5" xfId="50989"/>
    <cellStyle name="Porcentual 6 5 2 2 3" xfId="40115"/>
    <cellStyle name="Porcentual 6 5 2 2 3 2" xfId="50995"/>
    <cellStyle name="Porcentual 6 5 2 2 4" xfId="40116"/>
    <cellStyle name="Porcentual 6 5 2 2 4 2" xfId="40117"/>
    <cellStyle name="Porcentual 6 5 2 2 4 2 2" xfId="50997"/>
    <cellStyle name="Porcentual 6 5 2 2 4 3" xfId="50996"/>
    <cellStyle name="Porcentual 6 5 2 2 5" xfId="40118"/>
    <cellStyle name="Porcentual 6 5 2 2 5 2" xfId="50998"/>
    <cellStyle name="Porcentual 6 5 2 2 6" xfId="50988"/>
    <cellStyle name="Porcentual 6 5 2 3" xfId="40119"/>
    <cellStyle name="Porcentual 6 5 2 3 2" xfId="40120"/>
    <cellStyle name="Porcentual 6 5 2 3 2 2" xfId="40121"/>
    <cellStyle name="Porcentual 6 5 2 3 2 2 2" xfId="51001"/>
    <cellStyle name="Porcentual 6 5 2 3 2 3" xfId="51000"/>
    <cellStyle name="Porcentual 6 5 2 3 3" xfId="40122"/>
    <cellStyle name="Porcentual 6 5 2 3 3 2" xfId="40123"/>
    <cellStyle name="Porcentual 6 5 2 3 3 2 2" xfId="51003"/>
    <cellStyle name="Porcentual 6 5 2 3 3 3" xfId="51002"/>
    <cellStyle name="Porcentual 6 5 2 3 4" xfId="40124"/>
    <cellStyle name="Porcentual 6 5 2 3 4 2" xfId="51004"/>
    <cellStyle name="Porcentual 6 5 2 3 5" xfId="50999"/>
    <cellStyle name="Porcentual 6 5 2 4" xfId="40125"/>
    <cellStyle name="Porcentual 6 5 2 4 2" xfId="51005"/>
    <cellStyle name="Porcentual 6 5 2 5" xfId="40126"/>
    <cellStyle name="Porcentual 6 5 2 5 2" xfId="40127"/>
    <cellStyle name="Porcentual 6 5 2 5 2 2" xfId="51007"/>
    <cellStyle name="Porcentual 6 5 2 5 3" xfId="51006"/>
    <cellStyle name="Porcentual 6 5 2 6" xfId="40128"/>
    <cellStyle name="Porcentual 6 5 2 6 2" xfId="51008"/>
    <cellStyle name="Porcentual 6 5 2 7" xfId="50987"/>
    <cellStyle name="Porcentual 6 5 3" xfId="40129"/>
    <cellStyle name="Porcentual 6 5 3 2" xfId="40130"/>
    <cellStyle name="Porcentual 6 5 3 2 2" xfId="40131"/>
    <cellStyle name="Porcentual 6 5 3 2 2 2" xfId="40132"/>
    <cellStyle name="Porcentual 6 5 3 2 2 2 2" xfId="51012"/>
    <cellStyle name="Porcentual 6 5 3 2 2 3" xfId="51011"/>
    <cellStyle name="Porcentual 6 5 3 2 3" xfId="40133"/>
    <cellStyle name="Porcentual 6 5 3 2 3 2" xfId="40134"/>
    <cellStyle name="Porcentual 6 5 3 2 3 2 2" xfId="51014"/>
    <cellStyle name="Porcentual 6 5 3 2 3 3" xfId="51013"/>
    <cellStyle name="Porcentual 6 5 3 2 4" xfId="40135"/>
    <cellStyle name="Porcentual 6 5 3 2 4 2" xfId="51015"/>
    <cellStyle name="Porcentual 6 5 3 2 5" xfId="51010"/>
    <cellStyle name="Porcentual 6 5 3 3" xfId="40136"/>
    <cellStyle name="Porcentual 6 5 3 3 2" xfId="51016"/>
    <cellStyle name="Porcentual 6 5 3 4" xfId="40137"/>
    <cellStyle name="Porcentual 6 5 3 4 2" xfId="40138"/>
    <cellStyle name="Porcentual 6 5 3 4 2 2" xfId="51018"/>
    <cellStyle name="Porcentual 6 5 3 4 3" xfId="51017"/>
    <cellStyle name="Porcentual 6 5 3 5" xfId="40139"/>
    <cellStyle name="Porcentual 6 5 3 5 2" xfId="51019"/>
    <cellStyle name="Porcentual 6 5 3 6" xfId="51009"/>
    <cellStyle name="Porcentual 6 5 4" xfId="40140"/>
    <cellStyle name="Porcentual 6 5 4 2" xfId="40141"/>
    <cellStyle name="Porcentual 6 5 4 2 2" xfId="40142"/>
    <cellStyle name="Porcentual 6 5 4 2 2 2" xfId="51022"/>
    <cellStyle name="Porcentual 6 5 4 2 3" xfId="51021"/>
    <cellStyle name="Porcentual 6 5 4 3" xfId="40143"/>
    <cellStyle name="Porcentual 6 5 4 3 2" xfId="40144"/>
    <cellStyle name="Porcentual 6 5 4 3 2 2" xfId="51024"/>
    <cellStyle name="Porcentual 6 5 4 3 3" xfId="51023"/>
    <cellStyle name="Porcentual 6 5 4 4" xfId="40145"/>
    <cellStyle name="Porcentual 6 5 4 4 2" xfId="51025"/>
    <cellStyle name="Porcentual 6 5 4 5" xfId="51020"/>
    <cellStyle name="Porcentual 6 5 5" xfId="40146"/>
    <cellStyle name="Porcentual 6 5 5 2" xfId="51026"/>
    <cellStyle name="Porcentual 6 5 6" xfId="40147"/>
    <cellStyle name="Porcentual 6 5 6 2" xfId="40148"/>
    <cellStyle name="Porcentual 6 5 6 2 2" xfId="51028"/>
    <cellStyle name="Porcentual 6 5 6 3" xfId="51027"/>
    <cellStyle name="Porcentual 6 5 7" xfId="40149"/>
    <cellStyle name="Porcentual 6 5 7 2" xfId="51029"/>
    <cellStyle name="Porcentual 6 5 8" xfId="50986"/>
    <cellStyle name="Porcentual 6 6" xfId="40150"/>
    <cellStyle name="Porcentual 6 6 2" xfId="51030"/>
    <cellStyle name="Porcentual 6 7" xfId="40151"/>
    <cellStyle name="Porcentual 6 7 2" xfId="40152"/>
    <cellStyle name="Porcentual 6 7 2 2" xfId="40153"/>
    <cellStyle name="Porcentual 6 7 2 2 2" xfId="40154"/>
    <cellStyle name="Porcentual 6 7 2 2 2 2" xfId="40155"/>
    <cellStyle name="Porcentual 6 7 2 2 2 2 2" xfId="51035"/>
    <cellStyle name="Porcentual 6 7 2 2 2 3" xfId="51034"/>
    <cellStyle name="Porcentual 6 7 2 2 3" xfId="40156"/>
    <cellStyle name="Porcentual 6 7 2 2 3 2" xfId="40157"/>
    <cellStyle name="Porcentual 6 7 2 2 3 2 2" xfId="51037"/>
    <cellStyle name="Porcentual 6 7 2 2 3 3" xfId="51036"/>
    <cellStyle name="Porcentual 6 7 2 2 4" xfId="40158"/>
    <cellStyle name="Porcentual 6 7 2 2 4 2" xfId="51038"/>
    <cellStyle name="Porcentual 6 7 2 2 5" xfId="51033"/>
    <cellStyle name="Porcentual 6 7 2 3" xfId="40159"/>
    <cellStyle name="Porcentual 6 7 2 3 2" xfId="51039"/>
    <cellStyle name="Porcentual 6 7 2 4" xfId="40160"/>
    <cellStyle name="Porcentual 6 7 2 4 2" xfId="40161"/>
    <cellStyle name="Porcentual 6 7 2 4 2 2" xfId="51041"/>
    <cellStyle name="Porcentual 6 7 2 4 3" xfId="51040"/>
    <cellStyle name="Porcentual 6 7 2 5" xfId="40162"/>
    <cellStyle name="Porcentual 6 7 2 5 2" xfId="51042"/>
    <cellStyle name="Porcentual 6 7 2 6" xfId="51032"/>
    <cellStyle name="Porcentual 6 7 3" xfId="40163"/>
    <cellStyle name="Porcentual 6 7 3 2" xfId="40164"/>
    <cellStyle name="Porcentual 6 7 3 2 2" xfId="40165"/>
    <cellStyle name="Porcentual 6 7 3 2 2 2" xfId="51045"/>
    <cellStyle name="Porcentual 6 7 3 2 3" xfId="51044"/>
    <cellStyle name="Porcentual 6 7 3 3" xfId="40166"/>
    <cellStyle name="Porcentual 6 7 3 3 2" xfId="40167"/>
    <cellStyle name="Porcentual 6 7 3 3 2 2" xfId="51047"/>
    <cellStyle name="Porcentual 6 7 3 3 3" xfId="51046"/>
    <cellStyle name="Porcentual 6 7 3 4" xfId="40168"/>
    <cellStyle name="Porcentual 6 7 3 4 2" xfId="51048"/>
    <cellStyle name="Porcentual 6 7 3 5" xfId="51043"/>
    <cellStyle name="Porcentual 6 7 4" xfId="40169"/>
    <cellStyle name="Porcentual 6 7 4 2" xfId="51049"/>
    <cellStyle name="Porcentual 6 7 5" xfId="40170"/>
    <cellStyle name="Porcentual 6 7 5 2" xfId="40171"/>
    <cellStyle name="Porcentual 6 7 5 2 2" xfId="51051"/>
    <cellStyle name="Porcentual 6 7 5 3" xfId="51050"/>
    <cellStyle name="Porcentual 6 7 6" xfId="40172"/>
    <cellStyle name="Porcentual 6 7 6 2" xfId="51052"/>
    <cellStyle name="Porcentual 6 7 7" xfId="51031"/>
    <cellStyle name="Porcentual 6 8" xfId="40173"/>
    <cellStyle name="Porcentual 6 8 2" xfId="51053"/>
    <cellStyle name="Porcentual 6 9" xfId="40174"/>
    <cellStyle name="Porcentual 6 9 2" xfId="40175"/>
    <cellStyle name="Porcentual 6 9 2 2" xfId="40176"/>
    <cellStyle name="Porcentual 6 9 2 2 2" xfId="40177"/>
    <cellStyle name="Porcentual 6 9 2 2 2 2" xfId="51057"/>
    <cellStyle name="Porcentual 6 9 2 2 3" xfId="51056"/>
    <cellStyle name="Porcentual 6 9 2 3" xfId="40178"/>
    <cellStyle name="Porcentual 6 9 2 3 2" xfId="40179"/>
    <cellStyle name="Porcentual 6 9 2 3 2 2" xfId="51059"/>
    <cellStyle name="Porcentual 6 9 2 3 3" xfId="51058"/>
    <cellStyle name="Porcentual 6 9 2 4" xfId="40180"/>
    <cellStyle name="Porcentual 6 9 2 4 2" xfId="51060"/>
    <cellStyle name="Porcentual 6 9 2 5" xfId="51055"/>
    <cellStyle name="Porcentual 6 9 3" xfId="40181"/>
    <cellStyle name="Porcentual 6 9 3 2" xfId="51061"/>
    <cellStyle name="Porcentual 6 9 4" xfId="40182"/>
    <cellStyle name="Porcentual 6 9 4 2" xfId="40183"/>
    <cellStyle name="Porcentual 6 9 4 2 2" xfId="51063"/>
    <cellStyle name="Porcentual 6 9 4 3" xfId="51062"/>
    <cellStyle name="Porcentual 6 9 5" xfId="40184"/>
    <cellStyle name="Porcentual 6 9 5 2" xfId="51064"/>
    <cellStyle name="Porcentual 6 9 6" xfId="51054"/>
    <cellStyle name="Porcentual 7" xfId="40185"/>
    <cellStyle name="Porcentual 7 10" xfId="40186"/>
    <cellStyle name="Porcentual 7 10 2" xfId="40187"/>
    <cellStyle name="Porcentual 7 10 2 2" xfId="40188"/>
    <cellStyle name="Porcentual 7 10 2 2 2" xfId="51068"/>
    <cellStyle name="Porcentual 7 10 2 3" xfId="51067"/>
    <cellStyle name="Porcentual 7 10 3" xfId="40189"/>
    <cellStyle name="Porcentual 7 10 3 2" xfId="51069"/>
    <cellStyle name="Porcentual 7 10 4" xfId="51066"/>
    <cellStyle name="Porcentual 7 11" xfId="40190"/>
    <cellStyle name="Porcentual 7 11 2" xfId="40191"/>
    <cellStyle name="Porcentual 7 11 2 2" xfId="40192"/>
    <cellStyle name="Porcentual 7 11 2 2 2" xfId="51072"/>
    <cellStyle name="Porcentual 7 11 2 3" xfId="51071"/>
    <cellStyle name="Porcentual 7 11 3" xfId="40193"/>
    <cellStyle name="Porcentual 7 11 3 2" xfId="51073"/>
    <cellStyle name="Porcentual 7 11 4" xfId="51070"/>
    <cellStyle name="Porcentual 7 12" xfId="40194"/>
    <cellStyle name="Porcentual 7 12 2" xfId="40195"/>
    <cellStyle name="Porcentual 7 12 2 2" xfId="40196"/>
    <cellStyle name="Porcentual 7 12 2 2 2" xfId="51076"/>
    <cellStyle name="Porcentual 7 12 2 3" xfId="51075"/>
    <cellStyle name="Porcentual 7 12 3" xfId="40197"/>
    <cellStyle name="Porcentual 7 12 3 2" xfId="51077"/>
    <cellStyle name="Porcentual 7 12 4" xfId="51074"/>
    <cellStyle name="Porcentual 7 13" xfId="40198"/>
    <cellStyle name="Porcentual 7 13 2" xfId="40199"/>
    <cellStyle name="Porcentual 7 13 2 2" xfId="51079"/>
    <cellStyle name="Porcentual 7 13 3" xfId="51078"/>
    <cellStyle name="Porcentual 7 14" xfId="40200"/>
    <cellStyle name="Porcentual 7 14 2" xfId="40201"/>
    <cellStyle name="Porcentual 7 14 2 2" xfId="51081"/>
    <cellStyle name="Porcentual 7 14 3" xfId="51080"/>
    <cellStyle name="Porcentual 7 15" xfId="40202"/>
    <cellStyle name="Porcentual 7 15 2" xfId="51082"/>
    <cellStyle name="Porcentual 7 16" xfId="40203"/>
    <cellStyle name="Porcentual 7 16 2" xfId="51083"/>
    <cellStyle name="Porcentual 7 17" xfId="51065"/>
    <cellStyle name="Porcentual 7 2" xfId="40204"/>
    <cellStyle name="Porcentual 7 2 10" xfId="40205"/>
    <cellStyle name="Porcentual 7 2 10 2" xfId="40206"/>
    <cellStyle name="Porcentual 7 2 10 2 2" xfId="40207"/>
    <cellStyle name="Porcentual 7 2 10 2 2 2" xfId="51087"/>
    <cellStyle name="Porcentual 7 2 10 2 3" xfId="51086"/>
    <cellStyle name="Porcentual 7 2 10 3" xfId="40208"/>
    <cellStyle name="Porcentual 7 2 10 3 2" xfId="51088"/>
    <cellStyle name="Porcentual 7 2 10 4" xfId="51085"/>
    <cellStyle name="Porcentual 7 2 11" xfId="40209"/>
    <cellStyle name="Porcentual 7 2 11 2" xfId="40210"/>
    <cellStyle name="Porcentual 7 2 11 2 2" xfId="40211"/>
    <cellStyle name="Porcentual 7 2 11 2 2 2" xfId="51091"/>
    <cellStyle name="Porcentual 7 2 11 2 3" xfId="51090"/>
    <cellStyle name="Porcentual 7 2 11 3" xfId="40212"/>
    <cellStyle name="Porcentual 7 2 11 3 2" xfId="51092"/>
    <cellStyle name="Porcentual 7 2 11 4" xfId="51089"/>
    <cellStyle name="Porcentual 7 2 12" xfId="40213"/>
    <cellStyle name="Porcentual 7 2 12 2" xfId="40214"/>
    <cellStyle name="Porcentual 7 2 12 2 2" xfId="51094"/>
    <cellStyle name="Porcentual 7 2 12 3" xfId="51093"/>
    <cellStyle name="Porcentual 7 2 13" xfId="40215"/>
    <cellStyle name="Porcentual 7 2 13 2" xfId="40216"/>
    <cellStyle name="Porcentual 7 2 13 2 2" xfId="51096"/>
    <cellStyle name="Porcentual 7 2 13 3" xfId="51095"/>
    <cellStyle name="Porcentual 7 2 14" xfId="40217"/>
    <cellStyle name="Porcentual 7 2 14 2" xfId="51097"/>
    <cellStyle name="Porcentual 7 2 15" xfId="40218"/>
    <cellStyle name="Porcentual 7 2 15 2" xfId="51098"/>
    <cellStyle name="Porcentual 7 2 16" xfId="51084"/>
    <cellStyle name="Porcentual 7 2 2" xfId="40219"/>
    <cellStyle name="Porcentual 7 2 2 2" xfId="40220"/>
    <cellStyle name="Porcentual 7 2 2 2 2" xfId="40221"/>
    <cellStyle name="Porcentual 7 2 2 2 2 2" xfId="40222"/>
    <cellStyle name="Porcentual 7 2 2 2 2 2 2" xfId="40223"/>
    <cellStyle name="Porcentual 7 2 2 2 2 2 2 2" xfId="40224"/>
    <cellStyle name="Porcentual 7 2 2 2 2 2 2 2 2" xfId="51104"/>
    <cellStyle name="Porcentual 7 2 2 2 2 2 2 3" xfId="51103"/>
    <cellStyle name="Porcentual 7 2 2 2 2 2 3" xfId="40225"/>
    <cellStyle name="Porcentual 7 2 2 2 2 2 3 2" xfId="40226"/>
    <cellStyle name="Porcentual 7 2 2 2 2 2 3 2 2" xfId="51106"/>
    <cellStyle name="Porcentual 7 2 2 2 2 2 3 3" xfId="51105"/>
    <cellStyle name="Porcentual 7 2 2 2 2 2 4" xfId="40227"/>
    <cellStyle name="Porcentual 7 2 2 2 2 2 4 2" xfId="51107"/>
    <cellStyle name="Porcentual 7 2 2 2 2 2 5" xfId="51102"/>
    <cellStyle name="Porcentual 7 2 2 2 2 3" xfId="40228"/>
    <cellStyle name="Porcentual 7 2 2 2 2 3 2" xfId="51108"/>
    <cellStyle name="Porcentual 7 2 2 2 2 4" xfId="40229"/>
    <cellStyle name="Porcentual 7 2 2 2 2 4 2" xfId="40230"/>
    <cellStyle name="Porcentual 7 2 2 2 2 4 2 2" xfId="51110"/>
    <cellStyle name="Porcentual 7 2 2 2 2 4 3" xfId="51109"/>
    <cellStyle name="Porcentual 7 2 2 2 2 5" xfId="40231"/>
    <cellStyle name="Porcentual 7 2 2 2 2 5 2" xfId="51111"/>
    <cellStyle name="Porcentual 7 2 2 2 2 6" xfId="51101"/>
    <cellStyle name="Porcentual 7 2 2 2 3" xfId="40232"/>
    <cellStyle name="Porcentual 7 2 2 2 3 2" xfId="40233"/>
    <cellStyle name="Porcentual 7 2 2 2 3 2 2" xfId="40234"/>
    <cellStyle name="Porcentual 7 2 2 2 3 2 2 2" xfId="51114"/>
    <cellStyle name="Porcentual 7 2 2 2 3 2 3" xfId="51113"/>
    <cellStyle name="Porcentual 7 2 2 2 3 3" xfId="40235"/>
    <cellStyle name="Porcentual 7 2 2 2 3 3 2" xfId="40236"/>
    <cellStyle name="Porcentual 7 2 2 2 3 3 2 2" xfId="51116"/>
    <cellStyle name="Porcentual 7 2 2 2 3 3 3" xfId="51115"/>
    <cellStyle name="Porcentual 7 2 2 2 3 4" xfId="40237"/>
    <cellStyle name="Porcentual 7 2 2 2 3 4 2" xfId="51117"/>
    <cellStyle name="Porcentual 7 2 2 2 3 5" xfId="51112"/>
    <cellStyle name="Porcentual 7 2 2 2 4" xfId="40238"/>
    <cellStyle name="Porcentual 7 2 2 2 4 2" xfId="51118"/>
    <cellStyle name="Porcentual 7 2 2 2 5" xfId="40239"/>
    <cellStyle name="Porcentual 7 2 2 2 5 2" xfId="40240"/>
    <cellStyle name="Porcentual 7 2 2 2 5 2 2" xfId="51120"/>
    <cellStyle name="Porcentual 7 2 2 2 5 3" xfId="51119"/>
    <cellStyle name="Porcentual 7 2 2 2 6" xfId="40241"/>
    <cellStyle name="Porcentual 7 2 2 2 6 2" xfId="51121"/>
    <cellStyle name="Porcentual 7 2 2 2 7" xfId="51100"/>
    <cellStyle name="Porcentual 7 2 2 3" xfId="40242"/>
    <cellStyle name="Porcentual 7 2 2 3 2" xfId="40243"/>
    <cellStyle name="Porcentual 7 2 2 3 2 2" xfId="40244"/>
    <cellStyle name="Porcentual 7 2 2 3 2 2 2" xfId="40245"/>
    <cellStyle name="Porcentual 7 2 2 3 2 2 2 2" xfId="51125"/>
    <cellStyle name="Porcentual 7 2 2 3 2 2 3" xfId="51124"/>
    <cellStyle name="Porcentual 7 2 2 3 2 3" xfId="40246"/>
    <cellStyle name="Porcentual 7 2 2 3 2 3 2" xfId="40247"/>
    <cellStyle name="Porcentual 7 2 2 3 2 3 2 2" xfId="51127"/>
    <cellStyle name="Porcentual 7 2 2 3 2 3 3" xfId="51126"/>
    <cellStyle name="Porcentual 7 2 2 3 2 4" xfId="40248"/>
    <cellStyle name="Porcentual 7 2 2 3 2 4 2" xfId="51128"/>
    <cellStyle name="Porcentual 7 2 2 3 2 5" xfId="51123"/>
    <cellStyle name="Porcentual 7 2 2 3 3" xfId="40249"/>
    <cellStyle name="Porcentual 7 2 2 3 3 2" xfId="51129"/>
    <cellStyle name="Porcentual 7 2 2 3 4" xfId="40250"/>
    <cellStyle name="Porcentual 7 2 2 3 4 2" xfId="40251"/>
    <cellStyle name="Porcentual 7 2 2 3 4 2 2" xfId="51131"/>
    <cellStyle name="Porcentual 7 2 2 3 4 3" xfId="51130"/>
    <cellStyle name="Porcentual 7 2 2 3 5" xfId="40252"/>
    <cellStyle name="Porcentual 7 2 2 3 5 2" xfId="51132"/>
    <cellStyle name="Porcentual 7 2 2 3 6" xfId="51122"/>
    <cellStyle name="Porcentual 7 2 2 4" xfId="40253"/>
    <cellStyle name="Porcentual 7 2 2 4 2" xfId="40254"/>
    <cellStyle name="Porcentual 7 2 2 4 2 2" xfId="40255"/>
    <cellStyle name="Porcentual 7 2 2 4 2 2 2" xfId="51135"/>
    <cellStyle name="Porcentual 7 2 2 4 2 3" xfId="51134"/>
    <cellStyle name="Porcentual 7 2 2 4 3" xfId="40256"/>
    <cellStyle name="Porcentual 7 2 2 4 3 2" xfId="40257"/>
    <cellStyle name="Porcentual 7 2 2 4 3 2 2" xfId="51137"/>
    <cellStyle name="Porcentual 7 2 2 4 3 3" xfId="51136"/>
    <cellStyle name="Porcentual 7 2 2 4 4" xfId="40258"/>
    <cellStyle name="Porcentual 7 2 2 4 4 2" xfId="51138"/>
    <cellStyle name="Porcentual 7 2 2 4 5" xfId="51133"/>
    <cellStyle name="Porcentual 7 2 2 5" xfId="40259"/>
    <cellStyle name="Porcentual 7 2 2 5 2" xfId="51139"/>
    <cellStyle name="Porcentual 7 2 2 6" xfId="40260"/>
    <cellStyle name="Porcentual 7 2 2 6 2" xfId="40261"/>
    <cellStyle name="Porcentual 7 2 2 6 2 2" xfId="51141"/>
    <cellStyle name="Porcentual 7 2 2 6 3" xfId="51140"/>
    <cellStyle name="Porcentual 7 2 2 7" xfId="40262"/>
    <cellStyle name="Porcentual 7 2 2 7 2" xfId="51142"/>
    <cellStyle name="Porcentual 7 2 2 8" xfId="40263"/>
    <cellStyle name="Porcentual 7 2 2 8 2" xfId="51143"/>
    <cellStyle name="Porcentual 7 2 2 9" xfId="51099"/>
    <cellStyle name="Porcentual 7 2 3" xfId="40264"/>
    <cellStyle name="Porcentual 7 2 3 2" xfId="40265"/>
    <cellStyle name="Porcentual 7 2 3 2 2" xfId="40266"/>
    <cellStyle name="Porcentual 7 2 3 2 2 2" xfId="40267"/>
    <cellStyle name="Porcentual 7 2 3 2 2 2 2" xfId="40268"/>
    <cellStyle name="Porcentual 7 2 3 2 2 2 2 2" xfId="40269"/>
    <cellStyle name="Porcentual 7 2 3 2 2 2 2 2 2" xfId="51149"/>
    <cellStyle name="Porcentual 7 2 3 2 2 2 2 3" xfId="51148"/>
    <cellStyle name="Porcentual 7 2 3 2 2 2 3" xfId="40270"/>
    <cellStyle name="Porcentual 7 2 3 2 2 2 3 2" xfId="40271"/>
    <cellStyle name="Porcentual 7 2 3 2 2 2 3 2 2" xfId="51151"/>
    <cellStyle name="Porcentual 7 2 3 2 2 2 3 3" xfId="51150"/>
    <cellStyle name="Porcentual 7 2 3 2 2 2 4" xfId="40272"/>
    <cellStyle name="Porcentual 7 2 3 2 2 2 4 2" xfId="51152"/>
    <cellStyle name="Porcentual 7 2 3 2 2 2 5" xfId="51147"/>
    <cellStyle name="Porcentual 7 2 3 2 2 3" xfId="40273"/>
    <cellStyle name="Porcentual 7 2 3 2 2 3 2" xfId="51153"/>
    <cellStyle name="Porcentual 7 2 3 2 2 4" xfId="40274"/>
    <cellStyle name="Porcentual 7 2 3 2 2 4 2" xfId="40275"/>
    <cellStyle name="Porcentual 7 2 3 2 2 4 2 2" xfId="51155"/>
    <cellStyle name="Porcentual 7 2 3 2 2 4 3" xfId="51154"/>
    <cellStyle name="Porcentual 7 2 3 2 2 5" xfId="40276"/>
    <cellStyle name="Porcentual 7 2 3 2 2 5 2" xfId="51156"/>
    <cellStyle name="Porcentual 7 2 3 2 2 6" xfId="51146"/>
    <cellStyle name="Porcentual 7 2 3 2 3" xfId="40277"/>
    <cellStyle name="Porcentual 7 2 3 2 3 2" xfId="40278"/>
    <cellStyle name="Porcentual 7 2 3 2 3 2 2" xfId="40279"/>
    <cellStyle name="Porcentual 7 2 3 2 3 2 2 2" xfId="51159"/>
    <cellStyle name="Porcentual 7 2 3 2 3 2 3" xfId="51158"/>
    <cellStyle name="Porcentual 7 2 3 2 3 3" xfId="40280"/>
    <cellStyle name="Porcentual 7 2 3 2 3 3 2" xfId="40281"/>
    <cellStyle name="Porcentual 7 2 3 2 3 3 2 2" xfId="51161"/>
    <cellStyle name="Porcentual 7 2 3 2 3 3 3" xfId="51160"/>
    <cellStyle name="Porcentual 7 2 3 2 3 4" xfId="40282"/>
    <cellStyle name="Porcentual 7 2 3 2 3 4 2" xfId="51162"/>
    <cellStyle name="Porcentual 7 2 3 2 3 5" xfId="51157"/>
    <cellStyle name="Porcentual 7 2 3 2 4" xfId="40283"/>
    <cellStyle name="Porcentual 7 2 3 2 4 2" xfId="51163"/>
    <cellStyle name="Porcentual 7 2 3 2 5" xfId="40284"/>
    <cellStyle name="Porcentual 7 2 3 2 5 2" xfId="40285"/>
    <cellStyle name="Porcentual 7 2 3 2 5 2 2" xfId="51165"/>
    <cellStyle name="Porcentual 7 2 3 2 5 3" xfId="51164"/>
    <cellStyle name="Porcentual 7 2 3 2 6" xfId="40286"/>
    <cellStyle name="Porcentual 7 2 3 2 6 2" xfId="51166"/>
    <cellStyle name="Porcentual 7 2 3 2 7" xfId="51145"/>
    <cellStyle name="Porcentual 7 2 3 3" xfId="40287"/>
    <cellStyle name="Porcentual 7 2 3 3 2" xfId="40288"/>
    <cellStyle name="Porcentual 7 2 3 3 2 2" xfId="40289"/>
    <cellStyle name="Porcentual 7 2 3 3 2 2 2" xfId="40290"/>
    <cellStyle name="Porcentual 7 2 3 3 2 2 2 2" xfId="51170"/>
    <cellStyle name="Porcentual 7 2 3 3 2 2 3" xfId="51169"/>
    <cellStyle name="Porcentual 7 2 3 3 2 3" xfId="40291"/>
    <cellStyle name="Porcentual 7 2 3 3 2 3 2" xfId="40292"/>
    <cellStyle name="Porcentual 7 2 3 3 2 3 2 2" xfId="51172"/>
    <cellStyle name="Porcentual 7 2 3 3 2 3 3" xfId="51171"/>
    <cellStyle name="Porcentual 7 2 3 3 2 4" xfId="40293"/>
    <cellStyle name="Porcentual 7 2 3 3 2 4 2" xfId="51173"/>
    <cellStyle name="Porcentual 7 2 3 3 2 5" xfId="51168"/>
    <cellStyle name="Porcentual 7 2 3 3 3" xfId="40294"/>
    <cellStyle name="Porcentual 7 2 3 3 3 2" xfId="51174"/>
    <cellStyle name="Porcentual 7 2 3 3 4" xfId="40295"/>
    <cellStyle name="Porcentual 7 2 3 3 4 2" xfId="40296"/>
    <cellStyle name="Porcentual 7 2 3 3 4 2 2" xfId="51176"/>
    <cellStyle name="Porcentual 7 2 3 3 4 3" xfId="51175"/>
    <cellStyle name="Porcentual 7 2 3 3 5" xfId="40297"/>
    <cellStyle name="Porcentual 7 2 3 3 5 2" xfId="51177"/>
    <cellStyle name="Porcentual 7 2 3 3 6" xfId="51167"/>
    <cellStyle name="Porcentual 7 2 3 4" xfId="40298"/>
    <cellStyle name="Porcentual 7 2 3 4 2" xfId="40299"/>
    <cellStyle name="Porcentual 7 2 3 4 2 2" xfId="40300"/>
    <cellStyle name="Porcentual 7 2 3 4 2 2 2" xfId="51180"/>
    <cellStyle name="Porcentual 7 2 3 4 2 3" xfId="51179"/>
    <cellStyle name="Porcentual 7 2 3 4 3" xfId="40301"/>
    <cellStyle name="Porcentual 7 2 3 4 3 2" xfId="40302"/>
    <cellStyle name="Porcentual 7 2 3 4 3 2 2" xfId="51182"/>
    <cellStyle name="Porcentual 7 2 3 4 3 3" xfId="51181"/>
    <cellStyle name="Porcentual 7 2 3 4 4" xfId="40303"/>
    <cellStyle name="Porcentual 7 2 3 4 4 2" xfId="51183"/>
    <cellStyle name="Porcentual 7 2 3 4 5" xfId="51178"/>
    <cellStyle name="Porcentual 7 2 3 5" xfId="40304"/>
    <cellStyle name="Porcentual 7 2 3 5 2" xfId="51184"/>
    <cellStyle name="Porcentual 7 2 3 6" xfId="40305"/>
    <cellStyle name="Porcentual 7 2 3 6 2" xfId="40306"/>
    <cellStyle name="Porcentual 7 2 3 6 2 2" xfId="51186"/>
    <cellStyle name="Porcentual 7 2 3 6 3" xfId="51185"/>
    <cellStyle name="Porcentual 7 2 3 7" xfId="40307"/>
    <cellStyle name="Porcentual 7 2 3 7 2" xfId="51187"/>
    <cellStyle name="Porcentual 7 2 3 8" xfId="51144"/>
    <cellStyle name="Porcentual 7 2 4" xfId="40308"/>
    <cellStyle name="Porcentual 7 2 4 2" xfId="51188"/>
    <cellStyle name="Porcentual 7 2 5" xfId="40309"/>
    <cellStyle name="Porcentual 7 2 5 2" xfId="40310"/>
    <cellStyle name="Porcentual 7 2 5 2 2" xfId="40311"/>
    <cellStyle name="Porcentual 7 2 5 2 2 2" xfId="40312"/>
    <cellStyle name="Porcentual 7 2 5 2 2 2 2" xfId="40313"/>
    <cellStyle name="Porcentual 7 2 5 2 2 2 2 2" xfId="51193"/>
    <cellStyle name="Porcentual 7 2 5 2 2 2 3" xfId="51192"/>
    <cellStyle name="Porcentual 7 2 5 2 2 3" xfId="40314"/>
    <cellStyle name="Porcentual 7 2 5 2 2 3 2" xfId="40315"/>
    <cellStyle name="Porcentual 7 2 5 2 2 3 2 2" xfId="51195"/>
    <cellStyle name="Porcentual 7 2 5 2 2 3 3" xfId="51194"/>
    <cellStyle name="Porcentual 7 2 5 2 2 4" xfId="40316"/>
    <cellStyle name="Porcentual 7 2 5 2 2 4 2" xfId="51196"/>
    <cellStyle name="Porcentual 7 2 5 2 2 5" xfId="51191"/>
    <cellStyle name="Porcentual 7 2 5 2 3" xfId="40317"/>
    <cellStyle name="Porcentual 7 2 5 2 3 2" xfId="51197"/>
    <cellStyle name="Porcentual 7 2 5 2 4" xfId="40318"/>
    <cellStyle name="Porcentual 7 2 5 2 4 2" xfId="40319"/>
    <cellStyle name="Porcentual 7 2 5 2 4 2 2" xfId="51199"/>
    <cellStyle name="Porcentual 7 2 5 2 4 3" xfId="51198"/>
    <cellStyle name="Porcentual 7 2 5 2 5" xfId="40320"/>
    <cellStyle name="Porcentual 7 2 5 2 5 2" xfId="51200"/>
    <cellStyle name="Porcentual 7 2 5 2 6" xfId="51190"/>
    <cellStyle name="Porcentual 7 2 5 3" xfId="40321"/>
    <cellStyle name="Porcentual 7 2 5 3 2" xfId="40322"/>
    <cellStyle name="Porcentual 7 2 5 3 2 2" xfId="40323"/>
    <cellStyle name="Porcentual 7 2 5 3 2 2 2" xfId="51203"/>
    <cellStyle name="Porcentual 7 2 5 3 2 3" xfId="51202"/>
    <cellStyle name="Porcentual 7 2 5 3 3" xfId="40324"/>
    <cellStyle name="Porcentual 7 2 5 3 3 2" xfId="40325"/>
    <cellStyle name="Porcentual 7 2 5 3 3 2 2" xfId="51205"/>
    <cellStyle name="Porcentual 7 2 5 3 3 3" xfId="51204"/>
    <cellStyle name="Porcentual 7 2 5 3 4" xfId="40326"/>
    <cellStyle name="Porcentual 7 2 5 3 4 2" xfId="51206"/>
    <cellStyle name="Porcentual 7 2 5 3 5" xfId="51201"/>
    <cellStyle name="Porcentual 7 2 5 4" xfId="40327"/>
    <cellStyle name="Porcentual 7 2 5 4 2" xfId="51207"/>
    <cellStyle name="Porcentual 7 2 5 5" xfId="40328"/>
    <cellStyle name="Porcentual 7 2 5 5 2" xfId="40329"/>
    <cellStyle name="Porcentual 7 2 5 5 2 2" xfId="51209"/>
    <cellStyle name="Porcentual 7 2 5 5 3" xfId="51208"/>
    <cellStyle name="Porcentual 7 2 5 6" xfId="40330"/>
    <cellStyle name="Porcentual 7 2 5 6 2" xfId="51210"/>
    <cellStyle name="Porcentual 7 2 5 7" xfId="51189"/>
    <cellStyle name="Porcentual 7 2 6" xfId="40331"/>
    <cellStyle name="Porcentual 7 2 6 2" xfId="51211"/>
    <cellStyle name="Porcentual 7 2 7" xfId="40332"/>
    <cellStyle name="Porcentual 7 2 7 2" xfId="40333"/>
    <cellStyle name="Porcentual 7 2 7 2 2" xfId="40334"/>
    <cellStyle name="Porcentual 7 2 7 2 2 2" xfId="40335"/>
    <cellStyle name="Porcentual 7 2 7 2 2 2 2" xfId="51215"/>
    <cellStyle name="Porcentual 7 2 7 2 2 3" xfId="51214"/>
    <cellStyle name="Porcentual 7 2 7 2 3" xfId="40336"/>
    <cellStyle name="Porcentual 7 2 7 2 3 2" xfId="40337"/>
    <cellStyle name="Porcentual 7 2 7 2 3 2 2" xfId="51217"/>
    <cellStyle name="Porcentual 7 2 7 2 3 3" xfId="51216"/>
    <cellStyle name="Porcentual 7 2 7 2 4" xfId="40338"/>
    <cellStyle name="Porcentual 7 2 7 2 4 2" xfId="51218"/>
    <cellStyle name="Porcentual 7 2 7 2 5" xfId="51213"/>
    <cellStyle name="Porcentual 7 2 7 3" xfId="40339"/>
    <cellStyle name="Porcentual 7 2 7 3 2" xfId="51219"/>
    <cellStyle name="Porcentual 7 2 7 4" xfId="40340"/>
    <cellStyle name="Porcentual 7 2 7 4 2" xfId="40341"/>
    <cellStyle name="Porcentual 7 2 7 4 2 2" xfId="51221"/>
    <cellStyle name="Porcentual 7 2 7 4 3" xfId="51220"/>
    <cellStyle name="Porcentual 7 2 7 5" xfId="40342"/>
    <cellStyle name="Porcentual 7 2 7 5 2" xfId="51222"/>
    <cellStyle name="Porcentual 7 2 7 6" xfId="51212"/>
    <cellStyle name="Porcentual 7 2 8" xfId="40343"/>
    <cellStyle name="Porcentual 7 2 8 2" xfId="40344"/>
    <cellStyle name="Porcentual 7 2 8 2 2" xfId="40345"/>
    <cellStyle name="Porcentual 7 2 8 2 2 2" xfId="51225"/>
    <cellStyle name="Porcentual 7 2 8 2 3" xfId="51224"/>
    <cellStyle name="Porcentual 7 2 8 3" xfId="40346"/>
    <cellStyle name="Porcentual 7 2 8 3 2" xfId="40347"/>
    <cellStyle name="Porcentual 7 2 8 3 2 2" xfId="51227"/>
    <cellStyle name="Porcentual 7 2 8 3 3" xfId="51226"/>
    <cellStyle name="Porcentual 7 2 8 4" xfId="40348"/>
    <cellStyle name="Porcentual 7 2 8 4 2" xfId="51228"/>
    <cellStyle name="Porcentual 7 2 8 5" xfId="51223"/>
    <cellStyle name="Porcentual 7 2 9" xfId="40349"/>
    <cellStyle name="Porcentual 7 2 9 2" xfId="40350"/>
    <cellStyle name="Porcentual 7 2 9 2 2" xfId="40351"/>
    <cellStyle name="Porcentual 7 2 9 2 2 2" xfId="51231"/>
    <cellStyle name="Porcentual 7 2 9 2 3" xfId="51230"/>
    <cellStyle name="Porcentual 7 2 9 3" xfId="40352"/>
    <cellStyle name="Porcentual 7 2 9 3 2" xfId="51232"/>
    <cellStyle name="Porcentual 7 2 9 4" xfId="51229"/>
    <cellStyle name="Porcentual 7 3" xfId="40353"/>
    <cellStyle name="Porcentual 7 3 2" xfId="40354"/>
    <cellStyle name="Porcentual 7 3 2 2" xfId="40355"/>
    <cellStyle name="Porcentual 7 3 2 2 2" xfId="40356"/>
    <cellStyle name="Porcentual 7 3 2 2 2 2" xfId="40357"/>
    <cellStyle name="Porcentual 7 3 2 2 2 2 2" xfId="40358"/>
    <cellStyle name="Porcentual 7 3 2 2 2 2 2 2" xfId="51238"/>
    <cellStyle name="Porcentual 7 3 2 2 2 2 3" xfId="51237"/>
    <cellStyle name="Porcentual 7 3 2 2 2 3" xfId="40359"/>
    <cellStyle name="Porcentual 7 3 2 2 2 3 2" xfId="40360"/>
    <cellStyle name="Porcentual 7 3 2 2 2 3 2 2" xfId="51240"/>
    <cellStyle name="Porcentual 7 3 2 2 2 3 3" xfId="51239"/>
    <cellStyle name="Porcentual 7 3 2 2 2 4" xfId="40361"/>
    <cellStyle name="Porcentual 7 3 2 2 2 4 2" xfId="51241"/>
    <cellStyle name="Porcentual 7 3 2 2 2 5" xfId="51236"/>
    <cellStyle name="Porcentual 7 3 2 2 3" xfId="40362"/>
    <cellStyle name="Porcentual 7 3 2 2 3 2" xfId="51242"/>
    <cellStyle name="Porcentual 7 3 2 2 4" xfId="40363"/>
    <cellStyle name="Porcentual 7 3 2 2 4 2" xfId="40364"/>
    <cellStyle name="Porcentual 7 3 2 2 4 2 2" xfId="51244"/>
    <cellStyle name="Porcentual 7 3 2 2 4 3" xfId="51243"/>
    <cellStyle name="Porcentual 7 3 2 2 5" xfId="40365"/>
    <cellStyle name="Porcentual 7 3 2 2 5 2" xfId="51245"/>
    <cellStyle name="Porcentual 7 3 2 2 6" xfId="51235"/>
    <cellStyle name="Porcentual 7 3 2 3" xfId="40366"/>
    <cellStyle name="Porcentual 7 3 2 3 2" xfId="40367"/>
    <cellStyle name="Porcentual 7 3 2 3 2 2" xfId="40368"/>
    <cellStyle name="Porcentual 7 3 2 3 2 2 2" xfId="51248"/>
    <cellStyle name="Porcentual 7 3 2 3 2 3" xfId="51247"/>
    <cellStyle name="Porcentual 7 3 2 3 3" xfId="40369"/>
    <cellStyle name="Porcentual 7 3 2 3 3 2" xfId="40370"/>
    <cellStyle name="Porcentual 7 3 2 3 3 2 2" xfId="51250"/>
    <cellStyle name="Porcentual 7 3 2 3 3 3" xfId="51249"/>
    <cellStyle name="Porcentual 7 3 2 3 4" xfId="40371"/>
    <cellStyle name="Porcentual 7 3 2 3 4 2" xfId="51251"/>
    <cellStyle name="Porcentual 7 3 2 3 5" xfId="51246"/>
    <cellStyle name="Porcentual 7 3 2 4" xfId="40372"/>
    <cellStyle name="Porcentual 7 3 2 4 2" xfId="51252"/>
    <cellStyle name="Porcentual 7 3 2 5" xfId="40373"/>
    <cellStyle name="Porcentual 7 3 2 5 2" xfId="40374"/>
    <cellStyle name="Porcentual 7 3 2 5 2 2" xfId="51254"/>
    <cellStyle name="Porcentual 7 3 2 5 3" xfId="51253"/>
    <cellStyle name="Porcentual 7 3 2 6" xfId="40375"/>
    <cellStyle name="Porcentual 7 3 2 6 2" xfId="51255"/>
    <cellStyle name="Porcentual 7 3 2 7" xfId="51234"/>
    <cellStyle name="Porcentual 7 3 3" xfId="40376"/>
    <cellStyle name="Porcentual 7 3 3 2" xfId="40377"/>
    <cellStyle name="Porcentual 7 3 3 2 2" xfId="40378"/>
    <cellStyle name="Porcentual 7 3 3 2 2 2" xfId="40379"/>
    <cellStyle name="Porcentual 7 3 3 2 2 2 2" xfId="51259"/>
    <cellStyle name="Porcentual 7 3 3 2 2 3" xfId="51258"/>
    <cellStyle name="Porcentual 7 3 3 2 3" xfId="40380"/>
    <cellStyle name="Porcentual 7 3 3 2 3 2" xfId="40381"/>
    <cellStyle name="Porcentual 7 3 3 2 3 2 2" xfId="51261"/>
    <cellStyle name="Porcentual 7 3 3 2 3 3" xfId="51260"/>
    <cellStyle name="Porcentual 7 3 3 2 4" xfId="40382"/>
    <cellStyle name="Porcentual 7 3 3 2 4 2" xfId="51262"/>
    <cellStyle name="Porcentual 7 3 3 2 5" xfId="51257"/>
    <cellStyle name="Porcentual 7 3 3 3" xfId="40383"/>
    <cellStyle name="Porcentual 7 3 3 3 2" xfId="51263"/>
    <cellStyle name="Porcentual 7 3 3 4" xfId="40384"/>
    <cellStyle name="Porcentual 7 3 3 4 2" xfId="40385"/>
    <cellStyle name="Porcentual 7 3 3 4 2 2" xfId="51265"/>
    <cellStyle name="Porcentual 7 3 3 4 3" xfId="51264"/>
    <cellStyle name="Porcentual 7 3 3 5" xfId="40386"/>
    <cellStyle name="Porcentual 7 3 3 5 2" xfId="51266"/>
    <cellStyle name="Porcentual 7 3 3 6" xfId="51256"/>
    <cellStyle name="Porcentual 7 3 4" xfId="40387"/>
    <cellStyle name="Porcentual 7 3 4 2" xfId="40388"/>
    <cellStyle name="Porcentual 7 3 4 2 2" xfId="40389"/>
    <cellStyle name="Porcentual 7 3 4 2 2 2" xfId="51269"/>
    <cellStyle name="Porcentual 7 3 4 2 3" xfId="51268"/>
    <cellStyle name="Porcentual 7 3 4 3" xfId="40390"/>
    <cellStyle name="Porcentual 7 3 4 3 2" xfId="40391"/>
    <cellStyle name="Porcentual 7 3 4 3 2 2" xfId="51271"/>
    <cellStyle name="Porcentual 7 3 4 3 3" xfId="51270"/>
    <cellStyle name="Porcentual 7 3 4 4" xfId="40392"/>
    <cellStyle name="Porcentual 7 3 4 4 2" xfId="51272"/>
    <cellStyle name="Porcentual 7 3 4 5" xfId="51267"/>
    <cellStyle name="Porcentual 7 3 5" xfId="40393"/>
    <cellStyle name="Porcentual 7 3 5 2" xfId="51273"/>
    <cellStyle name="Porcentual 7 3 6" xfId="40394"/>
    <cellStyle name="Porcentual 7 3 6 2" xfId="40395"/>
    <cellStyle name="Porcentual 7 3 6 2 2" xfId="51275"/>
    <cellStyle name="Porcentual 7 3 6 3" xfId="51274"/>
    <cellStyle name="Porcentual 7 3 7" xfId="40396"/>
    <cellStyle name="Porcentual 7 3 7 2" xfId="51276"/>
    <cellStyle name="Porcentual 7 3 8" xfId="40397"/>
    <cellStyle name="Porcentual 7 3 8 2" xfId="51277"/>
    <cellStyle name="Porcentual 7 3 9" xfId="51233"/>
    <cellStyle name="Porcentual 7 4" xfId="40398"/>
    <cellStyle name="Porcentual 7 4 2" xfId="40399"/>
    <cellStyle name="Porcentual 7 4 2 2" xfId="40400"/>
    <cellStyle name="Porcentual 7 4 2 2 2" xfId="40401"/>
    <cellStyle name="Porcentual 7 4 2 2 2 2" xfId="40402"/>
    <cellStyle name="Porcentual 7 4 2 2 2 2 2" xfId="40403"/>
    <cellStyle name="Porcentual 7 4 2 2 2 2 2 2" xfId="51283"/>
    <cellStyle name="Porcentual 7 4 2 2 2 2 3" xfId="51282"/>
    <cellStyle name="Porcentual 7 4 2 2 2 3" xfId="40404"/>
    <cellStyle name="Porcentual 7 4 2 2 2 3 2" xfId="40405"/>
    <cellStyle name="Porcentual 7 4 2 2 2 3 2 2" xfId="51285"/>
    <cellStyle name="Porcentual 7 4 2 2 2 3 3" xfId="51284"/>
    <cellStyle name="Porcentual 7 4 2 2 2 4" xfId="40406"/>
    <cellStyle name="Porcentual 7 4 2 2 2 4 2" xfId="51286"/>
    <cellStyle name="Porcentual 7 4 2 2 2 5" xfId="51281"/>
    <cellStyle name="Porcentual 7 4 2 2 3" xfId="40407"/>
    <cellStyle name="Porcentual 7 4 2 2 3 2" xfId="51287"/>
    <cellStyle name="Porcentual 7 4 2 2 4" xfId="40408"/>
    <cellStyle name="Porcentual 7 4 2 2 4 2" xfId="40409"/>
    <cellStyle name="Porcentual 7 4 2 2 4 2 2" xfId="51289"/>
    <cellStyle name="Porcentual 7 4 2 2 4 3" xfId="51288"/>
    <cellStyle name="Porcentual 7 4 2 2 5" xfId="40410"/>
    <cellStyle name="Porcentual 7 4 2 2 5 2" xfId="51290"/>
    <cellStyle name="Porcentual 7 4 2 2 6" xfId="51280"/>
    <cellStyle name="Porcentual 7 4 2 3" xfId="40411"/>
    <cellStyle name="Porcentual 7 4 2 3 2" xfId="40412"/>
    <cellStyle name="Porcentual 7 4 2 3 2 2" xfId="40413"/>
    <cellStyle name="Porcentual 7 4 2 3 2 2 2" xfId="51293"/>
    <cellStyle name="Porcentual 7 4 2 3 2 3" xfId="51292"/>
    <cellStyle name="Porcentual 7 4 2 3 3" xfId="40414"/>
    <cellStyle name="Porcentual 7 4 2 3 3 2" xfId="40415"/>
    <cellStyle name="Porcentual 7 4 2 3 3 2 2" xfId="51295"/>
    <cellStyle name="Porcentual 7 4 2 3 3 3" xfId="51294"/>
    <cellStyle name="Porcentual 7 4 2 3 4" xfId="40416"/>
    <cellStyle name="Porcentual 7 4 2 3 4 2" xfId="51296"/>
    <cellStyle name="Porcentual 7 4 2 3 5" xfId="51291"/>
    <cellStyle name="Porcentual 7 4 2 4" xfId="40417"/>
    <cellStyle name="Porcentual 7 4 2 4 2" xfId="51297"/>
    <cellStyle name="Porcentual 7 4 2 5" xfId="40418"/>
    <cellStyle name="Porcentual 7 4 2 5 2" xfId="40419"/>
    <cellStyle name="Porcentual 7 4 2 5 2 2" xfId="51299"/>
    <cellStyle name="Porcentual 7 4 2 5 3" xfId="51298"/>
    <cellStyle name="Porcentual 7 4 2 6" xfId="40420"/>
    <cellStyle name="Porcentual 7 4 2 6 2" xfId="51300"/>
    <cellStyle name="Porcentual 7 4 2 7" xfId="51279"/>
    <cellStyle name="Porcentual 7 4 3" xfId="40421"/>
    <cellStyle name="Porcentual 7 4 3 2" xfId="40422"/>
    <cellStyle name="Porcentual 7 4 3 2 2" xfId="40423"/>
    <cellStyle name="Porcentual 7 4 3 2 2 2" xfId="40424"/>
    <cellStyle name="Porcentual 7 4 3 2 2 2 2" xfId="51304"/>
    <cellStyle name="Porcentual 7 4 3 2 2 3" xfId="51303"/>
    <cellStyle name="Porcentual 7 4 3 2 3" xfId="40425"/>
    <cellStyle name="Porcentual 7 4 3 2 3 2" xfId="40426"/>
    <cellStyle name="Porcentual 7 4 3 2 3 2 2" xfId="51306"/>
    <cellStyle name="Porcentual 7 4 3 2 3 3" xfId="51305"/>
    <cellStyle name="Porcentual 7 4 3 2 4" xfId="40427"/>
    <cellStyle name="Porcentual 7 4 3 2 4 2" xfId="51307"/>
    <cellStyle name="Porcentual 7 4 3 2 5" xfId="51302"/>
    <cellStyle name="Porcentual 7 4 3 3" xfId="40428"/>
    <cellStyle name="Porcentual 7 4 3 3 2" xfId="51308"/>
    <cellStyle name="Porcentual 7 4 3 4" xfId="40429"/>
    <cellStyle name="Porcentual 7 4 3 4 2" xfId="40430"/>
    <cellStyle name="Porcentual 7 4 3 4 2 2" xfId="51310"/>
    <cellStyle name="Porcentual 7 4 3 4 3" xfId="51309"/>
    <cellStyle name="Porcentual 7 4 3 5" xfId="40431"/>
    <cellStyle name="Porcentual 7 4 3 5 2" xfId="51311"/>
    <cellStyle name="Porcentual 7 4 3 6" xfId="51301"/>
    <cellStyle name="Porcentual 7 4 4" xfId="40432"/>
    <cellStyle name="Porcentual 7 4 4 2" xfId="40433"/>
    <cellStyle name="Porcentual 7 4 4 2 2" xfId="40434"/>
    <cellStyle name="Porcentual 7 4 4 2 2 2" xfId="51314"/>
    <cellStyle name="Porcentual 7 4 4 2 3" xfId="51313"/>
    <cellStyle name="Porcentual 7 4 4 3" xfId="40435"/>
    <cellStyle name="Porcentual 7 4 4 3 2" xfId="40436"/>
    <cellStyle name="Porcentual 7 4 4 3 2 2" xfId="51316"/>
    <cellStyle name="Porcentual 7 4 4 3 3" xfId="51315"/>
    <cellStyle name="Porcentual 7 4 4 4" xfId="40437"/>
    <cellStyle name="Porcentual 7 4 4 4 2" xfId="51317"/>
    <cellStyle name="Porcentual 7 4 4 5" xfId="51312"/>
    <cellStyle name="Porcentual 7 4 5" xfId="40438"/>
    <cellStyle name="Porcentual 7 4 5 2" xfId="51318"/>
    <cellStyle name="Porcentual 7 4 6" xfId="40439"/>
    <cellStyle name="Porcentual 7 4 6 2" xfId="40440"/>
    <cellStyle name="Porcentual 7 4 6 2 2" xfId="51320"/>
    <cellStyle name="Porcentual 7 4 6 3" xfId="51319"/>
    <cellStyle name="Porcentual 7 4 7" xfId="40441"/>
    <cellStyle name="Porcentual 7 4 7 2" xfId="51321"/>
    <cellStyle name="Porcentual 7 4 8" xfId="51278"/>
    <cellStyle name="Porcentual 7 5" xfId="40442"/>
    <cellStyle name="Porcentual 7 5 2" xfId="51322"/>
    <cellStyle name="Porcentual 7 6" xfId="40443"/>
    <cellStyle name="Porcentual 7 6 2" xfId="40444"/>
    <cellStyle name="Porcentual 7 6 2 2" xfId="40445"/>
    <cellStyle name="Porcentual 7 6 2 2 2" xfId="40446"/>
    <cellStyle name="Porcentual 7 6 2 2 2 2" xfId="40447"/>
    <cellStyle name="Porcentual 7 6 2 2 2 2 2" xfId="51327"/>
    <cellStyle name="Porcentual 7 6 2 2 2 3" xfId="51326"/>
    <cellStyle name="Porcentual 7 6 2 2 3" xfId="40448"/>
    <cellStyle name="Porcentual 7 6 2 2 3 2" xfId="40449"/>
    <cellStyle name="Porcentual 7 6 2 2 3 2 2" xfId="51329"/>
    <cellStyle name="Porcentual 7 6 2 2 3 3" xfId="51328"/>
    <cellStyle name="Porcentual 7 6 2 2 4" xfId="40450"/>
    <cellStyle name="Porcentual 7 6 2 2 4 2" xfId="51330"/>
    <cellStyle name="Porcentual 7 6 2 2 5" xfId="51325"/>
    <cellStyle name="Porcentual 7 6 2 3" xfId="40451"/>
    <cellStyle name="Porcentual 7 6 2 3 2" xfId="51331"/>
    <cellStyle name="Porcentual 7 6 2 4" xfId="40452"/>
    <cellStyle name="Porcentual 7 6 2 4 2" xfId="40453"/>
    <cellStyle name="Porcentual 7 6 2 4 2 2" xfId="51333"/>
    <cellStyle name="Porcentual 7 6 2 4 3" xfId="51332"/>
    <cellStyle name="Porcentual 7 6 2 5" xfId="40454"/>
    <cellStyle name="Porcentual 7 6 2 5 2" xfId="51334"/>
    <cellStyle name="Porcentual 7 6 2 6" xfId="51324"/>
    <cellStyle name="Porcentual 7 6 3" xfId="40455"/>
    <cellStyle name="Porcentual 7 6 3 2" xfId="40456"/>
    <cellStyle name="Porcentual 7 6 3 2 2" xfId="40457"/>
    <cellStyle name="Porcentual 7 6 3 2 2 2" xfId="51337"/>
    <cellStyle name="Porcentual 7 6 3 2 3" xfId="51336"/>
    <cellStyle name="Porcentual 7 6 3 3" xfId="40458"/>
    <cellStyle name="Porcentual 7 6 3 3 2" xfId="40459"/>
    <cellStyle name="Porcentual 7 6 3 3 2 2" xfId="51339"/>
    <cellStyle name="Porcentual 7 6 3 3 3" xfId="51338"/>
    <cellStyle name="Porcentual 7 6 3 4" xfId="40460"/>
    <cellStyle name="Porcentual 7 6 3 4 2" xfId="51340"/>
    <cellStyle name="Porcentual 7 6 3 5" xfId="51335"/>
    <cellStyle name="Porcentual 7 6 4" xfId="40461"/>
    <cellStyle name="Porcentual 7 6 4 2" xfId="51341"/>
    <cellStyle name="Porcentual 7 6 5" xfId="40462"/>
    <cellStyle name="Porcentual 7 6 5 2" xfId="40463"/>
    <cellStyle name="Porcentual 7 6 5 2 2" xfId="51343"/>
    <cellStyle name="Porcentual 7 6 5 3" xfId="51342"/>
    <cellStyle name="Porcentual 7 6 6" xfId="40464"/>
    <cellStyle name="Porcentual 7 6 6 2" xfId="51344"/>
    <cellStyle name="Porcentual 7 6 7" xfId="51323"/>
    <cellStyle name="Porcentual 7 7" xfId="40465"/>
    <cellStyle name="Porcentual 7 7 2" xfId="51345"/>
    <cellStyle name="Porcentual 7 8" xfId="40466"/>
    <cellStyle name="Porcentual 7 8 2" xfId="40467"/>
    <cellStyle name="Porcentual 7 8 2 2" xfId="40468"/>
    <cellStyle name="Porcentual 7 8 2 2 2" xfId="40469"/>
    <cellStyle name="Porcentual 7 8 2 2 2 2" xfId="51349"/>
    <cellStyle name="Porcentual 7 8 2 2 3" xfId="51348"/>
    <cellStyle name="Porcentual 7 8 2 3" xfId="40470"/>
    <cellStyle name="Porcentual 7 8 2 3 2" xfId="40471"/>
    <cellStyle name="Porcentual 7 8 2 3 2 2" xfId="51351"/>
    <cellStyle name="Porcentual 7 8 2 3 3" xfId="51350"/>
    <cellStyle name="Porcentual 7 8 2 4" xfId="40472"/>
    <cellStyle name="Porcentual 7 8 2 4 2" xfId="51352"/>
    <cellStyle name="Porcentual 7 8 2 5" xfId="51347"/>
    <cellStyle name="Porcentual 7 8 3" xfId="40473"/>
    <cellStyle name="Porcentual 7 8 3 2" xfId="51353"/>
    <cellStyle name="Porcentual 7 8 4" xfId="40474"/>
    <cellStyle name="Porcentual 7 8 4 2" xfId="40475"/>
    <cellStyle name="Porcentual 7 8 4 2 2" xfId="51355"/>
    <cellStyle name="Porcentual 7 8 4 3" xfId="51354"/>
    <cellStyle name="Porcentual 7 8 5" xfId="40476"/>
    <cellStyle name="Porcentual 7 8 5 2" xfId="51356"/>
    <cellStyle name="Porcentual 7 8 6" xfId="51346"/>
    <cellStyle name="Porcentual 7 9" xfId="40477"/>
    <cellStyle name="Porcentual 7 9 2" xfId="40478"/>
    <cellStyle name="Porcentual 7 9 2 2" xfId="40479"/>
    <cellStyle name="Porcentual 7 9 2 2 2" xfId="51359"/>
    <cellStyle name="Porcentual 7 9 2 3" xfId="51358"/>
    <cellStyle name="Porcentual 7 9 3" xfId="40480"/>
    <cellStyle name="Porcentual 7 9 3 2" xfId="40481"/>
    <cellStyle name="Porcentual 7 9 3 2 2" xfId="51361"/>
    <cellStyle name="Porcentual 7 9 3 3" xfId="51360"/>
    <cellStyle name="Porcentual 7 9 4" xfId="40482"/>
    <cellStyle name="Porcentual 7 9 4 2" xfId="51362"/>
    <cellStyle name="Porcentual 7 9 5" xfId="51357"/>
    <cellStyle name="Porcentual 8" xfId="40483"/>
    <cellStyle name="Porcentual 8 2" xfId="40484"/>
    <cellStyle name="Porcentual 8 2 2" xfId="51364"/>
    <cellStyle name="Porcentual 8 3" xfId="40485"/>
    <cellStyle name="Porcentual 8 3 2" xfId="40486"/>
    <cellStyle name="Porcentual 8 3 2 2" xfId="51366"/>
    <cellStyle name="Porcentual 8 3 3" xfId="40487"/>
    <cellStyle name="Porcentual 8 3 3 2" xfId="51367"/>
    <cellStyle name="Porcentual 8 3 4" xfId="51365"/>
    <cellStyle name="Porcentual 8 4" xfId="51363"/>
    <cellStyle name="Porcentual 9" xfId="40488"/>
    <cellStyle name="Porcentual 9 2" xfId="40489"/>
    <cellStyle name="Porcentual 9 2 2" xfId="51369"/>
    <cellStyle name="Porcentual 9 3" xfId="51368"/>
    <cellStyle name="PSChar" xfId="40490"/>
    <cellStyle name="PSChar 2" xfId="51370"/>
    <cellStyle name="Red_Outline" xfId="40491"/>
    <cellStyle name="Result" xfId="40492"/>
    <cellStyle name="Result 2" xfId="51371"/>
    <cellStyle name="row" xfId="40493"/>
    <cellStyle name="row 2" xfId="40494"/>
    <cellStyle name="row 2 2" xfId="51373"/>
    <cellStyle name="row 3" xfId="51372"/>
    <cellStyle name="Saída" xfId="40495"/>
    <cellStyle name="Saída 2" xfId="51374"/>
    <cellStyle name="Salida" xfId="10" builtinId="21" customBuiltin="1"/>
    <cellStyle name="Salida 10" xfId="51866"/>
    <cellStyle name="Salida 2" xfId="1180"/>
    <cellStyle name="Salida 2 2" xfId="40498"/>
    <cellStyle name="Salida 2 2 2" xfId="51376"/>
    <cellStyle name="Salida 2 3" xfId="51375"/>
    <cellStyle name="Salida 2 4" xfId="51962"/>
    <cellStyle name="Salida 2 5" xfId="40497"/>
    <cellStyle name="Salida 3" xfId="40499"/>
    <cellStyle name="Salida 3 2" xfId="40500"/>
    <cellStyle name="Salida 3 2 2" xfId="51378"/>
    <cellStyle name="Salida 3 3" xfId="51377"/>
    <cellStyle name="Salida 4" xfId="40501"/>
    <cellStyle name="Salida 4 2" xfId="40502"/>
    <cellStyle name="Salida 4 2 2" xfId="51380"/>
    <cellStyle name="Salida 4 3" xfId="51379"/>
    <cellStyle name="Salida 5" xfId="40503"/>
    <cellStyle name="Salida 5 2" xfId="40504"/>
    <cellStyle name="Salida 5 2 2" xfId="51382"/>
    <cellStyle name="Salida 5 3" xfId="51381"/>
    <cellStyle name="Salida 6" xfId="40505"/>
    <cellStyle name="Salida 6 2" xfId="51383"/>
    <cellStyle name="Salida 7" xfId="40506"/>
    <cellStyle name="Salida 7 2" xfId="51384"/>
    <cellStyle name="Salida 8" xfId="40507"/>
    <cellStyle name="Salida 8 2" xfId="40508"/>
    <cellStyle name="Salida 8 2 2" xfId="51386"/>
    <cellStyle name="Salida 8 3" xfId="40509"/>
    <cellStyle name="Salida 8 3 2" xfId="51387"/>
    <cellStyle name="Salida 8 4" xfId="40510"/>
    <cellStyle name="Salida 8 4 2" xfId="51388"/>
    <cellStyle name="Salida 8 5" xfId="40511"/>
    <cellStyle name="Salida 8 5 2" xfId="51389"/>
    <cellStyle name="Salida 8 6" xfId="51385"/>
    <cellStyle name="Salida 9" xfId="40496"/>
    <cellStyle name="SAPBEXaggData" xfId="1181"/>
    <cellStyle name="SAPBEXaggData 2" xfId="40513"/>
    <cellStyle name="SAPBEXaggData 2 2" xfId="40514"/>
    <cellStyle name="SAPBEXaggData 2 2 2" xfId="51392"/>
    <cellStyle name="SAPBEXaggData 2 3" xfId="51391"/>
    <cellStyle name="SAPBEXaggData 3" xfId="40515"/>
    <cellStyle name="SAPBEXaggData 3 2" xfId="51393"/>
    <cellStyle name="SAPBEXaggData 4" xfId="40516"/>
    <cellStyle name="SAPBEXaggData 4 2" xfId="51394"/>
    <cellStyle name="SAPBEXaggData 5" xfId="51390"/>
    <cellStyle name="SAPBEXaggData 6" xfId="51867"/>
    <cellStyle name="SAPBEXaggData 7" xfId="40512"/>
    <cellStyle name="SAPBEXaggData_Plan by Lob" xfId="40517"/>
    <cellStyle name="SAPBEXaggDataEmph" xfId="1182"/>
    <cellStyle name="SAPBEXaggDataEmph 2" xfId="40519"/>
    <cellStyle name="SAPBEXaggDataEmph 2 2" xfId="40520"/>
    <cellStyle name="SAPBEXaggDataEmph 2 2 2" xfId="51397"/>
    <cellStyle name="SAPBEXaggDataEmph 2 3" xfId="51396"/>
    <cellStyle name="SAPBEXaggDataEmph 3" xfId="40521"/>
    <cellStyle name="SAPBEXaggDataEmph 3 2" xfId="51398"/>
    <cellStyle name="SAPBEXaggDataEmph 4" xfId="40522"/>
    <cellStyle name="SAPBEXaggDataEmph 4 2" xfId="51399"/>
    <cellStyle name="SAPBEXaggDataEmph 5" xfId="51395"/>
    <cellStyle name="SAPBEXaggDataEmph 6" xfId="51868"/>
    <cellStyle name="SAPBEXaggDataEmph 7" xfId="40518"/>
    <cellStyle name="SAPBEXaggDataEmph_Plan by Lob" xfId="40523"/>
    <cellStyle name="SAPBEXaggItem" xfId="1183"/>
    <cellStyle name="SAPBEXaggItem 2" xfId="40525"/>
    <cellStyle name="SAPBEXaggItem 2 2" xfId="40526"/>
    <cellStyle name="SAPBEXaggItem 2 2 2" xfId="51402"/>
    <cellStyle name="SAPBEXaggItem 2 3" xfId="51401"/>
    <cellStyle name="SAPBEXaggItem 3" xfId="40527"/>
    <cellStyle name="SAPBEXaggItem 3 2" xfId="51403"/>
    <cellStyle name="SAPBEXaggItem 4" xfId="40528"/>
    <cellStyle name="SAPBEXaggItem 4 2" xfId="51404"/>
    <cellStyle name="SAPBEXaggItem 5" xfId="51400"/>
    <cellStyle name="SAPBEXaggItem 6" xfId="51869"/>
    <cellStyle name="SAPBEXaggItem 7" xfId="40524"/>
    <cellStyle name="SAPBEXaggItem_Plan by Lob" xfId="40529"/>
    <cellStyle name="SAPBEXaggItemX" xfId="1184"/>
    <cellStyle name="SAPBEXaggItemX 2" xfId="40531"/>
    <cellStyle name="SAPBEXaggItemX 2 2" xfId="51406"/>
    <cellStyle name="SAPBEXaggItemX 3" xfId="40532"/>
    <cellStyle name="SAPBEXaggItemX 3 2" xfId="51407"/>
    <cellStyle name="SAPBEXaggItemX 4" xfId="51405"/>
    <cellStyle name="SAPBEXaggItemX 5" xfId="51870"/>
    <cellStyle name="SAPBEXaggItemX 6" xfId="40530"/>
    <cellStyle name="SAPBEXchaText" xfId="18"/>
    <cellStyle name="SAPBEXchaText 10" xfId="40534"/>
    <cellStyle name="SAPBEXchaText 10 2" xfId="51409"/>
    <cellStyle name="SAPBEXchaText 11" xfId="51408"/>
    <cellStyle name="SAPBEXchaText 12" xfId="40533"/>
    <cellStyle name="SAPBEXchaText 2" xfId="40535"/>
    <cellStyle name="SAPBEXchaText 2 2" xfId="40536"/>
    <cellStyle name="SAPBEXchaText 2 2 2" xfId="51411"/>
    <cellStyle name="SAPBEXchaText 2 3" xfId="40537"/>
    <cellStyle name="SAPBEXchaText 2 3 2" xfId="51412"/>
    <cellStyle name="SAPBEXchaText 2 4" xfId="40538"/>
    <cellStyle name="SAPBEXchaText 2 4 2" xfId="51413"/>
    <cellStyle name="SAPBEXchaText 2 5" xfId="51410"/>
    <cellStyle name="SAPBEXchaText 2_Plan by Lob" xfId="40539"/>
    <cellStyle name="SAPBEXchaText 3" xfId="40540"/>
    <cellStyle name="SAPBEXchaText 3 2" xfId="51414"/>
    <cellStyle name="SAPBEXchaText 4" xfId="40541"/>
    <cellStyle name="SAPBEXchaText 4 2" xfId="51415"/>
    <cellStyle name="SAPBEXchaText 5" xfId="40542"/>
    <cellStyle name="SAPBEXchaText 5 2" xfId="51416"/>
    <cellStyle name="SAPBEXchaText 6" xfId="40543"/>
    <cellStyle name="SAPBEXchaText 6 2" xfId="51417"/>
    <cellStyle name="SAPBEXchaText 7" xfId="40544"/>
    <cellStyle name="SAPBEXchaText 7 2" xfId="51418"/>
    <cellStyle name="SAPBEXchaText 8" xfId="40545"/>
    <cellStyle name="SAPBEXchaText 8 2" xfId="51419"/>
    <cellStyle name="SAPBEXchaText 9" xfId="40546"/>
    <cellStyle name="SAPBEXchaText 9 2" xfId="51420"/>
    <cellStyle name="SAPBEXchaText_Plan by Lob" xfId="40547"/>
    <cellStyle name="SAPBEXexcBad7" xfId="1185"/>
    <cellStyle name="SAPBEXexcBad7 2" xfId="40549"/>
    <cellStyle name="SAPBEXexcBad7 2 2" xfId="40550"/>
    <cellStyle name="SAPBEXexcBad7 2 2 2" xfId="51423"/>
    <cellStyle name="SAPBEXexcBad7 2 3" xfId="51422"/>
    <cellStyle name="SAPBEXexcBad7 3" xfId="40551"/>
    <cellStyle name="SAPBEXexcBad7 3 2" xfId="51424"/>
    <cellStyle name="SAPBEXexcBad7 4" xfId="40552"/>
    <cellStyle name="SAPBEXexcBad7 4 2" xfId="51425"/>
    <cellStyle name="SAPBEXexcBad7 5" xfId="51421"/>
    <cellStyle name="SAPBEXexcBad7 6" xfId="51872"/>
    <cellStyle name="SAPBEXexcBad7 7" xfId="40548"/>
    <cellStyle name="SAPBEXexcBad7_Plan by Lob" xfId="40553"/>
    <cellStyle name="SAPBEXexcBad8" xfId="1186"/>
    <cellStyle name="SAPBEXexcBad8 2" xfId="40555"/>
    <cellStyle name="SAPBEXexcBad8 2 2" xfId="40556"/>
    <cellStyle name="SAPBEXexcBad8 2 2 2" xfId="51428"/>
    <cellStyle name="SAPBEXexcBad8 2 3" xfId="51427"/>
    <cellStyle name="SAPBEXexcBad8 3" xfId="40557"/>
    <cellStyle name="SAPBEXexcBad8 3 2" xfId="51429"/>
    <cellStyle name="SAPBEXexcBad8 4" xfId="40558"/>
    <cellStyle name="SAPBEXexcBad8 4 2" xfId="51430"/>
    <cellStyle name="SAPBEXexcBad8 5" xfId="51426"/>
    <cellStyle name="SAPBEXexcBad8 6" xfId="51873"/>
    <cellStyle name="SAPBEXexcBad8 7" xfId="40554"/>
    <cellStyle name="SAPBEXexcBad8_Plan by Lob" xfId="40559"/>
    <cellStyle name="SAPBEXexcBad9" xfId="1187"/>
    <cellStyle name="SAPBEXexcBad9 2" xfId="40561"/>
    <cellStyle name="SAPBEXexcBad9 2 2" xfId="40562"/>
    <cellStyle name="SAPBEXexcBad9 2 2 2" xfId="51433"/>
    <cellStyle name="SAPBEXexcBad9 2 3" xfId="51432"/>
    <cellStyle name="SAPBEXexcBad9 3" xfId="40563"/>
    <cellStyle name="SAPBEXexcBad9 3 2" xfId="51434"/>
    <cellStyle name="SAPBEXexcBad9 4" xfId="40564"/>
    <cellStyle name="SAPBEXexcBad9 4 2" xfId="51435"/>
    <cellStyle name="SAPBEXexcBad9 5" xfId="51431"/>
    <cellStyle name="SAPBEXexcBad9 6" xfId="51874"/>
    <cellStyle name="SAPBEXexcBad9 7" xfId="40560"/>
    <cellStyle name="SAPBEXexcBad9_Plan by Lob" xfId="40565"/>
    <cellStyle name="SAPBEXexcCritical4" xfId="1188"/>
    <cellStyle name="SAPBEXexcCritical4 2" xfId="40567"/>
    <cellStyle name="SAPBEXexcCritical4 2 2" xfId="40568"/>
    <cellStyle name="SAPBEXexcCritical4 2 2 2" xfId="51438"/>
    <cellStyle name="SAPBEXexcCritical4 2 3" xfId="51437"/>
    <cellStyle name="SAPBEXexcCritical4 3" xfId="40569"/>
    <cellStyle name="SAPBEXexcCritical4 3 2" xfId="51439"/>
    <cellStyle name="SAPBEXexcCritical4 4" xfId="40570"/>
    <cellStyle name="SAPBEXexcCritical4 4 2" xfId="51440"/>
    <cellStyle name="SAPBEXexcCritical4 5" xfId="51436"/>
    <cellStyle name="SAPBEXexcCritical4 6" xfId="51875"/>
    <cellStyle name="SAPBEXexcCritical4 7" xfId="40566"/>
    <cellStyle name="SAPBEXexcCritical4_Plan by Lob" xfId="40571"/>
    <cellStyle name="SAPBEXexcCritical5" xfId="1189"/>
    <cellStyle name="SAPBEXexcCritical5 2" xfId="40573"/>
    <cellStyle name="SAPBEXexcCritical5 2 2" xfId="40574"/>
    <cellStyle name="SAPBEXexcCritical5 2 2 2" xfId="51443"/>
    <cellStyle name="SAPBEXexcCritical5 2 3" xfId="51442"/>
    <cellStyle name="SAPBEXexcCritical5 3" xfId="40575"/>
    <cellStyle name="SAPBEXexcCritical5 3 2" xfId="51444"/>
    <cellStyle name="SAPBEXexcCritical5 4" xfId="40576"/>
    <cellStyle name="SAPBEXexcCritical5 4 2" xfId="51445"/>
    <cellStyle name="SAPBEXexcCritical5 5" xfId="51441"/>
    <cellStyle name="SAPBEXexcCritical5 6" xfId="51876"/>
    <cellStyle name="SAPBEXexcCritical5 7" xfId="40572"/>
    <cellStyle name="SAPBEXexcCritical5_Plan by Lob" xfId="40577"/>
    <cellStyle name="SAPBEXexcCritical6" xfId="1190"/>
    <cellStyle name="SAPBEXexcCritical6 2" xfId="40579"/>
    <cellStyle name="SAPBEXexcCritical6 2 2" xfId="40580"/>
    <cellStyle name="SAPBEXexcCritical6 2 2 2" xfId="51448"/>
    <cellStyle name="SAPBEXexcCritical6 2 3" xfId="51447"/>
    <cellStyle name="SAPBEXexcCritical6 3" xfId="40581"/>
    <cellStyle name="SAPBEXexcCritical6 3 2" xfId="51449"/>
    <cellStyle name="SAPBEXexcCritical6 4" xfId="40582"/>
    <cellStyle name="SAPBEXexcCritical6 4 2" xfId="51450"/>
    <cellStyle name="SAPBEXexcCritical6 5" xfId="51446"/>
    <cellStyle name="SAPBEXexcCritical6 6" xfId="51877"/>
    <cellStyle name="SAPBEXexcCritical6 7" xfId="40578"/>
    <cellStyle name="SAPBEXexcCritical6_Plan by Lob" xfId="40583"/>
    <cellStyle name="SAPBEXexcGood1" xfId="1191"/>
    <cellStyle name="SAPBEXexcGood1 2" xfId="40585"/>
    <cellStyle name="SAPBEXexcGood1 2 2" xfId="40586"/>
    <cellStyle name="SAPBEXexcGood1 2 2 2" xfId="51453"/>
    <cellStyle name="SAPBEXexcGood1 2 3" xfId="51452"/>
    <cellStyle name="SAPBEXexcGood1 3" xfId="40587"/>
    <cellStyle name="SAPBEXexcGood1 3 2" xfId="51454"/>
    <cellStyle name="SAPBEXexcGood1 4" xfId="40588"/>
    <cellStyle name="SAPBEXexcGood1 4 2" xfId="51455"/>
    <cellStyle name="SAPBEXexcGood1 5" xfId="51451"/>
    <cellStyle name="SAPBEXexcGood1 6" xfId="51878"/>
    <cellStyle name="SAPBEXexcGood1 7" xfId="40584"/>
    <cellStyle name="SAPBEXexcGood1_Plan by Lob" xfId="40589"/>
    <cellStyle name="SAPBEXexcGood2" xfId="1192"/>
    <cellStyle name="SAPBEXexcGood2 2" xfId="40591"/>
    <cellStyle name="SAPBEXexcGood2 2 2" xfId="40592"/>
    <cellStyle name="SAPBEXexcGood2 2 2 2" xfId="51458"/>
    <cellStyle name="SAPBEXexcGood2 2 3" xfId="51457"/>
    <cellStyle name="SAPBEXexcGood2 3" xfId="40593"/>
    <cellStyle name="SAPBEXexcGood2 3 2" xfId="51459"/>
    <cellStyle name="SAPBEXexcGood2 4" xfId="40594"/>
    <cellStyle name="SAPBEXexcGood2 4 2" xfId="51460"/>
    <cellStyle name="SAPBEXexcGood2 5" xfId="51456"/>
    <cellStyle name="SAPBEXexcGood2 6" xfId="51879"/>
    <cellStyle name="SAPBEXexcGood2 7" xfId="40590"/>
    <cellStyle name="SAPBEXexcGood2_Plan by Lob" xfId="40595"/>
    <cellStyle name="SAPBEXexcGood3" xfId="1193"/>
    <cellStyle name="SAPBEXexcGood3 2" xfId="40597"/>
    <cellStyle name="SAPBEXexcGood3 2 2" xfId="40598"/>
    <cellStyle name="SAPBEXexcGood3 2 2 2" xfId="51463"/>
    <cellStyle name="SAPBEXexcGood3 2 3" xfId="51462"/>
    <cellStyle name="SAPBEXexcGood3 3" xfId="40599"/>
    <cellStyle name="SAPBEXexcGood3 3 2" xfId="51464"/>
    <cellStyle name="SAPBEXexcGood3 4" xfId="40600"/>
    <cellStyle name="SAPBEXexcGood3 4 2" xfId="51465"/>
    <cellStyle name="SAPBEXexcGood3 5" xfId="51461"/>
    <cellStyle name="SAPBEXexcGood3 6" xfId="51880"/>
    <cellStyle name="SAPBEXexcGood3 7" xfId="40596"/>
    <cellStyle name="SAPBEXexcGood3_Plan by Lob" xfId="40601"/>
    <cellStyle name="SAPBEXfilterDrill" xfId="1194"/>
    <cellStyle name="SAPBEXfilterDrill 2" xfId="40603"/>
    <cellStyle name="SAPBEXfilterDrill 2 2" xfId="40604"/>
    <cellStyle name="SAPBEXfilterDrill 2 2 2" xfId="51468"/>
    <cellStyle name="SAPBEXfilterDrill 2 3" xfId="51467"/>
    <cellStyle name="SAPBEXfilterDrill 3" xfId="40605"/>
    <cellStyle name="SAPBEXfilterDrill 3 2" xfId="51469"/>
    <cellStyle name="SAPBEXfilterDrill 4" xfId="40606"/>
    <cellStyle name="SAPBEXfilterDrill 4 2" xfId="51470"/>
    <cellStyle name="SAPBEXfilterDrill 5" xfId="51466"/>
    <cellStyle name="SAPBEXfilterDrill 6" xfId="51881"/>
    <cellStyle name="SAPBEXfilterDrill 7" xfId="40602"/>
    <cellStyle name="SAPBEXfilterDrill_Plan by Lob" xfId="40607"/>
    <cellStyle name="SAPBEXfilterItem" xfId="1195"/>
    <cellStyle name="SAPBEXfilterItem 2" xfId="40609"/>
    <cellStyle name="SAPBEXfilterItem 2 2" xfId="40610"/>
    <cellStyle name="SAPBEXfilterItem 2 2 2" xfId="51473"/>
    <cellStyle name="SAPBEXfilterItem 2 3" xfId="51472"/>
    <cellStyle name="SAPBEXfilterItem 3" xfId="40611"/>
    <cellStyle name="SAPBEXfilterItem 3 2" xfId="51474"/>
    <cellStyle name="SAPBEXfilterItem 4" xfId="40612"/>
    <cellStyle name="SAPBEXfilterItem 4 2" xfId="51475"/>
    <cellStyle name="SAPBEXfilterItem 5" xfId="51471"/>
    <cellStyle name="SAPBEXfilterItem 6" xfId="51882"/>
    <cellStyle name="SAPBEXfilterItem 7" xfId="40608"/>
    <cellStyle name="SAPBEXfilterItem_Plan by Lob" xfId="40613"/>
    <cellStyle name="SAPBEXfilterText" xfId="1196"/>
    <cellStyle name="SAPBEXfilterText 2" xfId="40615"/>
    <cellStyle name="SAPBEXfilterText 2 2" xfId="51477"/>
    <cellStyle name="SAPBEXfilterText 3" xfId="40616"/>
    <cellStyle name="SAPBEXfilterText 3 2" xfId="51478"/>
    <cellStyle name="SAPBEXfilterText 4" xfId="40617"/>
    <cellStyle name="SAPBEXfilterText 4 2" xfId="51479"/>
    <cellStyle name="SAPBEXfilterText 5" xfId="51476"/>
    <cellStyle name="SAPBEXfilterText 6" xfId="51883"/>
    <cellStyle name="SAPBEXfilterText 7" xfId="40614"/>
    <cellStyle name="SAPBEXformats" xfId="1197"/>
    <cellStyle name="SAPBEXformats 2" xfId="40619"/>
    <cellStyle name="SAPBEXformats 2 2" xfId="40620"/>
    <cellStyle name="SAPBEXformats 2 2 2" xfId="51482"/>
    <cellStyle name="SAPBEXformats 2 3" xfId="51481"/>
    <cellStyle name="SAPBEXformats 3" xfId="40621"/>
    <cellStyle name="SAPBEXformats 3 2" xfId="51483"/>
    <cellStyle name="SAPBEXformats 4" xfId="40622"/>
    <cellStyle name="SAPBEXformats 4 2" xfId="51484"/>
    <cellStyle name="SAPBEXformats 5" xfId="51480"/>
    <cellStyle name="SAPBEXformats 6" xfId="51884"/>
    <cellStyle name="SAPBEXformats 7" xfId="40618"/>
    <cellStyle name="SAPBEXformats_Plan by Lob" xfId="40623"/>
    <cellStyle name="SAPBEXheaderItem" xfId="1198"/>
    <cellStyle name="SAPBEXheaderItem 2" xfId="40625"/>
    <cellStyle name="SAPBEXheaderItem 2 2" xfId="40626"/>
    <cellStyle name="SAPBEXheaderItem 2 2 2" xfId="51487"/>
    <cellStyle name="SAPBEXheaderItem 2 3" xfId="51486"/>
    <cellStyle name="SAPBEXheaderItem 3" xfId="40627"/>
    <cellStyle name="SAPBEXheaderItem 3 2" xfId="40628"/>
    <cellStyle name="SAPBEXheaderItem 3 2 2" xfId="51489"/>
    <cellStyle name="SAPBEXheaderItem 3 3" xfId="51488"/>
    <cellStyle name="SAPBEXheaderItem 4" xfId="40629"/>
    <cellStyle name="SAPBEXheaderItem 4 2" xfId="40630"/>
    <cellStyle name="SAPBEXheaderItem 4 2 2" xfId="51491"/>
    <cellStyle name="SAPBEXheaderItem 4 3" xfId="51490"/>
    <cellStyle name="SAPBEXheaderItem 5" xfId="51485"/>
    <cellStyle name="SAPBEXheaderItem 6" xfId="51885"/>
    <cellStyle name="SAPBEXheaderItem 7" xfId="40624"/>
    <cellStyle name="SAPBEXheaderItem_Plan by Lob" xfId="40631"/>
    <cellStyle name="SAPBEXheaderText" xfId="1199"/>
    <cellStyle name="SAPBEXheaderText 2" xfId="40633"/>
    <cellStyle name="SAPBEXheaderText 2 2" xfId="40634"/>
    <cellStyle name="SAPBEXheaderText 2 2 2" xfId="51494"/>
    <cellStyle name="SAPBEXheaderText 2 3" xfId="51493"/>
    <cellStyle name="SAPBEXheaderText 3" xfId="40635"/>
    <cellStyle name="SAPBEXheaderText 3 2" xfId="40636"/>
    <cellStyle name="SAPBEXheaderText 3 2 2" xfId="51496"/>
    <cellStyle name="SAPBEXheaderText 3 3" xfId="51495"/>
    <cellStyle name="SAPBEXheaderText 4" xfId="40637"/>
    <cellStyle name="SAPBEXheaderText 4 2" xfId="40638"/>
    <cellStyle name="SAPBEXheaderText 4 2 2" xfId="51498"/>
    <cellStyle name="SAPBEXheaderText 4 3" xfId="51497"/>
    <cellStyle name="SAPBEXheaderText 5" xfId="51492"/>
    <cellStyle name="SAPBEXheaderText 6" xfId="51886"/>
    <cellStyle name="SAPBEXheaderText 7" xfId="40632"/>
    <cellStyle name="SAPBEXheaderText_Plan by Lob" xfId="40639"/>
    <cellStyle name="SAPBEXHLevel0" xfId="1200"/>
    <cellStyle name="SAPBEXHLevel0 2" xfId="40641"/>
    <cellStyle name="SAPBEXHLevel0 2 2" xfId="40642"/>
    <cellStyle name="SAPBEXHLevel0 2 2 2" xfId="40643"/>
    <cellStyle name="SAPBEXHLevel0 2 2 2 2" xfId="51502"/>
    <cellStyle name="SAPBEXHLevel0 2 2 3" xfId="51501"/>
    <cellStyle name="SAPBEXHLevel0 2 3" xfId="40644"/>
    <cellStyle name="SAPBEXHLevel0 2 3 2" xfId="51503"/>
    <cellStyle name="SAPBEXHLevel0 2 4" xfId="40645"/>
    <cellStyle name="SAPBEXHLevel0 2 4 2" xfId="51504"/>
    <cellStyle name="SAPBEXHLevel0 2 5" xfId="51500"/>
    <cellStyle name="SAPBEXHLevel0 2_Plan by Lob" xfId="40646"/>
    <cellStyle name="SAPBEXHLevel0 3" xfId="40647"/>
    <cellStyle name="SAPBEXHLevel0 3 2" xfId="51505"/>
    <cellStyle name="SAPBEXHLevel0 4" xfId="40648"/>
    <cellStyle name="SAPBEXHLevel0 4 2" xfId="51506"/>
    <cellStyle name="SAPBEXHLevel0 5" xfId="51499"/>
    <cellStyle name="SAPBEXHLevel0 6" xfId="40640"/>
    <cellStyle name="SAPBEXHLevel0X" xfId="1201"/>
    <cellStyle name="SAPBEXHLevel0X 10" xfId="51849"/>
    <cellStyle name="SAPBEXHLevel0X 11" xfId="40649"/>
    <cellStyle name="SAPBEXHLevel0X 2" xfId="40650"/>
    <cellStyle name="SAPBEXHLevel0X 2 2" xfId="40651"/>
    <cellStyle name="SAPBEXHLevel0X 2 2 2" xfId="51509"/>
    <cellStyle name="SAPBEXHLevel0X 2 3" xfId="40652"/>
    <cellStyle name="SAPBEXHLevel0X 2 3 2" xfId="51510"/>
    <cellStyle name="SAPBEXHLevel0X 2 4" xfId="51508"/>
    <cellStyle name="SAPBEXHLevel0X 2_Plan by Lob" xfId="40653"/>
    <cellStyle name="SAPBEXHLevel0X 3" xfId="40654"/>
    <cellStyle name="SAPBEXHLevel0X 3 2" xfId="51511"/>
    <cellStyle name="SAPBEXHLevel0X 4" xfId="40655"/>
    <cellStyle name="SAPBEXHLevel0X 4 2" xfId="51512"/>
    <cellStyle name="SAPBEXHLevel0X 5" xfId="51507"/>
    <cellStyle name="SAPBEXHLevel0X 6" xfId="51887"/>
    <cellStyle name="SAPBEXHLevel0X 7" xfId="51906"/>
    <cellStyle name="SAPBEXHLevel0X 8" xfId="51853"/>
    <cellStyle name="SAPBEXHLevel0X 9" xfId="51905"/>
    <cellStyle name="SAPBEXHLevel1" xfId="1202"/>
    <cellStyle name="SAPBEXHLevel1 2" xfId="40657"/>
    <cellStyle name="SAPBEXHLevel1 2 2" xfId="40658"/>
    <cellStyle name="SAPBEXHLevel1 2 2 2" xfId="40659"/>
    <cellStyle name="SAPBEXHLevel1 2 2 2 2" xfId="51516"/>
    <cellStyle name="SAPBEXHLevel1 2 2 3" xfId="51515"/>
    <cellStyle name="SAPBEXHLevel1 2 3" xfId="40660"/>
    <cellStyle name="SAPBEXHLevel1 2 3 2" xfId="51517"/>
    <cellStyle name="SAPBEXHLevel1 2 4" xfId="40661"/>
    <cellStyle name="SAPBEXHLevel1 2 4 2" xfId="51518"/>
    <cellStyle name="SAPBEXHLevel1 2 5" xfId="51514"/>
    <cellStyle name="SAPBEXHLevel1 2_Plan by Lob" xfId="40662"/>
    <cellStyle name="SAPBEXHLevel1 3" xfId="40663"/>
    <cellStyle name="SAPBEXHLevel1 3 2" xfId="51519"/>
    <cellStyle name="SAPBEXHLevel1 4" xfId="40664"/>
    <cellStyle name="SAPBEXHLevel1 4 2" xfId="51520"/>
    <cellStyle name="SAPBEXHLevel1 5" xfId="51513"/>
    <cellStyle name="SAPBEXHLevel1 6" xfId="40656"/>
    <cellStyle name="SAPBEXHLevel1_GFER_YTD_2010" xfId="40665"/>
    <cellStyle name="SAPBEXHLevel1X" xfId="1203"/>
    <cellStyle name="SAPBEXHLevel1X 10" xfId="51859"/>
    <cellStyle name="SAPBEXHLevel1X 11" xfId="40666"/>
    <cellStyle name="SAPBEXHLevel1X 2" xfId="40667"/>
    <cellStyle name="SAPBEXHLevel1X 2 2" xfId="40668"/>
    <cellStyle name="SAPBEXHLevel1X 2 2 2" xfId="51523"/>
    <cellStyle name="SAPBEXHLevel1X 2 3" xfId="40669"/>
    <cellStyle name="SAPBEXHLevel1X 2 3 2" xfId="51524"/>
    <cellStyle name="SAPBEXHLevel1X 2 4" xfId="51522"/>
    <cellStyle name="SAPBEXHLevel1X 2_Plan by Lob" xfId="40670"/>
    <cellStyle name="SAPBEXHLevel1X 3" xfId="40671"/>
    <cellStyle name="SAPBEXHLevel1X 3 2" xfId="51525"/>
    <cellStyle name="SAPBEXHLevel1X 4" xfId="40672"/>
    <cellStyle name="SAPBEXHLevel1X 4 2" xfId="51526"/>
    <cellStyle name="SAPBEXHLevel1X 5" xfId="51521"/>
    <cellStyle name="SAPBEXHLevel1X 6" xfId="51889"/>
    <cellStyle name="SAPBEXHLevel1X 7" xfId="51908"/>
    <cellStyle name="SAPBEXHLevel1X 8" xfId="51856"/>
    <cellStyle name="SAPBEXHLevel1X 9" xfId="51907"/>
    <cellStyle name="SAPBEXHLevel2" xfId="1204"/>
    <cellStyle name="SAPBEXHLevel2 10" xfId="51865"/>
    <cellStyle name="SAPBEXHLevel2 11" xfId="40673"/>
    <cellStyle name="SAPBEXHLevel2 2" xfId="40674"/>
    <cellStyle name="SAPBEXHLevel2 2 2" xfId="40675"/>
    <cellStyle name="SAPBEXHLevel2 2 2 2" xfId="51529"/>
    <cellStyle name="SAPBEXHLevel2 2 3" xfId="40676"/>
    <cellStyle name="SAPBEXHLevel2 2 3 2" xfId="51530"/>
    <cellStyle name="SAPBEXHLevel2 2 4" xfId="51528"/>
    <cellStyle name="SAPBEXHLevel2 2_Plan by Lob" xfId="40677"/>
    <cellStyle name="SAPBEXHLevel2 3" xfId="40678"/>
    <cellStyle name="SAPBEXHLevel2 3 2" xfId="51531"/>
    <cellStyle name="SAPBEXHLevel2 4" xfId="40679"/>
    <cellStyle name="SAPBEXHLevel2 4 2" xfId="51532"/>
    <cellStyle name="SAPBEXHLevel2 5" xfId="51527"/>
    <cellStyle name="SAPBEXHLevel2 6" xfId="51890"/>
    <cellStyle name="SAPBEXHLevel2 7" xfId="51909"/>
    <cellStyle name="SAPBEXHLevel2 8" xfId="51864"/>
    <cellStyle name="SAPBEXHLevel2 9" xfId="51913"/>
    <cellStyle name="SAPBEXHLevel2_GFER_YTD_2010" xfId="40680"/>
    <cellStyle name="SAPBEXHLevel2X" xfId="1205"/>
    <cellStyle name="SAPBEXHLevel2X 10" xfId="51871"/>
    <cellStyle name="SAPBEXHLevel2X 11" xfId="40681"/>
    <cellStyle name="SAPBEXHLevel2X 2" xfId="40682"/>
    <cellStyle name="SAPBEXHLevel2X 2 2" xfId="40683"/>
    <cellStyle name="SAPBEXHLevel2X 2 2 2" xfId="51535"/>
    <cellStyle name="SAPBEXHLevel2X 2 3" xfId="40684"/>
    <cellStyle name="SAPBEXHLevel2X 2 3 2" xfId="51536"/>
    <cellStyle name="SAPBEXHLevel2X 2 4" xfId="51534"/>
    <cellStyle name="SAPBEXHLevel2X 2_Plan by Lob" xfId="40685"/>
    <cellStyle name="SAPBEXHLevel2X 3" xfId="40686"/>
    <cellStyle name="SAPBEXHLevel2X 3 2" xfId="51537"/>
    <cellStyle name="SAPBEXHLevel2X 4" xfId="40687"/>
    <cellStyle name="SAPBEXHLevel2X 4 2" xfId="51538"/>
    <cellStyle name="SAPBEXHLevel2X 5" xfId="51533"/>
    <cellStyle name="SAPBEXHLevel2X 6" xfId="51891"/>
    <cellStyle name="SAPBEXHLevel2X 7" xfId="51910"/>
    <cellStyle name="SAPBEXHLevel2X 8" xfId="51857"/>
    <cellStyle name="SAPBEXHLevel2X 9" xfId="51914"/>
    <cellStyle name="SAPBEXHLevel3" xfId="1206"/>
    <cellStyle name="SAPBEXHLevel3 10" xfId="51888"/>
    <cellStyle name="SAPBEXHLevel3 11" xfId="40688"/>
    <cellStyle name="SAPBEXHLevel3 2" xfId="40689"/>
    <cellStyle name="SAPBEXHLevel3 2 2" xfId="40690"/>
    <cellStyle name="SAPBEXHLevel3 2 2 2" xfId="51541"/>
    <cellStyle name="SAPBEXHLevel3 2 3" xfId="40691"/>
    <cellStyle name="SAPBEXHLevel3 2 3 2" xfId="51542"/>
    <cellStyle name="SAPBEXHLevel3 2 4" xfId="51540"/>
    <cellStyle name="SAPBEXHLevel3 2_Plan by Lob" xfId="40692"/>
    <cellStyle name="SAPBEXHLevel3 3" xfId="40693"/>
    <cellStyle name="SAPBEXHLevel3 3 2" xfId="51543"/>
    <cellStyle name="SAPBEXHLevel3 4" xfId="40694"/>
    <cellStyle name="SAPBEXHLevel3 4 2" xfId="51544"/>
    <cellStyle name="SAPBEXHLevel3 5" xfId="51539"/>
    <cellStyle name="SAPBEXHLevel3 6" xfId="51892"/>
    <cellStyle name="SAPBEXHLevel3 7" xfId="51911"/>
    <cellStyle name="SAPBEXHLevel3 8" xfId="51858"/>
    <cellStyle name="SAPBEXHLevel3 9" xfId="51915"/>
    <cellStyle name="SAPBEXHLevel3_A2Q10" xfId="40695"/>
    <cellStyle name="SAPBEXHLevel3X" xfId="1207"/>
    <cellStyle name="SAPBEXHLevel3X 10" xfId="51894"/>
    <cellStyle name="SAPBEXHLevel3X 11" xfId="40696"/>
    <cellStyle name="SAPBEXHLevel3X 2" xfId="40697"/>
    <cellStyle name="SAPBEXHLevel3X 2 2" xfId="40698"/>
    <cellStyle name="SAPBEXHLevel3X 2 2 2" xfId="51547"/>
    <cellStyle name="SAPBEXHLevel3X 2 3" xfId="40699"/>
    <cellStyle name="SAPBEXHLevel3X 2 3 2" xfId="51548"/>
    <cellStyle name="SAPBEXHLevel3X 2 4" xfId="51546"/>
    <cellStyle name="SAPBEXHLevel3X 2_Plan by Lob" xfId="40700"/>
    <cellStyle name="SAPBEXHLevel3X 3" xfId="40701"/>
    <cellStyle name="SAPBEXHLevel3X 3 2" xfId="51549"/>
    <cellStyle name="SAPBEXHLevel3X 4" xfId="40702"/>
    <cellStyle name="SAPBEXHLevel3X 4 2" xfId="51550"/>
    <cellStyle name="SAPBEXHLevel3X 5" xfId="51545"/>
    <cellStyle name="SAPBEXHLevel3X 6" xfId="51893"/>
    <cellStyle name="SAPBEXHLevel3X 7" xfId="51912"/>
    <cellStyle name="SAPBEXHLevel3X 8" xfId="51863"/>
    <cellStyle name="SAPBEXHLevel3X 9" xfId="51916"/>
    <cellStyle name="SAPBEXinputData" xfId="1208"/>
    <cellStyle name="SAPBEXinputData 2" xfId="40704"/>
    <cellStyle name="SAPBEXinputData 2 2" xfId="40705"/>
    <cellStyle name="SAPBEXinputData 2 2 2" xfId="40706"/>
    <cellStyle name="SAPBEXinputData 2 2 2 2" xfId="51554"/>
    <cellStyle name="SAPBEXinputData 2 2 3" xfId="51553"/>
    <cellStyle name="SAPBEXinputData 2 3" xfId="40707"/>
    <cellStyle name="SAPBEXinputData 2 3 2" xfId="51555"/>
    <cellStyle name="SAPBEXinputData 2 4" xfId="51552"/>
    <cellStyle name="SAPBEXinputData 2_Plan by Lob" xfId="40708"/>
    <cellStyle name="SAPBEXinputData 3" xfId="40709"/>
    <cellStyle name="SAPBEXinputData 3 2" xfId="51556"/>
    <cellStyle name="SAPBEXinputData 4" xfId="40710"/>
    <cellStyle name="SAPBEXinputData 4 2" xfId="51557"/>
    <cellStyle name="SAPBEXinputData 5" xfId="40711"/>
    <cellStyle name="SAPBEXinputData 5 2" xfId="51558"/>
    <cellStyle name="SAPBEXinputData 6" xfId="51551"/>
    <cellStyle name="SAPBEXinputData 7" xfId="40703"/>
    <cellStyle name="SAPBEXinputData_FYFC" xfId="40712"/>
    <cellStyle name="SAPBEXItemHeader" xfId="1209"/>
    <cellStyle name="SAPBEXItemHeader 2" xfId="51559"/>
    <cellStyle name="SAPBEXItemHeader 3" xfId="40713"/>
    <cellStyle name="SAPBEXresData" xfId="1210"/>
    <cellStyle name="SAPBEXresData 2" xfId="40715"/>
    <cellStyle name="SAPBEXresData 2 2" xfId="40716"/>
    <cellStyle name="SAPBEXresData 2 2 2" xfId="51562"/>
    <cellStyle name="SAPBEXresData 2 3" xfId="51561"/>
    <cellStyle name="SAPBEXresData 3" xfId="40717"/>
    <cellStyle name="SAPBEXresData 3 2" xfId="51563"/>
    <cellStyle name="SAPBEXresData 4" xfId="40718"/>
    <cellStyle name="SAPBEXresData 4 2" xfId="51564"/>
    <cellStyle name="SAPBEXresData 5" xfId="51560"/>
    <cellStyle name="SAPBEXresData 6" xfId="51896"/>
    <cellStyle name="SAPBEXresData 7" xfId="40714"/>
    <cellStyle name="SAPBEXresData_Plan by Lob" xfId="40719"/>
    <cellStyle name="SAPBEXresDataEmph" xfId="1211"/>
    <cellStyle name="SAPBEXresDataEmph 2" xfId="40721"/>
    <cellStyle name="SAPBEXresDataEmph 2 2" xfId="40722"/>
    <cellStyle name="SAPBEXresDataEmph 2 2 2" xfId="51567"/>
    <cellStyle name="SAPBEXresDataEmph 2 3" xfId="51566"/>
    <cellStyle name="SAPBEXresDataEmph 3" xfId="40723"/>
    <cellStyle name="SAPBEXresDataEmph 3 2" xfId="51568"/>
    <cellStyle name="SAPBEXresDataEmph 4" xfId="40724"/>
    <cellStyle name="SAPBEXresDataEmph 4 2" xfId="51569"/>
    <cellStyle name="SAPBEXresDataEmph 5" xfId="51565"/>
    <cellStyle name="SAPBEXresDataEmph 6" xfId="51897"/>
    <cellStyle name="SAPBEXresDataEmph 7" xfId="40720"/>
    <cellStyle name="SAPBEXresDataEmph_Plan by Lob" xfId="40725"/>
    <cellStyle name="SAPBEXresItem" xfId="1212"/>
    <cellStyle name="SAPBEXresItem 2" xfId="40727"/>
    <cellStyle name="SAPBEXresItem 2 2" xfId="40728"/>
    <cellStyle name="SAPBEXresItem 2 2 2" xfId="51572"/>
    <cellStyle name="SAPBEXresItem 2 3" xfId="51571"/>
    <cellStyle name="SAPBEXresItem 3" xfId="40729"/>
    <cellStyle name="SAPBEXresItem 3 2" xfId="51573"/>
    <cellStyle name="SAPBEXresItem 4" xfId="40730"/>
    <cellStyle name="SAPBEXresItem 4 2" xfId="51574"/>
    <cellStyle name="SAPBEXresItem 5" xfId="51570"/>
    <cellStyle name="SAPBEXresItem 6" xfId="51898"/>
    <cellStyle name="SAPBEXresItem 7" xfId="40726"/>
    <cellStyle name="SAPBEXresItem_Plan by Lob" xfId="40731"/>
    <cellStyle name="SAPBEXresItemX" xfId="1213"/>
    <cellStyle name="SAPBEXresItemX 2" xfId="40733"/>
    <cellStyle name="SAPBEXresItemX 2 2" xfId="51576"/>
    <cellStyle name="SAPBEXresItemX 3" xfId="40734"/>
    <cellStyle name="SAPBEXresItemX 3 2" xfId="51577"/>
    <cellStyle name="SAPBEXresItemX 4" xfId="51575"/>
    <cellStyle name="SAPBEXresItemX 5" xfId="51899"/>
    <cellStyle name="SAPBEXresItemX 6" xfId="40732"/>
    <cellStyle name="SAPBEXstdData" xfId="20"/>
    <cellStyle name="SAPBEXstdData 2" xfId="40736"/>
    <cellStyle name="SAPBEXstdData 2 2" xfId="40737"/>
    <cellStyle name="SAPBEXstdData 2 2 2" xfId="40738"/>
    <cellStyle name="SAPBEXstdData 2 2 2 2" xfId="51581"/>
    <cellStyle name="SAPBEXstdData 2 2 3" xfId="51580"/>
    <cellStyle name="SAPBEXstdData 2 3" xfId="40739"/>
    <cellStyle name="SAPBEXstdData 2 3 2" xfId="51582"/>
    <cellStyle name="SAPBEXstdData 2 4" xfId="51579"/>
    <cellStyle name="SAPBEXstdData 3" xfId="40740"/>
    <cellStyle name="SAPBEXstdData 3 2" xfId="51583"/>
    <cellStyle name="SAPBEXstdData 4" xfId="40741"/>
    <cellStyle name="SAPBEXstdData 4 2" xfId="51584"/>
    <cellStyle name="SAPBEXstdData 5" xfId="51578"/>
    <cellStyle name="SAPBEXstdData 6" xfId="40735"/>
    <cellStyle name="SAPBEXstdData_IAS" xfId="40742"/>
    <cellStyle name="SAPBEXstdDataEmph" xfId="1214"/>
    <cellStyle name="SAPBEXstdDataEmph 2" xfId="40744"/>
    <cellStyle name="SAPBEXstdDataEmph 2 2" xfId="40745"/>
    <cellStyle name="SAPBEXstdDataEmph 2 2 2" xfId="51587"/>
    <cellStyle name="SAPBEXstdDataEmph 2 3" xfId="51586"/>
    <cellStyle name="SAPBEXstdDataEmph 3" xfId="40746"/>
    <cellStyle name="SAPBEXstdDataEmph 3 2" xfId="51588"/>
    <cellStyle name="SAPBEXstdDataEmph 4" xfId="40747"/>
    <cellStyle name="SAPBEXstdDataEmph 4 2" xfId="51589"/>
    <cellStyle name="SAPBEXstdDataEmph 5" xfId="51585"/>
    <cellStyle name="SAPBEXstdDataEmph 6" xfId="51900"/>
    <cellStyle name="SAPBEXstdDataEmph 7" xfId="40743"/>
    <cellStyle name="SAPBEXstdDataEmph_Plan by Lob" xfId="40748"/>
    <cellStyle name="SAPBEXstdItem" xfId="19"/>
    <cellStyle name="SAPBEXstdItem 10" xfId="40750"/>
    <cellStyle name="SAPBEXstdItem 10 2" xfId="51591"/>
    <cellStyle name="SAPBEXstdItem 11" xfId="51590"/>
    <cellStyle name="SAPBEXstdItem 12" xfId="40749"/>
    <cellStyle name="SAPBEXstdItem 2" xfId="40751"/>
    <cellStyle name="SAPBEXstdItem 2 2" xfId="40752"/>
    <cellStyle name="SAPBEXstdItem 2 2 2" xfId="51593"/>
    <cellStyle name="SAPBEXstdItem 2 3" xfId="40753"/>
    <cellStyle name="SAPBEXstdItem 2 3 2" xfId="51594"/>
    <cellStyle name="SAPBEXstdItem 2 4" xfId="40754"/>
    <cellStyle name="SAPBEXstdItem 2 4 2" xfId="51595"/>
    <cellStyle name="SAPBEXstdItem 2 5" xfId="51592"/>
    <cellStyle name="SAPBEXstdItem 2_Plan by Lob" xfId="40755"/>
    <cellStyle name="SAPBEXstdItem 3" xfId="40756"/>
    <cellStyle name="SAPBEXstdItem 3 2" xfId="51596"/>
    <cellStyle name="SAPBEXstdItem 4" xfId="40757"/>
    <cellStyle name="SAPBEXstdItem 4 2" xfId="51597"/>
    <cellStyle name="SAPBEXstdItem 5" xfId="40758"/>
    <cellStyle name="SAPBEXstdItem 5 2" xfId="51598"/>
    <cellStyle name="SAPBEXstdItem 6" xfId="40759"/>
    <cellStyle name="SAPBEXstdItem 6 2" xfId="51599"/>
    <cellStyle name="SAPBEXstdItem 7" xfId="40760"/>
    <cellStyle name="SAPBEXstdItem 7 2" xfId="51600"/>
    <cellStyle name="SAPBEXstdItem 8" xfId="40761"/>
    <cellStyle name="SAPBEXstdItem 8 2" xfId="51601"/>
    <cellStyle name="SAPBEXstdItem 9" xfId="40762"/>
    <cellStyle name="SAPBEXstdItem 9 2" xfId="51602"/>
    <cellStyle name="SAPBEXstdItem_Plan by Lob" xfId="40763"/>
    <cellStyle name="SAPBEXstdItemX" xfId="1215"/>
    <cellStyle name="SAPBEXstdItemX 2" xfId="40765"/>
    <cellStyle name="SAPBEXstdItemX 2 2" xfId="40766"/>
    <cellStyle name="SAPBEXstdItemX 2 2 2" xfId="51605"/>
    <cellStyle name="SAPBEXstdItemX 2 3" xfId="51604"/>
    <cellStyle name="SAPBEXstdItemX 3" xfId="40767"/>
    <cellStyle name="SAPBEXstdItemX 3 2" xfId="51606"/>
    <cellStyle name="SAPBEXstdItemX 4" xfId="51603"/>
    <cellStyle name="SAPBEXstdItemX 5" xfId="51901"/>
    <cellStyle name="SAPBEXstdItemX 6" xfId="40764"/>
    <cellStyle name="SAPBEXtitle" xfId="1216"/>
    <cellStyle name="SAPBEXtitle 2" xfId="40769"/>
    <cellStyle name="SAPBEXtitle 2 2" xfId="40770"/>
    <cellStyle name="SAPBEXtitle 2 2 2" xfId="51609"/>
    <cellStyle name="SAPBEXtitle 2 3" xfId="51608"/>
    <cellStyle name="SAPBEXtitle 3" xfId="40771"/>
    <cellStyle name="SAPBEXtitle 3 2" xfId="51610"/>
    <cellStyle name="SAPBEXtitle 4" xfId="40772"/>
    <cellStyle name="SAPBEXtitle 4 2" xfId="51611"/>
    <cellStyle name="SAPBEXtitle 5" xfId="51607"/>
    <cellStyle name="SAPBEXtitle 6" xfId="51902"/>
    <cellStyle name="SAPBEXtitle 7" xfId="40768"/>
    <cellStyle name="SAPBEXtitle_Plan by Lob" xfId="40773"/>
    <cellStyle name="SAPBEXunassignedItem" xfId="1217"/>
    <cellStyle name="SAPBEXunassignedItem 2" xfId="51612"/>
    <cellStyle name="SAPBEXunassignedItem 3" xfId="40774"/>
    <cellStyle name="SAPBEXundefined" xfId="1218"/>
    <cellStyle name="SAPBEXundefined 2" xfId="40776"/>
    <cellStyle name="SAPBEXundefined 2 2" xfId="40777"/>
    <cellStyle name="SAPBEXundefined 2 2 2" xfId="51615"/>
    <cellStyle name="SAPBEXundefined 2 3" xfId="51614"/>
    <cellStyle name="SAPBEXundefined 3" xfId="40778"/>
    <cellStyle name="SAPBEXundefined 3 2" xfId="51616"/>
    <cellStyle name="SAPBEXundefined 4" xfId="40779"/>
    <cellStyle name="SAPBEXundefined 4 2" xfId="51617"/>
    <cellStyle name="SAPBEXundefined 5" xfId="51613"/>
    <cellStyle name="SAPBEXundefined 6" xfId="51903"/>
    <cellStyle name="SAPBEXundefined 7" xfId="40775"/>
    <cellStyle name="SAPBEXundefined_Plan by Lob" xfId="40780"/>
    <cellStyle name="Satisfaisant" xfId="40781"/>
    <cellStyle name="Satisfaisant 2" xfId="51618"/>
    <cellStyle name="Schlecht" xfId="40782"/>
    <cellStyle name="Schlecht 2" xfId="51619"/>
    <cellStyle name="Separador de milhares 2" xfId="40783"/>
    <cellStyle name="Separador de milhares 2 2" xfId="40784"/>
    <cellStyle name="Separador de milhares 2 2 2" xfId="51621"/>
    <cellStyle name="Separador de milhares 2 3" xfId="51620"/>
    <cellStyle name="Sheet Title" xfId="1219"/>
    <cellStyle name="Sheet Title 2" xfId="51622"/>
    <cellStyle name="Sheet Title 3" xfId="40785"/>
    <cellStyle name="Sortie" xfId="40786"/>
    <cellStyle name="Sortie 2" xfId="51623"/>
    <cellStyle name="Standard_2ND RUN_ RESULT_YTD_Q3_2005_FINAL_V01" xfId="40787"/>
    <cellStyle name="Style 1" xfId="40788"/>
    <cellStyle name="Style 1 2" xfId="40789"/>
    <cellStyle name="Style 1 2 2" xfId="40790"/>
    <cellStyle name="Style 1 2 2 2" xfId="51626"/>
    <cellStyle name="Style 1 2 3" xfId="51625"/>
    <cellStyle name="Style 1 3" xfId="51624"/>
    <cellStyle name="Suma" xfId="1220"/>
    <cellStyle name="Suma 2" xfId="40791"/>
    <cellStyle name="superscript" xfId="40792"/>
    <cellStyle name="superscript 2" xfId="51627"/>
    <cellStyle name="table_number" xfId="40793"/>
    <cellStyle name="Tekst objaśnienia" xfId="1221"/>
    <cellStyle name="Tekst objaśnienia 2" xfId="40794"/>
    <cellStyle name="Tekst ostrzeżenia" xfId="1222"/>
    <cellStyle name="Tekst ostrzeżenia 2" xfId="40795"/>
    <cellStyle name="text_body" xfId="40796"/>
    <cellStyle name="Texte explicatif" xfId="40797"/>
    <cellStyle name="Texte explicatif 2" xfId="51628"/>
    <cellStyle name="Texto de advertencia 2" xfId="1223"/>
    <cellStyle name="Texto de advertencia 2 2" xfId="40800"/>
    <cellStyle name="Texto de advertencia 2 2 2" xfId="51630"/>
    <cellStyle name="Texto de advertencia 2 3" xfId="40801"/>
    <cellStyle name="Texto de advertencia 2 3 2" xfId="51631"/>
    <cellStyle name="Texto de advertencia 2 4" xfId="51629"/>
    <cellStyle name="Texto de advertencia 2 5" xfId="40799"/>
    <cellStyle name="Texto de advertencia 2_Plan by Lob" xfId="40802"/>
    <cellStyle name="Texto de advertencia 3" xfId="1247"/>
    <cellStyle name="Texto de advertencia 3 2" xfId="40804"/>
    <cellStyle name="Texto de advertencia 3 2 2" xfId="51633"/>
    <cellStyle name="Texto de advertencia 3 3" xfId="51632"/>
    <cellStyle name="Texto de advertencia 3 4" xfId="52800"/>
    <cellStyle name="Texto de advertencia 3 5" xfId="40803"/>
    <cellStyle name="Texto de advertencia 4" xfId="40805"/>
    <cellStyle name="Texto de advertencia 4 2" xfId="40806"/>
    <cellStyle name="Texto de advertencia 4 2 2" xfId="51635"/>
    <cellStyle name="Texto de advertencia 4 3" xfId="51634"/>
    <cellStyle name="Texto de advertencia 5" xfId="40807"/>
    <cellStyle name="Texto de advertencia 5 2" xfId="40808"/>
    <cellStyle name="Texto de advertencia 5 2 2" xfId="51637"/>
    <cellStyle name="Texto de advertencia 5 3" xfId="51636"/>
    <cellStyle name="Texto de advertencia 6" xfId="40809"/>
    <cellStyle name="Texto de advertencia 6 2" xfId="51638"/>
    <cellStyle name="Texto de advertencia 7" xfId="40810"/>
    <cellStyle name="Texto de advertencia 7 2" xfId="51639"/>
    <cellStyle name="Texto de advertencia 8" xfId="40811"/>
    <cellStyle name="Texto de advertencia 8 2" xfId="40812"/>
    <cellStyle name="Texto de advertencia 8 2 2" xfId="51641"/>
    <cellStyle name="Texto de advertencia 8 3" xfId="40813"/>
    <cellStyle name="Texto de advertencia 8 3 2" xfId="51642"/>
    <cellStyle name="Texto de advertencia 8 4" xfId="40814"/>
    <cellStyle name="Texto de advertencia 8 4 2" xfId="51643"/>
    <cellStyle name="Texto de advertencia 8 5" xfId="40815"/>
    <cellStyle name="Texto de advertencia 8 5 2" xfId="51644"/>
    <cellStyle name="Texto de advertencia 8 6" xfId="51640"/>
    <cellStyle name="Texto de advertencia 9" xfId="40798"/>
    <cellStyle name="Texto de Aviso" xfId="40816"/>
    <cellStyle name="Texto de Aviso 2" xfId="51645"/>
    <cellStyle name="Texto explicativo 2" xfId="1248"/>
    <cellStyle name="Texto explicativo 2 2" xfId="40819"/>
    <cellStyle name="Texto explicativo 2 2 2" xfId="51647"/>
    <cellStyle name="Texto explicativo 2 3" xfId="51646"/>
    <cellStyle name="Texto explicativo 2 4" xfId="52801"/>
    <cellStyle name="Texto explicativo 2 5" xfId="40818"/>
    <cellStyle name="Texto explicativo 3" xfId="40820"/>
    <cellStyle name="Texto explicativo 3 2" xfId="40821"/>
    <cellStyle name="Texto explicativo 3 2 2" xfId="51649"/>
    <cellStyle name="Texto explicativo 3 3" xfId="51648"/>
    <cellStyle name="Texto explicativo 4" xfId="40822"/>
    <cellStyle name="Texto explicativo 4 2" xfId="40823"/>
    <cellStyle name="Texto explicativo 4 2 2" xfId="51651"/>
    <cellStyle name="Texto explicativo 4 3" xfId="51650"/>
    <cellStyle name="Texto explicativo 5" xfId="40824"/>
    <cellStyle name="Texto explicativo 5 2" xfId="40825"/>
    <cellStyle name="Texto explicativo 5 2 2" xfId="51653"/>
    <cellStyle name="Texto explicativo 5 3" xfId="51652"/>
    <cellStyle name="Texto explicativo 6" xfId="40826"/>
    <cellStyle name="Texto explicativo 6 2" xfId="51654"/>
    <cellStyle name="Texto explicativo 7" xfId="40827"/>
    <cellStyle name="Texto explicativo 7 2" xfId="51655"/>
    <cellStyle name="Texto explicativo 8" xfId="40828"/>
    <cellStyle name="Texto explicativo 8 2" xfId="40829"/>
    <cellStyle name="Texto explicativo 8 2 2" xfId="51657"/>
    <cellStyle name="Texto explicativo 8 3" xfId="40830"/>
    <cellStyle name="Texto explicativo 8 3 2" xfId="51658"/>
    <cellStyle name="Texto explicativo 8 4" xfId="40831"/>
    <cellStyle name="Texto explicativo 8 4 2" xfId="51659"/>
    <cellStyle name="Texto explicativo 8 5" xfId="40832"/>
    <cellStyle name="Texto explicativo 8 5 2" xfId="51660"/>
    <cellStyle name="Texto explicativo 8 6" xfId="51656"/>
    <cellStyle name="Texto explicativo 9" xfId="40817"/>
    <cellStyle name="Title" xfId="40833"/>
    <cellStyle name="Title 2" xfId="40834"/>
    <cellStyle name="Title 2 2" xfId="51662"/>
    <cellStyle name="Title 3" xfId="40835"/>
    <cellStyle name="Title 3 2" xfId="51663"/>
    <cellStyle name="Title 4" xfId="40836"/>
    <cellStyle name="Title 4 2" xfId="51664"/>
    <cellStyle name="Title 5" xfId="40837"/>
    <cellStyle name="Title 5 2" xfId="51665"/>
    <cellStyle name="Title 6" xfId="40838"/>
    <cellStyle name="Title 6 2" xfId="51666"/>
    <cellStyle name="Title 7" xfId="40839"/>
    <cellStyle name="Title 7 2" xfId="51667"/>
    <cellStyle name="Title 8" xfId="51661"/>
    <cellStyle name="Title_CC by Function (InsightZ)" xfId="40840"/>
    <cellStyle name="Titre" xfId="40841"/>
    <cellStyle name="Titre 2" xfId="51668"/>
    <cellStyle name="Titre 1" xfId="40842"/>
    <cellStyle name="Titre 1 2" xfId="51669"/>
    <cellStyle name="Titre 2" xfId="40843"/>
    <cellStyle name="Titre 2 2" xfId="51670"/>
    <cellStyle name="Titre 3" xfId="40844"/>
    <cellStyle name="Titre 3 2" xfId="51671"/>
    <cellStyle name="Titre 4" xfId="40845"/>
    <cellStyle name="Titre 4 2" xfId="51672"/>
    <cellStyle name="Título 1" xfId="6" builtinId="16" customBuiltin="1"/>
    <cellStyle name="Título 1 10" xfId="51860"/>
    <cellStyle name="Título 1 2" xfId="1224"/>
    <cellStyle name="Título 1 2 2" xfId="40849"/>
    <cellStyle name="Título 1 2 2 2" xfId="51674"/>
    <cellStyle name="Título 1 2 3" xfId="51673"/>
    <cellStyle name="Título 1 2 4" xfId="51958"/>
    <cellStyle name="Título 1 2 5" xfId="40848"/>
    <cellStyle name="Título 1 3" xfId="40850"/>
    <cellStyle name="Título 1 3 2" xfId="40851"/>
    <cellStyle name="Título 1 3 2 2" xfId="51676"/>
    <cellStyle name="Título 1 3 3" xfId="51675"/>
    <cellStyle name="Título 1 4" xfId="40852"/>
    <cellStyle name="Título 1 4 2" xfId="40853"/>
    <cellStyle name="Título 1 4 2 2" xfId="51678"/>
    <cellStyle name="Título 1 4 3" xfId="51677"/>
    <cellStyle name="Título 1 5" xfId="40854"/>
    <cellStyle name="Título 1 5 2" xfId="40855"/>
    <cellStyle name="Título 1 5 2 2" xfId="51680"/>
    <cellStyle name="Título 1 5 3" xfId="51679"/>
    <cellStyle name="Título 1 6" xfId="40856"/>
    <cellStyle name="Título 1 6 2" xfId="51681"/>
    <cellStyle name="Título 1 7" xfId="40857"/>
    <cellStyle name="Título 1 7 2" xfId="51682"/>
    <cellStyle name="Título 1 8" xfId="40858"/>
    <cellStyle name="Título 1 8 2" xfId="40859"/>
    <cellStyle name="Título 1 8 2 2" xfId="51684"/>
    <cellStyle name="Título 1 8 3" xfId="40860"/>
    <cellStyle name="Título 1 8 3 2" xfId="51685"/>
    <cellStyle name="Título 1 8 4" xfId="40861"/>
    <cellStyle name="Título 1 8 4 2" xfId="51686"/>
    <cellStyle name="Título 1 8 5" xfId="40862"/>
    <cellStyle name="Título 1 8 5 2" xfId="51687"/>
    <cellStyle name="Título 1 8 6" xfId="51683"/>
    <cellStyle name="Título 1 9" xfId="40847"/>
    <cellStyle name="Título 10" xfId="40863"/>
    <cellStyle name="Título 10 2" xfId="40864"/>
    <cellStyle name="Título 10 2 2" xfId="51689"/>
    <cellStyle name="Título 10 3" xfId="40865"/>
    <cellStyle name="Título 10 3 2" xfId="51690"/>
    <cellStyle name="Título 10 4" xfId="40866"/>
    <cellStyle name="Título 10 4 2" xfId="51691"/>
    <cellStyle name="Título 10 5" xfId="40867"/>
    <cellStyle name="Título 10 5 2" xfId="51692"/>
    <cellStyle name="Título 10 6" xfId="51688"/>
    <cellStyle name="Título 11" xfId="40846"/>
    <cellStyle name="Título 2" xfId="7" builtinId="17" customBuiltin="1"/>
    <cellStyle name="Título 2 10" xfId="51861"/>
    <cellStyle name="Título 2 2" xfId="1225"/>
    <cellStyle name="Título 2 2 2" xfId="40870"/>
    <cellStyle name="Título 2 2 2 2" xfId="51694"/>
    <cellStyle name="Título 2 2 3" xfId="51693"/>
    <cellStyle name="Título 2 2 4" xfId="51959"/>
    <cellStyle name="Título 2 2 5" xfId="40869"/>
    <cellStyle name="Título 2 3" xfId="40871"/>
    <cellStyle name="Título 2 3 2" xfId="40872"/>
    <cellStyle name="Título 2 3 2 2" xfId="51696"/>
    <cellStyle name="Título 2 3 3" xfId="51695"/>
    <cellStyle name="Título 2 4" xfId="40873"/>
    <cellStyle name="Título 2 4 2" xfId="40874"/>
    <cellStyle name="Título 2 4 2 2" xfId="51698"/>
    <cellStyle name="Título 2 4 3" xfId="51697"/>
    <cellStyle name="Título 2 5" xfId="40875"/>
    <cellStyle name="Título 2 5 2" xfId="40876"/>
    <cellStyle name="Título 2 5 2 2" xfId="51700"/>
    <cellStyle name="Título 2 5 3" xfId="51699"/>
    <cellStyle name="Título 2 6" xfId="40877"/>
    <cellStyle name="Título 2 6 2" xfId="51701"/>
    <cellStyle name="Título 2 7" xfId="40878"/>
    <cellStyle name="Título 2 7 2" xfId="51702"/>
    <cellStyle name="Título 2 8" xfId="40879"/>
    <cellStyle name="Título 2 8 2" xfId="40880"/>
    <cellStyle name="Título 2 8 2 2" xfId="51704"/>
    <cellStyle name="Título 2 8 3" xfId="40881"/>
    <cellStyle name="Título 2 8 3 2" xfId="51705"/>
    <cellStyle name="Título 2 8 4" xfId="40882"/>
    <cellStyle name="Título 2 8 4 2" xfId="51706"/>
    <cellStyle name="Título 2 8 5" xfId="40883"/>
    <cellStyle name="Título 2 8 5 2" xfId="51707"/>
    <cellStyle name="Título 2 8 6" xfId="51703"/>
    <cellStyle name="Título 2 9" xfId="40868"/>
    <cellStyle name="Título 3" xfId="8" builtinId="18" customBuiltin="1"/>
    <cellStyle name="Título 3 10" xfId="51862"/>
    <cellStyle name="Título 3 2" xfId="1226"/>
    <cellStyle name="Título 3 2 2" xfId="40886"/>
    <cellStyle name="Título 3 2 2 2" xfId="51709"/>
    <cellStyle name="Título 3 2 3" xfId="51708"/>
    <cellStyle name="Título 3 2 4" xfId="51960"/>
    <cellStyle name="Título 3 2 5" xfId="40885"/>
    <cellStyle name="Título 3 3" xfId="40887"/>
    <cellStyle name="Título 3 3 2" xfId="40888"/>
    <cellStyle name="Título 3 3 2 2" xfId="51711"/>
    <cellStyle name="Título 3 3 3" xfId="51710"/>
    <cellStyle name="Título 3 4" xfId="40889"/>
    <cellStyle name="Título 3 4 2" xfId="40890"/>
    <cellStyle name="Título 3 4 2 2" xfId="51713"/>
    <cellStyle name="Título 3 4 3" xfId="51712"/>
    <cellStyle name="Título 3 5" xfId="40891"/>
    <cellStyle name="Título 3 5 2" xfId="40892"/>
    <cellStyle name="Título 3 5 2 2" xfId="51715"/>
    <cellStyle name="Título 3 5 3" xfId="51714"/>
    <cellStyle name="Título 3 6" xfId="40893"/>
    <cellStyle name="Título 3 6 2" xfId="51716"/>
    <cellStyle name="Título 3 7" xfId="40894"/>
    <cellStyle name="Título 3 7 2" xfId="51717"/>
    <cellStyle name="Título 3 8" xfId="40895"/>
    <cellStyle name="Título 3 8 2" xfId="40896"/>
    <cellStyle name="Título 3 8 2 2" xfId="51719"/>
    <cellStyle name="Título 3 8 3" xfId="40897"/>
    <cellStyle name="Título 3 8 3 2" xfId="51720"/>
    <cellStyle name="Título 3 8 4" xfId="40898"/>
    <cellStyle name="Título 3 8 4 2" xfId="51721"/>
    <cellStyle name="Título 3 8 5" xfId="40899"/>
    <cellStyle name="Título 3 8 5 2" xfId="51722"/>
    <cellStyle name="Título 3 8 6" xfId="51718"/>
    <cellStyle name="Título 3 9" xfId="40884"/>
    <cellStyle name="Título 4" xfId="1249"/>
    <cellStyle name="Título 4 2" xfId="40901"/>
    <cellStyle name="Título 4 2 2" xfId="40902"/>
    <cellStyle name="Título 4 2 2 2" xfId="51725"/>
    <cellStyle name="Título 4 2 3" xfId="51724"/>
    <cellStyle name="Título 4 3" xfId="40903"/>
    <cellStyle name="Título 4 3 2" xfId="51726"/>
    <cellStyle name="Título 4 4" xfId="51723"/>
    <cellStyle name="Título 4 5" xfId="52802"/>
    <cellStyle name="Título 4 6" xfId="40900"/>
    <cellStyle name="Título 5" xfId="40904"/>
    <cellStyle name="Título 5 2" xfId="40905"/>
    <cellStyle name="Título 5 2 2" xfId="51728"/>
    <cellStyle name="Título 5 3" xfId="51727"/>
    <cellStyle name="Título 6" xfId="40906"/>
    <cellStyle name="Título 6 2" xfId="40907"/>
    <cellStyle name="Título 6 2 2" xfId="51730"/>
    <cellStyle name="Título 6 3" xfId="51729"/>
    <cellStyle name="Título 7" xfId="40908"/>
    <cellStyle name="Título 7 2" xfId="40909"/>
    <cellStyle name="Título 7 2 2" xfId="51732"/>
    <cellStyle name="Título 7 3" xfId="51731"/>
    <cellStyle name="Título 8" xfId="40910"/>
    <cellStyle name="Título 8 2" xfId="51733"/>
    <cellStyle name="Título 9" xfId="40911"/>
    <cellStyle name="Título 9 2" xfId="51734"/>
    <cellStyle name="Total" xfId="14" builtinId="25" customBuiltin="1"/>
    <cellStyle name="Total 10" xfId="40913"/>
    <cellStyle name="Total 10 2" xfId="51735"/>
    <cellStyle name="Total 11" xfId="40912"/>
    <cellStyle name="Total 2" xfId="1227"/>
    <cellStyle name="Total 2 10" xfId="48384"/>
    <cellStyle name="Total 2 11" xfId="40914"/>
    <cellStyle name="Total 2 2" xfId="40915"/>
    <cellStyle name="Total 2 2 2" xfId="40916"/>
    <cellStyle name="Total 2 2 2 2" xfId="51738"/>
    <cellStyle name="Total 2 2 3" xfId="40917"/>
    <cellStyle name="Total 2 2 3 2" xfId="51739"/>
    <cellStyle name="Total 2 2 4" xfId="51737"/>
    <cellStyle name="Total 2 2_Plan by Lob" xfId="40918"/>
    <cellStyle name="Total 2 3" xfId="40919"/>
    <cellStyle name="Total 2 3 2" xfId="40920"/>
    <cellStyle name="Total 2 3 2 2" xfId="51741"/>
    <cellStyle name="Total 2 3 3" xfId="51740"/>
    <cellStyle name="Total 2 4" xfId="40921"/>
    <cellStyle name="Total 2 4 2" xfId="40922"/>
    <cellStyle name="Total 2 4 2 2" xfId="51743"/>
    <cellStyle name="Total 2 4 3" xfId="40923"/>
    <cellStyle name="Total 2 4 3 2" xfId="51744"/>
    <cellStyle name="Total 2 4 4" xfId="40924"/>
    <cellStyle name="Total 2 4 4 2" xfId="51745"/>
    <cellStyle name="Total 2 4 5" xfId="40925"/>
    <cellStyle name="Total 2 4 5 2" xfId="51746"/>
    <cellStyle name="Total 2 4 6" xfId="40926"/>
    <cellStyle name="Total 2 4 6 2" xfId="51747"/>
    <cellStyle name="Total 2 4 7" xfId="51742"/>
    <cellStyle name="Total 2 5" xfId="40927"/>
    <cellStyle name="Total 2 5 2" xfId="51748"/>
    <cellStyle name="Total 2 6" xfId="51736"/>
    <cellStyle name="Total 2 7" xfId="51812"/>
    <cellStyle name="Total 2 8" xfId="48376"/>
    <cellStyle name="Total 2 9" xfId="51813"/>
    <cellStyle name="Total 2_Ajuste Inv-CM (2)" xfId="40928"/>
    <cellStyle name="Total 3" xfId="40929"/>
    <cellStyle name="Total 3 2" xfId="40930"/>
    <cellStyle name="Total 3 2 2" xfId="40931"/>
    <cellStyle name="Total 3 2 2 2" xfId="51751"/>
    <cellStyle name="Total 3 2 3" xfId="51750"/>
    <cellStyle name="Total 3 3" xfId="40932"/>
    <cellStyle name="Total 3 3 2" xfId="51752"/>
    <cellStyle name="Total 3 4" xfId="40933"/>
    <cellStyle name="Total 3 4 2" xfId="51753"/>
    <cellStyle name="Total 3 5" xfId="51749"/>
    <cellStyle name="Total 3_Ajuste Inv-CM (2)" xfId="40934"/>
    <cellStyle name="Total 4" xfId="40935"/>
    <cellStyle name="Total 4 2" xfId="40936"/>
    <cellStyle name="Total 4 2 2" xfId="51755"/>
    <cellStyle name="Total 4 3" xfId="40937"/>
    <cellStyle name="Total 4 3 2" xfId="51756"/>
    <cellStyle name="Total 4 4" xfId="40938"/>
    <cellStyle name="Total 4 4 2" xfId="51757"/>
    <cellStyle name="Total 4 5" xfId="40939"/>
    <cellStyle name="Total 4 5 2" xfId="51758"/>
    <cellStyle name="Total 4 6" xfId="51754"/>
    <cellStyle name="Total 4_Plan by Lob" xfId="40940"/>
    <cellStyle name="Total 5" xfId="40941"/>
    <cellStyle name="Total 5 2" xfId="40942"/>
    <cellStyle name="Total 5 2 2" xfId="51760"/>
    <cellStyle name="Total 5 3" xfId="40943"/>
    <cellStyle name="Total 5 3 2" xfId="51761"/>
    <cellStyle name="Total 5 4" xfId="51759"/>
    <cellStyle name="Total 5_Plan by Lob" xfId="40944"/>
    <cellStyle name="Total 6" xfId="40945"/>
    <cellStyle name="Total 6 2" xfId="40946"/>
    <cellStyle name="Total 6 2 2" xfId="51763"/>
    <cellStyle name="Total 6 3" xfId="51762"/>
    <cellStyle name="Total 7" xfId="40947"/>
    <cellStyle name="Total 7 2" xfId="51764"/>
    <cellStyle name="Total 8" xfId="40948"/>
    <cellStyle name="Total 8 2" xfId="40949"/>
    <cellStyle name="Total 8 2 2" xfId="51766"/>
    <cellStyle name="Total 8 3" xfId="40950"/>
    <cellStyle name="Total 8 3 2" xfId="51767"/>
    <cellStyle name="Total 8 4" xfId="40951"/>
    <cellStyle name="Total 8 4 2" xfId="51768"/>
    <cellStyle name="Total 8 5" xfId="40952"/>
    <cellStyle name="Total 8 5 2" xfId="51769"/>
    <cellStyle name="Total 8 6" xfId="40953"/>
    <cellStyle name="Total 8 6 2" xfId="51770"/>
    <cellStyle name="Total 8 7" xfId="51765"/>
    <cellStyle name="Total 9" xfId="40954"/>
    <cellStyle name="Total 9 2" xfId="51771"/>
    <cellStyle name="Tytuł" xfId="1228"/>
    <cellStyle name="Tytuł 2" xfId="40955"/>
    <cellStyle name="Überschrift" xfId="40956"/>
    <cellStyle name="Überschrift 1" xfId="40957"/>
    <cellStyle name="Überschrift 1 2" xfId="51773"/>
    <cellStyle name="Überschrift 2" xfId="40958"/>
    <cellStyle name="Überschrift 2 2" xfId="51774"/>
    <cellStyle name="Überschrift 3" xfId="40959"/>
    <cellStyle name="Überschrift 3 2" xfId="51775"/>
    <cellStyle name="Überschrift 4" xfId="40960"/>
    <cellStyle name="Überschrift 4 2" xfId="51776"/>
    <cellStyle name="Überschrift 5" xfId="51772"/>
    <cellStyle name="Uwaga" xfId="1229"/>
    <cellStyle name="Uwaga 2" xfId="40961"/>
    <cellStyle name="Vérification" xfId="40962"/>
    <cellStyle name="Vérification 2" xfId="51777"/>
    <cellStyle name="Verknüpfte Zelle" xfId="40963"/>
    <cellStyle name="Verknüpfte Zelle 2" xfId="51778"/>
    <cellStyle name="Währung [0]_Agenda" xfId="40964"/>
    <cellStyle name="Währung_Agenda" xfId="40965"/>
    <cellStyle name="Warnender Text" xfId="40966"/>
    <cellStyle name="Warnender Text 2" xfId="51779"/>
    <cellStyle name="Warning Text" xfId="40967"/>
    <cellStyle name="Warning Text 2" xfId="40968"/>
    <cellStyle name="Warning Text 2 2" xfId="51781"/>
    <cellStyle name="Warning Text 3" xfId="40969"/>
    <cellStyle name="Warning Text 3 2" xfId="51782"/>
    <cellStyle name="Warning Text 4" xfId="40970"/>
    <cellStyle name="Warning Text 4 2" xfId="51783"/>
    <cellStyle name="Warning Text 5" xfId="40971"/>
    <cellStyle name="Warning Text 5 2" xfId="51784"/>
    <cellStyle name="Warning Text 6" xfId="40972"/>
    <cellStyle name="Warning Text 6 2" xfId="51785"/>
    <cellStyle name="Warning Text 7" xfId="40973"/>
    <cellStyle name="Warning Text 7 2" xfId="51786"/>
    <cellStyle name="Warning Text 8" xfId="51780"/>
    <cellStyle name="Warning Text_CC by Function (InsightZ)" xfId="40974"/>
    <cellStyle name="Zelle überprüfen" xfId="40975"/>
    <cellStyle name="Zelle überprüfen 2" xfId="51787"/>
    <cellStyle name="zfs-title" xfId="40976"/>
    <cellStyle name="zfs-title 2" xfId="51788"/>
    <cellStyle name="Złe" xfId="1230"/>
    <cellStyle name="Złe 2" xfId="40977"/>
  </cellStyles>
  <dxfs count="72">
    <dxf>
      <numFmt numFmtId="172" formatCode="#,##0_ ;[Red]\-#,##0\ "/>
    </dxf>
    <dxf>
      <font>
        <color theme="0"/>
      </font>
      <fill>
        <patternFill>
          <bgColor rgb="FFFF0000"/>
        </patternFill>
      </fill>
    </dxf>
    <dxf>
      <font>
        <color theme="0"/>
      </font>
      <fill>
        <patternFill>
          <bgColor theme="9"/>
        </patternFill>
      </fill>
    </dxf>
    <dxf>
      <font>
        <color theme="0"/>
      </font>
      <fill>
        <patternFill>
          <bgColor rgb="FFFF0000"/>
        </patternFill>
      </fill>
    </dxf>
    <dxf>
      <font>
        <color theme="0"/>
      </font>
      <fill>
        <patternFill>
          <bgColor theme="9"/>
        </patternFill>
      </fill>
    </dxf>
    <dxf>
      <font>
        <color theme="0"/>
      </font>
      <fill>
        <patternFill>
          <bgColor rgb="FFFF0000"/>
        </patternFill>
      </fill>
    </dxf>
    <dxf>
      <font>
        <color theme="0"/>
      </font>
      <fill>
        <patternFill>
          <bgColor theme="9"/>
        </patternFill>
      </fill>
    </dxf>
    <dxf>
      <font>
        <color theme="0"/>
      </font>
      <fill>
        <patternFill>
          <bgColor rgb="FFFF0000"/>
        </patternFill>
      </fill>
    </dxf>
    <dxf>
      <font>
        <color theme="0"/>
      </font>
      <fill>
        <patternFill>
          <bgColor theme="9"/>
        </patternFill>
      </fill>
    </dxf>
    <dxf>
      <font>
        <color theme="0"/>
      </font>
      <fill>
        <patternFill>
          <bgColor rgb="FFFF0000"/>
        </patternFill>
      </fill>
    </dxf>
    <dxf>
      <font>
        <color theme="0"/>
      </font>
      <fill>
        <patternFill>
          <bgColor theme="9"/>
        </patternFill>
      </fill>
    </dxf>
    <dxf>
      <font>
        <color theme="0"/>
      </font>
      <fill>
        <patternFill>
          <bgColor rgb="FFFF0000"/>
        </patternFill>
      </fill>
    </dxf>
    <dxf>
      <font>
        <color theme="0"/>
      </font>
      <fill>
        <patternFill>
          <bgColor theme="9"/>
        </patternFill>
      </fill>
    </dxf>
    <dxf>
      <font>
        <color theme="0"/>
      </font>
      <fill>
        <patternFill>
          <bgColor rgb="FFFF0000"/>
        </patternFill>
      </fill>
    </dxf>
    <dxf>
      <font>
        <color theme="0"/>
      </font>
      <fill>
        <patternFill>
          <bgColor theme="9"/>
        </patternFill>
      </fill>
    </dxf>
    <dxf>
      <font>
        <color theme="0"/>
      </font>
      <fill>
        <patternFill>
          <bgColor rgb="FFFF0000"/>
        </patternFill>
      </fill>
    </dxf>
    <dxf>
      <font>
        <color theme="0"/>
      </font>
      <fill>
        <patternFill>
          <bgColor theme="9"/>
        </patternFill>
      </fill>
    </dxf>
    <dxf>
      <font>
        <color theme="0"/>
      </font>
      <fill>
        <patternFill>
          <bgColor rgb="FFFF0000"/>
        </patternFill>
      </fill>
    </dxf>
    <dxf>
      <font>
        <color theme="0"/>
      </font>
      <fill>
        <patternFill>
          <bgColor theme="9"/>
        </patternFill>
      </fill>
    </dxf>
    <dxf>
      <font>
        <color rgb="FFFF0000"/>
      </font>
      <fill>
        <patternFill patternType="none">
          <bgColor auto="1"/>
        </patternFill>
      </fill>
    </dxf>
    <dxf>
      <font>
        <color theme="9" tint="-0.24994659260841701"/>
      </font>
      <fill>
        <patternFill patternType="none">
          <bgColor auto="1"/>
        </patternFill>
      </fill>
    </dxf>
    <dxf>
      <font>
        <color rgb="FFFF0000"/>
      </font>
      <fill>
        <patternFill patternType="none">
          <bgColor auto="1"/>
        </patternFill>
      </fill>
    </dxf>
    <dxf>
      <font>
        <color theme="9" tint="-0.24994659260841701"/>
      </font>
      <fill>
        <patternFill patternType="none">
          <bgColor auto="1"/>
        </patternFill>
      </fill>
    </dxf>
    <dxf>
      <font>
        <color rgb="FFFF0000"/>
      </font>
      <fill>
        <patternFill patternType="none">
          <bgColor auto="1"/>
        </patternFill>
      </fill>
    </dxf>
    <dxf>
      <font>
        <color theme="9" tint="-0.24994659260841701"/>
      </font>
      <fill>
        <patternFill patternType="none">
          <bgColor auto="1"/>
        </patternFill>
      </fill>
    </dxf>
    <dxf>
      <font>
        <color rgb="FFFF0000"/>
      </font>
      <fill>
        <patternFill patternType="none">
          <bgColor auto="1"/>
        </patternFill>
      </fill>
    </dxf>
    <dxf>
      <font>
        <color theme="9" tint="-0.24994659260841701"/>
      </font>
      <fill>
        <patternFill patternType="none">
          <bgColor auto="1"/>
        </patternFill>
      </fill>
    </dxf>
    <dxf>
      <font>
        <color rgb="FFFF0000"/>
      </font>
      <fill>
        <patternFill patternType="none">
          <bgColor auto="1"/>
        </patternFill>
      </fill>
    </dxf>
    <dxf>
      <font>
        <color theme="9" tint="-0.24994659260841701"/>
      </font>
      <fill>
        <patternFill patternType="none">
          <bgColor auto="1"/>
        </patternFill>
      </fill>
    </dxf>
    <dxf>
      <font>
        <color theme="0"/>
      </font>
      <fill>
        <patternFill>
          <bgColor rgb="FFFF0000"/>
        </patternFill>
      </fill>
    </dxf>
    <dxf>
      <font>
        <color theme="0"/>
      </font>
      <fill>
        <patternFill>
          <bgColor theme="9"/>
        </patternFill>
      </fill>
    </dxf>
    <dxf>
      <font>
        <color rgb="FFFF0000"/>
      </font>
      <fill>
        <patternFill patternType="none">
          <bgColor auto="1"/>
        </patternFill>
      </fill>
    </dxf>
    <dxf>
      <font>
        <color theme="9" tint="-0.24994659260841701"/>
      </font>
      <fill>
        <patternFill patternType="none">
          <bgColor auto="1"/>
        </patternFill>
      </fill>
    </dxf>
    <dxf>
      <font>
        <color rgb="FFFF0000"/>
      </font>
      <fill>
        <patternFill patternType="none">
          <bgColor auto="1"/>
        </patternFill>
      </fill>
    </dxf>
    <dxf>
      <font>
        <color theme="9" tint="-0.24994659260841701"/>
      </font>
      <fill>
        <patternFill patternType="none">
          <bgColor auto="1"/>
        </patternFill>
      </fill>
    </dxf>
    <dxf>
      <font>
        <color theme="0"/>
      </font>
      <fill>
        <patternFill>
          <bgColor rgb="FFFF0000"/>
        </patternFill>
      </fill>
    </dxf>
    <dxf>
      <font>
        <color theme="0"/>
      </font>
      <fill>
        <patternFill>
          <bgColor theme="9"/>
        </patternFill>
      </fill>
    </dxf>
    <dxf>
      <font>
        <color theme="0"/>
      </font>
      <fill>
        <patternFill>
          <bgColor rgb="FFFF0000"/>
        </patternFill>
      </fill>
    </dxf>
    <dxf>
      <font>
        <color theme="0"/>
      </font>
      <fill>
        <patternFill>
          <bgColor theme="9"/>
        </patternFill>
      </fill>
    </dxf>
    <dxf>
      <font>
        <color theme="0"/>
      </font>
      <fill>
        <patternFill>
          <bgColor rgb="FFFF0000"/>
        </patternFill>
      </fill>
    </dxf>
    <dxf>
      <font>
        <color theme="0"/>
      </font>
      <fill>
        <patternFill>
          <bgColor theme="9"/>
        </patternFill>
      </fill>
    </dxf>
    <dxf>
      <font>
        <color theme="0"/>
      </font>
      <fill>
        <patternFill>
          <bgColor rgb="FFFF0000"/>
        </patternFill>
      </fill>
    </dxf>
    <dxf>
      <font>
        <color theme="0"/>
      </font>
      <fill>
        <patternFill>
          <bgColor theme="9"/>
        </patternFill>
      </fill>
    </dxf>
    <dxf>
      <font>
        <color theme="0"/>
      </font>
      <fill>
        <patternFill>
          <bgColor rgb="FFFF0000"/>
        </patternFill>
      </fill>
    </dxf>
    <dxf>
      <font>
        <color theme="0"/>
      </font>
      <fill>
        <patternFill>
          <bgColor theme="9"/>
        </patternFill>
      </fill>
    </dxf>
    <dxf>
      <font>
        <color theme="0"/>
      </font>
      <fill>
        <patternFill>
          <bgColor rgb="FFFF0000"/>
        </patternFill>
      </fill>
    </dxf>
    <dxf>
      <font>
        <color theme="0"/>
      </font>
      <fill>
        <patternFill>
          <bgColor theme="9"/>
        </patternFill>
      </fill>
    </dxf>
    <dxf>
      <font>
        <color theme="0"/>
      </font>
      <fill>
        <patternFill>
          <bgColor rgb="FFFF0000"/>
        </patternFill>
      </fill>
    </dxf>
    <dxf>
      <font>
        <color theme="0"/>
      </font>
      <fill>
        <patternFill>
          <bgColor theme="9"/>
        </patternFill>
      </fill>
    </dxf>
    <dxf>
      <font>
        <color theme="0"/>
      </font>
      <fill>
        <patternFill>
          <bgColor rgb="FFFF0000"/>
        </patternFill>
      </fill>
    </dxf>
    <dxf>
      <font>
        <color theme="0"/>
      </font>
      <fill>
        <patternFill>
          <bgColor theme="9"/>
        </patternFill>
      </fill>
    </dxf>
    <dxf>
      <font>
        <color theme="0"/>
      </font>
      <fill>
        <patternFill>
          <bgColor rgb="FFFF0000"/>
        </patternFill>
      </fill>
    </dxf>
    <dxf>
      <font>
        <color theme="0"/>
      </font>
      <fill>
        <patternFill>
          <bgColor theme="9"/>
        </patternFill>
      </fill>
    </dxf>
    <dxf>
      <font>
        <color theme="0"/>
      </font>
      <fill>
        <patternFill>
          <bgColor rgb="FFFF0000"/>
        </patternFill>
      </fill>
    </dxf>
    <dxf>
      <font>
        <color theme="0"/>
      </font>
      <fill>
        <patternFill>
          <bgColor theme="9"/>
        </patternFill>
      </fill>
    </dxf>
    <dxf>
      <font>
        <color theme="0"/>
      </font>
      <fill>
        <patternFill>
          <bgColor rgb="FFFF0000"/>
        </patternFill>
      </fill>
    </dxf>
    <dxf>
      <font>
        <color theme="0"/>
      </font>
      <fill>
        <patternFill>
          <bgColor theme="9"/>
        </patternFill>
      </fill>
    </dxf>
    <dxf>
      <font>
        <color theme="0"/>
      </font>
      <fill>
        <patternFill>
          <bgColor rgb="FFFF0000"/>
        </patternFill>
      </fill>
    </dxf>
    <dxf>
      <font>
        <color theme="0"/>
      </font>
      <fill>
        <patternFill>
          <bgColor theme="9"/>
        </patternFill>
      </fill>
    </dxf>
    <dxf>
      <font>
        <color theme="0"/>
      </font>
      <fill>
        <patternFill>
          <bgColor rgb="FFFF0000"/>
        </patternFill>
      </fill>
    </dxf>
    <dxf>
      <font>
        <color theme="0"/>
      </font>
      <fill>
        <patternFill>
          <bgColor theme="9"/>
        </patternFill>
      </fill>
    </dxf>
    <dxf>
      <font>
        <color theme="0"/>
      </font>
      <fill>
        <patternFill>
          <bgColor rgb="FFFF0000"/>
        </patternFill>
      </fill>
    </dxf>
    <dxf>
      <font>
        <color theme="0"/>
      </font>
      <fill>
        <patternFill>
          <bgColor theme="9"/>
        </patternFill>
      </fill>
    </dxf>
    <dxf>
      <border>
        <left style="thin">
          <color rgb="FF4F81BD"/>
        </left>
      </border>
    </dxf>
    <dxf>
      <border>
        <left style="thin">
          <color rgb="FF4F81BD"/>
        </left>
      </border>
    </dxf>
    <dxf>
      <border>
        <top style="thin">
          <color rgb="FF4F81BD"/>
        </top>
      </border>
    </dxf>
    <dxf>
      <border>
        <top style="thin">
          <color rgb="FF4F81BD"/>
        </top>
      </border>
    </dxf>
    <dxf>
      <font>
        <b/>
        <color rgb="FF000000"/>
      </font>
    </dxf>
    <dxf>
      <font>
        <b/>
        <color rgb="FF000000"/>
      </font>
    </dxf>
    <dxf>
      <font>
        <b/>
        <color rgb="FF000000"/>
      </font>
      <border>
        <top style="double">
          <color rgb="FF4F81BD"/>
        </top>
      </border>
    </dxf>
    <dxf>
      <font>
        <b/>
        <color rgb="FFFFFFFF"/>
      </font>
      <fill>
        <patternFill patternType="solid">
          <fgColor rgb="FF4F81BD"/>
          <bgColor rgb="FF4F81BD"/>
        </patternFill>
      </fill>
    </dxf>
    <dxf>
      <font>
        <color rgb="FF000000"/>
      </font>
      <border>
        <left style="thin">
          <color rgb="FF4F81BD"/>
        </left>
        <right style="thin">
          <color rgb="FF4F81BD"/>
        </right>
        <top style="thin">
          <color rgb="FF4F81BD"/>
        </top>
        <bottom style="thin">
          <color rgb="FF4F81BD"/>
        </bottom>
      </border>
    </dxf>
  </dxfs>
  <tableStyles count="1" defaultTableStyle="TableStyleMedium2" defaultPivotStyle="PivotStyleLight16">
    <tableStyle name="TableStyleLight9 2" pivot="0" count="9">
      <tableStyleElement type="wholeTable" dxfId="71"/>
      <tableStyleElement type="headerRow" dxfId="70"/>
      <tableStyleElement type="totalRow" dxfId="69"/>
      <tableStyleElement type="firstColumn" dxfId="68"/>
      <tableStyleElement type="lastColumn" dxfId="67"/>
      <tableStyleElement type="firstRowStripe" dxfId="66"/>
      <tableStyleElement type="secondRowStripe" dxfId="65"/>
      <tableStyleElement type="firstColumnStripe" dxfId="64"/>
      <tableStyleElement type="secondColumnStripe" dxfId="63"/>
    </tableStyle>
  </tableStyles>
  <colors>
    <mruColors>
      <color rgb="FF66FFFF"/>
      <color rgb="FF3FCD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externalLink" Target="externalLinks/externalLink2.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pivotCacheDefinition" Target="pivotCache/pivotCacheDefinition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4.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1.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gif"/><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1.png"/><Relationship Id="rId4" Type="http://schemas.openxmlformats.org/officeDocument/2006/relationships/image" Target="../media/image5.gif"/></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8</xdr:col>
      <xdr:colOff>47625</xdr:colOff>
      <xdr:row>66</xdr:row>
      <xdr:rowOff>85725</xdr:rowOff>
    </xdr:from>
    <xdr:to>
      <xdr:col>8</xdr:col>
      <xdr:colOff>561975</xdr:colOff>
      <xdr:row>66</xdr:row>
      <xdr:rowOff>85725</xdr:rowOff>
    </xdr:to>
    <xdr:cxnSp macro="">
      <xdr:nvCxnSpPr>
        <xdr:cNvPr id="3" name="2 Conector recto de flecha"/>
        <xdr:cNvCxnSpPr/>
      </xdr:nvCxnSpPr>
      <xdr:spPr>
        <a:xfrm flipH="1">
          <a:off x="7905750" y="12763500"/>
          <a:ext cx="514350" cy="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657225</xdr:colOff>
      <xdr:row>1</xdr:row>
      <xdr:rowOff>0</xdr:rowOff>
    </xdr:from>
    <xdr:to>
      <xdr:col>1</xdr:col>
      <xdr:colOff>1247775</xdr:colOff>
      <xdr:row>4</xdr:row>
      <xdr:rowOff>85725</xdr:rowOff>
    </xdr:to>
    <xdr:pic>
      <xdr:nvPicPr>
        <xdr:cNvPr id="2"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14064" r="83688" b="75388"/>
        <a:stretch>
          <a:fillRect/>
        </a:stretch>
      </xdr:blipFill>
      <xdr:spPr bwMode="auto">
        <a:xfrm>
          <a:off x="657225" y="190500"/>
          <a:ext cx="13525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295275</xdr:colOff>
      <xdr:row>23</xdr:row>
      <xdr:rowOff>180975</xdr:rowOff>
    </xdr:from>
    <xdr:to>
      <xdr:col>8</xdr:col>
      <xdr:colOff>457200</xdr:colOff>
      <xdr:row>27</xdr:row>
      <xdr:rowOff>19050</xdr:rowOff>
    </xdr:to>
    <xdr:sp macro="" textlink="">
      <xdr:nvSpPr>
        <xdr:cNvPr id="3" name="2 Elipse"/>
        <xdr:cNvSpPr/>
      </xdr:nvSpPr>
      <xdr:spPr>
        <a:xfrm>
          <a:off x="8591550" y="4781550"/>
          <a:ext cx="923925" cy="600075"/>
        </a:xfrm>
        <a:prstGeom prst="ellipse">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s-CL" sz="800">
              <a:latin typeface="Arial Black" pitchFamily="34" charset="0"/>
            </a:rPr>
            <a:t>NOTA</a:t>
          </a:r>
          <a:r>
            <a:rPr lang="es-CL" sz="800" baseline="0">
              <a:latin typeface="Arial Black" pitchFamily="34" charset="0"/>
            </a:rPr>
            <a:t> 48</a:t>
          </a:r>
          <a:endParaRPr lang="es-CL" sz="800">
            <a:latin typeface="Arial Black" pitchFamily="34" charset="0"/>
          </a:endParaRPr>
        </a:p>
      </xdr:txBody>
    </xdr:sp>
    <xdr:clientData/>
  </xdr:twoCellAnchor>
  <xdr:twoCellAnchor>
    <xdr:from>
      <xdr:col>7</xdr:col>
      <xdr:colOff>361950</xdr:colOff>
      <xdr:row>41</xdr:row>
      <xdr:rowOff>0</xdr:rowOff>
    </xdr:from>
    <xdr:to>
      <xdr:col>8</xdr:col>
      <xdr:colOff>523875</xdr:colOff>
      <xdr:row>44</xdr:row>
      <xdr:rowOff>28575</xdr:rowOff>
    </xdr:to>
    <xdr:sp macro="" textlink="">
      <xdr:nvSpPr>
        <xdr:cNvPr id="4" name="3 Elipse"/>
        <xdr:cNvSpPr/>
      </xdr:nvSpPr>
      <xdr:spPr>
        <a:xfrm>
          <a:off x="8658225" y="8124825"/>
          <a:ext cx="923925" cy="600075"/>
        </a:xfrm>
        <a:prstGeom prst="ellipse">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s-CL" sz="800">
              <a:latin typeface="Arial Black" pitchFamily="34" charset="0"/>
            </a:rPr>
            <a:t>NOTA</a:t>
          </a:r>
          <a:r>
            <a:rPr lang="es-CL" sz="800" baseline="0">
              <a:latin typeface="Arial Black" pitchFamily="34" charset="0"/>
            </a:rPr>
            <a:t> 48</a:t>
          </a:r>
          <a:endParaRPr lang="es-CL" sz="800">
            <a:latin typeface="Arial Black"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19050</xdr:colOff>
      <xdr:row>6</xdr:row>
      <xdr:rowOff>9525</xdr:rowOff>
    </xdr:from>
    <xdr:ext cx="47625" cy="47625"/>
    <xdr:pic macro="[4]!DesignIconClicked">
      <xdr:nvPicPr>
        <xdr:cNvPr id="2" name="BExVTO5Q8G2M7BPL4B2584LQS0R0" descr="OB6Q8NA4LZFE4GM9Y3V56BPMQ" hidden="1"/>
        <xdr:cNvPicPr>
          <a:picLocks noChangeAspect="1" noChangeArrowheads="1"/>
        </xdr:cNvPicPr>
      </xdr:nvPicPr>
      <xdr:blipFill>
        <a:blip xmlns:r="http://schemas.openxmlformats.org/officeDocument/2006/relationships" r:embed="rId1" cstate="print"/>
        <a:srcRect/>
        <a:stretch>
          <a:fillRect/>
        </a:stretch>
      </xdr:blipFill>
      <xdr:spPr bwMode="auto">
        <a:xfrm>
          <a:off x="781050" y="1152525"/>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xdr:col>
      <xdr:colOff>19050</xdr:colOff>
      <xdr:row>6</xdr:row>
      <xdr:rowOff>85725</xdr:rowOff>
    </xdr:from>
    <xdr:ext cx="47625" cy="47625"/>
    <xdr:pic macro="[4]!DesignIconClicked">
      <xdr:nvPicPr>
        <xdr:cNvPr id="3" name="BExIFSCLN1G86X78PFLTSMRP0US5" descr="9JK4SPV4DG7VTCZIILWHXQU5J" hidden="1"/>
        <xdr:cNvPicPr>
          <a:picLocks noChangeAspect="1" noChangeArrowheads="1"/>
        </xdr:cNvPicPr>
      </xdr:nvPicPr>
      <xdr:blipFill>
        <a:blip xmlns:r="http://schemas.openxmlformats.org/officeDocument/2006/relationships" r:embed="rId2" cstate="print"/>
        <a:srcRect/>
        <a:stretch>
          <a:fillRect/>
        </a:stretch>
      </xdr:blipFill>
      <xdr:spPr bwMode="auto">
        <a:xfrm>
          <a:off x="781050" y="1228725"/>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xdr:col>
      <xdr:colOff>28575</xdr:colOff>
      <xdr:row>6</xdr:row>
      <xdr:rowOff>9525</xdr:rowOff>
    </xdr:from>
    <xdr:ext cx="47625" cy="47625"/>
    <xdr:pic macro="[4]!DesignIconClicked">
      <xdr:nvPicPr>
        <xdr:cNvPr id="4" name="BExUEZCSSJ7RN4J18I2NUIQR2FZS" hidden="1"/>
        <xdr:cNvPicPr>
          <a:picLocks noChangeAspect="1" noChangeArrowheads="1"/>
        </xdr:cNvPicPr>
      </xdr:nvPicPr>
      <xdr:blipFill>
        <a:blip xmlns:r="http://schemas.openxmlformats.org/officeDocument/2006/relationships" r:embed="rId1" cstate="print"/>
        <a:srcRect/>
        <a:stretch>
          <a:fillRect/>
        </a:stretch>
      </xdr:blipFill>
      <xdr:spPr bwMode="auto">
        <a:xfrm>
          <a:off x="790575" y="1152525"/>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xdr:col>
      <xdr:colOff>28575</xdr:colOff>
      <xdr:row>6</xdr:row>
      <xdr:rowOff>85725</xdr:rowOff>
    </xdr:from>
    <xdr:ext cx="47625" cy="47625"/>
    <xdr:pic macro="[4]!DesignIconClicked">
      <xdr:nvPicPr>
        <xdr:cNvPr id="5" name="BExS3JDQWF7U3F5JTEVOE16ASIYK" hidden="1"/>
        <xdr:cNvPicPr>
          <a:picLocks noChangeAspect="1" noChangeArrowheads="1"/>
        </xdr:cNvPicPr>
      </xdr:nvPicPr>
      <xdr:blipFill>
        <a:blip xmlns:r="http://schemas.openxmlformats.org/officeDocument/2006/relationships" r:embed="rId2" cstate="print"/>
        <a:srcRect/>
        <a:stretch>
          <a:fillRect/>
        </a:stretch>
      </xdr:blipFill>
      <xdr:spPr bwMode="auto">
        <a:xfrm>
          <a:off x="790575" y="1228725"/>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twoCellAnchor editAs="oneCell">
    <xdr:from>
      <xdr:col>1</xdr:col>
      <xdr:colOff>19050</xdr:colOff>
      <xdr:row>6</xdr:row>
      <xdr:rowOff>9525</xdr:rowOff>
    </xdr:from>
    <xdr:to>
      <xdr:col>1</xdr:col>
      <xdr:colOff>69850</xdr:colOff>
      <xdr:row>6</xdr:row>
      <xdr:rowOff>60325</xdr:rowOff>
    </xdr:to>
    <xdr:pic macro="[4]!DesignIconClicked">
      <xdr:nvPicPr>
        <xdr:cNvPr id="6" name="BExOON6Z52AASRRZA58BIEXJ6DC2"/>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81050" y="1152525"/>
          <a:ext cx="50800" cy="50800"/>
        </a:xfrm>
        <a:prstGeom prst="rect">
          <a:avLst/>
        </a:prstGeom>
      </xdr:spPr>
    </xdr:pic>
    <xdr:clientData fPrintsWithSheet="0"/>
  </xdr:twoCellAnchor>
  <xdr:twoCellAnchor editAs="oneCell">
    <xdr:from>
      <xdr:col>1</xdr:col>
      <xdr:colOff>19050</xdr:colOff>
      <xdr:row>6</xdr:row>
      <xdr:rowOff>85725</xdr:rowOff>
    </xdr:from>
    <xdr:to>
      <xdr:col>1</xdr:col>
      <xdr:colOff>69850</xdr:colOff>
      <xdr:row>6</xdr:row>
      <xdr:rowOff>136525</xdr:rowOff>
    </xdr:to>
    <xdr:pic macro="[4]!DesignIconClicked">
      <xdr:nvPicPr>
        <xdr:cNvPr id="7" name="BExY39LMD6B60ZRNH3JKE8K3A9BP"/>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81050" y="1228725"/>
          <a:ext cx="50800" cy="50800"/>
        </a:xfrm>
        <a:prstGeom prst="rect">
          <a:avLst/>
        </a:prstGeom>
      </xdr:spPr>
    </xdr:pic>
    <xdr:clientData/>
  </xdr:twoCellAnchor>
  <xdr:twoCellAnchor editAs="oneCell">
    <xdr:from>
      <xdr:col>2</xdr:col>
      <xdr:colOff>22225</xdr:colOff>
      <xdr:row>6</xdr:row>
      <xdr:rowOff>9525</xdr:rowOff>
    </xdr:from>
    <xdr:to>
      <xdr:col>2</xdr:col>
      <xdr:colOff>73025</xdr:colOff>
      <xdr:row>6</xdr:row>
      <xdr:rowOff>60325</xdr:rowOff>
    </xdr:to>
    <xdr:pic macro="[4]!DesignIconClicked">
      <xdr:nvPicPr>
        <xdr:cNvPr id="8" name="BExOIQ9BW1J199BMX7UAYDYUE3QZ"/>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774825" y="1152525"/>
          <a:ext cx="50800" cy="50800"/>
        </a:xfrm>
        <a:prstGeom prst="rect">
          <a:avLst/>
        </a:prstGeom>
      </xdr:spPr>
    </xdr:pic>
    <xdr:clientData fPrintsWithSheet="0"/>
  </xdr:twoCellAnchor>
  <xdr:twoCellAnchor editAs="oneCell">
    <xdr:from>
      <xdr:col>2</xdr:col>
      <xdr:colOff>22225</xdr:colOff>
      <xdr:row>6</xdr:row>
      <xdr:rowOff>85725</xdr:rowOff>
    </xdr:from>
    <xdr:to>
      <xdr:col>2</xdr:col>
      <xdr:colOff>73025</xdr:colOff>
      <xdr:row>6</xdr:row>
      <xdr:rowOff>136525</xdr:rowOff>
    </xdr:to>
    <xdr:pic macro="[4]!DesignIconClicked">
      <xdr:nvPicPr>
        <xdr:cNvPr id="9" name="BEx59J7ZINK23IUPSN0XLH7LXPIM"/>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774825" y="1228725"/>
          <a:ext cx="50800" cy="50800"/>
        </a:xfrm>
        <a:prstGeom prst="rect">
          <a:avLst/>
        </a:prstGeom>
      </xdr:spPr>
    </xdr:pic>
    <xdr:clientData/>
  </xdr:twoCellAnchor>
  <xdr:twoCellAnchor editAs="oneCell">
    <xdr:from>
      <xdr:col>3</xdr:col>
      <xdr:colOff>28575</xdr:colOff>
      <xdr:row>6</xdr:row>
      <xdr:rowOff>9525</xdr:rowOff>
    </xdr:from>
    <xdr:to>
      <xdr:col>3</xdr:col>
      <xdr:colOff>79375</xdr:colOff>
      <xdr:row>6</xdr:row>
      <xdr:rowOff>60325</xdr:rowOff>
    </xdr:to>
    <xdr:pic macro="[4]!DesignIconClicked">
      <xdr:nvPicPr>
        <xdr:cNvPr id="10" name="BExH2R6OEPBJGZRVKLCGP1IK513F"/>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686300" y="1152525"/>
          <a:ext cx="50800" cy="50800"/>
        </a:xfrm>
        <a:prstGeom prst="rect">
          <a:avLst/>
        </a:prstGeom>
      </xdr:spPr>
    </xdr:pic>
    <xdr:clientData fPrintsWithSheet="0"/>
  </xdr:twoCellAnchor>
  <xdr:twoCellAnchor editAs="oneCell">
    <xdr:from>
      <xdr:col>3</xdr:col>
      <xdr:colOff>28575</xdr:colOff>
      <xdr:row>6</xdr:row>
      <xdr:rowOff>85725</xdr:rowOff>
    </xdr:from>
    <xdr:to>
      <xdr:col>3</xdr:col>
      <xdr:colOff>79375</xdr:colOff>
      <xdr:row>6</xdr:row>
      <xdr:rowOff>136525</xdr:rowOff>
    </xdr:to>
    <xdr:pic macro="[4]!DesignIconClicked">
      <xdr:nvPicPr>
        <xdr:cNvPr id="11" name="BExET8LBK48AZQTLO4WQIXX5LA95"/>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686300" y="1228725"/>
          <a:ext cx="50800" cy="50800"/>
        </a:xfrm>
        <a:prstGeom prst="rect">
          <a:avLst/>
        </a:prstGeom>
      </xdr:spPr>
    </xdr:pic>
    <xdr:clientData/>
  </xdr:twoCellAnchor>
  <xdr:twoCellAnchor editAs="oneCell">
    <xdr:from>
      <xdr:col>0</xdr:col>
      <xdr:colOff>561975</xdr:colOff>
      <xdr:row>0</xdr:row>
      <xdr:rowOff>57150</xdr:rowOff>
    </xdr:from>
    <xdr:to>
      <xdr:col>2</xdr:col>
      <xdr:colOff>161925</xdr:colOff>
      <xdr:row>3</xdr:row>
      <xdr:rowOff>142875</xdr:rowOff>
    </xdr:to>
    <xdr:pic>
      <xdr:nvPicPr>
        <xdr:cNvPr id="12" name="1 Imagen"/>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t="14064" r="83688" b="75388"/>
        <a:stretch>
          <a:fillRect/>
        </a:stretch>
      </xdr:blipFill>
      <xdr:spPr bwMode="auto">
        <a:xfrm>
          <a:off x="561975" y="57150"/>
          <a:ext cx="13525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38100</xdr:colOff>
      <xdr:row>0</xdr:row>
      <xdr:rowOff>57150</xdr:rowOff>
    </xdr:from>
    <xdr:to>
      <xdr:col>2</xdr:col>
      <xdr:colOff>504825</xdr:colOff>
      <xdr:row>3</xdr:row>
      <xdr:rowOff>180975</xdr:rowOff>
    </xdr:to>
    <xdr:pic>
      <xdr:nvPicPr>
        <xdr:cNvPr id="2" name="2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14064" r="83688" b="75388"/>
        <a:stretch>
          <a:fillRect/>
        </a:stretch>
      </xdr:blipFill>
      <xdr:spPr bwMode="auto">
        <a:xfrm>
          <a:off x="38100" y="57150"/>
          <a:ext cx="1428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238125</xdr:colOff>
      <xdr:row>1</xdr:row>
      <xdr:rowOff>180975</xdr:rowOff>
    </xdr:from>
    <xdr:to>
      <xdr:col>3</xdr:col>
      <xdr:colOff>304800</xdr:colOff>
      <xdr:row>5</xdr:row>
      <xdr:rowOff>180975</xdr:rowOff>
    </xdr:to>
    <xdr:pic>
      <xdr:nvPicPr>
        <xdr:cNvPr id="2"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14064" r="83688" b="75388"/>
        <a:stretch>
          <a:fillRect/>
        </a:stretch>
      </xdr:blipFill>
      <xdr:spPr bwMode="auto">
        <a:xfrm>
          <a:off x="1000125" y="381000"/>
          <a:ext cx="159067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76200</xdr:colOff>
      <xdr:row>0</xdr:row>
      <xdr:rowOff>57150</xdr:rowOff>
    </xdr:from>
    <xdr:to>
      <xdr:col>3</xdr:col>
      <xdr:colOff>756557</xdr:colOff>
      <xdr:row>3</xdr:row>
      <xdr:rowOff>57150</xdr:rowOff>
    </xdr:to>
    <xdr:pic>
      <xdr:nvPicPr>
        <xdr:cNvPr id="2" name="2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14064" r="83688" b="75388"/>
        <a:stretch>
          <a:fillRect/>
        </a:stretch>
      </xdr:blipFill>
      <xdr:spPr bwMode="auto">
        <a:xfrm>
          <a:off x="76200" y="57150"/>
          <a:ext cx="1242332"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0</xdr:colOff>
      <xdr:row>1</xdr:row>
      <xdr:rowOff>0</xdr:rowOff>
    </xdr:from>
    <xdr:to>
      <xdr:col>28</xdr:col>
      <xdr:colOff>1131794</xdr:colOff>
      <xdr:row>4</xdr:row>
      <xdr:rowOff>49026</xdr:rowOff>
    </xdr:to>
    <xdr:sp macro="" textlink="">
      <xdr:nvSpPr>
        <xdr:cNvPr id="3" name="2 Flecha izquierda">
          <a:hlinkClick xmlns:r="http://schemas.openxmlformats.org/officeDocument/2006/relationships" r:id="rId2"/>
        </xdr:cNvPr>
        <xdr:cNvSpPr/>
      </xdr:nvSpPr>
      <xdr:spPr>
        <a:xfrm>
          <a:off x="34490025" y="161925"/>
          <a:ext cx="1131794" cy="677676"/>
        </a:xfrm>
        <a:prstGeom prst="leftArrow">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ctr"/>
          <a:r>
            <a:rPr lang="es-CL" sz="1100">
              <a:latin typeface="Arial Black" panose="020B0A04020102020204" pitchFamily="34" charset="0"/>
            </a:rPr>
            <a:t>PORTADA</a:t>
          </a: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editAs="oneCell">
    <xdr:from>
      <xdr:col>2</xdr:col>
      <xdr:colOff>133350</xdr:colOff>
      <xdr:row>2</xdr:row>
      <xdr:rowOff>216353</xdr:rowOff>
    </xdr:from>
    <xdr:to>
      <xdr:col>4</xdr:col>
      <xdr:colOff>12247</xdr:colOff>
      <xdr:row>4</xdr:row>
      <xdr:rowOff>81642</xdr:rowOff>
    </xdr:to>
    <xdr:pic>
      <xdr:nvPicPr>
        <xdr:cNvPr id="2"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14064" r="83688" b="75388"/>
        <a:stretch>
          <a:fillRect/>
        </a:stretch>
      </xdr:blipFill>
      <xdr:spPr bwMode="auto">
        <a:xfrm>
          <a:off x="561975" y="616403"/>
          <a:ext cx="1250497" cy="598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xdr:col>
      <xdr:colOff>0</xdr:colOff>
      <xdr:row>0</xdr:row>
      <xdr:rowOff>95252</xdr:rowOff>
    </xdr:from>
    <xdr:to>
      <xdr:col>25</xdr:col>
      <xdr:colOff>1131794</xdr:colOff>
      <xdr:row>3</xdr:row>
      <xdr:rowOff>144277</xdr:rowOff>
    </xdr:to>
    <xdr:sp macro="" textlink="">
      <xdr:nvSpPr>
        <xdr:cNvPr id="3" name="2 Flecha izquierda">
          <a:hlinkClick xmlns:r="http://schemas.openxmlformats.org/officeDocument/2006/relationships" r:id="rId2"/>
        </xdr:cNvPr>
        <xdr:cNvSpPr/>
      </xdr:nvSpPr>
      <xdr:spPr>
        <a:xfrm>
          <a:off x="32956500" y="95252"/>
          <a:ext cx="1131794" cy="696725"/>
        </a:xfrm>
        <a:prstGeom prst="leftArrow">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ctr"/>
          <a:r>
            <a:rPr lang="es-CL" sz="1100">
              <a:latin typeface="Arial Black" panose="020B0A04020102020204" pitchFamily="34" charset="0"/>
            </a:rPr>
            <a:t>PORTADA</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85725</xdr:colOff>
      <xdr:row>0</xdr:row>
      <xdr:rowOff>38100</xdr:rowOff>
    </xdr:from>
    <xdr:to>
      <xdr:col>2</xdr:col>
      <xdr:colOff>476250</xdr:colOff>
      <xdr:row>3</xdr:row>
      <xdr:rowOff>76200</xdr:rowOff>
    </xdr:to>
    <xdr:pic>
      <xdr:nvPicPr>
        <xdr:cNvPr id="2"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14064" r="83688" b="75388"/>
        <a:stretch>
          <a:fillRect/>
        </a:stretch>
      </xdr:blipFill>
      <xdr:spPr bwMode="auto">
        <a:xfrm>
          <a:off x="85725" y="38100"/>
          <a:ext cx="12477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44824</xdr:colOff>
      <xdr:row>0</xdr:row>
      <xdr:rowOff>89646</xdr:rowOff>
    </xdr:from>
    <xdr:to>
      <xdr:col>28</xdr:col>
      <xdr:colOff>1176618</xdr:colOff>
      <xdr:row>4</xdr:row>
      <xdr:rowOff>11205</xdr:rowOff>
    </xdr:to>
    <xdr:sp macro="" textlink="">
      <xdr:nvSpPr>
        <xdr:cNvPr id="3" name="2 Flecha izquierda">
          <a:hlinkClick xmlns:r="http://schemas.openxmlformats.org/officeDocument/2006/relationships" r:id="rId2"/>
        </xdr:cNvPr>
        <xdr:cNvSpPr/>
      </xdr:nvSpPr>
      <xdr:spPr>
        <a:xfrm>
          <a:off x="27486349" y="89646"/>
          <a:ext cx="1131794" cy="654984"/>
        </a:xfrm>
        <a:prstGeom prst="leftArrow">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ctr"/>
          <a:r>
            <a:rPr lang="es-CL" sz="1100">
              <a:latin typeface="Arial Black" panose="020B0A04020102020204" pitchFamily="34" charset="0"/>
            </a:rPr>
            <a:t>PORTADA</a:t>
          </a:r>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18</xdr:col>
      <xdr:colOff>255525</xdr:colOff>
      <xdr:row>31</xdr:row>
      <xdr:rowOff>75477</xdr:rowOff>
    </xdr:to>
    <xdr:pic>
      <xdr:nvPicPr>
        <xdr:cNvPr id="3" name="2 Imagen"/>
        <xdr:cNvPicPr>
          <a:picLocks noChangeAspect="1"/>
        </xdr:cNvPicPr>
      </xdr:nvPicPr>
      <xdr:blipFill>
        <a:blip xmlns:r="http://schemas.openxmlformats.org/officeDocument/2006/relationships" r:embed="rId1"/>
        <a:stretch>
          <a:fillRect/>
        </a:stretch>
      </xdr:blipFill>
      <xdr:spPr>
        <a:xfrm>
          <a:off x="762000" y="190500"/>
          <a:ext cx="13209525" cy="5790477"/>
        </a:xfrm>
        <a:prstGeom prst="rect">
          <a:avLst/>
        </a:prstGeom>
      </xdr:spPr>
    </xdr:pic>
    <xdr:clientData/>
  </xdr:twoCellAnchor>
  <xdr:twoCellAnchor editAs="oneCell">
    <xdr:from>
      <xdr:col>1</xdr:col>
      <xdr:colOff>0</xdr:colOff>
      <xdr:row>32</xdr:row>
      <xdr:rowOff>0</xdr:rowOff>
    </xdr:from>
    <xdr:to>
      <xdr:col>18</xdr:col>
      <xdr:colOff>246001</xdr:colOff>
      <xdr:row>53</xdr:row>
      <xdr:rowOff>123310</xdr:rowOff>
    </xdr:to>
    <xdr:pic>
      <xdr:nvPicPr>
        <xdr:cNvPr id="4" name="3 Imagen"/>
        <xdr:cNvPicPr>
          <a:picLocks noChangeAspect="1"/>
        </xdr:cNvPicPr>
      </xdr:nvPicPr>
      <xdr:blipFill>
        <a:blip xmlns:r="http://schemas.openxmlformats.org/officeDocument/2006/relationships" r:embed="rId2"/>
        <a:stretch>
          <a:fillRect/>
        </a:stretch>
      </xdr:blipFill>
      <xdr:spPr>
        <a:xfrm>
          <a:off x="762000" y="6096000"/>
          <a:ext cx="13200001" cy="41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lcmarquez/Documents/2013/6.%20Junio%202013/CLLS/FECU/Margen_Solvencia%20Edt%20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Q:\Users\clcvlabf\AppData\Local\Temp\notesE1EF34\Cuadros%20SVS%20C2050%2009201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Q:\Documents%20and%20Settings\clcmarquez\Datos%20de%20programa\Microsoft\Excel\Cuadros%20SVS%20C2050%20(version%201).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Program%20Files%20(x86)/Common%20Files/SAP%20Shared/BW/BExAnalyzer.xla"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sheetName val="Margen_Solvencia"/>
      <sheetName val="Reservas_Mat"/>
      <sheetName val="Reservas_Sintros"/>
      <sheetName val="Inf x TipoSeg x Cobert"/>
      <sheetName val="Planes"/>
      <sheetName val="Inf.1er Año-Cartera"/>
      <sheetName val="Resumen_Venta_Año"/>
      <sheetName val="Sin x Año"/>
      <sheetName val="Resumen Cartera"/>
      <sheetName val="N.C.G."/>
    </sheetNames>
    <sheetDataSet>
      <sheetData sheetId="0" refreshError="1"/>
      <sheetData sheetId="1" refreshError="1">
        <row r="3">
          <cell r="K3">
            <v>22.85267</v>
          </cell>
        </row>
      </sheetData>
      <sheetData sheetId="2" refreshError="1">
        <row r="97">
          <cell r="B97">
            <v>646474.05000000005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 19"/>
      <sheetName val="Nota 25.2.1 (RRC)"/>
      <sheetName val="Hoja1"/>
      <sheetName val="Nota 25.2.2.1"/>
      <sheetName val="Nota 25.2.2.2 Tasas"/>
      <sheetName val="Nota 25.2.3 Variacion RM"/>
      <sheetName val="Nota 25.2.4 CUI"/>
      <sheetName val="Nota 25.2.4.1 Fondos"/>
      <sheetName val="Nota 25.2.5 Rtas Priv."/>
      <sheetName val="Nota 25.3.1 (Ajuste RTB-RTF)"/>
      <sheetName val="Nota 25.3.2 (CPK)"/>
      <sheetName val="Nota 25.3.3 (TASAS)"/>
      <sheetName val="Nota 25.3.4 (Ajuste RTF)"/>
      <sheetName val="25.4.1-H (SIS Cto1)"/>
      <sheetName val="25.4.1-M (SIS Cto1)"/>
      <sheetName val="25.4.1-H (SIS Cto3)"/>
      <sheetName val="25.4.1-M (SIS Cto3)"/>
      <sheetName val="25.4.2-H (SIS Cto1)"/>
      <sheetName val="25.4.2-M (SIS Cto1)"/>
      <sheetName val="25.4.2-H (SIS Cto3)"/>
      <sheetName val="25.4.2-M (SIS Cto3)"/>
      <sheetName val="Nota 31"/>
    </sheetNames>
    <sheetDataSet>
      <sheetData sheetId="0" refreshError="1">
        <row r="2">
          <cell r="O2">
            <v>22.53351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 19"/>
      <sheetName val="Nota 25.2.1 (RRC)"/>
      <sheetName val="Nota 25.2.2.1"/>
      <sheetName val="Nota 25.2.2.2 Tasas"/>
      <sheetName val="Nota 25.2.3 Variacion RM"/>
      <sheetName val="Nota 25.2.4 CUI"/>
      <sheetName val="Nota 25.2.4.1 Fondos"/>
      <sheetName val="Nota 25.2.5 Rtas Priv."/>
      <sheetName val="Nota 25.3.1 (Ajuste RTB-RTF)"/>
      <sheetName val="Nota 25.3.2 (CPK)"/>
      <sheetName val="Nota 25.3.3 (TASAS)"/>
      <sheetName val="Nota 25.3.4 (Ajuste RTF)"/>
      <sheetName val="25.4.1-H (SIS)"/>
      <sheetName val="25.4.1-M (SIS)"/>
      <sheetName val="25.4.2-H (SIS)"/>
      <sheetName val="25.4.2-M (SIS)"/>
      <sheetName val="Nota 31"/>
    </sheetNames>
    <sheetDataSet>
      <sheetData sheetId="0" refreshError="1">
        <row r="2">
          <cell r="K2">
            <v>22.627359999999999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
      <sheetName val="BExStyles"/>
      <sheetName val="BExAnalyzer"/>
    </sheetNames>
    <definedNames>
      <definedName name="DesignIconClicked"/>
    </definedNames>
    <sheetDataSet>
      <sheetData sheetId="0"/>
      <sheetData sheetId="1"/>
      <sheetData sheetId="2"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orge Gonzalez Contreras" refreshedDate="43217.527881828704" createdVersion="4" refreshedVersion="4" minRefreshableVersion="3" recordCount="2302">
  <cacheSource type="worksheet">
    <worksheetSource ref="B7:F2309" sheet="SAP"/>
  </cacheSource>
  <cacheFields count="5">
    <cacheField name="Soc" numFmtId="0">
      <sharedItems/>
    </cacheField>
    <cacheField name="Cuenta" numFmtId="0">
      <sharedItems containsSemiMixedTypes="0" containsString="0" containsNumber="1" containsInteger="1" minValue="1110500000" maxValue="9911000000" count="551">
        <n v="1110500000"/>
        <n v="1115400100"/>
        <n v="1115501165"/>
        <n v="1115505707"/>
        <n v="1115505708"/>
        <n v="1115505709"/>
        <n v="1115505710"/>
        <n v="1115505716"/>
        <n v="1115505721"/>
        <n v="1115505735"/>
        <n v="1115505736"/>
        <n v="1115505742"/>
        <n v="1115505750"/>
        <n v="1115505756"/>
        <n v="1115505758"/>
        <n v="1115505760"/>
        <n v="1115505764"/>
        <n v="1115505765"/>
        <n v="1115505766"/>
        <n v="1115505771"/>
        <n v="1115505773"/>
        <n v="1115505786"/>
        <n v="1115505812"/>
        <n v="1121110000"/>
        <n v="1121120000"/>
        <n v="1121130000"/>
        <n v="1123100000"/>
        <n v="1125140000"/>
        <n v="1131130000"/>
        <n v="1131130100"/>
        <n v="1131160000"/>
        <n v="1131160100"/>
        <n v="1133100000"/>
        <n v="1141000100"/>
        <n v="1142000003"/>
        <n v="1142000004"/>
        <n v="1142000100"/>
        <n v="1151100000"/>
        <n v="1151100007"/>
        <n v="1151300000"/>
        <n v="1161000000"/>
        <n v="1161000001"/>
        <n v="1161000002"/>
        <n v="1161000003"/>
        <n v="1164100000"/>
        <n v="1164200000"/>
        <n v="1164200001"/>
        <n v="1176310000"/>
        <n v="1182320400"/>
        <n v="1182330000"/>
        <n v="1193105707"/>
        <n v="1193105708"/>
        <n v="1193105709"/>
        <n v="1193105716"/>
        <n v="1193105721"/>
        <n v="1193105735"/>
        <n v="1193105742"/>
        <n v="1193105743"/>
        <n v="1193105750"/>
        <n v="1193105756"/>
        <n v="1193105760"/>
        <n v="1193105765"/>
        <n v="1193105766"/>
        <n v="1193105773"/>
        <n v="1193105812"/>
        <n v="1193205707"/>
        <n v="1193205708"/>
        <n v="1193205709"/>
        <n v="1193205716"/>
        <n v="1193205721"/>
        <n v="1193205735"/>
        <n v="1193205736"/>
        <n v="1193205742"/>
        <n v="1193205743"/>
        <n v="1193205750"/>
        <n v="1193205756"/>
        <n v="1193205764"/>
        <n v="1193205765"/>
        <n v="1193205766"/>
        <n v="1193205773"/>
        <n v="1193205812"/>
        <n v="1199999000"/>
        <n v="1211010000"/>
        <n v="1211010036"/>
        <n v="1211010043"/>
        <n v="1211510001"/>
        <n v="1221020000"/>
        <n v="1231012000"/>
        <n v="1231700500"/>
        <n v="1231700501"/>
        <n v="1250200000"/>
        <n v="1311010000"/>
        <n v="1311010002"/>
        <n v="1411400000"/>
        <n v="1429310003"/>
        <n v="1441100012"/>
        <n v="1441100021"/>
        <n v="1441100028"/>
        <n v="1441100118"/>
        <n v="1441110034"/>
        <n v="1441110035"/>
        <n v="1441110036"/>
        <n v="1441113000"/>
        <n v="1442100000"/>
        <n v="1442100003"/>
        <n v="1442300000"/>
        <n v="1442370000"/>
        <n v="1442801000"/>
        <n v="1442999900"/>
        <n v="1443020000"/>
        <n v="1449500003"/>
        <n v="1450004022"/>
        <n v="1455200024"/>
        <n v="1455200071"/>
        <n v="1456100026"/>
        <n v="1456200020"/>
        <n v="1456300026"/>
        <n v="1456810001"/>
        <n v="1481210000"/>
        <n v="1481220000"/>
        <n v="1490210000"/>
        <n v="1490210001"/>
        <n v="1490210004"/>
        <n v="1490920000"/>
        <n v="1491110000"/>
        <n v="1491110013"/>
        <n v="1491110014"/>
        <n v="1491110015"/>
        <n v="1491110100"/>
        <n v="1541110000"/>
        <n v="1541180000"/>
        <n v="1551110000"/>
        <n v="1551180000"/>
        <n v="1551180001"/>
        <n v="1552110000"/>
        <n v="1552180000"/>
        <n v="1553110000"/>
        <n v="1553180000"/>
        <n v="1554110000"/>
        <n v="1554180000"/>
        <n v="1558100000"/>
        <n v="1558300000"/>
        <n v="1558300001"/>
        <n v="1559110001"/>
        <n v="1559210000"/>
        <n v="1581400000"/>
        <n v="1591000000"/>
        <n v="1722300000"/>
        <n v="2020110000"/>
        <n v="2020110005"/>
        <n v="2020110039"/>
        <n v="2020110050"/>
        <n v="2020170000"/>
        <n v="2020310000"/>
        <n v="2020380000"/>
        <n v="2030100000"/>
        <n v="2042100000"/>
        <n v="2042100002"/>
        <n v="2071120000"/>
        <n v="2071320000"/>
        <n v="2071331000"/>
        <n v="2071331029"/>
        <n v="2071333000"/>
        <n v="2071333001"/>
        <n v="2080100001"/>
        <n v="2080100002"/>
        <n v="2080100010"/>
        <n v="2080100019"/>
        <n v="2211000000"/>
        <n v="2211040003"/>
        <n v="2221020002"/>
        <n v="2221030006"/>
        <n v="2221700101"/>
        <n v="2231700012"/>
        <n v="2231700014"/>
        <n v="2311010000"/>
        <n v="2311011100"/>
        <n v="2413100000"/>
        <n v="2441111000"/>
        <n v="2441112000"/>
        <n v="2441112012"/>
        <n v="2441112028"/>
        <n v="2441112032"/>
        <n v="2441112046"/>
        <n v="2441112052"/>
        <n v="2441112056"/>
        <n v="2441112160"/>
        <n v="2441112200"/>
        <n v="2441112300"/>
        <n v="2442100006"/>
        <n v="2442100010"/>
        <n v="2442300000"/>
        <n v="2442300003"/>
        <n v="2442300011"/>
        <n v="2442850000"/>
        <n v="2443010007"/>
        <n v="2443010008"/>
        <n v="2443010022"/>
        <n v="2443010026"/>
        <n v="2443010029"/>
        <n v="2443510046"/>
        <n v="2455200004"/>
        <n v="2456100009"/>
        <n v="2456200002"/>
        <n v="2456300002"/>
        <n v="2471010003"/>
        <n v="2471010004"/>
        <n v="2490210000"/>
        <n v="2490500003"/>
        <n v="2490500009"/>
        <n v="2490500014"/>
        <n v="2490500043"/>
        <n v="2490500048"/>
        <n v="2490500054"/>
        <n v="2490910030"/>
        <n v="2490910031"/>
        <n v="2521210000"/>
        <n v="2522140000"/>
        <n v="2522190000"/>
        <n v="2525110000"/>
        <n v="2525110006"/>
        <n v="2529020100"/>
        <n v="2529110000"/>
        <n v="2539999100"/>
        <n v="2539999200"/>
        <n v="2616310000"/>
        <n v="2675100000"/>
        <n v="2713000000"/>
        <n v="2723100002"/>
        <n v="2751110000"/>
        <n v="2751110023"/>
        <n v="2751212000"/>
        <n v="2752410000"/>
        <n v="2901000000"/>
        <n v="2922050102"/>
        <n v="2970100000"/>
        <n v="2970100006"/>
        <n v="2970100007"/>
        <n v="2972100000"/>
        <n v="2972200000"/>
        <n v="2972400000"/>
        <n v="3010100000"/>
        <n v="3010100030"/>
        <n v="3010500002"/>
        <n v="3019000000"/>
        <n v="3030000000"/>
        <n v="3030400030"/>
        <n v="3090000000"/>
        <n v="3091000000"/>
        <n v="3101000000"/>
        <n v="3103000000"/>
        <n v="3301100000"/>
        <n v="3301100008"/>
        <n v="3301100010"/>
        <n v="3301100999"/>
        <n v="3301450000"/>
        <n v="3591110200"/>
        <n v="4002000000"/>
        <n v="4110000000"/>
        <n v="4112000000"/>
        <n v="4113000000"/>
        <n v="4114000000"/>
        <n v="4115010000"/>
        <n v="4130000000"/>
        <n v="4130000600"/>
        <n v="4161100000"/>
        <n v="4161100001"/>
        <n v="4161200000"/>
        <n v="4161320000"/>
        <n v="4161400000"/>
        <n v="4163100000"/>
        <n v="4163160000"/>
        <n v="4163400000"/>
        <n v="4281120000"/>
        <n v="4281320000"/>
        <n v="4281430000"/>
        <n v="4301125100"/>
        <n v="4401000000"/>
        <n v="4401000050"/>
        <n v="4401000070"/>
        <n v="4401000072"/>
        <n v="4401100000"/>
        <n v="4403000000"/>
        <n v="4403100000"/>
        <n v="5111100000"/>
        <n v="5121100000"/>
        <n v="5131000300"/>
        <n v="5131022040"/>
        <n v="5131104000"/>
        <n v="5141000000"/>
        <n v="5151000000"/>
        <n v="5153000000"/>
        <n v="5153100000"/>
        <n v="5157310000"/>
        <n v="5157320000"/>
        <n v="5321110000"/>
        <n v="5323300000"/>
        <n v="5324140000"/>
        <n v="5331100000"/>
        <n v="5341000000"/>
        <n v="5351000000"/>
        <n v="5354000000"/>
        <n v="5372620000"/>
        <n v="5372630000"/>
        <n v="5421110000"/>
        <n v="5424140000"/>
        <n v="5424150000"/>
        <n v="5431100000"/>
        <n v="5442000000"/>
        <n v="5451000000"/>
        <n v="5472620000"/>
        <n v="5472630000"/>
        <n v="5495100000"/>
        <n v="6012110000"/>
        <n v="6012130000"/>
        <n v="6012210000"/>
        <n v="6012230000"/>
        <n v="6012310000"/>
        <n v="6012410000"/>
        <n v="6012430000"/>
        <n v="6013210000"/>
        <n v="6031110000"/>
        <n v="6031120000"/>
        <n v="6031130000"/>
        <n v="6031140000"/>
        <n v="6031150000"/>
        <n v="6031190000"/>
        <n v="6031210000"/>
        <n v="6031220000"/>
        <n v="6031240000"/>
        <n v="6031290000"/>
        <n v="6032110000"/>
        <n v="6032120000"/>
        <n v="6032130000"/>
        <n v="6032140000"/>
        <n v="6032150000"/>
        <n v="6032190000"/>
        <n v="6032210000"/>
        <n v="6032230000"/>
        <n v="6032240000"/>
        <n v="6032290000"/>
        <n v="6543100010"/>
        <n v="6543200010"/>
        <n v="6543400010"/>
        <n v="6595910106"/>
        <n v="6643400010"/>
        <n v="6810010000"/>
        <n v="6810020000"/>
        <n v="6810110000"/>
        <n v="7020000003"/>
        <n v="7020000109"/>
        <n v="7020000112"/>
        <n v="7020000408"/>
        <n v="7100000000"/>
        <n v="7100100000"/>
        <n v="7100200000"/>
        <n v="7100200007"/>
        <n v="7100322003"/>
        <n v="7100330002"/>
        <n v="7100340003"/>
        <n v="7102000001"/>
        <n v="7116000000"/>
        <n v="7116000003"/>
        <n v="7202000008"/>
        <n v="7202001009"/>
        <n v="7242003002"/>
        <n v="7244000000"/>
        <n v="7245000000"/>
        <n v="7248000000"/>
        <n v="7250000000"/>
        <n v="7250100000"/>
        <n v="7250100003"/>
        <n v="7251000004"/>
        <n v="7401000000"/>
        <n v="7410000000"/>
        <n v="7411000000"/>
        <n v="7422000000"/>
        <n v="7430000000"/>
        <n v="7431000002"/>
        <n v="7440000001"/>
        <n v="7440000003"/>
        <n v="7500000000"/>
        <n v="7501000000"/>
        <n v="7503000000"/>
        <n v="7510000000"/>
        <n v="7512000000"/>
        <n v="7512120000"/>
        <n v="7512130000"/>
        <n v="7520130000"/>
        <n v="7521000000"/>
        <n v="7521100000"/>
        <n v="7521100001"/>
        <n v="7521100002"/>
        <n v="7521100003"/>
        <n v="7521200000"/>
        <n v="7521200002"/>
        <n v="7522200000"/>
        <n v="7522400000"/>
        <n v="7523000000"/>
        <n v="7523100004"/>
        <n v="7525100000"/>
        <n v="7525800000"/>
        <n v="7525810000"/>
        <n v="7526000000"/>
        <n v="7526100000"/>
        <n v="7526300000"/>
        <n v="7527000000"/>
        <n v="7530000009"/>
        <n v="7530000100"/>
        <n v="7600000000"/>
        <n v="7600000002"/>
        <n v="7600000014"/>
        <n v="7602000000"/>
        <n v="7603000000"/>
        <n v="7607000000"/>
        <n v="7610100000"/>
        <n v="7610103000"/>
        <n v="7610200000"/>
        <n v="7610500000"/>
        <n v="7611000000"/>
        <n v="7612000000"/>
        <n v="7612100000"/>
        <n v="7612200000"/>
        <n v="7612201000"/>
        <n v="7612300000"/>
        <n v="7613100003"/>
        <n v="7613200000"/>
        <n v="7613210000"/>
        <n v="7615000000"/>
        <n v="7615010000"/>
        <n v="7615020000"/>
        <n v="7615430000"/>
        <n v="7615500000"/>
        <n v="7615600000"/>
        <n v="7617000002"/>
        <n v="7617000004"/>
        <n v="7617003003"/>
        <n v="7700000004"/>
        <n v="7700021000"/>
        <n v="7700300000"/>
        <n v="7700300002"/>
        <n v="7700311002"/>
        <n v="7700320000"/>
        <n v="7702000000"/>
        <n v="7702000003"/>
        <n v="7702000007"/>
        <n v="7702000011"/>
        <n v="7702200001"/>
        <n v="7702200002"/>
        <n v="7704100000"/>
        <n v="7705000002"/>
        <n v="7710000000"/>
        <n v="7710200000"/>
        <n v="7711000000"/>
        <n v="7712000000"/>
        <n v="7714000000"/>
        <n v="7715000000"/>
        <n v="7715000006"/>
        <n v="7715000007"/>
        <n v="7716000000"/>
        <n v="7716010000"/>
        <n v="7716011001"/>
        <n v="7716013001"/>
        <n v="7716020001"/>
        <n v="7716020003"/>
        <n v="7716030000"/>
        <n v="7716030001"/>
        <n v="7716030002"/>
        <n v="7716050000"/>
        <n v="7716050005"/>
        <n v="7720100000"/>
        <n v="7720100008"/>
        <n v="7720200000"/>
        <n v="7720300000"/>
        <n v="7720310000"/>
        <n v="7721000000"/>
        <n v="7721100000"/>
        <n v="7721200000"/>
        <n v="7721400000"/>
        <n v="7721500000"/>
        <n v="7721600000"/>
        <n v="7722000000"/>
        <n v="7722004000"/>
        <n v="7722300000"/>
        <n v="7723000000"/>
        <n v="7723000001"/>
        <n v="7725000000"/>
        <n v="7725000003"/>
        <n v="7725000010"/>
        <n v="7725000900"/>
        <n v="7730000002"/>
        <n v="7730000003"/>
        <n v="7730000007"/>
        <n v="7730000019"/>
        <n v="7730000024"/>
        <n v="7730200000"/>
        <n v="7731000000"/>
        <n v="7732000000"/>
        <n v="7732000007"/>
        <n v="7732000014"/>
        <n v="7732000030"/>
        <n v="7732000037"/>
        <n v="7732000050"/>
        <n v="7732000052"/>
        <n v="7732000053"/>
        <n v="7732000054"/>
        <n v="7732003007"/>
        <n v="7732005004"/>
        <n v="7732005006"/>
        <n v="7732005010"/>
        <n v="7732005011"/>
        <n v="7732005016"/>
        <n v="7732005028"/>
        <n v="7732100000"/>
        <n v="7735000000"/>
        <n v="7737005000"/>
        <n v="7800000003"/>
        <n v="7801000000"/>
        <n v="7801100001"/>
        <n v="7801200004"/>
        <n v="7801200047"/>
        <n v="7801300002"/>
        <n v="7804000005"/>
        <n v="7804000006"/>
        <n v="7804000008"/>
        <n v="7804000019"/>
        <n v="7804000025"/>
        <n v="7834000000"/>
        <n v="7861020000"/>
        <n v="7861080000"/>
        <n v="7861091000"/>
        <n v="7861092000"/>
        <n v="7861100000"/>
        <n v="7861110000"/>
        <n v="7861140001"/>
        <n v="7861150110"/>
        <n v="7861150410"/>
        <n v="7861151110"/>
        <n v="7861151210"/>
        <n v="7861151350"/>
        <n v="7861151360"/>
        <n v="7861151370"/>
        <n v="7861151520"/>
        <n v="7861161100"/>
        <n v="9200100004"/>
        <n v="9200100011"/>
        <n v="9200100012"/>
        <n v="9200100019"/>
        <n v="9200100025"/>
        <n v="9200100039"/>
        <n v="9911000000"/>
      </sharedItems>
    </cacheField>
    <cacheField name="Nombre" numFmtId="0">
      <sharedItems count="538">
        <s v="Cash - Unrestr. - 3rd (Investment)"/>
        <s v="Cash - Unrestr. - Petty Cash"/>
        <s v="Settlement Account Agents Prepayments"/>
        <s v="Bank BCI  CLP - 10165771"/>
        <s v="Bank BCI  CLP - 10664831"/>
        <s v="Bank BCI  CLP - 10628797"/>
        <s v="Bank BCI  CLP - 10631755"/>
        <s v="Bank BICE  CLP - 01-25129-5"/>
        <s v="Bank BBVA  CLP - 504-0089-01-00016953"/>
        <s v="Bank of Chile  CLP - 2326906"/>
        <s v="Bank of Chile  CLP - 800 - 16894 - 01"/>
        <s v="Bank Citibank  USD - 400221-502"/>
        <s v="Bank Corpbanca  CLP - 1218572"/>
        <s v="Bank State of Chile  CLP - 17994-09"/>
        <s v="Bank International  CLP - 01-01-82818-0"/>
        <s v="Bank ITAU  CLP - 0202507210"/>
        <s v="Bank Santander  CLP - 66494276"/>
        <s v="Bank Santander  CLP - 0-082-2003312-1"/>
        <s v="Bank Santander  CLP - 0-000-01-04564-4"/>
        <s v="Bank Scotiabank  CLP - 71-28472-01"/>
        <s v="Bank State of Chile  CLP - 288730"/>
        <s v="Cash in local currency CLP"/>
        <s v="Bank BCI EURO 18586767"/>
        <s v="Common Stock - AfS - Public Utilities"/>
        <s v="Common Stock - AfS - Banks, Insurances"/>
        <s v="Common Stock - AfS - Industries &amp; Misce"/>
        <s v="Holdings in affiliated companies - voti"/>
        <s v="Unit Trusts - Buildings - AfS"/>
        <s v="Bonds-Available for Sale-Other Governme"/>
        <s v="Bonds - AfS - Other govern - restricted"/>
        <s v="Bonds - AfS - Other Corporate Debt Secu"/>
        <s v="Bonds - AfS - Oth Corp Debt Sec -resric"/>
        <s v="Asset Backed Securities (ABS) - AfS"/>
        <s v="Land Held for Investment at Fair Value"/>
        <s v="Building Devaluation Provision"/>
        <s v="Buiding Depreciation"/>
        <s v="Buildings Held for Investment at Fair V"/>
        <s v="Mortgage Loans Receivable"/>
        <s v="Mortgage Loans Receivable - restricted"/>
        <s v="Mortgage Loans Receivable - Impairment"/>
        <s v="Policy Loans Receivable"/>
        <s v="Policy Loan - Repaid By Cash"/>
        <s v="Policy Loan - Repaid By Death Claims"/>
        <s v="Policy Loan - Repaid By Maturity"/>
        <s v="Accum Allowance for Receivables under F"/>
        <s v="Receivables under finance lease"/>
        <s v="Receivables under finance lease - Other"/>
        <s v="Cross Currency Swaps - cash flow hedgin"/>
        <s v="UL Unit Trusts - Bonds - FV P&amp;L"/>
        <s v="UL Unit Trusts - Stock - FV P&amp;L"/>
        <s v="Bank BCI  CLP - 10165771  -  In"/>
        <s v="Bank BCI  CLP - 10664831  -  In"/>
        <s v="Bank BCI  CLP - 10628797  -  In"/>
        <s v="Bank BICE  CLP - 01-25129-5  -  In"/>
        <s v="Bank of Chile  CLP - 2326906  -  In"/>
        <s v="Bank Citibank  USD - 400221-502  -  In"/>
        <s v="Bank Citibank  CLP - 00-016-51455-59  -"/>
        <s v="Bank Corpbanca  CLP - 1218572  -  In"/>
        <s v="Bank State of Chile  CLP - 17994-09  -"/>
        <s v="Bank ITAU  CLP - 0202507210  -  In"/>
        <s v="Bank State of Chile  CLP - 288730   -"/>
        <s v="Bank BCI EURO 18586767 IN"/>
        <s v="Bank BCI  CLP - 10165771  -  Out"/>
        <s v="Bank BCI  CLP - 10664831  -  Out"/>
        <s v="Bank BCI  CLP - 10628797  -  Out"/>
        <s v="Bank BICE  CLP - 01-25129-5  -  Out"/>
        <s v="Bank of Chile  CLP - 2326906  -  Out"/>
        <s v="Bank of Chile  CLP - 800 - 16894 - 01 -"/>
        <s v="Bank Citibank  USD - 400221-502  -  Out"/>
        <s v="Bank Corpbanca  CLP - 1218572  -  Out"/>
        <s v="Bank Santander  CLP - 66494276  -  Out"/>
        <s v="Bank Santander  CLP - 00-082-2003312-1"/>
        <s v="Bank BCI EURO 18586767 OUT"/>
        <s v="Open item FX reval. Adjust 14401"/>
        <s v="Receivables from Policyholders"/>
        <s v="Recv fr Policyholders - Single Premium"/>
        <s v="Receivables from Surety paid - 3rd part"/>
        <s v="Open Item FX Reval Adj. 15301"/>
        <s v="Receivables from Agents and Intermed"/>
        <s v="Receivables from Other Insurances - Rev"/>
        <s v="AR from Co-insurance Outward Leading"/>
        <s v="AR  from Co-insurance Inward Following"/>
        <s v="Receivables from Policyholders General"/>
        <s v="RE Recs on Paid Claims &amp; LAE -AR"/>
        <s v="Open item FX reval. Adjust 15701"/>
        <s v="Interest Receivables Policy Loans"/>
        <s v="Investment Receivables - Mortgages - De"/>
        <s v="Other receivables-HR Alimony, Garnish"/>
        <s v="Other receivables-variable Salary HR-OI"/>
        <s v="Loans Human Resources / employees"/>
        <s v="Suspense Account HR Salary Refunds"/>
        <s v="Other receivables - 3rd Otherers"/>
        <s v="Other receivables - 3rd Returned Checks"/>
        <s v="Other Recv - 3rd Rental Recv"/>
        <s v="Sundry Debtors - Investments"/>
        <s v="Other  Receivables - Affiliate/Linked"/>
        <s v="FX Reval adj. 16402"/>
        <s v="Other Receivables -Domestic"/>
        <s v="Other Receivables-Staff Advances AP"/>
        <s v="Other receivables -  AR/AP Local Regrou"/>
        <s v="Open Item FX reval. Adjust 16401"/>
        <s v="Other receivables-HR Staff Advances"/>
        <s v="Investment Control Account OI"/>
        <s v="OI Other Receivables"/>
        <s v="Collection OTHER"/>
        <s v="Undue Premium Advance Pmt FS04"/>
        <s v="Claim paid in advance for Broker"/>
        <s v="Collectionsystem-Suspense account inter"/>
        <s v="Other Commission Payable"/>
        <s v="Policy Loans Receivable - Prepayments G"/>
        <s v="Other receiv.-impairm allow -General OI"/>
        <s v="Other receiv.-impairm allow -Specific"/>
        <s v="VAT/GST Recoverable - Input"/>
        <s v="Value Added Taxes Recoverable - Input -"/>
        <s v="VAT/GST Recoverable - Input - Apportion"/>
        <s v="Other Taxes Receivable and prepaid"/>
        <s v="Current Income Tax Receivable"/>
        <s v="Credit expenses for training"/>
        <s v="Fixed assets tax credit - 4%"/>
        <s v="Other Receivables - Leasing"/>
        <s v="Corporate Income Tax Receivable"/>
        <s v="Software - Acquired - Cost Value Gross"/>
        <s v="Software - Acquired - Amortisation/ Imp"/>
        <s v="Furniture - Cost Value Gross"/>
        <s v="Furniture - Accumulated Amortisation/Im"/>
        <s v="Furniture-Acc Amortisation/Impairment n"/>
        <s v="Fixtures and Fittings - Cost Value Gros"/>
        <s v="Fixtures and Fittings - AccAmorti/Impai"/>
        <s v="Office Equipment - Cost Value Gross"/>
        <s v="Office Equipment - AccAmorti/Impairm"/>
        <s v="Data Processing Equipment - Cost Value"/>
        <s v="Data Processing Equipment -AccAmorti/Im"/>
        <s v="Leasehold Improvement - Cost Value Gros"/>
        <s v="Leasehold Improvement - AccAmorti/Impai"/>
        <s v="Other Fixed Assets - Cost Value Gross -"/>
        <s v="Art, Antiques - Cost Value Gross"/>
        <s v="Work in progress, unfinished services"/>
        <s v="Deferred Income Tax Assets"/>
        <s v="Accrued Premiums - Ceded"/>
        <s v="Future Life PH Benefit Liab- Regular -"/>
        <s v="Future Life Policy Benefit Liab - Off B"/>
        <s v="Reserve for Losses Pec montly Payments"/>
        <s v="Reserve for Losses Monthly Payments"/>
        <s v="Reserve Life Unearned Premiums(short du"/>
        <s v="Res. Future Life Policy Benefit Liab. -"/>
        <s v="Reserve for Life UPR (short duration) C"/>
        <s v="PHs' Contract Deposit Liabilities - Dir"/>
        <s v="Reserve for Premium Rebates - Direct"/>
        <s v="Reserve for Suspensions"/>
        <s v="Reserve long-term Life Premium Def. - D"/>
        <s v="ReserveforLongTermLifePremiumDeficienci"/>
        <s v="Reserve for life short term claims - di"/>
        <s v="Res Life Losses IBNR-Direct-Dir Insuran"/>
        <s v="Reserve for life short term claims - Ce"/>
        <s v="Reserve for ST Life Losses IBNR - All R"/>
        <s v="UL rel TBR UL Funds (ins contract) - Di"/>
        <s v="UL rel PHDivUL Funds (ins contract) - D"/>
        <s v="Reserves for Unit Linked Insurance - Di"/>
        <s v="Redemptions Payment / Other Values - VG"/>
        <s v="Amounts Due to Policyholders"/>
        <s v="Pension Payments control"/>
        <s v="Amounts Due to Agents &amp; Intermed O/S Co"/>
        <s v="Amounts Due to Agents and Intermed.  Em"/>
        <s v="Amounts Due to Brokers/Entrepreneurs OI"/>
        <s v="AP from Co-insurance Outward Leading"/>
        <s v="OI Rev 25351"/>
        <s v="Amounts Due to Reinsurers -AP"/>
        <s v="Amounts Due to Reinsurers"/>
        <s v="Cash Dividends Payable to Shareholders"/>
        <s v="Other Non Tech Payables - Stamp Duty"/>
        <s v="Other Payables - OI"/>
        <s v="OthP for legal assistance - due in less"/>
        <s v="Human Resources Expenses"/>
        <s v="Collective Insurance Life"/>
        <s v="Other Judicial payable"/>
        <s v="Other provisions"/>
        <s v="Transitory account - Released Manuals"/>
        <s v="Other Payables - Banking"/>
        <s v="Other Payables - policy loans - prepaym"/>
        <s v="Other Payables - Real Estate - payables"/>
        <s v="Open Item fx reval adj 25402"/>
        <s v="Other Non Tech Payab Affiliate/Linked A"/>
        <s v="Other Payables - AP"/>
        <s v="Other Payables"/>
        <s v="Other Payables Social Security Institut"/>
        <s v="Other payables - AR/AP Ageing Regroup 3"/>
        <s v="Staff - deductions"/>
        <s v="Staff- deductions-AP"/>
        <s v="Salary in Transit HR"/>
        <s v="Expense Office / HR Suspense Account"/>
        <s v="Other Payables in context of Social Sec"/>
        <s v="Stale Cheques-OI-IoM"/>
        <s v="Collection: Clear Account Policy Loans"/>
        <s v="Settlement Account Dividends"/>
        <s v="Amts Due to Polhlders - Premiums Paidin"/>
        <s v="Suspense account automat. booking of Pr"/>
        <s v="Payable to Pension Fund-OI"/>
        <s v="FX Rev 25451"/>
        <s v="VAT/GST Payable - Output"/>
        <s v="Tax payable Tax at source on salaries"/>
        <s v="Withholdig Taxes on Dividend Payout"/>
        <s v="Tax at source on insurance benefits dom"/>
        <s v="Other Taxes Payable - Agents Remunerati"/>
        <s v="Oth Taxes Payable Inc Tax retained of e"/>
        <s v="Withholding tax on professional activit"/>
        <s v="Withholding tax for non resident"/>
        <s v="Withholding tax for Board Directors"/>
        <s v="Litigation Provisions"/>
        <s v="Provision for vacation entitlement"/>
        <s v="Provision for other staff related expen"/>
        <s v="Other Expense Provisions"/>
        <s v="Provision for VAT supplementary payment"/>
        <s v="Provision for Current Income Taxes"/>
        <s v="Open item FX reval. Adjust 25301"/>
        <s v="Open item FX reval. Adjust 25401"/>
        <s v="Collateral obligation from derivative t"/>
        <s v="Accrued Commission - Ceded"/>
        <s v="Accruals for audit fees"/>
        <s v="Other Accrued Expenses"/>
        <s v="Provision for Long Service Leave - GEMS"/>
        <s v="Provision for Agent Convention Expense"/>
        <s v="Accrued Local Short Term Incentive Plan"/>
        <s v="Share Capital - Common (Voting) Stock"/>
        <s v="URG - shadow LAT PH Dividend reserve"/>
        <s v="Retained Earnings-Profits/Losses from P"/>
        <s v="Statutory Reserve"/>
        <s v="Free Statutory Reserve"/>
        <s v="Current Y Dividen on Common Stock Decla"/>
        <s v="Current Y Dividend on Prefer Stock Paid"/>
        <s v="Written Premium Income - Direct - PP"/>
        <s v="Estimated Premiums - RVNE"/>
        <s v="Written Premium Income-Direct Annuities"/>
        <s v="Premium Cancellations - Direct"/>
        <s v="Written Premium Income - Ceded"/>
        <s v="Reinstatement Premium ceded"/>
        <s v="Bad Debt Exp premium related - General"/>
        <s v="Bad Debt Exp premium related - Specific"/>
        <s v="Change in Unearned Premium Reserve - Di"/>
        <s v="Change in Unearned Premium Reserve - Ce"/>
        <s v="Other Technical Income - Non-UL contrac"/>
        <s v="Other techn Income: Related Services"/>
        <s v="Rent Income Own Use Aff"/>
        <s v="Other Technical income-Other"/>
        <s v="Other Income Insurance Operations"/>
        <s v="Rental Income from Land/Buildings -Own"/>
        <s v="Claims Paid - Assumed"/>
        <s v="Life Ben Paid  (FLPHB) - Direct - Death"/>
        <s v="Life Ben Paid(FLPHB) -Dir-Health Ben"/>
        <s v="Life Ben Paid(FLPHB)-Dir-Surr."/>
        <s v="Life Ben Paid(FLPHB)-Dir-Maturities"/>
        <s v="Life Ben Paid - Direct - Annuity Paymen"/>
        <s v="Life Ben Paid (FLPHB)- Ceded - All Risk"/>
        <s v="Life Ben Paid (FLPHB) - Ceded - Annuity"/>
        <s v="Change Reserve Life PH Ben- Direct"/>
        <s v="Chg Res - Ins Contr (UL) Financing TBR_"/>
        <s v="Change Reserve for Unearned Premiums-Li"/>
        <s v="Change Reserve for Life Loss- Case-Sett"/>
        <s v="Change Reserve for Life Loss- IBNR - Di"/>
        <s v="Change Reserve Life PH Ben - Ceded"/>
        <s v="Change in Reserve for life short term c"/>
        <s v="Change Reserve for Life Loss IBNR - Ced"/>
        <s v="Chge Reserve for LT Life Prem. Deficien"/>
        <s v="Chge Res LT Life Premium Deficiences -"/>
        <s v="Chge in Reserve for life short term cla"/>
        <s v="Commission on Premiums - Reinsurance Ce"/>
        <s v="Underwriting &amp; Acquisition Cost-Commiss"/>
        <s v="Underwr. &amp; Acqu. Costs Oth Direct Servi"/>
        <s v="UW&amp;A. - Direct - Additional compensatio"/>
        <s v="Underwriting &amp; Acquisition Costs - Othe"/>
        <s v="Underwriting &amp; Acquisition Costs - Cede"/>
        <s v="Underwriting &amp; Acqn Cost-Comm-Ceded-Pro"/>
        <s v="Interest on Cash - 3rd  - (Investment)"/>
        <s v="Dividend Income on Common Stock"/>
        <s v="Interest Income on Bonds - Others"/>
        <s v="Interest Income on Bonds AfS - Corp - s"/>
        <s v="Amortisation of Premium/Discount - Swap"/>
        <s v="Rent Income"/>
        <s v="Interest Income on Mortgage Loans"/>
        <s v="Interest Income on Policy Loans"/>
        <s v="Interest Income - Temporary Loans &amp; Pre"/>
        <s v="Interest income on receivables under fi"/>
        <s v="Imp Interest income on receivables unde"/>
        <s v="Gains on Common Stock - AfS"/>
        <s v="Gains on Disposal of Equity Method Acco"/>
        <s v="Gains on Unit Trust - Stock - AfS"/>
        <s v="Gains on Bonds - AfS"/>
        <s v="Gains on Land Held for Investment"/>
        <s v="Gains on Mortgage Loans"/>
        <s v="Gains on Other Loans"/>
        <s v="UL Gains on Unit Trusts - Bonds - FV P&amp;"/>
        <s v="UL Gains on Unit Trusts - Stock - FV P&amp;"/>
        <s v="Losses on Common Stock - AfS"/>
        <s v="Losses on Unit Trusts - Stock - AfS"/>
        <s v="Losses on Unit Trusts - Buildings - AfS"/>
        <s v="Losses on Bonds - AfS"/>
        <s v="Losses on Buildings Held for Investment"/>
        <s v="Losses on Mortgage Loans"/>
        <s v="UL Losses on Unit Trusts - Bonds - FV P"/>
        <s v="UL Losses on Unit Trusts - Stock - FV P"/>
        <s v="Impairments on Mortgage Loans"/>
        <s v="Unrealised FX Gains on Cash"/>
        <s v="Unrealised FX Gains on Bonds"/>
        <s v="Realised FX Gains on Cash"/>
        <s v="Realised FX Gains on Bonds"/>
        <s v="Unrealised FX Losses on Cash"/>
        <s v="Realised FX Losses on Cash"/>
        <s v="Realised FX Losses on Bonds"/>
        <s v="Gains &amp; Losses on FX Forwards - Real FX"/>
        <s v="Unrealised FX Gains on Accounts Receiva"/>
        <s v="Unrealised FX Gains on Other Assets"/>
        <s v="Unrealised FX Gains on Technical Reserv"/>
        <s v="Unrealised FX Gains on Accounts Payable"/>
        <s v="Unrealised FX Gains on Other Liabilitie"/>
        <s v="Unrealized FX Gains - Other"/>
        <s v="Realised FX Gains on Accounts Receivabl"/>
        <s v="Realised FX Gains on Other Assets"/>
        <s v="Realised FX Gains on Accounts Payables"/>
        <s v="Realized FX Gains - Other"/>
        <s v="Unrealised FX Losses on Accounts Receiv"/>
        <s v="Unrealised FX Losses on Other Assets"/>
        <s v="Unrealised FX Losses on Technical Reser"/>
        <s v="Unrealised FX Losses on Accounts Payabl"/>
        <s v="Unrealised FX Losses on Other Liabiliti"/>
        <s v="Unrealized FX Losses - Other"/>
        <s v="Realised FX Losses on Accounts Receivab"/>
        <s v="Realised FX Losses on Technical Reserve"/>
        <s v="Realised FX Losses on Accounts Payables"/>
        <s v="Realized FX Losses - Other"/>
        <s v="Gains on Disp/Ret of Furniture"/>
        <s v="Gains on Disp/Ret of Fixtures and Fitti"/>
        <s v="Gains on Disp/Ret of Data Processing Eq"/>
        <s v="Income from unassigned payments / colle"/>
        <s v="Losses on Disp/Ret of Data Processing E"/>
        <s v="Current Income Tax Expenses - for Curre"/>
        <s v="Current Income Tax Expenses - for Prior"/>
        <s v="Deferred Income Tax Expenses - for Curr"/>
        <s v="Indemnity costs agents"/>
        <s v="Cashing expenses"/>
        <s v="Xmas party costs"/>
        <s v="Other commissions GI"/>
        <s v="Base salaries"/>
        <s v="Overtime"/>
        <s v="Other fixed salary components"/>
        <s v="Leave Allowance"/>
        <s v="Gratifications to Employees / Operating"/>
        <s v="Vacation Premium / OPERATING"/>
        <s v="Compensation for Antiquity / OPERATING"/>
        <s v="Staff Claims Adjusters Fees"/>
        <s v="Other bonuses"/>
        <s v="Officer' Bonuses"/>
        <s v="Social Security Expenses"/>
        <s v="Public transportation fee / ACQUISITION"/>
        <s v="Insurance premiums employee / OPERATING"/>
        <s v="Sport and social clubs and activities"/>
        <s v="Special allowances: housing cost, reloc"/>
        <s v="Miscellaneous employee expense"/>
        <s v="Internal training"/>
        <s v="External training"/>
        <s v="External Training - Overseas"/>
        <s v="Agency Training"/>
        <s v="Maintenance expenses - PCs"/>
        <s v="Software licenses"/>
        <s v="SW Development 3rd Party"/>
        <s v="Mobile Phone  Call charges"/>
        <s v="External information services"/>
        <s v="Bloomberg"/>
        <s v="Phone Costs Third Party"/>
        <s v="Telecom &amp; Network Expenses"/>
        <s v="Insurance Market and Competitor Insight"/>
        <s v="Brand and Communication Research"/>
        <s v="Customer Research"/>
        <s v="Brand management"/>
        <s v="Brand Devel &amp; Production - TV advert"/>
        <s v="Brand Media - radio advertising"/>
        <s v="Brand Media - print advertising"/>
        <s v="Tactical Media - print advertising"/>
        <s v="Fairs, trade shows &amp; exhibitions"/>
        <s v="3rd party events"/>
        <s v="Business events"/>
        <s v="Social events"/>
        <s v="Hospitality events"/>
        <s v="Sales force events - comp, prize &amp; ince"/>
        <s v="Strategic Partnership agreements"/>
        <s v="Social sponsoring"/>
        <s v="Business and association sponsoring"/>
        <s v="Agents/Brokers Promotional Co-Marketing"/>
        <s v="Promotional gifts other costs"/>
        <s v="Direct Response TV Marketing"/>
        <s v="Direct Marketing /Other"/>
        <s v="Direct mailing customer acquisition"/>
        <s v="Web Online display advertising"/>
        <s v="Web Search engine marketing"/>
        <s v="Web development"/>
        <s v="Marketing PR"/>
        <s v="Prizes to 3rd party"/>
        <s v="Advertising other"/>
        <s v="Rent to external parties"/>
        <s v="Rental cost for parking space"/>
        <s v="Rental Charge IN"/>
        <s v="Service charge expense"/>
        <s v="Dismantlement, Removal, Restoration cos"/>
        <s v="Building expenses - other"/>
        <s v="Other cleaning"/>
        <s v="Other cleaning / OPERATING"/>
        <s v="Gardening"/>
        <s v="Airconditioning"/>
        <s v="Security"/>
        <s v="Electricity"/>
        <s v="Water"/>
        <s v="Gas and other fuels"/>
        <s v="Gas and other fuels / ACQUISITION"/>
        <s v="Other utilities"/>
        <s v="Renovation &amp; Rebuilding (third parties)"/>
        <s v="Other maintenance - building (own use)"/>
        <s v="Office Maintenance"/>
        <s v="Postage"/>
        <s v="External courier services"/>
        <s v="Other postal expense"/>
        <s v="Printing costs"/>
        <s v="Stationery &amp; Paper"/>
        <s v="Books, Journals"/>
        <s v="Repairs and Maintenance of Equipment an"/>
        <s v="Rental Other"/>
        <s v="Consumable Equipment and Materials / OP"/>
        <s v="Expenses Parking"/>
        <s v="Hired vehicles / ACQUISITION"/>
        <s v="Other Travel expense Domestic"/>
        <s v="Local Travel-MV"/>
        <s v="Int Travel-MV"/>
        <s v="Travel and Subsistence Expenses Not ded"/>
        <s v="Entertainment Employees"/>
        <s v="Staff Meal Ent=&gt;$300pp meals"/>
        <s v="Staff Meal Entertainmt&lt;$300pp &amp; Freq"/>
        <s v="Employee gifts, prizes &amp; incentives"/>
        <s v="Internal communication"/>
        <s v="Entertain Employees Special Events excl"/>
        <s v="Company Car Repair &amp; maintenance"/>
        <s v="Refunds Other travel and entertainment"/>
        <s v="Recruitment agencies"/>
        <s v="Other recruitment expenses"/>
        <s v="Consultants Non IT BIZ"/>
        <s v="Consultants BC"/>
        <s v="Tax consultants"/>
        <s v="Legal Prof Services"/>
        <s v="Legal dispute costs claims"/>
        <s v="Actuarial Services"/>
        <s v="Other external Professional Service exp"/>
        <s v="Professional Services - Payroll"/>
        <s v="Outsourcing expense / ACQUISITION"/>
        <s v="Outsourcing expense / OPERATING"/>
        <s v="Client data collection ext."/>
        <s v="Telephone services ext."/>
        <s v="Medical Fees"/>
        <s v="Medical fees - claims"/>
        <s v="Medical fees - underwriting &amp; issue"/>
        <s v="Other Third Party Services"/>
        <s v="Facility management ext."/>
        <s v="Bank charges"/>
        <s v="3rd Party Admin System Transaction Fees"/>
        <s v="Credit card charges"/>
        <s v="Other Banking Charges"/>
        <s v="BankGuarantee"/>
        <s v="Financing fees"/>
        <s v="Asset Manager Fees"/>
        <s v="Custody Account Fees"/>
        <s v="Real Estate External Manangement (Inves"/>
        <s v="Real Estate Maintenance / Repairs (Inve"/>
        <s v="Real Estate - Other  (Investment Relate"/>
        <s v="Insurance premiums"/>
        <s v="Insurance premiums Revenue"/>
        <s v="Business License"/>
        <s v="Donations"/>
        <s v="Donation-TaxExempt"/>
        <s v="Other admin expenses"/>
        <s v="Legal Publications - Financial Statemen"/>
        <s v="Others Expenses Administratives - Penal"/>
        <s v="Other Administration Expenses - Direct"/>
        <s v="Chamber of industry and commerce fees"/>
        <s v="Regulator fees"/>
        <s v="Advisory board expenses"/>
        <s v="Expense Assistance Conventions Not dedu"/>
        <s v="Expenses of Collection - DPVAT"/>
        <s v="Broker Payments (Non Transactional)"/>
        <s v="Office Relocation expenses"/>
        <s v="Other General expenses"/>
        <s v="Professional fee"/>
        <s v="Other fees and contributions"/>
        <s v="Other Costs"/>
        <s v="Other expenses, non tax deductible"/>
        <s v="Technical Services - Evaluation"/>
        <s v="Expenses Data Transmission"/>
        <s v="Expense Young Apprentice Program"/>
        <s v="Specialized Third Party Service - Other"/>
        <s v="Professional fee / OPERATING"/>
        <s v="Legal Costs - Civel Lawsuits"/>
        <s v="Provision - Other Deposits"/>
        <s v="Expenses Operating Loss - Pension- Erro"/>
        <s v="Expenses - Payment of Lawsuits - Labor"/>
        <s v="Expenses Expedient - Legal Expenses-Not"/>
        <s v="Others Expenses Administratives"/>
        <s v="Costs of sales servic. (concern foreign"/>
        <s v="VAT/GST as expense"/>
        <s v="Property taxes / OPERATING"/>
        <s v="BoP Excempt Other restructuring costs"/>
        <s v="Other Charges received in"/>
        <s v="Allocation of Services to Employees HR"/>
        <s v="Investments Services"/>
        <s v="Other Investment Expenses - Group Inv"/>
        <s v="IT - Shared Service Charges"/>
        <s v="Management fee charges IN"/>
        <s v="D &amp; O insurance charges"/>
        <s v="GSS Center Charges IN"/>
        <s v="Licence Fee Accrued"/>
        <s v="Other Property Charge Out (Local)"/>
        <s v="Management Fees"/>
        <s v="Global long term incentive plan (LTIP)"/>
        <s v="Local Short Term Variable Pay Current Y"/>
        <s v="Local STIP Internat. Assignees Current"/>
        <s v="Local STIP Internat. Assignees Previous"/>
        <s v="Group auditor - Recurring audit fees, e"/>
        <s v="Group auditor - Non-recurring audit fee"/>
        <s v="Expenses Audit fees - MCEV Actuarial"/>
        <s v="Build held for own use reg depn tech"/>
        <s v="Amort of Building Held for Investiment"/>
        <s v="Amort of Furniture Tech"/>
        <s v="Amort of Fixtures and Fittings Tech"/>
        <s v="Amort of Office Equipment - OtherTech"/>
        <s v="Amort of PCs Tech"/>
        <s v="Amort of other Gen Hardware Tech"/>
        <s v="Amort of Leasehold Improvement Tech"/>
        <s v="Amortis of software - acquired Tech"/>
        <s v="Contra Acc Acquisition:18707"/>
        <s v="Contra Acc Acquisition: Leasehold Impro"/>
        <s v="Contra Acc Acquisition:General Hardware"/>
        <s v="Contra Acc Acquisition:Acquired Softwar"/>
        <s v="Contra Acc Acquisition:Leasehold Buildi"/>
        <s v="Contra AccAcquisition Investment Buildi"/>
        <s v="Document Split Clearing Accounts."/>
      </sharedItems>
    </cacheField>
    <cacheField name="(01.2018-03.2018)" numFmtId="0">
      <sharedItems containsSemiMixedTypes="0" containsString="0" containsNumber="1" containsInteger="1" minValue="-1495813864013" maxValue="1026231825390"/>
    </cacheField>
    <cacheField name="(01.2017-12.2017)" numFmtId="0">
      <sharedItems containsSemiMixedTypes="0" containsString="0" containsNumber="1" containsInteger="1" minValue="-1470159849072" maxValue="99681167343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302">
  <r>
    <s v="CLLS"/>
    <x v="0"/>
    <x v="0"/>
    <n v="19307680543"/>
    <n v="12468169543"/>
  </r>
  <r>
    <s v="CLLS"/>
    <x v="1"/>
    <x v="1"/>
    <n v="15005281"/>
    <n v="15005281"/>
  </r>
  <r>
    <s v="CLLS"/>
    <x v="2"/>
    <x v="2"/>
    <n v="72316172"/>
    <n v="44828172"/>
  </r>
  <r>
    <s v="CLLS"/>
    <x v="3"/>
    <x v="3"/>
    <n v="2338335737"/>
    <n v="2302636555"/>
  </r>
  <r>
    <s v="CLLS"/>
    <x v="4"/>
    <x v="4"/>
    <n v="633063800"/>
    <n v="409752902"/>
  </r>
  <r>
    <s v="CLLS"/>
    <x v="5"/>
    <x v="5"/>
    <n v="193714056"/>
    <n v="1986397205"/>
  </r>
  <r>
    <s v="CLLS"/>
    <x v="6"/>
    <x v="6"/>
    <n v="13874203"/>
    <n v="585869943"/>
  </r>
  <r>
    <s v="CLLS"/>
    <x v="7"/>
    <x v="7"/>
    <n v="12446814"/>
    <n v="453766442"/>
  </r>
  <r>
    <s v="CLLS"/>
    <x v="8"/>
    <x v="8"/>
    <n v="357632415"/>
    <n v="13388587"/>
  </r>
  <r>
    <s v="CLLS"/>
    <x v="9"/>
    <x v="9"/>
    <n v="5227711231"/>
    <n v="5243402076"/>
  </r>
  <r>
    <s v="CLLS"/>
    <x v="10"/>
    <x v="10"/>
    <n v="38794"/>
    <n v="38794"/>
  </r>
  <r>
    <s v="CLLS"/>
    <x v="11"/>
    <x v="11"/>
    <n v="120838924"/>
    <n v="55967197"/>
  </r>
  <r>
    <s v="CLLS"/>
    <x v="12"/>
    <x v="12"/>
    <n v="228093795"/>
    <n v="2941492721"/>
  </r>
  <r>
    <s v="CLLS"/>
    <x v="13"/>
    <x v="13"/>
    <n v="57080134"/>
    <n v="86626907"/>
  </r>
  <r>
    <s v="CLLS"/>
    <x v="14"/>
    <x v="14"/>
    <n v="42623435"/>
    <n v="42623435"/>
  </r>
  <r>
    <s v="CLLS"/>
    <x v="15"/>
    <x v="15"/>
    <n v="129952660"/>
    <n v="129952660"/>
  </r>
  <r>
    <s v="CLLS"/>
    <x v="16"/>
    <x v="16"/>
    <n v="210000000"/>
    <n v="0"/>
  </r>
  <r>
    <s v="CLLS"/>
    <x v="17"/>
    <x v="17"/>
    <n v="543289"/>
    <n v="578773"/>
  </r>
  <r>
    <s v="CLLS"/>
    <x v="18"/>
    <x v="18"/>
    <n v="36357270"/>
    <n v="127845601"/>
  </r>
  <r>
    <s v="CLLS"/>
    <x v="19"/>
    <x v="19"/>
    <n v="66908554"/>
    <n v="55518651"/>
  </r>
  <r>
    <s v="CLLS"/>
    <x v="20"/>
    <x v="20"/>
    <n v="157175875"/>
    <n v="67821098"/>
  </r>
  <r>
    <s v="CLLS"/>
    <x v="21"/>
    <x v="21"/>
    <n v="-494017996"/>
    <n v="-494017996"/>
  </r>
  <r>
    <s v="CLLS"/>
    <x v="21"/>
    <x v="21"/>
    <n v="464374847"/>
    <n v="470010528"/>
  </r>
  <r>
    <s v="CLLS"/>
    <x v="21"/>
    <x v="21"/>
    <n v="-725731115"/>
    <n v="-725970598"/>
  </r>
  <r>
    <s v="CLLS"/>
    <x v="21"/>
    <x v="21"/>
    <n v="-70079153"/>
    <n v="-76169555"/>
  </r>
  <r>
    <s v="CLLS"/>
    <x v="21"/>
    <x v="21"/>
    <n v="72739419"/>
    <n v="72842666"/>
  </r>
  <r>
    <s v="CLLS"/>
    <x v="21"/>
    <x v="21"/>
    <n v="-1475520"/>
    <n v="-1181326"/>
  </r>
  <r>
    <s v="CLLS"/>
    <x v="21"/>
    <x v="21"/>
    <n v="-2563317"/>
    <n v="-2595024"/>
  </r>
  <r>
    <s v="CLLS"/>
    <x v="21"/>
    <x v="21"/>
    <n v="-63092417"/>
    <n v="-66089650"/>
  </r>
  <r>
    <s v="CLLS"/>
    <x v="21"/>
    <x v="21"/>
    <n v="-43579196"/>
    <n v="-44096080"/>
  </r>
  <r>
    <s v="CLLS"/>
    <x v="21"/>
    <x v="21"/>
    <n v="-6106875"/>
    <n v="-5281307"/>
  </r>
  <r>
    <s v="CLLS"/>
    <x v="21"/>
    <x v="21"/>
    <n v="-1567450"/>
    <n v="-1436185"/>
  </r>
  <r>
    <s v="CLLS"/>
    <x v="21"/>
    <x v="21"/>
    <n v="-4608127"/>
    <n v="-4414318"/>
  </r>
  <r>
    <s v="CLLS"/>
    <x v="21"/>
    <x v="21"/>
    <n v="-1271665"/>
    <n v="-1036621"/>
  </r>
  <r>
    <s v="CLLS"/>
    <x v="21"/>
    <x v="21"/>
    <n v="412625"/>
    <n v="461996"/>
  </r>
  <r>
    <s v="CLLS"/>
    <x v="21"/>
    <x v="21"/>
    <n v="-61285"/>
    <n v="-15756"/>
  </r>
  <r>
    <s v="CLLS"/>
    <x v="21"/>
    <x v="21"/>
    <n v="-247899"/>
    <n v="-216064"/>
  </r>
  <r>
    <s v="CLLS"/>
    <x v="21"/>
    <x v="21"/>
    <n v="-4900085"/>
    <n v="-4570672"/>
  </r>
  <r>
    <s v="CLLS"/>
    <x v="21"/>
    <x v="21"/>
    <n v="-1388310"/>
    <n v="-1306948"/>
  </r>
  <r>
    <s v="CLLS"/>
    <x v="21"/>
    <x v="21"/>
    <n v="4889937"/>
    <n v="4876145"/>
  </r>
  <r>
    <s v="CLLS"/>
    <x v="21"/>
    <x v="21"/>
    <n v="14615"/>
    <n v="0"/>
  </r>
  <r>
    <s v="CLLS"/>
    <x v="21"/>
    <x v="21"/>
    <n v="909437970"/>
    <n v="909437970"/>
  </r>
  <r>
    <s v="CLLS"/>
    <x v="22"/>
    <x v="22"/>
    <n v="77284"/>
    <n v="0"/>
  </r>
  <r>
    <s v="CLLS"/>
    <x v="23"/>
    <x v="23"/>
    <n v="8375398550"/>
    <n v="6603126197"/>
  </r>
  <r>
    <s v="CLLS"/>
    <x v="24"/>
    <x v="24"/>
    <n v="8364191430"/>
    <n v="7133116098"/>
  </r>
  <r>
    <s v="CLLS"/>
    <x v="25"/>
    <x v="25"/>
    <n v="20307161527"/>
    <n v="17586461782"/>
  </r>
  <r>
    <s v="CLLS"/>
    <x v="26"/>
    <x v="26"/>
    <n v="5463590111"/>
    <n v="5254033106"/>
  </r>
  <r>
    <s v="CLLS"/>
    <x v="27"/>
    <x v="27"/>
    <n v="81195062"/>
    <n v="176664526"/>
  </r>
  <r>
    <s v="CLLS"/>
    <x v="28"/>
    <x v="28"/>
    <n v="200747135014"/>
    <n v="202454925832"/>
  </r>
  <r>
    <s v="CLLS"/>
    <x v="29"/>
    <x v="29"/>
    <n v="2665975323"/>
    <n v="2650245638"/>
  </r>
  <r>
    <s v="CLLS"/>
    <x v="30"/>
    <x v="30"/>
    <n v="1026231825390"/>
    <n v="996811673432"/>
  </r>
  <r>
    <s v="CLLS"/>
    <x v="31"/>
    <x v="31"/>
    <n v="66719473306"/>
    <n v="66330124502"/>
  </r>
  <r>
    <s v="CLLS"/>
    <x v="32"/>
    <x v="32"/>
    <n v="615271459"/>
    <n v="667418394"/>
  </r>
  <r>
    <s v="CLLS"/>
    <x v="33"/>
    <x v="33"/>
    <n v="40554120907"/>
    <n v="40272215399"/>
  </r>
  <r>
    <s v="CLLS"/>
    <x v="34"/>
    <x v="34"/>
    <n v="-769896565"/>
    <n v="-632224936"/>
  </r>
  <r>
    <s v="CLLS"/>
    <x v="35"/>
    <x v="35"/>
    <n v="-10953355673"/>
    <n v="-10443019689"/>
  </r>
  <r>
    <s v="CLLS"/>
    <x v="36"/>
    <x v="36"/>
    <n v="124473015712"/>
    <n v="123328745746"/>
  </r>
  <r>
    <s v="CLLS"/>
    <x v="36"/>
    <x v="36"/>
    <n v="25960059"/>
    <n v="25960059"/>
  </r>
  <r>
    <s v="CLLS"/>
    <x v="37"/>
    <x v="37"/>
    <n v="127750550226"/>
    <n v="126041788266"/>
  </r>
  <r>
    <s v="CLLS"/>
    <x v="38"/>
    <x v="38"/>
    <n v="5204991228"/>
    <n v="5354366322"/>
  </r>
  <r>
    <s v="CLLS"/>
    <x v="39"/>
    <x v="39"/>
    <n v="-273112485"/>
    <n v="-234912751"/>
  </r>
  <r>
    <s v="CLLS"/>
    <x v="40"/>
    <x v="40"/>
    <n v="2377051173"/>
    <n v="2384653376"/>
  </r>
  <r>
    <s v="CLLS"/>
    <x v="41"/>
    <x v="41"/>
    <n v="131848875"/>
    <n v="90673091"/>
  </r>
  <r>
    <s v="CLLS"/>
    <x v="42"/>
    <x v="42"/>
    <n v="412545405"/>
    <n v="417648387"/>
  </r>
  <r>
    <s v="CLLS"/>
    <x v="43"/>
    <x v="43"/>
    <n v="158258071"/>
    <n v="158258071"/>
  </r>
  <r>
    <s v="CLLS"/>
    <x v="44"/>
    <x v="44"/>
    <n v="-29798367"/>
    <n v="-78694977"/>
  </r>
  <r>
    <s v="CLLS"/>
    <x v="45"/>
    <x v="45"/>
    <n v="137842726275"/>
    <n v="141547736021"/>
  </r>
  <r>
    <s v="CLLS"/>
    <x v="46"/>
    <x v="46"/>
    <n v="8026550802"/>
    <n v="8044133158"/>
  </r>
  <r>
    <s v="CLLS"/>
    <x v="47"/>
    <x v="47"/>
    <n v="81839744752"/>
    <n v="81462950276"/>
  </r>
  <r>
    <s v="CLLS"/>
    <x v="48"/>
    <x v="48"/>
    <n v="78870570203"/>
    <n v="81444850129"/>
  </r>
  <r>
    <s v="CLLS"/>
    <x v="49"/>
    <x v="49"/>
    <n v="79031059464"/>
    <n v="79611327604"/>
  </r>
  <r>
    <s v="CLLS"/>
    <x v="50"/>
    <x v="50"/>
    <n v="-452483366"/>
    <n v="-360582610"/>
  </r>
  <r>
    <s v="CLLS"/>
    <x v="50"/>
    <x v="50"/>
    <n v="87527513"/>
    <n v="176424477"/>
  </r>
  <r>
    <s v="CLLS"/>
    <x v="50"/>
    <x v="50"/>
    <n v="63206686"/>
    <n v="51090662"/>
  </r>
  <r>
    <s v="CLLS"/>
    <x v="50"/>
    <x v="50"/>
    <n v="2372191"/>
    <n v="10019732"/>
  </r>
  <r>
    <s v="CLLS"/>
    <x v="50"/>
    <x v="50"/>
    <n v="9318125"/>
    <n v="7670811"/>
  </r>
  <r>
    <s v="CLLS"/>
    <x v="50"/>
    <x v="50"/>
    <n v="4829879"/>
    <n v="8133062"/>
  </r>
  <r>
    <s v="CLLS"/>
    <x v="50"/>
    <x v="50"/>
    <n v="3865881"/>
    <n v="3865813"/>
  </r>
  <r>
    <s v="CLLS"/>
    <x v="50"/>
    <x v="50"/>
    <n v="1240733"/>
    <n v="4420859"/>
  </r>
  <r>
    <s v="CLLS"/>
    <x v="50"/>
    <x v="50"/>
    <n v="39108149"/>
    <n v="44090239"/>
  </r>
  <r>
    <s v="CLLS"/>
    <x v="50"/>
    <x v="50"/>
    <n v="14525997"/>
    <n v="17455636"/>
  </r>
  <r>
    <s v="CLLS"/>
    <x v="50"/>
    <x v="50"/>
    <n v="5316900"/>
    <n v="13930505"/>
  </r>
  <r>
    <s v="CLLS"/>
    <x v="50"/>
    <x v="50"/>
    <n v="336319"/>
    <n v="326459"/>
  </r>
  <r>
    <s v="CLLS"/>
    <x v="50"/>
    <x v="50"/>
    <n v="12045630"/>
    <n v="10985801"/>
  </r>
  <r>
    <s v="CLLS"/>
    <x v="50"/>
    <x v="50"/>
    <n v="201855"/>
    <n v="400500"/>
  </r>
  <r>
    <s v="CLLS"/>
    <x v="50"/>
    <x v="50"/>
    <n v="1202620"/>
    <n v="1779634"/>
  </r>
  <r>
    <s v="CLLS"/>
    <x v="51"/>
    <x v="51"/>
    <n v="-6122826"/>
    <n v="1037680"/>
  </r>
  <r>
    <s v="CLLS"/>
    <x v="52"/>
    <x v="52"/>
    <n v="-14815928"/>
    <n v="-100448328"/>
  </r>
  <r>
    <s v="CLLS"/>
    <x v="53"/>
    <x v="53"/>
    <n v="293998"/>
    <n v="-13901"/>
  </r>
  <r>
    <s v="CLLS"/>
    <x v="54"/>
    <x v="8"/>
    <n v="-108832512"/>
    <n v="-4123619"/>
  </r>
  <r>
    <s v="CLLS"/>
    <x v="55"/>
    <x v="54"/>
    <n v="-911109711"/>
    <n v="-835699960"/>
  </r>
  <r>
    <s v="CLLS"/>
    <x v="55"/>
    <x v="54"/>
    <n v="95847015"/>
    <n v="11208267"/>
  </r>
  <r>
    <s v="CLLS"/>
    <x v="55"/>
    <x v="54"/>
    <n v="10971064"/>
    <n v="12043276"/>
  </r>
  <r>
    <s v="CLLS"/>
    <x v="55"/>
    <x v="54"/>
    <n v="19872544"/>
    <n v="23214953"/>
  </r>
  <r>
    <s v="CLLS"/>
    <x v="55"/>
    <x v="54"/>
    <n v="7989780"/>
    <n v="17707529"/>
  </r>
  <r>
    <s v="CLLS"/>
    <x v="55"/>
    <x v="54"/>
    <n v="10820220"/>
    <n v="16804059"/>
  </r>
  <r>
    <s v="CLLS"/>
    <x v="55"/>
    <x v="54"/>
    <n v="26315558"/>
    <n v="41953824"/>
  </r>
  <r>
    <s v="CLLS"/>
    <x v="55"/>
    <x v="54"/>
    <n v="4308653"/>
    <n v="3777031"/>
  </r>
  <r>
    <s v="CLLS"/>
    <x v="55"/>
    <x v="54"/>
    <n v="1323452"/>
    <n v="1310404"/>
  </r>
  <r>
    <s v="CLLS"/>
    <x v="55"/>
    <x v="54"/>
    <n v="11051927"/>
    <n v="10150044"/>
  </r>
  <r>
    <s v="CLLS"/>
    <x v="55"/>
    <x v="54"/>
    <n v="4810965"/>
    <n v="6171573"/>
  </r>
  <r>
    <s v="CLLS"/>
    <x v="55"/>
    <x v="54"/>
    <n v="15252118"/>
    <n v="6905702"/>
  </r>
  <r>
    <s v="CLLS"/>
    <x v="55"/>
    <x v="54"/>
    <n v="45088012"/>
    <n v="53133618"/>
  </r>
  <r>
    <s v="CLLS"/>
    <x v="55"/>
    <x v="54"/>
    <n v="11353409"/>
    <n v="11726872"/>
  </r>
  <r>
    <s v="CLLS"/>
    <x v="56"/>
    <x v="55"/>
    <n v="284003353"/>
    <n v="108104955"/>
  </r>
  <r>
    <s v="CLLS"/>
    <x v="57"/>
    <x v="56"/>
    <n v="-2106253"/>
    <n v="0"/>
  </r>
  <r>
    <s v="CLLS"/>
    <x v="58"/>
    <x v="57"/>
    <n v="-209587517"/>
    <n v="-431929144"/>
  </r>
  <r>
    <s v="CLLS"/>
    <x v="58"/>
    <x v="57"/>
    <n v="28259038"/>
    <n v="18220718"/>
  </r>
  <r>
    <s v="CLLS"/>
    <x v="58"/>
    <x v="57"/>
    <n v="9860"/>
    <n v="9860"/>
  </r>
  <r>
    <s v="CLLS"/>
    <x v="58"/>
    <x v="57"/>
    <n v="130721"/>
    <n v="130721"/>
  </r>
  <r>
    <s v="CLLS"/>
    <x v="58"/>
    <x v="57"/>
    <n v="1377046"/>
    <n v="1377046"/>
  </r>
  <r>
    <s v="CLLS"/>
    <x v="59"/>
    <x v="58"/>
    <n v="-23867720"/>
    <n v="-22697625"/>
  </r>
  <r>
    <s v="CLLS"/>
    <x v="59"/>
    <x v="58"/>
    <n v="1754571"/>
    <n v="1754571"/>
  </r>
  <r>
    <s v="CLLS"/>
    <x v="59"/>
    <x v="58"/>
    <n v="245769"/>
    <n v="245769"/>
  </r>
  <r>
    <s v="CLLS"/>
    <x v="59"/>
    <x v="58"/>
    <n v="3320672"/>
    <n v="4005874"/>
  </r>
  <r>
    <s v="CLLS"/>
    <x v="59"/>
    <x v="58"/>
    <n v="178430"/>
    <n v="0"/>
  </r>
  <r>
    <s v="CLLS"/>
    <x v="59"/>
    <x v="58"/>
    <n v="2321697"/>
    <n v="2318197"/>
  </r>
  <r>
    <s v="CLLS"/>
    <x v="59"/>
    <x v="58"/>
    <n v="0"/>
    <n v="78858"/>
  </r>
  <r>
    <s v="CLLS"/>
    <x v="60"/>
    <x v="59"/>
    <n v="0"/>
    <n v="-6637181"/>
  </r>
  <r>
    <s v="CLLS"/>
    <x v="60"/>
    <x v="59"/>
    <n v="0"/>
    <n v="69378"/>
  </r>
  <r>
    <s v="CLLS"/>
    <x v="60"/>
    <x v="59"/>
    <n v="0"/>
    <n v="89048"/>
  </r>
  <r>
    <s v="CLLS"/>
    <x v="60"/>
    <x v="59"/>
    <n v="0"/>
    <n v="74450"/>
  </r>
  <r>
    <s v="CLLS"/>
    <x v="60"/>
    <x v="59"/>
    <n v="0"/>
    <n v="288582"/>
  </r>
  <r>
    <s v="CLLS"/>
    <x v="60"/>
    <x v="59"/>
    <n v="0"/>
    <n v="4676"/>
  </r>
  <r>
    <s v="CLLS"/>
    <x v="60"/>
    <x v="59"/>
    <n v="0"/>
    <n v="180029"/>
  </r>
  <r>
    <s v="CLLS"/>
    <x v="60"/>
    <x v="59"/>
    <n v="0"/>
    <n v="119636"/>
  </r>
  <r>
    <s v="CLLS"/>
    <x v="60"/>
    <x v="59"/>
    <n v="0"/>
    <n v="82537"/>
  </r>
  <r>
    <s v="CLLS"/>
    <x v="60"/>
    <x v="59"/>
    <n v="0"/>
    <n v="256377"/>
  </r>
  <r>
    <s v="CLLS"/>
    <x v="60"/>
    <x v="59"/>
    <n v="0"/>
    <n v="1162280"/>
  </r>
  <r>
    <s v="CLLS"/>
    <x v="60"/>
    <x v="59"/>
    <n v="0"/>
    <n v="59263"/>
  </r>
  <r>
    <s v="CLLS"/>
    <x v="60"/>
    <x v="59"/>
    <n v="0"/>
    <n v="375225"/>
  </r>
  <r>
    <s v="CLLS"/>
    <x v="61"/>
    <x v="17"/>
    <n v="-5578"/>
    <n v="-20937"/>
  </r>
  <r>
    <s v="CLLS"/>
    <x v="61"/>
    <x v="17"/>
    <n v="76855"/>
    <n v="0"/>
  </r>
  <r>
    <s v="CLLS"/>
    <x v="61"/>
    <x v="17"/>
    <n v="300583"/>
    <n v="149419"/>
  </r>
  <r>
    <s v="CLLS"/>
    <x v="61"/>
    <x v="17"/>
    <n v="382852"/>
    <n v="382852"/>
  </r>
  <r>
    <s v="CLLS"/>
    <x v="61"/>
    <x v="17"/>
    <n v="1687858"/>
    <n v="1687858"/>
  </r>
  <r>
    <s v="CLLS"/>
    <x v="62"/>
    <x v="18"/>
    <n v="-4859379"/>
    <n v="-16973428"/>
  </r>
  <r>
    <s v="CLLS"/>
    <x v="63"/>
    <x v="60"/>
    <n v="-45778011"/>
    <n v="0"/>
  </r>
  <r>
    <s v="CLLS"/>
    <x v="64"/>
    <x v="61"/>
    <n v="-64713449"/>
    <n v="0"/>
  </r>
  <r>
    <s v="CLLS"/>
    <x v="65"/>
    <x v="62"/>
    <n v="13028164"/>
    <n v="-96243419"/>
  </r>
  <r>
    <s v="CLLS"/>
    <x v="65"/>
    <x v="62"/>
    <n v="-2077034745"/>
    <n v="-1508787797"/>
  </r>
  <r>
    <s v="CLLS"/>
    <x v="66"/>
    <x v="63"/>
    <n v="-115358722"/>
    <n v="-189739692"/>
  </r>
  <r>
    <s v="CLLS"/>
    <x v="67"/>
    <x v="64"/>
    <n v="10001596"/>
    <n v="0"/>
  </r>
  <r>
    <s v="CLLS"/>
    <x v="68"/>
    <x v="65"/>
    <n v="79842"/>
    <n v="41005"/>
  </r>
  <r>
    <s v="CLLS"/>
    <x v="69"/>
    <x v="8"/>
    <n v="7643690"/>
    <n v="10183"/>
  </r>
  <r>
    <s v="CLLS"/>
    <x v="70"/>
    <x v="66"/>
    <n v="108440482"/>
    <n v="-471075388"/>
  </r>
  <r>
    <s v="CLLS"/>
    <x v="71"/>
    <x v="67"/>
    <n v="451706"/>
    <n v="451706"/>
  </r>
  <r>
    <s v="CLLS"/>
    <x v="72"/>
    <x v="68"/>
    <n v="11337556"/>
    <n v="109791443"/>
  </r>
  <r>
    <s v="CLLS"/>
    <x v="73"/>
    <x v="56"/>
    <n v="2106253"/>
    <n v="0"/>
  </r>
  <r>
    <s v="CLLS"/>
    <x v="74"/>
    <x v="69"/>
    <n v="68726089"/>
    <n v="7072708"/>
  </r>
  <r>
    <s v="CLLS"/>
    <x v="75"/>
    <x v="58"/>
    <n v="1986798"/>
    <n v="7426044"/>
  </r>
  <r>
    <s v="CLLS"/>
    <x v="76"/>
    <x v="70"/>
    <n v="37538"/>
    <n v="37538"/>
  </r>
  <r>
    <s v="CLLS"/>
    <x v="77"/>
    <x v="71"/>
    <n v="0"/>
    <n v="63138"/>
  </r>
  <r>
    <s v="CLLS"/>
    <x v="78"/>
    <x v="18"/>
    <n v="45129"/>
    <n v="45129"/>
  </r>
  <r>
    <s v="CLLS"/>
    <x v="79"/>
    <x v="60"/>
    <n v="44600000"/>
    <n v="0"/>
  </r>
  <r>
    <s v="CLLS"/>
    <x v="80"/>
    <x v="72"/>
    <n v="64711954"/>
    <n v="0"/>
  </r>
  <r>
    <s v="CLLS"/>
    <x v="81"/>
    <x v="73"/>
    <n v="-7450463"/>
    <n v="6336578"/>
  </r>
  <r>
    <s v="CLLS"/>
    <x v="82"/>
    <x v="74"/>
    <n v="46808600502"/>
    <n v="47036335917"/>
  </r>
  <r>
    <s v="CLLS"/>
    <x v="83"/>
    <x v="75"/>
    <n v="4672130398"/>
    <n v="4468015159"/>
  </r>
  <r>
    <s v="CLLS"/>
    <x v="84"/>
    <x v="76"/>
    <n v="79293110"/>
    <n v="107185779"/>
  </r>
  <r>
    <s v="CLLS"/>
    <x v="85"/>
    <x v="77"/>
    <n v="681803"/>
    <n v="0"/>
  </r>
  <r>
    <s v="CLLS"/>
    <x v="86"/>
    <x v="78"/>
    <n v="76723117"/>
    <n v="76683387"/>
  </r>
  <r>
    <s v="CLLS"/>
    <x v="87"/>
    <x v="79"/>
    <n v="27387"/>
    <n v="292369"/>
  </r>
  <r>
    <s v="CLLS"/>
    <x v="88"/>
    <x v="80"/>
    <n v="15793169"/>
    <n v="36962252"/>
  </r>
  <r>
    <s v="CLLS"/>
    <x v="89"/>
    <x v="81"/>
    <n v="5918051"/>
    <n v="6993071"/>
  </r>
  <r>
    <s v="CLLS"/>
    <x v="90"/>
    <x v="82"/>
    <n v="-9509325393"/>
    <n v="-9503799586"/>
  </r>
  <r>
    <s v="CLLS"/>
    <x v="91"/>
    <x v="83"/>
    <n v="16170019706"/>
    <n v="5401760125"/>
  </r>
  <r>
    <s v="CLLS"/>
    <x v="92"/>
    <x v="84"/>
    <n v="682774"/>
    <n v="83369"/>
  </r>
  <r>
    <s v="CLLS"/>
    <x v="93"/>
    <x v="85"/>
    <n v="-2431384783"/>
    <n v="-2613155578"/>
  </r>
  <r>
    <s v="CLLS"/>
    <x v="94"/>
    <x v="86"/>
    <n v="117694546"/>
    <n v="110148844"/>
  </r>
  <r>
    <s v="CLLS"/>
    <x v="95"/>
    <x v="87"/>
    <n v="60821"/>
    <n v="-3800084"/>
  </r>
  <r>
    <s v="CLLS"/>
    <x v="96"/>
    <x v="88"/>
    <n v="327895699"/>
    <n v="333558012"/>
  </r>
  <r>
    <s v="CLLS"/>
    <x v="97"/>
    <x v="89"/>
    <n v="53757770"/>
    <n v="0"/>
  </r>
  <r>
    <s v="CLLS"/>
    <x v="98"/>
    <x v="90"/>
    <n v="23892085"/>
    <n v="9842563"/>
  </r>
  <r>
    <s v="CLLS"/>
    <x v="99"/>
    <x v="91"/>
    <n v="-269435857"/>
    <n v="-158400596"/>
  </r>
  <r>
    <s v="CLLS"/>
    <x v="100"/>
    <x v="92"/>
    <n v="142403544"/>
    <n v="119932995"/>
  </r>
  <r>
    <s v="CLLS"/>
    <x v="101"/>
    <x v="93"/>
    <n v="300862022"/>
    <n v="299002237"/>
  </r>
  <r>
    <s v="CLLS"/>
    <x v="102"/>
    <x v="94"/>
    <n v="404170843"/>
    <n v="2092102309"/>
  </r>
  <r>
    <s v="CLLS"/>
    <x v="103"/>
    <x v="95"/>
    <n v="837013130"/>
    <n v="343371016"/>
  </r>
  <r>
    <s v="CLLS"/>
    <x v="104"/>
    <x v="96"/>
    <n v="-17228725"/>
    <n v="-13648401"/>
  </r>
  <r>
    <s v="CLLS"/>
    <x v="105"/>
    <x v="97"/>
    <n v="637826543"/>
    <n v="844515389"/>
  </r>
  <r>
    <s v="CLLS"/>
    <x v="106"/>
    <x v="98"/>
    <n v="632644"/>
    <n v="632644"/>
  </r>
  <r>
    <s v="CLLS"/>
    <x v="107"/>
    <x v="99"/>
    <n v="120810206"/>
    <n v="99273088"/>
  </r>
  <r>
    <s v="CLLS"/>
    <x v="108"/>
    <x v="100"/>
    <n v="70088"/>
    <n v="15805407"/>
  </r>
  <r>
    <s v="CLLS"/>
    <x v="109"/>
    <x v="101"/>
    <n v="34200000"/>
    <n v="2500000"/>
  </r>
  <r>
    <s v="CLLS"/>
    <x v="110"/>
    <x v="102"/>
    <n v="405213296"/>
    <n v="99136104"/>
  </r>
  <r>
    <s v="CLLS"/>
    <x v="111"/>
    <x v="103"/>
    <n v="588714373"/>
    <n v="560334806"/>
  </r>
  <r>
    <s v="CLLS"/>
    <x v="112"/>
    <x v="104"/>
    <n v="897964522"/>
    <n v="175618912"/>
  </r>
  <r>
    <s v="CLLS"/>
    <x v="113"/>
    <x v="105"/>
    <n v="4923019052"/>
    <n v="3790441760"/>
  </r>
  <r>
    <s v="CLLS"/>
    <x v="114"/>
    <x v="106"/>
    <n v="3610169"/>
    <n v="823633"/>
  </r>
  <r>
    <s v="CLLS"/>
    <x v="115"/>
    <x v="107"/>
    <n v="-724305450"/>
    <n v="-730639033"/>
  </r>
  <r>
    <s v="CLLS"/>
    <x v="116"/>
    <x v="108"/>
    <n v="26840"/>
    <n v="26840"/>
  </r>
  <r>
    <s v="CLLS"/>
    <x v="117"/>
    <x v="109"/>
    <n v="10416332511"/>
    <n v="10471850279"/>
  </r>
  <r>
    <s v="CLLS"/>
    <x v="118"/>
    <x v="110"/>
    <n v="-230482086"/>
    <n v="-192707101"/>
  </r>
  <r>
    <s v="CLLS"/>
    <x v="119"/>
    <x v="111"/>
    <n v="-464407153"/>
    <n v="-465423666"/>
  </r>
  <r>
    <s v="CLLS"/>
    <x v="120"/>
    <x v="112"/>
    <n v="-22699615"/>
    <n v="708647357"/>
  </r>
  <r>
    <s v="CLLS"/>
    <x v="121"/>
    <x v="113"/>
    <n v="32341063"/>
    <n v="139738440"/>
  </r>
  <r>
    <s v="CLLS"/>
    <x v="122"/>
    <x v="114"/>
    <n v="-194163627"/>
    <n v="-110987885"/>
  </r>
  <r>
    <s v="CLLS"/>
    <x v="123"/>
    <x v="115"/>
    <n v="4520699212"/>
    <n v="4051547792"/>
  </r>
  <r>
    <s v="CLLS"/>
    <x v="124"/>
    <x v="116"/>
    <n v="1557525063"/>
    <n v="1450956821"/>
  </r>
  <r>
    <s v="CLLS"/>
    <x v="125"/>
    <x v="117"/>
    <n v="204867552"/>
    <n v="102433776"/>
  </r>
  <r>
    <s v="CLLS"/>
    <x v="126"/>
    <x v="118"/>
    <n v="6041283"/>
    <n v="6041283"/>
  </r>
  <r>
    <s v="CLLS"/>
    <x v="127"/>
    <x v="119"/>
    <n v="175607097"/>
    <n v="78694977"/>
  </r>
  <r>
    <s v="CLLS"/>
    <x v="128"/>
    <x v="120"/>
    <n v="322386946"/>
    <n v="322386946"/>
  </r>
  <r>
    <s v="CLLS"/>
    <x v="129"/>
    <x v="121"/>
    <n v="556220561"/>
    <n v="527059515"/>
  </r>
  <r>
    <s v="CLLS"/>
    <x v="129"/>
    <x v="121"/>
    <n v="8798052"/>
    <n v="8798052"/>
  </r>
  <r>
    <s v="CLLS"/>
    <x v="130"/>
    <x v="122"/>
    <n v="-349126788"/>
    <n v="-322414183"/>
  </r>
  <r>
    <s v="CLLS"/>
    <x v="131"/>
    <x v="123"/>
    <n v="4070308350"/>
    <n v="4069414212"/>
  </r>
  <r>
    <s v="CLLS"/>
    <x v="131"/>
    <x v="123"/>
    <n v="689620"/>
    <n v="689620"/>
  </r>
  <r>
    <s v="CLLS"/>
    <x v="131"/>
    <x v="123"/>
    <n v="3949000"/>
    <n v="3949000"/>
  </r>
  <r>
    <s v="CLLS"/>
    <x v="132"/>
    <x v="124"/>
    <n v="-2633423524"/>
    <n v="-2531326900"/>
  </r>
  <r>
    <s v="CLLS"/>
    <x v="133"/>
    <x v="125"/>
    <n v="-182026222"/>
    <n v="-182026222"/>
  </r>
  <r>
    <s v="CLLS"/>
    <x v="134"/>
    <x v="126"/>
    <n v="20936728"/>
    <n v="20913882"/>
  </r>
  <r>
    <s v="CLLS"/>
    <x v="135"/>
    <x v="127"/>
    <n v="-14832362"/>
    <n v="-14290891"/>
  </r>
  <r>
    <s v="CLLS"/>
    <x v="136"/>
    <x v="128"/>
    <n v="909595578"/>
    <n v="909595578"/>
  </r>
  <r>
    <s v="CLLS"/>
    <x v="137"/>
    <x v="129"/>
    <n v="-836942194"/>
    <n v="-817422139"/>
  </r>
  <r>
    <s v="CLLS"/>
    <x v="138"/>
    <x v="130"/>
    <n v="4047339792"/>
    <n v="3973175360"/>
  </r>
  <r>
    <s v="CLLS"/>
    <x v="138"/>
    <x v="130"/>
    <n v="2150000"/>
    <n v="2150000"/>
  </r>
  <r>
    <s v="CLLS"/>
    <x v="138"/>
    <x v="130"/>
    <n v="1674000"/>
    <n v="1674000"/>
  </r>
  <r>
    <s v="CLLS"/>
    <x v="139"/>
    <x v="131"/>
    <n v="-3864308754"/>
    <n v="-3835310496"/>
  </r>
  <r>
    <s v="CLLS"/>
    <x v="140"/>
    <x v="132"/>
    <n v="5846125241"/>
    <n v="5795084543"/>
  </r>
  <r>
    <s v="CLLS"/>
    <x v="140"/>
    <x v="132"/>
    <n v="-4084911"/>
    <n v="-4084911"/>
  </r>
  <r>
    <s v="CLLS"/>
    <x v="141"/>
    <x v="133"/>
    <n v="-848771120"/>
    <n v="-848752533"/>
  </r>
  <r>
    <s v="CLLS"/>
    <x v="142"/>
    <x v="133"/>
    <n v="-511335170"/>
    <n v="-408187257"/>
  </r>
  <r>
    <s v="CLLS"/>
    <x v="143"/>
    <x v="134"/>
    <n v="-170086001"/>
    <n v="-170086001"/>
  </r>
  <r>
    <s v="CLLS"/>
    <x v="144"/>
    <x v="135"/>
    <n v="403410330"/>
    <n v="403410330"/>
  </r>
  <r>
    <s v="CLLS"/>
    <x v="145"/>
    <x v="136"/>
    <n v="1349764990"/>
    <n v="800468189"/>
  </r>
  <r>
    <s v="CLLS"/>
    <x v="146"/>
    <x v="137"/>
    <n v="12750062181"/>
    <n v="14699995042"/>
  </r>
  <r>
    <s v="CLLS"/>
    <x v="147"/>
    <x v="138"/>
    <n v="-660104493"/>
    <n v="-518943876"/>
  </r>
  <r>
    <s v="CLLS"/>
    <x v="148"/>
    <x v="139"/>
    <n v="-1495813864013"/>
    <n v="-1470159849072"/>
  </r>
  <r>
    <s v="CLLS"/>
    <x v="149"/>
    <x v="140"/>
    <n v="-34625495611"/>
    <n v="-34744071784"/>
  </r>
  <r>
    <s v="CLLS"/>
    <x v="150"/>
    <x v="141"/>
    <n v="-495497091"/>
    <n v="-470807074"/>
  </r>
  <r>
    <s v="CLLS"/>
    <x v="151"/>
    <x v="142"/>
    <n v="-14009815502"/>
    <n v="-12753773201"/>
  </r>
  <r>
    <s v="CLLS"/>
    <x v="152"/>
    <x v="143"/>
    <n v="-15621001909"/>
    <n v="-14718255212"/>
  </r>
  <r>
    <s v="CLLS"/>
    <x v="153"/>
    <x v="144"/>
    <n v="20502789206"/>
    <n v="20740764005"/>
  </r>
  <r>
    <s v="CLLS"/>
    <x v="154"/>
    <x v="145"/>
    <n v="367717007"/>
    <n v="175193108"/>
  </r>
  <r>
    <s v="CLLS"/>
    <x v="155"/>
    <x v="146"/>
    <n v="-82465329027"/>
    <n v="-82022650764"/>
  </r>
  <r>
    <s v="CLLS"/>
    <x v="156"/>
    <x v="147"/>
    <n v="-293357523"/>
    <n v="-279366727"/>
  </r>
  <r>
    <s v="CLLS"/>
    <x v="157"/>
    <x v="148"/>
    <n v="-197323769"/>
    <n v="-229718554"/>
  </r>
  <r>
    <s v="CLLS"/>
    <x v="158"/>
    <x v="149"/>
    <n v="-1149848504"/>
    <n v="-2665926399"/>
  </r>
  <r>
    <s v="CLLS"/>
    <x v="159"/>
    <x v="150"/>
    <n v="711466380"/>
    <n v="1682255650"/>
  </r>
  <r>
    <s v="CLLS"/>
    <x v="160"/>
    <x v="151"/>
    <n v="-101934877397"/>
    <n v="-99352379019"/>
  </r>
  <r>
    <s v="CLLS"/>
    <x v="161"/>
    <x v="152"/>
    <n v="-30157397561"/>
    <n v="-28018040348"/>
  </r>
  <r>
    <s v="CLLS"/>
    <x v="162"/>
    <x v="153"/>
    <n v="37725919595"/>
    <n v="39569192375"/>
  </r>
  <r>
    <s v="CLLS"/>
    <x v="163"/>
    <x v="154"/>
    <n v="9212932336"/>
    <n v="8473034391"/>
  </r>
  <r>
    <s v="CLLS"/>
    <x v="164"/>
    <x v="155"/>
    <n v="-5564253353"/>
    <n v="-5460640548"/>
  </r>
  <r>
    <s v="CLLS"/>
    <x v="165"/>
    <x v="156"/>
    <n v="-275946923"/>
    <n v="-265474458"/>
  </r>
  <r>
    <s v="CLLS"/>
    <x v="166"/>
    <x v="157"/>
    <n v="-148713568110"/>
    <n v="-150426345438"/>
  </r>
  <r>
    <s v="CLLS"/>
    <x v="167"/>
    <x v="158"/>
    <n v="-123940960"/>
    <n v="-165977102"/>
  </r>
  <r>
    <s v="CLLS"/>
    <x v="168"/>
    <x v="159"/>
    <n v="-660903380"/>
    <n v="-1685639674"/>
  </r>
  <r>
    <s v="CLLS"/>
    <x v="169"/>
    <x v="160"/>
    <n v="-11854372"/>
    <n v="-2983121"/>
  </r>
  <r>
    <s v="CLLS"/>
    <x v="170"/>
    <x v="161"/>
    <n v="-985088058"/>
    <n v="-541515900"/>
  </r>
  <r>
    <s v="CLLS"/>
    <x v="171"/>
    <x v="162"/>
    <n v="-1110180802"/>
    <n v="-862928090"/>
  </r>
  <r>
    <s v="CLLS"/>
    <x v="172"/>
    <x v="163"/>
    <n v="516915324"/>
    <n v="-93446374"/>
  </r>
  <r>
    <s v="CLLS"/>
    <x v="173"/>
    <x v="164"/>
    <n v="-52247769"/>
    <n v="-63584754"/>
  </r>
  <r>
    <s v="CLLS"/>
    <x v="174"/>
    <x v="165"/>
    <n v="-228368"/>
    <n v="-288337"/>
  </r>
  <r>
    <s v="CLLS"/>
    <x v="175"/>
    <x v="166"/>
    <n v="-20345053882"/>
    <n v="-6603617515"/>
  </r>
  <r>
    <s v="CLLS"/>
    <x v="176"/>
    <x v="167"/>
    <n v="-12470912735"/>
    <n v="-12502364092"/>
  </r>
  <r>
    <s v="CLLS"/>
    <x v="177"/>
    <x v="168"/>
    <n v="-4257681675"/>
    <n v="-4257681675"/>
  </r>
  <r>
    <s v="CLLS"/>
    <x v="178"/>
    <x v="169"/>
    <n v="-1763162"/>
    <n v="-1732545"/>
  </r>
  <r>
    <s v="CLLS"/>
    <x v="179"/>
    <x v="170"/>
    <n v="-241188946"/>
    <n v="-123730244"/>
  </r>
  <r>
    <s v="CLLS"/>
    <x v="180"/>
    <x v="171"/>
    <n v="0"/>
    <n v="-874192"/>
  </r>
  <r>
    <s v="CLLS"/>
    <x v="181"/>
    <x v="172"/>
    <n v="-73580623"/>
    <n v="-77326919"/>
  </r>
  <r>
    <s v="CLLS"/>
    <x v="182"/>
    <x v="173"/>
    <n v="-863558355"/>
    <n v="-284171017"/>
  </r>
  <r>
    <s v="CLLS"/>
    <x v="183"/>
    <x v="174"/>
    <n v="-12556000"/>
    <n v="-3270883199"/>
  </r>
  <r>
    <s v="CLLS"/>
    <x v="184"/>
    <x v="175"/>
    <n v="-204030347"/>
    <n v="-468861914"/>
  </r>
  <r>
    <s v="CLLS"/>
    <x v="185"/>
    <x v="176"/>
    <n v="1678727"/>
    <n v="4465345"/>
  </r>
  <r>
    <s v="CLLS"/>
    <x v="186"/>
    <x v="177"/>
    <n v="-423966098"/>
    <n v="-305885895"/>
  </r>
  <r>
    <s v="CLLS"/>
    <x v="187"/>
    <x v="178"/>
    <n v="-225655262"/>
    <n v="-274464080"/>
  </r>
  <r>
    <s v="CLLS"/>
    <x v="188"/>
    <x v="179"/>
    <n v="-1110336876"/>
    <n v="-1087106792"/>
  </r>
  <r>
    <s v="CLLS"/>
    <x v="189"/>
    <x v="180"/>
    <n v="19276497"/>
    <n v="1346110"/>
  </r>
  <r>
    <s v="CLLS"/>
    <x v="190"/>
    <x v="181"/>
    <n v="-1033315221"/>
    <n v="-1594073775"/>
  </r>
  <r>
    <s v="CLLS"/>
    <x v="191"/>
    <x v="182"/>
    <n v="-171539024"/>
    <n v="-4600023730"/>
  </r>
  <r>
    <s v="CLLS"/>
    <x v="192"/>
    <x v="183"/>
    <n v="-26388378"/>
    <n v="-317208550"/>
  </r>
  <r>
    <s v="CLLS"/>
    <x v="192"/>
    <x v="183"/>
    <n v="3714480"/>
    <n v="2904900"/>
  </r>
  <r>
    <s v="CLLS"/>
    <x v="193"/>
    <x v="184"/>
    <n v="-547619914"/>
    <n v="-533405140"/>
  </r>
  <r>
    <s v="CLLS"/>
    <x v="194"/>
    <x v="185"/>
    <n v="-3542856307"/>
    <n v="-3579103526"/>
  </r>
  <r>
    <s v="CLLS"/>
    <x v="195"/>
    <x v="186"/>
    <n v="-68327344"/>
    <n v="-69642412"/>
  </r>
  <r>
    <s v="CLLS"/>
    <x v="196"/>
    <x v="187"/>
    <n v="39196882"/>
    <n v="81870094"/>
  </r>
  <r>
    <s v="CLLS"/>
    <x v="197"/>
    <x v="188"/>
    <n v="-778392"/>
    <n v="0"/>
  </r>
  <r>
    <s v="CLLS"/>
    <x v="198"/>
    <x v="189"/>
    <n v="-29714445"/>
    <n v="0"/>
  </r>
  <r>
    <s v="CLLS"/>
    <x v="199"/>
    <x v="190"/>
    <n v="-2180154346"/>
    <n v="0"/>
  </r>
  <r>
    <s v="CLLS"/>
    <x v="200"/>
    <x v="191"/>
    <n v="-1295862412"/>
    <n v="-1180508793"/>
  </r>
  <r>
    <s v="CLLS"/>
    <x v="201"/>
    <x v="192"/>
    <n v="-9096199"/>
    <n v="-10175875"/>
  </r>
  <r>
    <s v="CLLS"/>
    <x v="202"/>
    <x v="193"/>
    <n v="-513652"/>
    <n v="-513652"/>
  </r>
  <r>
    <s v="CLLS"/>
    <x v="203"/>
    <x v="194"/>
    <n v="406799593"/>
    <n v="393205954"/>
  </r>
  <r>
    <s v="CLLS"/>
    <x v="204"/>
    <x v="195"/>
    <n v="-904586394"/>
    <n v="-891374829"/>
  </r>
  <r>
    <s v="CLLS"/>
    <x v="205"/>
    <x v="196"/>
    <n v="-523262959"/>
    <n v="-628527172"/>
  </r>
  <r>
    <s v="CLLS"/>
    <x v="206"/>
    <x v="197"/>
    <n v="0"/>
    <n v="628527172"/>
  </r>
  <r>
    <s v="CLLS"/>
    <x v="207"/>
    <x v="198"/>
    <n v="-954457762"/>
    <n v="-762211935"/>
  </r>
  <r>
    <s v="CLLS"/>
    <x v="208"/>
    <x v="199"/>
    <n v="-353973599"/>
    <n v="-224816353"/>
  </r>
  <r>
    <s v="CLLS"/>
    <x v="209"/>
    <x v="200"/>
    <n v="254886"/>
    <n v="-1263922"/>
  </r>
  <r>
    <s v="CLLS"/>
    <x v="210"/>
    <x v="201"/>
    <n v="-28819297"/>
    <n v="-26672176"/>
  </r>
  <r>
    <s v="CLLS"/>
    <x v="211"/>
    <x v="202"/>
    <n v="-4773204"/>
    <n v="-6864228"/>
  </r>
  <r>
    <s v="CLLS"/>
    <x v="212"/>
    <x v="203"/>
    <n v="-1214136"/>
    <n v="-1272116"/>
  </r>
  <r>
    <s v="CLLS"/>
    <x v="213"/>
    <x v="204"/>
    <n v="-8302644"/>
    <n v="-9496900"/>
  </r>
  <r>
    <s v="CLLS"/>
    <x v="214"/>
    <x v="205"/>
    <n v="-18053654"/>
    <n v="-136054255"/>
  </r>
  <r>
    <s v="CLLS"/>
    <x v="215"/>
    <x v="206"/>
    <n v="-645319"/>
    <n v="0"/>
  </r>
  <r>
    <s v="CLLS"/>
    <x v="216"/>
    <x v="207"/>
    <n v="-691953352"/>
    <n v="-691953352"/>
  </r>
  <r>
    <s v="CLLS"/>
    <x v="217"/>
    <x v="208"/>
    <n v="0"/>
    <n v="-2372036276"/>
  </r>
  <r>
    <s v="CLLS"/>
    <x v="218"/>
    <x v="209"/>
    <n v="0"/>
    <n v="-42000000"/>
  </r>
  <r>
    <s v="CLLS"/>
    <x v="219"/>
    <x v="175"/>
    <n v="-363303412"/>
    <n v="4479438493"/>
  </r>
  <r>
    <s v="CLLS"/>
    <x v="220"/>
    <x v="210"/>
    <n v="-629417532"/>
    <n v="-1846469323"/>
  </r>
  <r>
    <s v="CLLS"/>
    <x v="221"/>
    <x v="211"/>
    <n v="-216253391"/>
    <n v="-219595752"/>
  </r>
  <r>
    <s v="CLLS"/>
    <x v="222"/>
    <x v="212"/>
    <n v="-1950482509"/>
    <n v="-2061239059"/>
  </r>
  <r>
    <s v="CLLS"/>
    <x v="223"/>
    <x v="213"/>
    <n v="-1573441"/>
    <n v="-314342"/>
  </r>
  <r>
    <s v="CLLS"/>
    <x v="224"/>
    <x v="214"/>
    <n v="14401801"/>
    <n v="8649113"/>
  </r>
  <r>
    <s v="CLLS"/>
    <x v="225"/>
    <x v="47"/>
    <n v="-69590312262"/>
    <n v="-71105541077"/>
  </r>
  <r>
    <s v="CLLS"/>
    <x v="226"/>
    <x v="215"/>
    <n v="-9310170684"/>
    <n v="-6602633253"/>
  </r>
  <r>
    <s v="CLLS"/>
    <x v="227"/>
    <x v="216"/>
    <n v="93627637"/>
    <n v="75464482"/>
  </r>
  <r>
    <s v="CLLS"/>
    <x v="228"/>
    <x v="217"/>
    <n v="-30742255"/>
    <n v="-31622299"/>
  </r>
  <r>
    <s v="CLLS"/>
    <x v="229"/>
    <x v="218"/>
    <n v="-1857116141"/>
    <n v="652506266"/>
  </r>
  <r>
    <s v="CLLS"/>
    <x v="230"/>
    <x v="219"/>
    <n v="0"/>
    <n v="-3758100860"/>
  </r>
  <r>
    <s v="CLLS"/>
    <x v="231"/>
    <x v="220"/>
    <n v="-297108560"/>
    <n v="-388506585"/>
  </r>
  <r>
    <s v="CLLS"/>
    <x v="232"/>
    <x v="221"/>
    <n v="-151811300"/>
    <n v="-620614202"/>
  </r>
  <r>
    <s v="CLLS"/>
    <x v="233"/>
    <x v="222"/>
    <n v="-47032213922"/>
    <n v="-47032213922"/>
  </r>
  <r>
    <s v="CLLS"/>
    <x v="234"/>
    <x v="223"/>
    <n v="0"/>
    <n v="-1"/>
  </r>
  <r>
    <s v="CLLS"/>
    <x v="235"/>
    <x v="224"/>
    <n v="-192838571721"/>
    <n v="-94078458461"/>
  </r>
  <r>
    <s v="CLLS"/>
    <x v="235"/>
    <x v="224"/>
    <n v="35504205462"/>
    <n v="0"/>
  </r>
  <r>
    <s v="CLLS"/>
    <x v="235"/>
    <x v="224"/>
    <n v="273460462125"/>
    <n v="0"/>
  </r>
  <r>
    <s v="CLLS"/>
    <x v="235"/>
    <x v="224"/>
    <n v="-1898956676"/>
    <n v="0"/>
  </r>
  <r>
    <s v="CLLS"/>
    <x v="235"/>
    <x v="224"/>
    <n v="-226828894180"/>
    <n v="0"/>
  </r>
  <r>
    <s v="CLLS"/>
    <x v="235"/>
    <x v="224"/>
    <n v="84942174"/>
    <n v="0"/>
  </r>
  <r>
    <s v="CLLS"/>
    <x v="235"/>
    <x v="224"/>
    <n v="-1802713086"/>
    <n v="0"/>
  </r>
  <r>
    <s v="CLLS"/>
    <x v="235"/>
    <x v="224"/>
    <n v="-2621250530"/>
    <n v="0"/>
  </r>
  <r>
    <s v="CLLS"/>
    <x v="235"/>
    <x v="224"/>
    <n v="-875038938"/>
    <n v="0"/>
  </r>
  <r>
    <s v="CLLS"/>
    <x v="235"/>
    <x v="224"/>
    <n v="-2777775786"/>
    <n v="0"/>
  </r>
  <r>
    <s v="CLLS"/>
    <x v="235"/>
    <x v="224"/>
    <n v="-5977142"/>
    <n v="0"/>
  </r>
  <r>
    <s v="CLLS"/>
    <x v="235"/>
    <x v="224"/>
    <n v="-2781257965"/>
    <n v="0"/>
  </r>
  <r>
    <s v="CLLS"/>
    <x v="235"/>
    <x v="224"/>
    <n v="-1083720039"/>
    <n v="0"/>
  </r>
  <r>
    <s v="CLLS"/>
    <x v="235"/>
    <x v="224"/>
    <n v="-29139798"/>
    <n v="0"/>
  </r>
  <r>
    <s v="CLLS"/>
    <x v="235"/>
    <x v="224"/>
    <n v="2518409"/>
    <n v="0"/>
  </r>
  <r>
    <s v="CLLS"/>
    <x v="235"/>
    <x v="224"/>
    <n v="-904328581"/>
    <n v="0"/>
  </r>
  <r>
    <s v="CLLS"/>
    <x v="235"/>
    <x v="224"/>
    <n v="2111675938"/>
    <n v="0"/>
  </r>
  <r>
    <s v="CLLS"/>
    <x v="235"/>
    <x v="224"/>
    <n v="-933338578"/>
    <n v="0"/>
  </r>
  <r>
    <s v="CLLS"/>
    <x v="235"/>
    <x v="224"/>
    <n v="-140034019"/>
    <n v="0"/>
  </r>
  <r>
    <s v="CLLS"/>
    <x v="235"/>
    <x v="224"/>
    <n v="-3405990059"/>
    <n v="0"/>
  </r>
  <r>
    <s v="CLLS"/>
    <x v="235"/>
    <x v="224"/>
    <n v="-1056173193"/>
    <n v="0"/>
  </r>
  <r>
    <s v="CLLS"/>
    <x v="235"/>
    <x v="224"/>
    <n v="-975199304"/>
    <n v="0"/>
  </r>
  <r>
    <s v="CLLS"/>
    <x v="235"/>
    <x v="224"/>
    <n v="265459592"/>
    <n v="0"/>
  </r>
  <r>
    <s v="CLLS"/>
    <x v="235"/>
    <x v="224"/>
    <n v="-2435385448"/>
    <n v="0"/>
  </r>
  <r>
    <s v="CLLS"/>
    <x v="235"/>
    <x v="224"/>
    <n v="1396107886"/>
    <n v="0"/>
  </r>
  <r>
    <s v="CLLS"/>
    <x v="235"/>
    <x v="224"/>
    <n v="-902944742"/>
    <n v="0"/>
  </r>
  <r>
    <s v="CLLS"/>
    <x v="235"/>
    <x v="224"/>
    <n v="-957170515"/>
    <n v="0"/>
  </r>
  <r>
    <s v="CLLS"/>
    <x v="235"/>
    <x v="224"/>
    <n v="439458"/>
    <n v="0"/>
  </r>
  <r>
    <s v="CLLS"/>
    <x v="235"/>
    <x v="224"/>
    <n v="30797746"/>
    <n v="0"/>
  </r>
  <r>
    <s v="CLLS"/>
    <x v="235"/>
    <x v="224"/>
    <n v="147072627"/>
    <n v="0"/>
  </r>
  <r>
    <s v="CLLS"/>
    <x v="235"/>
    <x v="224"/>
    <n v="28253377971"/>
    <n v="0"/>
  </r>
  <r>
    <s v="CLLS"/>
    <x v="236"/>
    <x v="225"/>
    <n v="13863084334"/>
    <n v="12690515961"/>
  </r>
  <r>
    <s v="CLLS"/>
    <x v="237"/>
    <x v="226"/>
    <n v="495497088"/>
    <n v="470807071"/>
  </r>
  <r>
    <s v="CLLS"/>
    <x v="238"/>
    <x v="227"/>
    <n v="0"/>
    <n v="4936614825"/>
  </r>
  <r>
    <s v="CLLS"/>
    <x v="239"/>
    <x v="227"/>
    <n v="0"/>
    <n v="50594918"/>
  </r>
  <r>
    <s v="CLLS"/>
    <x v="240"/>
    <x v="228"/>
    <n v="0"/>
    <n v="-732769192"/>
  </r>
  <r>
    <s v="CLLS"/>
    <x v="241"/>
    <x v="229"/>
    <n v="0"/>
    <n v="13919733"/>
  </r>
  <r>
    <s v="CLLS"/>
    <x v="241"/>
    <x v="229"/>
    <n v="-3793157260"/>
    <n v="-19047241423"/>
  </r>
  <r>
    <s v="CLLS"/>
    <x v="241"/>
    <x v="229"/>
    <n v="-1430331125"/>
    <n v="-6122005777"/>
  </r>
  <r>
    <s v="CLLS"/>
    <x v="241"/>
    <x v="229"/>
    <n v="-80463943544"/>
    <n v="-319220660196"/>
  </r>
  <r>
    <s v="CLLS"/>
    <x v="241"/>
    <x v="229"/>
    <n v="-2042968082"/>
    <n v="-7687591263"/>
  </r>
  <r>
    <s v="CLLS"/>
    <x v="241"/>
    <x v="229"/>
    <n v="-4994777615"/>
    <n v="-21582396625"/>
  </r>
  <r>
    <s v="CLLS"/>
    <x v="241"/>
    <x v="229"/>
    <n v="-360378444"/>
    <n v="-1738102818"/>
  </r>
  <r>
    <s v="CLLS"/>
    <x v="241"/>
    <x v="229"/>
    <n v="-2830927117"/>
    <n v="-7069699149"/>
  </r>
  <r>
    <s v="CLLS"/>
    <x v="241"/>
    <x v="229"/>
    <n v="-2277050"/>
    <n v="-8605186"/>
  </r>
  <r>
    <s v="CLLS"/>
    <x v="241"/>
    <x v="229"/>
    <n v="-2651354199"/>
    <n v="-13167413390"/>
  </r>
  <r>
    <s v="CLLS"/>
    <x v="241"/>
    <x v="229"/>
    <n v="-399659977"/>
    <n v="-1690493979"/>
  </r>
  <r>
    <s v="CLLS"/>
    <x v="241"/>
    <x v="229"/>
    <n v="-13434917"/>
    <n v="-56784041"/>
  </r>
  <r>
    <s v="CLLS"/>
    <x v="241"/>
    <x v="229"/>
    <n v="-161759429"/>
    <n v="-625012143"/>
  </r>
  <r>
    <s v="CLLS"/>
    <x v="241"/>
    <x v="229"/>
    <n v="-302916334"/>
    <n v="-1697765862"/>
  </r>
  <r>
    <s v="CLLS"/>
    <x v="241"/>
    <x v="229"/>
    <n v="-4644964541"/>
    <n v="-22255926924"/>
  </r>
  <r>
    <s v="CLLS"/>
    <x v="241"/>
    <x v="229"/>
    <n v="-464521628"/>
    <n v="-2188890257"/>
  </r>
  <r>
    <s v="CLLS"/>
    <x v="241"/>
    <x v="229"/>
    <n v="-549631153"/>
    <n v="-2282381065"/>
  </r>
  <r>
    <s v="CLLS"/>
    <x v="241"/>
    <x v="229"/>
    <n v="-2928858947"/>
    <n v="-9834812530"/>
  </r>
  <r>
    <s v="CLLS"/>
    <x v="241"/>
    <x v="229"/>
    <n v="-1415369874"/>
    <n v="-3813368584"/>
  </r>
  <r>
    <s v="CLLS"/>
    <x v="241"/>
    <x v="229"/>
    <n v="-618716800"/>
    <n v="-2175887022"/>
  </r>
  <r>
    <s v="CLLS"/>
    <x v="241"/>
    <x v="229"/>
    <n v="-32546"/>
    <n v="-122916"/>
  </r>
  <r>
    <s v="CLLS"/>
    <x v="241"/>
    <x v="229"/>
    <n v="-1174274086"/>
    <n v="-5052630104"/>
  </r>
  <r>
    <s v="CLLS"/>
    <x v="241"/>
    <x v="229"/>
    <n v="-4082560137"/>
    <n v="-13691749886"/>
  </r>
  <r>
    <s v="CLLS"/>
    <x v="241"/>
    <x v="229"/>
    <n v="-1075453341"/>
    <n v="-2583354252"/>
  </r>
  <r>
    <s v="CLLS"/>
    <x v="241"/>
    <x v="229"/>
    <n v="-1283361748"/>
    <n v="-4744667288"/>
  </r>
  <r>
    <s v="CLLS"/>
    <x v="241"/>
    <x v="229"/>
    <n v="-76811"/>
    <n v="-456090"/>
  </r>
  <r>
    <s v="CLLS"/>
    <x v="241"/>
    <x v="229"/>
    <n v="29303621039"/>
    <n v="116798346596"/>
  </r>
  <r>
    <s v="CLLS"/>
    <x v="242"/>
    <x v="230"/>
    <n v="-55968150"/>
    <n v="55047203"/>
  </r>
  <r>
    <s v="CLLS"/>
    <x v="242"/>
    <x v="230"/>
    <n v="29389976"/>
    <n v="183313183"/>
  </r>
  <r>
    <s v="CLLS"/>
    <x v="242"/>
    <x v="230"/>
    <n v="-15651763"/>
    <n v="-421177431"/>
  </r>
  <r>
    <s v="CLLS"/>
    <x v="242"/>
    <x v="230"/>
    <n v="-994124126"/>
    <n v="329581485"/>
  </r>
  <r>
    <s v="CLLS"/>
    <x v="242"/>
    <x v="230"/>
    <n v="-30663050"/>
    <n v="-23551362"/>
  </r>
  <r>
    <s v="CLLS"/>
    <x v="242"/>
    <x v="230"/>
    <n v="-14156385"/>
    <n v="-81590549"/>
  </r>
  <r>
    <s v="CLLS"/>
    <x v="242"/>
    <x v="230"/>
    <n v="11593294"/>
    <n v="-8922935"/>
  </r>
  <r>
    <s v="CLLS"/>
    <x v="242"/>
    <x v="230"/>
    <n v="-35818498"/>
    <n v="36836958"/>
  </r>
  <r>
    <s v="CLLS"/>
    <x v="242"/>
    <x v="230"/>
    <n v="202323"/>
    <n v="248502"/>
  </r>
  <r>
    <s v="CLLS"/>
    <x v="242"/>
    <x v="230"/>
    <n v="-5812634"/>
    <n v="25334047"/>
  </r>
  <r>
    <s v="CLLS"/>
    <x v="242"/>
    <x v="230"/>
    <n v="30349488"/>
    <n v="32707379"/>
  </r>
  <r>
    <s v="CLLS"/>
    <x v="242"/>
    <x v="230"/>
    <n v="97488"/>
    <n v="1210597"/>
  </r>
  <r>
    <s v="CLLS"/>
    <x v="242"/>
    <x v="230"/>
    <n v="-5004967"/>
    <n v="3512177"/>
  </r>
  <r>
    <s v="CLLS"/>
    <x v="242"/>
    <x v="230"/>
    <n v="18753334"/>
    <n v="-21933538"/>
  </r>
  <r>
    <s v="CLLS"/>
    <x v="242"/>
    <x v="230"/>
    <n v="3241333"/>
    <n v="90547564"/>
  </r>
  <r>
    <s v="CLLS"/>
    <x v="242"/>
    <x v="230"/>
    <n v="-14728386"/>
    <n v="-7123310"/>
  </r>
  <r>
    <s v="CLLS"/>
    <x v="242"/>
    <x v="230"/>
    <n v="4610712"/>
    <n v="-394999"/>
  </r>
  <r>
    <s v="CLLS"/>
    <x v="242"/>
    <x v="230"/>
    <n v="51152413"/>
    <n v="-37667844"/>
  </r>
  <r>
    <s v="CLLS"/>
    <x v="242"/>
    <x v="230"/>
    <n v="-4383824"/>
    <n v="13631472"/>
  </r>
  <r>
    <s v="CLLS"/>
    <x v="242"/>
    <x v="230"/>
    <n v="-1702724"/>
    <n v="11310240"/>
  </r>
  <r>
    <s v="CLLS"/>
    <x v="242"/>
    <x v="230"/>
    <n v="-703"/>
    <n v="-1221"/>
  </r>
  <r>
    <s v="CLLS"/>
    <x v="242"/>
    <x v="230"/>
    <n v="-12188571"/>
    <n v="-13698207"/>
  </r>
  <r>
    <s v="CLLS"/>
    <x v="242"/>
    <x v="230"/>
    <n v="-11867199"/>
    <n v="6754449"/>
  </r>
  <r>
    <s v="CLLS"/>
    <x v="242"/>
    <x v="230"/>
    <n v="-10601424"/>
    <n v="-6689922"/>
  </r>
  <r>
    <s v="CLLS"/>
    <x v="242"/>
    <x v="230"/>
    <n v="14261963"/>
    <n v="-22193518"/>
  </r>
  <r>
    <s v="CLLS"/>
    <x v="242"/>
    <x v="230"/>
    <n v="76575316"/>
    <n v="-300353678"/>
  </r>
  <r>
    <s v="CLLS"/>
    <x v="243"/>
    <x v="231"/>
    <n v="-29353621039"/>
    <n v="-116847572540"/>
  </r>
  <r>
    <s v="CLLS"/>
    <x v="244"/>
    <x v="232"/>
    <n v="12800399"/>
    <n v="21921262"/>
  </r>
  <r>
    <s v="CLLS"/>
    <x v="244"/>
    <x v="232"/>
    <n v="0"/>
    <n v="20531565"/>
  </r>
  <r>
    <s v="CLLS"/>
    <x v="244"/>
    <x v="232"/>
    <n v="135776"/>
    <n v="0"/>
  </r>
  <r>
    <s v="CLLS"/>
    <x v="244"/>
    <x v="232"/>
    <n v="2544149"/>
    <n v="3056114"/>
  </r>
  <r>
    <s v="CLLS"/>
    <x v="245"/>
    <x v="233"/>
    <n v="0"/>
    <n v="120409403"/>
  </r>
  <r>
    <s v="CLLS"/>
    <x v="245"/>
    <x v="233"/>
    <n v="129134394"/>
    <n v="542824072"/>
  </r>
  <r>
    <s v="CLLS"/>
    <x v="245"/>
    <x v="233"/>
    <n v="23413168"/>
    <n v="-120283165"/>
  </r>
  <r>
    <s v="CLLS"/>
    <x v="245"/>
    <x v="233"/>
    <n v="20494587473"/>
    <n v="75136716751"/>
  </r>
  <r>
    <s v="CLLS"/>
    <x v="245"/>
    <x v="233"/>
    <n v="337404"/>
    <n v="1072460"/>
  </r>
  <r>
    <s v="CLLS"/>
    <x v="245"/>
    <x v="233"/>
    <n v="31506361"/>
    <n v="120892075"/>
  </r>
  <r>
    <s v="CLLS"/>
    <x v="245"/>
    <x v="233"/>
    <n v="7134534"/>
    <n v="28787592"/>
  </r>
  <r>
    <s v="CLLS"/>
    <x v="245"/>
    <x v="233"/>
    <n v="19751690"/>
    <n v="74919368"/>
  </r>
  <r>
    <s v="CLLS"/>
    <x v="245"/>
    <x v="233"/>
    <n v="26636"/>
    <n v="76655"/>
  </r>
  <r>
    <s v="CLLS"/>
    <x v="245"/>
    <x v="233"/>
    <n v="17463968"/>
    <n v="66379391"/>
  </r>
  <r>
    <s v="CLLS"/>
    <x v="245"/>
    <x v="233"/>
    <n v="5445778"/>
    <n v="22565532"/>
  </r>
  <r>
    <s v="CLLS"/>
    <x v="245"/>
    <x v="233"/>
    <n v="224381"/>
    <n v="1004999"/>
  </r>
  <r>
    <s v="CLLS"/>
    <x v="245"/>
    <x v="233"/>
    <n v="1122757"/>
    <n v="4286947"/>
  </r>
  <r>
    <s v="CLLS"/>
    <x v="245"/>
    <x v="233"/>
    <n v="4201936"/>
    <n v="17064480"/>
  </r>
  <r>
    <s v="CLLS"/>
    <x v="245"/>
    <x v="233"/>
    <n v="20697364"/>
    <n v="83127888"/>
  </r>
  <r>
    <s v="CLLS"/>
    <x v="245"/>
    <x v="233"/>
    <n v="8241107"/>
    <n v="33211674"/>
  </r>
  <r>
    <s v="CLLS"/>
    <x v="245"/>
    <x v="233"/>
    <n v="8303387"/>
    <n v="31674273"/>
  </r>
  <r>
    <s v="CLLS"/>
    <x v="245"/>
    <x v="233"/>
    <n v="14534281"/>
    <n v="56884393"/>
  </r>
  <r>
    <s v="CLLS"/>
    <x v="245"/>
    <x v="233"/>
    <n v="23436500"/>
    <n v="86400154"/>
  </r>
  <r>
    <s v="CLLS"/>
    <x v="245"/>
    <x v="233"/>
    <n v="4620045"/>
    <n v="18003306"/>
  </r>
  <r>
    <s v="CLLS"/>
    <x v="245"/>
    <x v="233"/>
    <n v="11978810"/>
    <n v="46443260"/>
  </r>
  <r>
    <s v="CLLS"/>
    <x v="245"/>
    <x v="233"/>
    <n v="11422959"/>
    <n v="45757196"/>
  </r>
  <r>
    <s v="CLLS"/>
    <x v="245"/>
    <x v="233"/>
    <n v="5878080"/>
    <n v="21953788"/>
  </r>
  <r>
    <s v="CLLS"/>
    <x v="245"/>
    <x v="233"/>
    <n v="16826964"/>
    <n v="65116314"/>
  </r>
  <r>
    <s v="CLLS"/>
    <x v="245"/>
    <x v="233"/>
    <n v="136397512"/>
    <n v="1985474483"/>
  </r>
  <r>
    <s v="CLLS"/>
    <x v="246"/>
    <x v="234"/>
    <n v="0"/>
    <n v="-78374322"/>
  </r>
  <r>
    <s v="CLLS"/>
    <x v="247"/>
    <x v="235"/>
    <n v="37774985"/>
    <n v="202019410"/>
  </r>
  <r>
    <s v="CLLS"/>
    <x v="248"/>
    <x v="236"/>
    <n v="-15735724"/>
    <n v="-1021183515"/>
  </r>
  <r>
    <s v="CLLS"/>
    <x v="249"/>
    <x v="237"/>
    <n v="375497864"/>
    <n v="-164297942"/>
  </r>
  <r>
    <s v="CLLS"/>
    <x v="250"/>
    <x v="238"/>
    <n v="-190279242"/>
    <n v="47494554"/>
  </r>
  <r>
    <s v="CLLS"/>
    <x v="251"/>
    <x v="239"/>
    <n v="0"/>
    <n v="-32471709"/>
  </r>
  <r>
    <s v="CLLS"/>
    <x v="252"/>
    <x v="240"/>
    <n v="-123000000"/>
    <n v="-492000000"/>
  </r>
  <r>
    <s v="CLLS"/>
    <x v="253"/>
    <x v="241"/>
    <n v="-34040648"/>
    <n v="-130001671"/>
  </r>
  <r>
    <s v="CLLS"/>
    <x v="254"/>
    <x v="242"/>
    <n v="-27577104"/>
    <n v="-290850185"/>
  </r>
  <r>
    <s v="CLLS"/>
    <x v="255"/>
    <x v="243"/>
    <n v="64781"/>
    <n v="-140814740"/>
  </r>
  <r>
    <s v="CLLS"/>
    <x v="256"/>
    <x v="244"/>
    <n v="-249304099"/>
    <n v="-1004272727"/>
  </r>
  <r>
    <s v="CLLS"/>
    <x v="257"/>
    <x v="245"/>
    <n v="0"/>
    <n v="40654279"/>
  </r>
  <r>
    <s v="CLLS"/>
    <x v="258"/>
    <x v="246"/>
    <n v="-715959"/>
    <n v="-802669118"/>
  </r>
  <r>
    <s v="CLLS"/>
    <x v="258"/>
    <x v="246"/>
    <n v="54051305540"/>
    <n v="235737655635"/>
  </r>
  <r>
    <s v="CLLS"/>
    <x v="258"/>
    <x v="246"/>
    <n v="4077891"/>
    <n v="9675040"/>
  </r>
  <r>
    <s v="CLLS"/>
    <x v="258"/>
    <x v="246"/>
    <n v="83719021"/>
    <n v="290058309"/>
  </r>
  <r>
    <s v="CLLS"/>
    <x v="258"/>
    <x v="246"/>
    <n v="8863959"/>
    <n v="45867084"/>
  </r>
  <r>
    <s v="CLLS"/>
    <x v="258"/>
    <x v="246"/>
    <n v="9791830"/>
    <n v="150635166"/>
  </r>
  <r>
    <s v="CLLS"/>
    <x v="258"/>
    <x v="246"/>
    <n v="3432806"/>
    <n v="13768296"/>
  </r>
  <r>
    <s v="CLLS"/>
    <x v="258"/>
    <x v="246"/>
    <n v="7935771"/>
    <n v="33503399"/>
  </r>
  <r>
    <s v="CLLS"/>
    <x v="258"/>
    <x v="246"/>
    <n v="50177771"/>
    <n v="181858172"/>
  </r>
  <r>
    <s v="CLLS"/>
    <x v="258"/>
    <x v="246"/>
    <n v="21571270"/>
    <n v="95521752"/>
  </r>
  <r>
    <s v="CLLS"/>
    <x v="258"/>
    <x v="246"/>
    <n v="59729"/>
    <n v="297498"/>
  </r>
  <r>
    <s v="CLLS"/>
    <x v="258"/>
    <x v="246"/>
    <n v="472187"/>
    <n v="1926612"/>
  </r>
  <r>
    <s v="CLLS"/>
    <x v="258"/>
    <x v="246"/>
    <n v="983394"/>
    <n v="4228325"/>
  </r>
  <r>
    <s v="CLLS"/>
    <x v="258"/>
    <x v="246"/>
    <n v="4178580"/>
    <n v="57925719"/>
  </r>
  <r>
    <s v="CLLS"/>
    <x v="258"/>
    <x v="246"/>
    <n v="1941744"/>
    <n v="10243949"/>
  </r>
  <r>
    <s v="CLLS"/>
    <x v="258"/>
    <x v="246"/>
    <n v="3815958"/>
    <n v="19215090"/>
  </r>
  <r>
    <s v="CLLS"/>
    <x v="258"/>
    <x v="246"/>
    <n v="15154172"/>
    <n v="111464144"/>
  </r>
  <r>
    <s v="CLLS"/>
    <x v="258"/>
    <x v="246"/>
    <n v="2087591"/>
    <n v="7731792"/>
  </r>
  <r>
    <s v="CLLS"/>
    <x v="258"/>
    <x v="246"/>
    <n v="3146688"/>
    <n v="18689626"/>
  </r>
  <r>
    <s v="CLLS"/>
    <x v="258"/>
    <x v="246"/>
    <n v="8737139"/>
    <n v="48252874"/>
  </r>
  <r>
    <s v="CLLS"/>
    <x v="258"/>
    <x v="246"/>
    <n v="11949781"/>
    <n v="46928125"/>
  </r>
  <r>
    <s v="CLLS"/>
    <x v="258"/>
    <x v="246"/>
    <n v="922543"/>
    <n v="2931490"/>
  </r>
  <r>
    <s v="CLLS"/>
    <x v="258"/>
    <x v="246"/>
    <n v="1951179"/>
    <n v="13453942"/>
  </r>
  <r>
    <s v="CLLS"/>
    <x v="258"/>
    <x v="246"/>
    <n v="-29419324"/>
    <n v="-29344205"/>
  </r>
  <r>
    <s v="CLLS"/>
    <x v="259"/>
    <x v="247"/>
    <n v="1410729209"/>
    <n v="4939414468"/>
  </r>
  <r>
    <s v="CLLS"/>
    <x v="260"/>
    <x v="248"/>
    <n v="0"/>
    <n v="-1001535"/>
  </r>
  <r>
    <s v="CLLS"/>
    <x v="260"/>
    <x v="248"/>
    <n v="11691006970"/>
    <n v="42414289959"/>
  </r>
  <r>
    <s v="CLLS"/>
    <x v="260"/>
    <x v="248"/>
    <n v="0"/>
    <n v="801"/>
  </r>
  <r>
    <s v="CLLS"/>
    <x v="260"/>
    <x v="248"/>
    <n v="5644761"/>
    <n v="22319060"/>
  </r>
  <r>
    <s v="CLLS"/>
    <x v="260"/>
    <x v="248"/>
    <n v="10347650"/>
    <n v="33011028"/>
  </r>
  <r>
    <s v="CLLS"/>
    <x v="260"/>
    <x v="248"/>
    <n v="13595806"/>
    <n v="12012216"/>
  </r>
  <r>
    <s v="CLLS"/>
    <x v="260"/>
    <x v="248"/>
    <n v="0"/>
    <n v="450088"/>
  </r>
  <r>
    <s v="CLLS"/>
    <x v="260"/>
    <x v="248"/>
    <n v="4999644"/>
    <n v="19768311"/>
  </r>
  <r>
    <s v="CLLS"/>
    <x v="260"/>
    <x v="248"/>
    <n v="0"/>
    <n v="-558119"/>
  </r>
  <r>
    <s v="CLLS"/>
    <x v="261"/>
    <x v="249"/>
    <n v="363505451"/>
    <n v="1651293332"/>
  </r>
  <r>
    <s v="CLLS"/>
    <x v="262"/>
    <x v="250"/>
    <n v="1836255"/>
    <n v="1490008"/>
  </r>
  <r>
    <s v="CLLS"/>
    <x v="262"/>
    <x v="250"/>
    <n v="694123585"/>
    <n v="2751053343"/>
  </r>
  <r>
    <s v="CLLS"/>
    <x v="262"/>
    <x v="250"/>
    <n v="13632253020"/>
    <n v="52956452593"/>
  </r>
  <r>
    <s v="CLLS"/>
    <x v="262"/>
    <x v="250"/>
    <n v="81359485"/>
    <n v="322243420"/>
  </r>
  <r>
    <s v="CLLS"/>
    <x v="262"/>
    <x v="250"/>
    <n v="1597331354"/>
    <n v="6104921512"/>
  </r>
  <r>
    <s v="CLLS"/>
    <x v="262"/>
    <x v="250"/>
    <n v="104055349"/>
    <n v="415013704"/>
  </r>
  <r>
    <s v="CLLS"/>
    <x v="262"/>
    <x v="250"/>
    <n v="624372767"/>
    <n v="2459114839"/>
  </r>
  <r>
    <s v="CLLS"/>
    <x v="262"/>
    <x v="250"/>
    <n v="579960"/>
    <n v="2292646"/>
  </r>
  <r>
    <s v="CLLS"/>
    <x v="262"/>
    <x v="250"/>
    <n v="1038781505"/>
    <n v="3831129931"/>
  </r>
  <r>
    <s v="CLLS"/>
    <x v="262"/>
    <x v="250"/>
    <n v="330264226"/>
    <n v="1333861432"/>
  </r>
  <r>
    <s v="CLLS"/>
    <x v="262"/>
    <x v="250"/>
    <n v="91277516"/>
    <n v="381696825"/>
  </r>
  <r>
    <s v="CLLS"/>
    <x v="262"/>
    <x v="250"/>
    <n v="149785840"/>
    <n v="595624296"/>
  </r>
  <r>
    <s v="CLLS"/>
    <x v="262"/>
    <x v="250"/>
    <n v="262077432"/>
    <n v="1041505993"/>
  </r>
  <r>
    <s v="CLLS"/>
    <x v="262"/>
    <x v="250"/>
    <n v="3198834268"/>
    <n v="12463946759"/>
  </r>
  <r>
    <s v="CLLS"/>
    <x v="262"/>
    <x v="250"/>
    <n v="181926751"/>
    <n v="648747298"/>
  </r>
  <r>
    <s v="CLLS"/>
    <x v="262"/>
    <x v="250"/>
    <n v="666821791"/>
    <n v="2635255128"/>
  </r>
  <r>
    <s v="CLLS"/>
    <x v="262"/>
    <x v="250"/>
    <n v="696883058"/>
    <n v="2706317475"/>
  </r>
  <r>
    <s v="CLLS"/>
    <x v="262"/>
    <x v="250"/>
    <n v="515273682"/>
    <n v="2067401663"/>
  </r>
  <r>
    <s v="CLLS"/>
    <x v="262"/>
    <x v="250"/>
    <n v="81678423"/>
    <n v="320162134"/>
  </r>
  <r>
    <s v="CLLS"/>
    <x v="262"/>
    <x v="250"/>
    <n v="6068203"/>
    <n v="23988279"/>
  </r>
  <r>
    <s v="CLLS"/>
    <x v="262"/>
    <x v="250"/>
    <n v="201683385"/>
    <n v="753621194"/>
  </r>
  <r>
    <s v="CLLS"/>
    <x v="262"/>
    <x v="250"/>
    <n v="2469566141"/>
    <n v="9544040916"/>
  </r>
  <r>
    <s v="CLLS"/>
    <x v="262"/>
    <x v="250"/>
    <n v="139084558"/>
    <n v="534550691"/>
  </r>
  <r>
    <s v="CLLS"/>
    <x v="262"/>
    <x v="250"/>
    <n v="291417533"/>
    <n v="1145814004"/>
  </r>
  <r>
    <s v="CLLS"/>
    <x v="262"/>
    <x v="250"/>
    <n v="4455017"/>
    <n v="22572077"/>
  </r>
  <r>
    <s v="CLLS"/>
    <x v="263"/>
    <x v="251"/>
    <n v="0"/>
    <n v="-84387972"/>
  </r>
  <r>
    <s v="CLLS"/>
    <x v="263"/>
    <x v="251"/>
    <n v="-103197364"/>
    <n v="-399137207"/>
  </r>
  <r>
    <s v="CLLS"/>
    <x v="263"/>
    <x v="251"/>
    <n v="-106871"/>
    <n v="-19769431"/>
  </r>
  <r>
    <s v="CLLS"/>
    <x v="263"/>
    <x v="251"/>
    <n v="-15459126868"/>
    <n v="-60752133454"/>
  </r>
  <r>
    <s v="CLLS"/>
    <x v="263"/>
    <x v="251"/>
    <n v="-9055312"/>
    <n v="-61082195"/>
  </r>
  <r>
    <s v="CLLS"/>
    <x v="263"/>
    <x v="251"/>
    <n v="-245456"/>
    <n v="-22193055"/>
  </r>
  <r>
    <s v="CLLS"/>
    <x v="263"/>
    <x v="251"/>
    <n v="-1193145"/>
    <n v="-11626147"/>
  </r>
  <r>
    <s v="CLLS"/>
    <x v="263"/>
    <x v="251"/>
    <n v="-6659081"/>
    <n v="-230268838"/>
  </r>
  <r>
    <s v="CLLS"/>
    <x v="263"/>
    <x v="251"/>
    <n v="0"/>
    <n v="-133755410"/>
  </r>
  <r>
    <s v="CLLS"/>
    <x v="263"/>
    <x v="251"/>
    <n v="0"/>
    <n v="-997519"/>
  </r>
  <r>
    <s v="CLLS"/>
    <x v="263"/>
    <x v="251"/>
    <n v="0"/>
    <n v="-4001374"/>
  </r>
  <r>
    <s v="CLLS"/>
    <x v="263"/>
    <x v="251"/>
    <n v="-2055926"/>
    <n v="-211189512"/>
  </r>
  <r>
    <s v="CLLS"/>
    <x v="263"/>
    <x v="251"/>
    <n v="-9789238"/>
    <n v="-1331678"/>
  </r>
  <r>
    <s v="CLLS"/>
    <x v="263"/>
    <x v="251"/>
    <n v="-143657"/>
    <n v="-8496442"/>
  </r>
  <r>
    <s v="CLLS"/>
    <x v="263"/>
    <x v="251"/>
    <n v="-6710038"/>
    <n v="-7366871"/>
  </r>
  <r>
    <s v="CLLS"/>
    <x v="263"/>
    <x v="251"/>
    <n v="-2507957"/>
    <n v="-40696288"/>
  </r>
  <r>
    <s v="CLLS"/>
    <x v="263"/>
    <x v="251"/>
    <n v="0"/>
    <n v="-1176274"/>
  </r>
  <r>
    <s v="CLLS"/>
    <x v="263"/>
    <x v="251"/>
    <n v="-41801932"/>
    <n v="-28486726"/>
  </r>
  <r>
    <s v="CLLS"/>
    <x v="263"/>
    <x v="251"/>
    <n v="-11657468"/>
    <n v="-3223792"/>
  </r>
  <r>
    <s v="CLLS"/>
    <x v="263"/>
    <x v="251"/>
    <n v="-139688"/>
    <n v="-11888355"/>
  </r>
  <r>
    <s v="CLLS"/>
    <x v="263"/>
    <x v="251"/>
    <n v="-15641"/>
    <n v="-43890442"/>
  </r>
  <r>
    <s v="CLLS"/>
    <x v="263"/>
    <x v="251"/>
    <n v="-931985387"/>
    <n v="-4188801165"/>
  </r>
  <r>
    <s v="CLLS"/>
    <x v="264"/>
    <x v="252"/>
    <n v="238597455"/>
    <n v="1107695781"/>
  </r>
  <r>
    <s v="CLLS"/>
    <x v="264"/>
    <x v="252"/>
    <n v="9931308"/>
    <n v="95447045"/>
  </r>
  <r>
    <s v="CLLS"/>
    <x v="264"/>
    <x v="252"/>
    <n v="16515400"/>
    <n v="110130578"/>
  </r>
  <r>
    <s v="CLLS"/>
    <x v="264"/>
    <x v="252"/>
    <n v="4310029"/>
    <n v="60695266"/>
  </r>
  <r>
    <s v="CLLS"/>
    <x v="264"/>
    <x v="252"/>
    <n v="2841084"/>
    <n v="11252909"/>
  </r>
  <r>
    <s v="CLLS"/>
    <x v="264"/>
    <x v="252"/>
    <n v="9009098"/>
    <n v="51398717"/>
  </r>
  <r>
    <s v="CLLS"/>
    <x v="264"/>
    <x v="252"/>
    <n v="431018"/>
    <n v="1717853"/>
  </r>
  <r>
    <s v="CLLS"/>
    <x v="264"/>
    <x v="252"/>
    <n v="3970271"/>
    <n v="29552403"/>
  </r>
  <r>
    <s v="CLLS"/>
    <x v="264"/>
    <x v="252"/>
    <n v="5117347"/>
    <n v="26282688"/>
  </r>
  <r>
    <s v="CLLS"/>
    <x v="264"/>
    <x v="252"/>
    <n v="1061946"/>
    <n v="19942032"/>
  </r>
  <r>
    <s v="CLLS"/>
    <x v="264"/>
    <x v="252"/>
    <n v="2324182"/>
    <n v="9225596"/>
  </r>
  <r>
    <s v="CLLS"/>
    <x v="264"/>
    <x v="252"/>
    <n v="4736036"/>
    <n v="31656910"/>
  </r>
  <r>
    <s v="CLLS"/>
    <x v="264"/>
    <x v="252"/>
    <n v="226300"/>
    <n v="898997"/>
  </r>
  <r>
    <s v="CLLS"/>
    <x v="264"/>
    <x v="252"/>
    <n v="13358284"/>
    <n v="646082"/>
  </r>
  <r>
    <s v="CLLS"/>
    <x v="264"/>
    <x v="252"/>
    <n v="57846"/>
    <n v="233704"/>
  </r>
  <r>
    <s v="CLLS"/>
    <x v="264"/>
    <x v="252"/>
    <n v="7548953"/>
    <n v="30128841"/>
  </r>
  <r>
    <s v="CLLS"/>
    <x v="264"/>
    <x v="252"/>
    <n v="87441"/>
    <n v="346182"/>
  </r>
  <r>
    <s v="CLLS"/>
    <x v="265"/>
    <x v="253"/>
    <n v="-133477128"/>
    <n v="-802900262"/>
  </r>
  <r>
    <s v="CLLS"/>
    <x v="265"/>
    <x v="253"/>
    <n v="22599"/>
    <n v="2592750"/>
  </r>
  <r>
    <s v="CLLS"/>
    <x v="265"/>
    <x v="253"/>
    <n v="-94738152"/>
    <n v="-1007994014"/>
  </r>
  <r>
    <s v="CLLS"/>
    <x v="265"/>
    <x v="253"/>
    <n v="37920"/>
    <n v="151571"/>
  </r>
  <r>
    <s v="CLLS"/>
    <x v="265"/>
    <x v="253"/>
    <n v="-3599573"/>
    <n v="-13227166"/>
  </r>
  <r>
    <s v="CLLS"/>
    <x v="265"/>
    <x v="253"/>
    <n v="-2609466"/>
    <n v="-2577643"/>
  </r>
  <r>
    <s v="CLLS"/>
    <x v="265"/>
    <x v="253"/>
    <n v="5509267"/>
    <n v="7508507"/>
  </r>
  <r>
    <s v="CLLS"/>
    <x v="265"/>
    <x v="253"/>
    <n v="995515"/>
    <n v="3877830"/>
  </r>
  <r>
    <s v="CLLS"/>
    <x v="265"/>
    <x v="253"/>
    <n v="4774684"/>
    <n v="-38018719"/>
  </r>
  <r>
    <s v="CLLS"/>
    <x v="265"/>
    <x v="253"/>
    <n v="3035796"/>
    <n v="-12953374"/>
  </r>
  <r>
    <s v="CLLS"/>
    <x v="265"/>
    <x v="253"/>
    <n v="417783"/>
    <n v="1582405"/>
  </r>
  <r>
    <s v="CLLS"/>
    <x v="265"/>
    <x v="253"/>
    <n v="29057"/>
    <n v="-2552546"/>
  </r>
  <r>
    <s v="CLLS"/>
    <x v="265"/>
    <x v="253"/>
    <n v="-25503"/>
    <n v="2419324"/>
  </r>
  <r>
    <s v="CLLS"/>
    <x v="265"/>
    <x v="253"/>
    <n v="-48954066"/>
    <n v="11133508"/>
  </r>
  <r>
    <s v="CLLS"/>
    <x v="265"/>
    <x v="253"/>
    <n v="-3173087"/>
    <n v="-55174847"/>
  </r>
  <r>
    <s v="CLLS"/>
    <x v="265"/>
    <x v="253"/>
    <n v="1006399"/>
    <n v="-45889411"/>
  </r>
  <r>
    <s v="CLLS"/>
    <x v="265"/>
    <x v="253"/>
    <n v="-18316995"/>
    <n v="-44277460"/>
  </r>
  <r>
    <s v="CLLS"/>
    <x v="265"/>
    <x v="253"/>
    <n v="-48225249"/>
    <n v="9624198"/>
  </r>
  <r>
    <s v="CLLS"/>
    <x v="265"/>
    <x v="253"/>
    <n v="3250457"/>
    <n v="7148989"/>
  </r>
  <r>
    <s v="CLLS"/>
    <x v="265"/>
    <x v="253"/>
    <n v="18679063"/>
    <n v="39513056"/>
  </r>
  <r>
    <s v="CLLS"/>
    <x v="265"/>
    <x v="253"/>
    <n v="14957362"/>
    <n v="40856244"/>
  </r>
  <r>
    <s v="CLLS"/>
    <x v="265"/>
    <x v="253"/>
    <n v="-355071"/>
    <n v="-4616135"/>
  </r>
  <r>
    <s v="CLLS"/>
    <x v="265"/>
    <x v="253"/>
    <n v="17382381"/>
    <n v="28395722"/>
  </r>
  <r>
    <s v="CLLS"/>
    <x v="265"/>
    <x v="253"/>
    <n v="151840"/>
    <n v="895553"/>
  </r>
  <r>
    <s v="CLLS"/>
    <x v="265"/>
    <x v="253"/>
    <n v="-52923040"/>
    <n v="1078469003"/>
  </r>
  <r>
    <s v="CLLS"/>
    <x v="266"/>
    <x v="254"/>
    <n v="-605190925"/>
    <n v="5121765324"/>
  </r>
  <r>
    <s v="CLLS"/>
    <x v="266"/>
    <x v="254"/>
    <n v="801385625"/>
    <n v="3504127799"/>
  </r>
  <r>
    <s v="CLLS"/>
    <x v="266"/>
    <x v="254"/>
    <n v="-2487169058"/>
    <n v="20767879547"/>
  </r>
  <r>
    <s v="CLLS"/>
    <x v="266"/>
    <x v="254"/>
    <n v="1299640"/>
    <n v="1542233"/>
  </r>
  <r>
    <s v="CLLS"/>
    <x v="266"/>
    <x v="254"/>
    <n v="-44301128"/>
    <n v="3543658603"/>
  </r>
  <r>
    <s v="CLLS"/>
    <x v="266"/>
    <x v="254"/>
    <n v="-9911149"/>
    <n v="347323191"/>
  </r>
  <r>
    <s v="CLLS"/>
    <x v="266"/>
    <x v="254"/>
    <n v="2357971"/>
    <n v="1022534361"/>
  </r>
  <r>
    <s v="CLLS"/>
    <x v="266"/>
    <x v="254"/>
    <n v="4345"/>
    <n v="-2882468"/>
  </r>
  <r>
    <s v="CLLS"/>
    <x v="266"/>
    <x v="254"/>
    <n v="-163598893"/>
    <n v="410990251"/>
  </r>
  <r>
    <s v="CLLS"/>
    <x v="266"/>
    <x v="254"/>
    <n v="-34178227"/>
    <n v="-102088604"/>
  </r>
  <r>
    <s v="CLLS"/>
    <x v="266"/>
    <x v="254"/>
    <n v="-16839973"/>
    <n v="6944377"/>
  </r>
  <r>
    <s v="CLLS"/>
    <x v="266"/>
    <x v="254"/>
    <n v="4617469"/>
    <n v="28327919"/>
  </r>
  <r>
    <s v="CLLS"/>
    <x v="266"/>
    <x v="254"/>
    <n v="-4722734"/>
    <n v="27645403"/>
  </r>
  <r>
    <s v="CLLS"/>
    <x v="266"/>
    <x v="254"/>
    <n v="-147159005"/>
    <n v="624497331"/>
  </r>
  <r>
    <s v="CLLS"/>
    <x v="266"/>
    <x v="254"/>
    <n v="40376911"/>
    <n v="363739201"/>
  </r>
  <r>
    <s v="CLLS"/>
    <x v="266"/>
    <x v="254"/>
    <n v="78785393"/>
    <n v="223407636"/>
  </r>
  <r>
    <s v="CLLS"/>
    <x v="266"/>
    <x v="254"/>
    <n v="100928574"/>
    <n v="859177931"/>
  </r>
  <r>
    <s v="CLLS"/>
    <x v="266"/>
    <x v="254"/>
    <n v="370709718"/>
    <n v="695208246"/>
  </r>
  <r>
    <s v="CLLS"/>
    <x v="266"/>
    <x v="254"/>
    <n v="11989283"/>
    <n v="141861747"/>
  </r>
  <r>
    <s v="CLLS"/>
    <x v="266"/>
    <x v="254"/>
    <n v="119692546"/>
    <n v="-14856075"/>
  </r>
  <r>
    <s v="CLLS"/>
    <x v="266"/>
    <x v="254"/>
    <n v="4979131"/>
    <n v="166622711"/>
  </r>
  <r>
    <s v="CLLS"/>
    <x v="266"/>
    <x v="254"/>
    <n v="13505347"/>
    <n v="516414981"/>
  </r>
  <r>
    <s v="CLLS"/>
    <x v="266"/>
    <x v="254"/>
    <n v="246805324"/>
    <n v="1386073180"/>
  </r>
  <r>
    <s v="CLLS"/>
    <x v="266"/>
    <x v="254"/>
    <n v="50000000"/>
    <n v="0"/>
  </r>
  <r>
    <s v="CLLS"/>
    <x v="267"/>
    <x v="255"/>
    <n v="-4499009"/>
    <n v="59630358"/>
  </r>
  <r>
    <s v="CLLS"/>
    <x v="267"/>
    <x v="255"/>
    <n v="-376152"/>
    <n v="36041457"/>
  </r>
  <r>
    <s v="CLLS"/>
    <x v="267"/>
    <x v="255"/>
    <n v="596198884"/>
    <n v="-370613258"/>
  </r>
  <r>
    <s v="CLLS"/>
    <x v="267"/>
    <x v="255"/>
    <n v="-4691963"/>
    <n v="76939623"/>
  </r>
  <r>
    <s v="CLLS"/>
    <x v="267"/>
    <x v="255"/>
    <n v="-18043945"/>
    <n v="33171258"/>
  </r>
  <r>
    <s v="CLLS"/>
    <x v="267"/>
    <x v="255"/>
    <n v="-4936832"/>
    <n v="26254"/>
  </r>
  <r>
    <s v="CLLS"/>
    <x v="267"/>
    <x v="255"/>
    <n v="-19339454"/>
    <n v="46852155"/>
  </r>
  <r>
    <s v="CLLS"/>
    <x v="267"/>
    <x v="255"/>
    <n v="-2233"/>
    <n v="11272"/>
  </r>
  <r>
    <s v="CLLS"/>
    <x v="267"/>
    <x v="255"/>
    <n v="-41451082"/>
    <n v="31686169"/>
  </r>
  <r>
    <s v="CLLS"/>
    <x v="267"/>
    <x v="255"/>
    <n v="-7673621"/>
    <n v="-2986704"/>
  </r>
  <r>
    <s v="CLLS"/>
    <x v="267"/>
    <x v="255"/>
    <n v="-145951"/>
    <n v="-748354"/>
  </r>
  <r>
    <s v="CLLS"/>
    <x v="267"/>
    <x v="255"/>
    <n v="-2423037"/>
    <n v="6443301"/>
  </r>
  <r>
    <s v="CLLS"/>
    <x v="267"/>
    <x v="255"/>
    <n v="4577052"/>
    <n v="4953692"/>
  </r>
  <r>
    <s v="CLLS"/>
    <x v="267"/>
    <x v="255"/>
    <n v="-4103039"/>
    <n v="33589684"/>
  </r>
  <r>
    <s v="CLLS"/>
    <x v="267"/>
    <x v="255"/>
    <n v="479416"/>
    <n v="27965068"/>
  </r>
  <r>
    <s v="CLLS"/>
    <x v="267"/>
    <x v="255"/>
    <n v="-4068146"/>
    <n v="11235431"/>
  </r>
  <r>
    <s v="CLLS"/>
    <x v="267"/>
    <x v="255"/>
    <n v="-5230727"/>
    <n v="39442282"/>
  </r>
  <r>
    <s v="CLLS"/>
    <x v="267"/>
    <x v="255"/>
    <n v="-5513391"/>
    <n v="32834523"/>
  </r>
  <r>
    <s v="CLLS"/>
    <x v="267"/>
    <x v="255"/>
    <n v="-5244514"/>
    <n v="20863508"/>
  </r>
  <r>
    <s v="CLLS"/>
    <x v="267"/>
    <x v="255"/>
    <n v="0"/>
    <n v="1404"/>
  </r>
  <r>
    <s v="CLLS"/>
    <x v="267"/>
    <x v="255"/>
    <n v="-8938134"/>
    <n v="24229179"/>
  </r>
  <r>
    <s v="CLLS"/>
    <x v="267"/>
    <x v="255"/>
    <n v="2816067"/>
    <n v="36279105"/>
  </r>
  <r>
    <s v="CLLS"/>
    <x v="267"/>
    <x v="255"/>
    <n v="-10924755"/>
    <n v="30955501"/>
  </r>
  <r>
    <s v="CLLS"/>
    <x v="267"/>
    <x v="255"/>
    <n v="-701970"/>
    <n v="15112686"/>
  </r>
  <r>
    <s v="CLLS"/>
    <x v="267"/>
    <x v="255"/>
    <n v="-540"/>
    <n v="-5"/>
  </r>
  <r>
    <s v="CLLS"/>
    <x v="268"/>
    <x v="256"/>
    <n v="-356776089"/>
    <n v="-1410724485"/>
  </r>
  <r>
    <s v="CLLS"/>
    <x v="268"/>
    <x v="256"/>
    <n v="7343756851"/>
    <n v="129749333"/>
  </r>
  <r>
    <s v="CLLS"/>
    <x v="268"/>
    <x v="256"/>
    <n v="-32903395"/>
    <n v="-142097763"/>
  </r>
  <r>
    <s v="CLLS"/>
    <x v="268"/>
    <x v="256"/>
    <n v="2345167389"/>
    <n v="6674855274"/>
  </r>
  <r>
    <s v="CLLS"/>
    <x v="268"/>
    <x v="256"/>
    <n v="-41809934"/>
    <n v="-228245558"/>
  </r>
  <r>
    <s v="CLLS"/>
    <x v="268"/>
    <x v="256"/>
    <n v="1487682926"/>
    <n v="-520728523"/>
  </r>
  <r>
    <s v="CLLS"/>
    <x v="268"/>
    <x v="256"/>
    <n v="-271204"/>
    <n v="-1096218"/>
  </r>
  <r>
    <s v="CLLS"/>
    <x v="268"/>
    <x v="256"/>
    <n v="1086414161"/>
    <n v="5046008642"/>
  </r>
  <r>
    <s v="CLLS"/>
    <x v="268"/>
    <x v="256"/>
    <n v="-150544258"/>
    <n v="-1092878966"/>
  </r>
  <r>
    <s v="CLLS"/>
    <x v="268"/>
    <x v="256"/>
    <n v="-37589623"/>
    <n v="-459661661"/>
  </r>
  <r>
    <s v="CLLS"/>
    <x v="268"/>
    <x v="256"/>
    <n v="-83063749"/>
    <n v="-290077121"/>
  </r>
  <r>
    <s v="CLLS"/>
    <x v="268"/>
    <x v="256"/>
    <n v="-178733156"/>
    <n v="-597307633"/>
  </r>
  <r>
    <s v="CLLS"/>
    <x v="268"/>
    <x v="256"/>
    <n v="1774992546"/>
    <n v="8371371914"/>
  </r>
  <r>
    <s v="CLLS"/>
    <x v="268"/>
    <x v="256"/>
    <n v="-87912741"/>
    <n v="-188579832"/>
  </r>
  <r>
    <s v="CLLS"/>
    <x v="268"/>
    <x v="256"/>
    <n v="-290598876"/>
    <n v="-1114772496"/>
  </r>
  <r>
    <s v="CLLS"/>
    <x v="268"/>
    <x v="256"/>
    <n v="1078966959"/>
    <n v="1308812826"/>
  </r>
  <r>
    <s v="CLLS"/>
    <x v="268"/>
    <x v="256"/>
    <n v="-8455049"/>
    <n v="-849484521"/>
  </r>
  <r>
    <s v="CLLS"/>
    <x v="268"/>
    <x v="256"/>
    <n v="90090281"/>
    <n v="70760131"/>
  </r>
  <r>
    <s v="CLLS"/>
    <x v="268"/>
    <x v="256"/>
    <n v="-1767738"/>
    <n v="-11183909"/>
  </r>
  <r>
    <s v="CLLS"/>
    <x v="268"/>
    <x v="256"/>
    <n v="769994"/>
    <n v="839555986"/>
  </r>
  <r>
    <s v="CLLS"/>
    <x v="268"/>
    <x v="256"/>
    <n v="2152307878"/>
    <n v="3833826600"/>
  </r>
  <r>
    <s v="CLLS"/>
    <x v="268"/>
    <x v="256"/>
    <n v="398091430"/>
    <n v="-234181664"/>
  </r>
  <r>
    <s v="CLLS"/>
    <x v="268"/>
    <x v="256"/>
    <n v="22478193"/>
    <n v="454375839"/>
  </r>
  <r>
    <s v="CLLS"/>
    <x v="268"/>
    <x v="256"/>
    <n v="-150836401"/>
    <n v="29137051989"/>
  </r>
  <r>
    <s v="CLLS"/>
    <x v="269"/>
    <x v="257"/>
    <n v="1965339360"/>
    <n v="8031428097"/>
  </r>
  <r>
    <s v="CLLS"/>
    <x v="270"/>
    <x v="258"/>
    <n v="47681927"/>
    <n v="-112511314"/>
  </r>
  <r>
    <s v="CLLS"/>
    <x v="271"/>
    <x v="259"/>
    <n v="-1874071"/>
    <n v="-1194771"/>
  </r>
  <r>
    <s v="CLLS"/>
    <x v="271"/>
    <x v="259"/>
    <n v="0"/>
    <n v="-129062"/>
  </r>
  <r>
    <s v="CLLS"/>
    <x v="271"/>
    <x v="259"/>
    <n v="-149087057"/>
    <n v="236464536"/>
  </r>
  <r>
    <s v="CLLS"/>
    <x v="271"/>
    <x v="259"/>
    <n v="183696"/>
    <n v="-183697"/>
  </r>
  <r>
    <s v="CLLS"/>
    <x v="271"/>
    <x v="259"/>
    <n v="-2344226"/>
    <n v="0"/>
  </r>
  <r>
    <s v="CLLS"/>
    <x v="271"/>
    <x v="259"/>
    <n v="0"/>
    <n v="54179610"/>
  </r>
  <r>
    <s v="CLLS"/>
    <x v="271"/>
    <x v="259"/>
    <n v="-2917668"/>
    <n v="7110238"/>
  </r>
  <r>
    <s v="CLLS"/>
    <x v="271"/>
    <x v="259"/>
    <n v="0"/>
    <n v="-27120"/>
  </r>
  <r>
    <s v="CLLS"/>
    <x v="271"/>
    <x v="259"/>
    <n v="234750"/>
    <n v="-308685"/>
  </r>
  <r>
    <s v="CLLS"/>
    <x v="271"/>
    <x v="259"/>
    <n v="-1209703"/>
    <n v="0"/>
  </r>
  <r>
    <s v="CLLS"/>
    <x v="271"/>
    <x v="259"/>
    <n v="31006"/>
    <n v="-31006"/>
  </r>
  <r>
    <s v="CLLS"/>
    <x v="271"/>
    <x v="259"/>
    <n v="-25554865"/>
    <n v="2049155"/>
  </r>
  <r>
    <s v="CLLS"/>
    <x v="271"/>
    <x v="259"/>
    <n v="25696"/>
    <n v="271170"/>
  </r>
  <r>
    <s v="CLLS"/>
    <x v="271"/>
    <x v="259"/>
    <n v="-2567633"/>
    <n v="264659"/>
  </r>
  <r>
    <s v="CLLS"/>
    <x v="271"/>
    <x v="259"/>
    <n v="735000"/>
    <n v="-735000"/>
  </r>
  <r>
    <s v="CLLS"/>
    <x v="271"/>
    <x v="259"/>
    <n v="24362307"/>
    <n v="-25206059"/>
  </r>
  <r>
    <s v="CLLS"/>
    <x v="271"/>
    <x v="259"/>
    <n v="2229561478"/>
    <n v="-21064495416"/>
  </r>
  <r>
    <s v="CLLS"/>
    <x v="272"/>
    <x v="260"/>
    <n v="-683779541"/>
    <n v="-1678644918"/>
  </r>
  <r>
    <s v="CLLS"/>
    <x v="273"/>
    <x v="261"/>
    <n v="-1532865445"/>
    <n v="2662839449"/>
  </r>
  <r>
    <s v="CLLS"/>
    <x v="274"/>
    <x v="262"/>
    <n v="981382567"/>
    <n v="-1680718864"/>
  </r>
  <r>
    <s v="CLLS"/>
    <x v="275"/>
    <x v="263"/>
    <n v="544896408"/>
    <n v="1496395576"/>
  </r>
  <r>
    <s v="CLLS"/>
    <x v="275"/>
    <x v="263"/>
    <n v="-3549402"/>
    <n v="83409665"/>
  </r>
  <r>
    <s v="CLLS"/>
    <x v="275"/>
    <x v="263"/>
    <n v="-5359365"/>
    <n v="9175267"/>
  </r>
  <r>
    <s v="CLLS"/>
    <x v="275"/>
    <x v="263"/>
    <n v="317639857"/>
    <n v="-472424834"/>
  </r>
  <r>
    <s v="CLLS"/>
    <x v="275"/>
    <x v="263"/>
    <n v="7097873"/>
    <n v="255845"/>
  </r>
  <r>
    <s v="CLLS"/>
    <x v="275"/>
    <x v="263"/>
    <n v="-6959429"/>
    <n v="31804710"/>
  </r>
  <r>
    <s v="CLLS"/>
    <x v="275"/>
    <x v="263"/>
    <n v="4809412"/>
    <n v="-21243471"/>
  </r>
  <r>
    <s v="CLLS"/>
    <x v="275"/>
    <x v="263"/>
    <n v="4489740"/>
    <n v="-161253728"/>
  </r>
  <r>
    <s v="CLLS"/>
    <x v="275"/>
    <x v="263"/>
    <n v="0"/>
    <n v="158"/>
  </r>
  <r>
    <s v="CLLS"/>
    <x v="275"/>
    <x v="263"/>
    <n v="-4676244"/>
    <n v="23631204"/>
  </r>
  <r>
    <s v="CLLS"/>
    <x v="275"/>
    <x v="263"/>
    <n v="-5211381"/>
    <n v="-4581812"/>
  </r>
  <r>
    <s v="CLLS"/>
    <x v="275"/>
    <x v="263"/>
    <n v="-2801"/>
    <n v="265208"/>
  </r>
  <r>
    <s v="CLLS"/>
    <x v="275"/>
    <x v="263"/>
    <n v="3653644"/>
    <n v="-773060"/>
  </r>
  <r>
    <s v="CLLS"/>
    <x v="275"/>
    <x v="263"/>
    <n v="8028883"/>
    <n v="-26404901"/>
  </r>
  <r>
    <s v="CLLS"/>
    <x v="275"/>
    <x v="263"/>
    <n v="10435769"/>
    <n v="-22525953"/>
  </r>
  <r>
    <s v="CLLS"/>
    <x v="275"/>
    <x v="263"/>
    <n v="13775646"/>
    <n v="-26738200"/>
  </r>
  <r>
    <s v="CLLS"/>
    <x v="275"/>
    <x v="263"/>
    <n v="6339134"/>
    <n v="3797948"/>
  </r>
  <r>
    <s v="CLLS"/>
    <x v="275"/>
    <x v="263"/>
    <n v="40217068"/>
    <n v="-97767984"/>
  </r>
  <r>
    <s v="CLLS"/>
    <x v="275"/>
    <x v="263"/>
    <n v="13153661"/>
    <n v="17063810"/>
  </r>
  <r>
    <s v="CLLS"/>
    <x v="275"/>
    <x v="263"/>
    <n v="385569"/>
    <n v="-6423282"/>
  </r>
  <r>
    <s v="CLLS"/>
    <x v="275"/>
    <x v="263"/>
    <n v="26268846"/>
    <n v="16690530"/>
  </r>
  <r>
    <s v="CLLS"/>
    <x v="275"/>
    <x v="263"/>
    <n v="7235948"/>
    <n v="-17023324"/>
  </r>
  <r>
    <s v="CLLS"/>
    <x v="275"/>
    <x v="263"/>
    <n v="22596909"/>
    <n v="83880698"/>
  </r>
  <r>
    <s v="CLLS"/>
    <x v="275"/>
    <x v="263"/>
    <n v="-23396358"/>
    <n v="46370347"/>
  </r>
  <r>
    <s v="CLLS"/>
    <x v="275"/>
    <x v="263"/>
    <n v="993126630"/>
    <n v="12853258001"/>
  </r>
  <r>
    <s v="CLLS"/>
    <x v="276"/>
    <x v="264"/>
    <n v="0"/>
    <n v="-39133056"/>
  </r>
  <r>
    <s v="CLLS"/>
    <x v="276"/>
    <x v="264"/>
    <n v="-2445070"/>
    <n v="-66213336"/>
  </r>
  <r>
    <s v="CLLS"/>
    <x v="277"/>
    <x v="265"/>
    <n v="37983651"/>
    <n v="147716689"/>
  </r>
  <r>
    <s v="CLLS"/>
    <x v="277"/>
    <x v="265"/>
    <n v="-94897688"/>
    <n v="-411342386"/>
  </r>
  <r>
    <s v="CLLS"/>
    <x v="277"/>
    <x v="265"/>
    <n v="12126987"/>
    <n v="39469760"/>
  </r>
  <r>
    <s v="CLLS"/>
    <x v="277"/>
    <x v="265"/>
    <n v="818722404"/>
    <n v="3283666703"/>
  </r>
  <r>
    <s v="CLLS"/>
    <x v="277"/>
    <x v="265"/>
    <n v="4844070"/>
    <n v="17528860"/>
  </r>
  <r>
    <s v="CLLS"/>
    <x v="277"/>
    <x v="265"/>
    <n v="18886632"/>
    <n v="48880532"/>
  </r>
  <r>
    <s v="CLLS"/>
    <x v="277"/>
    <x v="265"/>
    <n v="19680"/>
    <n v="1217590"/>
  </r>
  <r>
    <s v="CLLS"/>
    <x v="277"/>
    <x v="265"/>
    <n v="19586644"/>
    <n v="27443605"/>
  </r>
  <r>
    <s v="CLLS"/>
    <x v="277"/>
    <x v="265"/>
    <n v="12553"/>
    <n v="167313"/>
  </r>
  <r>
    <s v="CLLS"/>
    <x v="277"/>
    <x v="265"/>
    <n v="6007305"/>
    <n v="22531979"/>
  </r>
  <r>
    <s v="CLLS"/>
    <x v="277"/>
    <x v="265"/>
    <n v="472614"/>
    <n v="6685837"/>
  </r>
  <r>
    <s v="CLLS"/>
    <x v="277"/>
    <x v="265"/>
    <n v="574757"/>
    <n v="2461836"/>
  </r>
  <r>
    <s v="CLLS"/>
    <x v="277"/>
    <x v="265"/>
    <n v="1571249"/>
    <n v="5360336"/>
  </r>
  <r>
    <s v="CLLS"/>
    <x v="277"/>
    <x v="265"/>
    <n v="12893298"/>
    <n v="70842376"/>
  </r>
  <r>
    <s v="CLLS"/>
    <x v="277"/>
    <x v="265"/>
    <n v="4159331"/>
    <n v="12599195"/>
  </r>
  <r>
    <s v="CLLS"/>
    <x v="277"/>
    <x v="265"/>
    <n v="1227273"/>
    <n v="13520386"/>
  </r>
  <r>
    <s v="CLLS"/>
    <x v="277"/>
    <x v="265"/>
    <n v="23707610"/>
    <n v="55159268"/>
  </r>
  <r>
    <s v="CLLS"/>
    <x v="277"/>
    <x v="265"/>
    <n v="3081441"/>
    <n v="19031029"/>
  </r>
  <r>
    <s v="CLLS"/>
    <x v="277"/>
    <x v="265"/>
    <n v="34115"/>
    <n v="858665"/>
  </r>
  <r>
    <s v="CLLS"/>
    <x v="277"/>
    <x v="265"/>
    <n v="730650"/>
    <n v="6682176"/>
  </r>
  <r>
    <s v="CLLS"/>
    <x v="277"/>
    <x v="265"/>
    <n v="29657704"/>
    <n v="94297917"/>
  </r>
  <r>
    <s v="CLLS"/>
    <x v="277"/>
    <x v="265"/>
    <n v="603615"/>
    <n v="2308567"/>
  </r>
  <r>
    <s v="CLLS"/>
    <x v="277"/>
    <x v="265"/>
    <n v="7638417"/>
    <n v="38482984"/>
  </r>
  <r>
    <s v="CLLS"/>
    <x v="277"/>
    <x v="265"/>
    <n v="0"/>
    <n v="3502832"/>
  </r>
  <r>
    <s v="CLLS"/>
    <x v="278"/>
    <x v="265"/>
    <n v="42494666"/>
    <n v="337748895"/>
  </r>
  <r>
    <s v="CLLS"/>
    <x v="278"/>
    <x v="265"/>
    <n v="88713385"/>
    <n v="264507194"/>
  </r>
  <r>
    <s v="CLLS"/>
    <x v="278"/>
    <x v="265"/>
    <n v="194383592"/>
    <n v="604881532"/>
  </r>
  <r>
    <s v="CLLS"/>
    <x v="278"/>
    <x v="265"/>
    <n v="416477678"/>
    <n v="1697752188"/>
  </r>
  <r>
    <s v="CLLS"/>
    <x v="278"/>
    <x v="265"/>
    <n v="223124150"/>
    <n v="919927801"/>
  </r>
  <r>
    <s v="CLLS"/>
    <x v="278"/>
    <x v="265"/>
    <n v="24869235"/>
    <n v="123040311"/>
  </r>
  <r>
    <s v="CLLS"/>
    <x v="278"/>
    <x v="265"/>
    <n v="103305035"/>
    <n v="390424273"/>
  </r>
  <r>
    <s v="CLLS"/>
    <x v="278"/>
    <x v="265"/>
    <n v="223201"/>
    <n v="445083"/>
  </r>
  <r>
    <s v="CLLS"/>
    <x v="278"/>
    <x v="265"/>
    <n v="78620959"/>
    <n v="375558202"/>
  </r>
  <r>
    <s v="CLLS"/>
    <x v="278"/>
    <x v="265"/>
    <n v="27992887"/>
    <n v="126565449"/>
  </r>
  <r>
    <s v="CLLS"/>
    <x v="278"/>
    <x v="265"/>
    <n v="247227"/>
    <n v="1284969"/>
  </r>
  <r>
    <s v="CLLS"/>
    <x v="278"/>
    <x v="265"/>
    <n v="18395215"/>
    <n v="79603680"/>
  </r>
  <r>
    <s v="CLLS"/>
    <x v="278"/>
    <x v="265"/>
    <n v="15963674"/>
    <n v="84129702"/>
  </r>
  <r>
    <s v="CLLS"/>
    <x v="278"/>
    <x v="265"/>
    <n v="204220215"/>
    <n v="837967996"/>
  </r>
  <r>
    <s v="CLLS"/>
    <x v="278"/>
    <x v="265"/>
    <n v="38995680"/>
    <n v="169968099"/>
  </r>
  <r>
    <s v="CLLS"/>
    <x v="278"/>
    <x v="265"/>
    <n v="39630797"/>
    <n v="153855607"/>
  </r>
  <r>
    <s v="CLLS"/>
    <x v="278"/>
    <x v="265"/>
    <n v="155118373"/>
    <n v="667078190"/>
  </r>
  <r>
    <s v="CLLS"/>
    <x v="278"/>
    <x v="265"/>
    <n v="40613538"/>
    <n v="234293065"/>
  </r>
  <r>
    <s v="CLLS"/>
    <x v="278"/>
    <x v="265"/>
    <n v="55719138"/>
    <n v="269947567"/>
  </r>
  <r>
    <s v="CLLS"/>
    <x v="278"/>
    <x v="265"/>
    <n v="1336"/>
    <n v="5687"/>
  </r>
  <r>
    <s v="CLLS"/>
    <x v="278"/>
    <x v="265"/>
    <n v="75649129"/>
    <n v="339750610"/>
  </r>
  <r>
    <s v="CLLS"/>
    <x v="278"/>
    <x v="265"/>
    <n v="133027497"/>
    <n v="529078158"/>
  </r>
  <r>
    <s v="CLLS"/>
    <x v="278"/>
    <x v="265"/>
    <n v="75791486"/>
    <n v="311881316"/>
  </r>
  <r>
    <s v="CLLS"/>
    <x v="278"/>
    <x v="265"/>
    <n v="49161738"/>
    <n v="210895590"/>
  </r>
  <r>
    <s v="CLLS"/>
    <x v="278"/>
    <x v="265"/>
    <n v="1039748"/>
    <n v="0"/>
  </r>
  <r>
    <s v="CLLS"/>
    <x v="279"/>
    <x v="266"/>
    <n v="-113951415"/>
    <n v="-2440028"/>
  </r>
  <r>
    <s v="CLLS"/>
    <x v="279"/>
    <x v="266"/>
    <n v="223497265"/>
    <n v="990297890"/>
  </r>
  <r>
    <s v="CLLS"/>
    <x v="279"/>
    <x v="266"/>
    <n v="46043165"/>
    <n v="186200350"/>
  </r>
  <r>
    <s v="CLLS"/>
    <x v="279"/>
    <x v="266"/>
    <n v="106869980"/>
    <n v="512024094"/>
  </r>
  <r>
    <s v="CLLS"/>
    <x v="279"/>
    <x v="266"/>
    <n v="456618303"/>
    <n v="2245408476"/>
  </r>
  <r>
    <s v="CLLS"/>
    <x v="279"/>
    <x v="266"/>
    <n v="213889697"/>
    <n v="730570099"/>
  </r>
  <r>
    <s v="CLLS"/>
    <x v="279"/>
    <x v="266"/>
    <n v="20641664"/>
    <n v="78543664"/>
  </r>
  <r>
    <s v="CLLS"/>
    <x v="279"/>
    <x v="266"/>
    <n v="82826184"/>
    <n v="296777668"/>
  </r>
  <r>
    <s v="CLLS"/>
    <x v="279"/>
    <x v="266"/>
    <n v="108016"/>
    <n v="-859174"/>
  </r>
  <r>
    <s v="CLLS"/>
    <x v="279"/>
    <x v="266"/>
    <n v="79446380"/>
    <n v="312911562"/>
  </r>
  <r>
    <s v="CLLS"/>
    <x v="279"/>
    <x v="266"/>
    <n v="31676698"/>
    <n v="116061150"/>
  </r>
  <r>
    <s v="CLLS"/>
    <x v="279"/>
    <x v="266"/>
    <n v="674887"/>
    <n v="2802512"/>
  </r>
  <r>
    <s v="CLLS"/>
    <x v="279"/>
    <x v="266"/>
    <n v="14831846"/>
    <n v="55609414"/>
  </r>
  <r>
    <s v="CLLS"/>
    <x v="279"/>
    <x v="266"/>
    <n v="27908695"/>
    <n v="105589346"/>
  </r>
  <r>
    <s v="CLLS"/>
    <x v="279"/>
    <x v="266"/>
    <n v="279761908"/>
    <n v="1035802551"/>
  </r>
  <r>
    <s v="CLLS"/>
    <x v="279"/>
    <x v="266"/>
    <n v="29027227"/>
    <n v="113327212"/>
  </r>
  <r>
    <s v="CLLS"/>
    <x v="279"/>
    <x v="266"/>
    <n v="21079964"/>
    <n v="83828723"/>
  </r>
  <r>
    <s v="CLLS"/>
    <x v="279"/>
    <x v="266"/>
    <n v="87709351"/>
    <n v="310746502"/>
  </r>
  <r>
    <s v="CLLS"/>
    <x v="279"/>
    <x v="266"/>
    <n v="46972206"/>
    <n v="195731518"/>
  </r>
  <r>
    <s v="CLLS"/>
    <x v="279"/>
    <x v="266"/>
    <n v="26650825"/>
    <n v="104048042"/>
  </r>
  <r>
    <s v="CLLS"/>
    <x v="279"/>
    <x v="266"/>
    <n v="3661"/>
    <n v="13071"/>
  </r>
  <r>
    <s v="CLLS"/>
    <x v="279"/>
    <x v="266"/>
    <n v="62924558"/>
    <n v="231477183"/>
  </r>
  <r>
    <s v="CLLS"/>
    <x v="279"/>
    <x v="266"/>
    <n v="91598995"/>
    <n v="331750805"/>
  </r>
  <r>
    <s v="CLLS"/>
    <x v="279"/>
    <x v="266"/>
    <n v="52204600"/>
    <n v="174226511"/>
  </r>
  <r>
    <s v="CLLS"/>
    <x v="279"/>
    <x v="266"/>
    <n v="40165846"/>
    <n v="139486493"/>
  </r>
  <r>
    <s v="CLLS"/>
    <x v="279"/>
    <x v="266"/>
    <n v="3190825"/>
    <n v="50258432"/>
  </r>
  <r>
    <s v="CLLS"/>
    <x v="280"/>
    <x v="267"/>
    <n v="68981893"/>
    <n v="296054464"/>
  </r>
  <r>
    <s v="CLLS"/>
    <x v="280"/>
    <x v="267"/>
    <n v="14300826"/>
    <n v="56376662"/>
  </r>
  <r>
    <s v="CLLS"/>
    <x v="280"/>
    <x v="267"/>
    <n v="60251309"/>
    <n v="206401687"/>
  </r>
  <r>
    <s v="CLLS"/>
    <x v="280"/>
    <x v="267"/>
    <n v="266639200"/>
    <n v="998169498"/>
  </r>
  <r>
    <s v="CLLS"/>
    <x v="280"/>
    <x v="267"/>
    <n v="78315842"/>
    <n v="278713235"/>
  </r>
  <r>
    <s v="CLLS"/>
    <x v="280"/>
    <x v="267"/>
    <n v="9205260"/>
    <n v="34987442"/>
  </r>
  <r>
    <s v="CLLS"/>
    <x v="280"/>
    <x v="267"/>
    <n v="32193588"/>
    <n v="120629745"/>
  </r>
  <r>
    <s v="CLLS"/>
    <x v="280"/>
    <x v="267"/>
    <n v="50300"/>
    <n v="176304"/>
  </r>
  <r>
    <s v="CLLS"/>
    <x v="280"/>
    <x v="267"/>
    <n v="32514259"/>
    <n v="125706215"/>
  </r>
  <r>
    <s v="CLLS"/>
    <x v="280"/>
    <x v="267"/>
    <n v="12142270"/>
    <n v="44844409"/>
  </r>
  <r>
    <s v="CLLS"/>
    <x v="280"/>
    <x v="267"/>
    <n v="278589"/>
    <n v="1184061"/>
  </r>
  <r>
    <s v="CLLS"/>
    <x v="280"/>
    <x v="267"/>
    <n v="6341338"/>
    <n v="26105983"/>
  </r>
  <r>
    <s v="CLLS"/>
    <x v="280"/>
    <x v="267"/>
    <n v="9702238"/>
    <n v="37360266"/>
  </r>
  <r>
    <s v="CLLS"/>
    <x v="280"/>
    <x v="267"/>
    <n v="133982091"/>
    <n v="473350328"/>
  </r>
  <r>
    <s v="CLLS"/>
    <x v="280"/>
    <x v="267"/>
    <n v="12481596"/>
    <n v="49675183"/>
  </r>
  <r>
    <s v="CLLS"/>
    <x v="280"/>
    <x v="267"/>
    <n v="8569908"/>
    <n v="33774192"/>
  </r>
  <r>
    <s v="CLLS"/>
    <x v="280"/>
    <x v="267"/>
    <n v="37593231"/>
    <n v="141248193"/>
  </r>
  <r>
    <s v="CLLS"/>
    <x v="280"/>
    <x v="267"/>
    <n v="19636681"/>
    <n v="74391886"/>
  </r>
  <r>
    <s v="CLLS"/>
    <x v="280"/>
    <x v="267"/>
    <n v="11609272"/>
    <n v="45974253"/>
  </r>
  <r>
    <s v="CLLS"/>
    <x v="280"/>
    <x v="267"/>
    <n v="1946"/>
    <n v="6945"/>
  </r>
  <r>
    <s v="CLLS"/>
    <x v="280"/>
    <x v="267"/>
    <n v="27943800"/>
    <n v="103279728"/>
  </r>
  <r>
    <s v="CLLS"/>
    <x v="280"/>
    <x v="267"/>
    <n v="40599489"/>
    <n v="151727466"/>
  </r>
  <r>
    <s v="CLLS"/>
    <x v="280"/>
    <x v="267"/>
    <n v="21592412"/>
    <n v="76118953"/>
  </r>
  <r>
    <s v="CLLS"/>
    <x v="280"/>
    <x v="267"/>
    <n v="17339866"/>
    <n v="61141446"/>
  </r>
  <r>
    <s v="CLLS"/>
    <x v="280"/>
    <x v="267"/>
    <n v="77305700"/>
    <n v="253368958"/>
  </r>
  <r>
    <s v="CLLS"/>
    <x v="281"/>
    <x v="268"/>
    <n v="367215300"/>
    <n v="2000235515"/>
  </r>
  <r>
    <s v="CLLS"/>
    <x v="281"/>
    <x v="268"/>
    <n v="391291"/>
    <n v="-307718"/>
  </r>
  <r>
    <s v="CLLS"/>
    <x v="281"/>
    <x v="268"/>
    <n v="5880727"/>
    <n v="21591530"/>
  </r>
  <r>
    <s v="CLLS"/>
    <x v="281"/>
    <x v="268"/>
    <n v="156382720"/>
    <n v="643719644"/>
  </r>
  <r>
    <s v="CLLS"/>
    <x v="281"/>
    <x v="268"/>
    <n v="35029710"/>
    <n v="142430030"/>
  </r>
  <r>
    <s v="CLLS"/>
    <x v="281"/>
    <x v="268"/>
    <n v="6474541"/>
    <n v="24982099"/>
  </r>
  <r>
    <s v="CLLS"/>
    <x v="281"/>
    <x v="268"/>
    <n v="43573089"/>
    <n v="87755742"/>
  </r>
  <r>
    <s v="CLLS"/>
    <x v="281"/>
    <x v="268"/>
    <n v="43373"/>
    <n v="170141"/>
  </r>
  <r>
    <s v="CLLS"/>
    <x v="281"/>
    <x v="268"/>
    <n v="8630721"/>
    <n v="30532814"/>
  </r>
  <r>
    <s v="CLLS"/>
    <x v="281"/>
    <x v="268"/>
    <n v="5467026"/>
    <n v="19594170"/>
  </r>
  <r>
    <s v="CLLS"/>
    <x v="281"/>
    <x v="268"/>
    <n v="153344"/>
    <n v="652060"/>
  </r>
  <r>
    <s v="CLLS"/>
    <x v="281"/>
    <x v="268"/>
    <n v="4247525"/>
    <n v="15168949"/>
  </r>
  <r>
    <s v="CLLS"/>
    <x v="281"/>
    <x v="268"/>
    <n v="5771415"/>
    <n v="22576323"/>
  </r>
  <r>
    <s v="CLLS"/>
    <x v="281"/>
    <x v="268"/>
    <n v="22117771"/>
    <n v="83904646"/>
  </r>
  <r>
    <s v="CLLS"/>
    <x v="281"/>
    <x v="268"/>
    <n v="5769534"/>
    <n v="21029710"/>
  </r>
  <r>
    <s v="CLLS"/>
    <x v="281"/>
    <x v="268"/>
    <n v="3911755"/>
    <n v="14590084"/>
  </r>
  <r>
    <s v="CLLS"/>
    <x v="281"/>
    <x v="268"/>
    <n v="24532273"/>
    <n v="85735713"/>
  </r>
  <r>
    <s v="CLLS"/>
    <x v="281"/>
    <x v="268"/>
    <n v="7506554"/>
    <n v="28951681"/>
  </r>
  <r>
    <s v="CLLS"/>
    <x v="281"/>
    <x v="268"/>
    <n v="6379494"/>
    <n v="24841562"/>
  </r>
  <r>
    <s v="CLLS"/>
    <x v="281"/>
    <x v="268"/>
    <n v="2867"/>
    <n v="12143"/>
  </r>
  <r>
    <s v="CLLS"/>
    <x v="281"/>
    <x v="268"/>
    <n v="11490306"/>
    <n v="42599394"/>
  </r>
  <r>
    <s v="CLLS"/>
    <x v="281"/>
    <x v="268"/>
    <n v="16982080"/>
    <n v="61987303"/>
  </r>
  <r>
    <s v="CLLS"/>
    <x v="281"/>
    <x v="268"/>
    <n v="10457735"/>
    <n v="37315757"/>
  </r>
  <r>
    <s v="CLLS"/>
    <x v="281"/>
    <x v="268"/>
    <n v="6305391"/>
    <n v="25673497"/>
  </r>
  <r>
    <s v="CLLS"/>
    <x v="281"/>
    <x v="268"/>
    <n v="74231198"/>
    <n v="1288348448"/>
  </r>
  <r>
    <s v="CLLS"/>
    <x v="282"/>
    <x v="269"/>
    <n v="-1423312"/>
    <n v="0"/>
  </r>
  <r>
    <s v="CLLS"/>
    <x v="282"/>
    <x v="269"/>
    <n v="-1997741"/>
    <n v="-9599824"/>
  </r>
  <r>
    <s v="CLLS"/>
    <x v="282"/>
    <x v="269"/>
    <n v="-2946902"/>
    <n v="52116921"/>
  </r>
  <r>
    <s v="CLLS"/>
    <x v="282"/>
    <x v="269"/>
    <n v="-517889325"/>
    <n v="-1752925885"/>
  </r>
  <r>
    <s v="CLLS"/>
    <x v="282"/>
    <x v="269"/>
    <n v="-42513"/>
    <n v="-123600"/>
  </r>
  <r>
    <s v="CLLS"/>
    <x v="282"/>
    <x v="269"/>
    <n v="-784430"/>
    <n v="-3372019"/>
  </r>
  <r>
    <s v="CLLS"/>
    <x v="282"/>
    <x v="269"/>
    <n v="-933868"/>
    <n v="-2040555"/>
  </r>
  <r>
    <s v="CLLS"/>
    <x v="282"/>
    <x v="269"/>
    <n v="0"/>
    <n v="-106922"/>
  </r>
  <r>
    <s v="CLLS"/>
    <x v="282"/>
    <x v="269"/>
    <n v="-97665"/>
    <n v="-373328"/>
  </r>
  <r>
    <s v="CLLS"/>
    <x v="282"/>
    <x v="269"/>
    <n v="-268037"/>
    <n v="-775190"/>
  </r>
  <r>
    <s v="CLLS"/>
    <x v="282"/>
    <x v="269"/>
    <n v="-74258"/>
    <n v="-287190"/>
  </r>
  <r>
    <s v="CLLS"/>
    <x v="282"/>
    <x v="269"/>
    <n v="0"/>
    <n v="-38425"/>
  </r>
  <r>
    <s v="CLLS"/>
    <x v="282"/>
    <x v="269"/>
    <n v="-535771"/>
    <n v="-1259521"/>
  </r>
  <r>
    <s v="CLLS"/>
    <x v="282"/>
    <x v="269"/>
    <n v="-37936"/>
    <n v="-146775"/>
  </r>
  <r>
    <s v="CLLS"/>
    <x v="282"/>
    <x v="269"/>
    <n v="-81522"/>
    <n v="-312707"/>
  </r>
  <r>
    <s v="CLLS"/>
    <x v="282"/>
    <x v="269"/>
    <n v="-19401"/>
    <n v="0"/>
  </r>
  <r>
    <s v="CLLS"/>
    <x v="282"/>
    <x v="269"/>
    <n v="0"/>
    <n v="-237451"/>
  </r>
  <r>
    <s v="CLLS"/>
    <x v="283"/>
    <x v="270"/>
    <n v="0"/>
    <n v="-1607361"/>
  </r>
  <r>
    <s v="CLLS"/>
    <x v="283"/>
    <x v="270"/>
    <n v="-52308238"/>
    <n v="-136065165"/>
  </r>
  <r>
    <s v="CLLS"/>
    <x v="283"/>
    <x v="270"/>
    <n v="-798412"/>
    <n v="-2780815"/>
  </r>
  <r>
    <s v="CLLS"/>
    <x v="283"/>
    <x v="270"/>
    <n v="-22092"/>
    <n v="-53688"/>
  </r>
  <r>
    <s v="CLLS"/>
    <x v="283"/>
    <x v="270"/>
    <n v="-19282503"/>
    <n v="-132531257"/>
  </r>
  <r>
    <s v="CLLS"/>
    <x v="284"/>
    <x v="271"/>
    <n v="-129314867"/>
    <n v="-278866025"/>
  </r>
  <r>
    <s v="CLLS"/>
    <x v="285"/>
    <x v="272"/>
    <n v="-122003302"/>
    <n v="-3181880243"/>
  </r>
  <r>
    <s v="CLLS"/>
    <x v="286"/>
    <x v="273"/>
    <n v="-784971"/>
    <n v="-1498612"/>
  </r>
  <r>
    <s v="CLLS"/>
    <x v="287"/>
    <x v="274"/>
    <n v="-12691860402"/>
    <n v="-48584861430"/>
  </r>
  <r>
    <s v="CLLS"/>
    <x v="288"/>
    <x v="275"/>
    <n v="59762666"/>
    <n v="-2992748728"/>
  </r>
  <r>
    <s v="CLLS"/>
    <x v="289"/>
    <x v="276"/>
    <n v="-2939040181"/>
    <n v="-9693091586"/>
  </r>
  <r>
    <s v="CLLS"/>
    <x v="290"/>
    <x v="277"/>
    <n v="-1329587004"/>
    <n v="-4887682722"/>
  </r>
  <r>
    <s v="CLLS"/>
    <x v="291"/>
    <x v="278"/>
    <n v="-349208423"/>
    <n v="-1388510960"/>
  </r>
  <r>
    <s v="CLLS"/>
    <x v="292"/>
    <x v="279"/>
    <n v="-8817309"/>
    <n v="-30170044"/>
  </r>
  <r>
    <s v="CLLS"/>
    <x v="293"/>
    <x v="280"/>
    <n v="-1817490875"/>
    <n v="-7741530201"/>
  </r>
  <r>
    <s v="CLLS"/>
    <x v="294"/>
    <x v="281"/>
    <n v="-177975754"/>
    <n v="12899139"/>
  </r>
  <r>
    <s v="CLLS"/>
    <x v="295"/>
    <x v="282"/>
    <n v="-2232364514"/>
    <n v="-13623356421"/>
  </r>
  <r>
    <s v="CLLS"/>
    <x v="296"/>
    <x v="283"/>
    <n v="-231094123"/>
    <n v="-755183592"/>
  </r>
  <r>
    <s v="CLLS"/>
    <x v="297"/>
    <x v="284"/>
    <n v="0"/>
    <n v="-940840453"/>
  </r>
  <r>
    <s v="CLLS"/>
    <x v="298"/>
    <x v="285"/>
    <n v="-288584220"/>
    <n v="-2578497393"/>
  </r>
  <r>
    <s v="CLLS"/>
    <x v="299"/>
    <x v="286"/>
    <n v="0"/>
    <n v="3"/>
  </r>
  <r>
    <s v="CLLS"/>
    <x v="300"/>
    <x v="287"/>
    <n v="-1683044"/>
    <n v="18912252"/>
  </r>
  <r>
    <s v="CLLS"/>
    <x v="301"/>
    <x v="288"/>
    <n v="-662499649"/>
    <n v="-115516151"/>
  </r>
  <r>
    <s v="CLLS"/>
    <x v="302"/>
    <x v="289"/>
    <n v="-1485699739"/>
    <n v="-5692583589"/>
  </r>
  <r>
    <s v="CLLS"/>
    <x v="303"/>
    <x v="290"/>
    <n v="-2826744824"/>
    <n v="-11057892646"/>
  </r>
  <r>
    <s v="CLLS"/>
    <x v="304"/>
    <x v="291"/>
    <n v="2837019243"/>
    <n v="5815863219"/>
  </r>
  <r>
    <s v="CLLS"/>
    <x v="305"/>
    <x v="292"/>
    <n v="0"/>
    <n v="847223772"/>
  </r>
  <r>
    <s v="CLLS"/>
    <x v="306"/>
    <x v="293"/>
    <n v="95469464"/>
    <n v="1116870625"/>
  </r>
  <r>
    <s v="CLLS"/>
    <x v="307"/>
    <x v="294"/>
    <n v="0"/>
    <n v="266816"/>
  </r>
  <r>
    <s v="CLLS"/>
    <x v="308"/>
    <x v="295"/>
    <n v="137066029"/>
    <n v="342751945"/>
  </r>
  <r>
    <s v="CLLS"/>
    <x v="309"/>
    <x v="296"/>
    <n v="27856"/>
    <n v="-21692489"/>
  </r>
  <r>
    <s v="CLLS"/>
    <x v="310"/>
    <x v="297"/>
    <n v="1114999435"/>
    <n v="2028646770"/>
  </r>
  <r>
    <s v="CLLS"/>
    <x v="311"/>
    <x v="298"/>
    <n v="3258545972"/>
    <n v="5133401189"/>
  </r>
  <r>
    <s v="CLLS"/>
    <x v="312"/>
    <x v="299"/>
    <n v="38199734"/>
    <n v="22930543"/>
  </r>
  <r>
    <s v="CLLS"/>
    <x v="313"/>
    <x v="300"/>
    <n v="-75775241"/>
    <n v="-30435546"/>
  </r>
  <r>
    <s v="CLLS"/>
    <x v="314"/>
    <x v="301"/>
    <n v="-512339134"/>
    <n v="-1312943252"/>
  </r>
  <r>
    <s v="CLLS"/>
    <x v="315"/>
    <x v="302"/>
    <n v="-28752627"/>
    <n v="-70544046"/>
  </r>
  <r>
    <s v="CLLS"/>
    <x v="316"/>
    <x v="303"/>
    <n v="-9379424440"/>
    <n v="-26837835364"/>
  </r>
  <r>
    <s v="CLLS"/>
    <x v="317"/>
    <x v="304"/>
    <n v="93031734"/>
    <n v="78362175"/>
  </r>
  <r>
    <s v="CLLS"/>
    <x v="318"/>
    <x v="305"/>
    <n v="15535197"/>
    <n v="40477263"/>
  </r>
  <r>
    <s v="CLLS"/>
    <x v="319"/>
    <x v="306"/>
    <n v="164804"/>
    <n v="1949701312"/>
  </r>
  <r>
    <s v="CLLS"/>
    <x v="320"/>
    <x v="307"/>
    <n v="0"/>
    <n v="-40720145"/>
  </r>
  <r>
    <s v="CLLS"/>
    <x v="321"/>
    <x v="308"/>
    <n v="76497645"/>
    <n v="-445708094"/>
  </r>
  <r>
    <s v="CLLS"/>
    <x v="322"/>
    <x v="309"/>
    <n v="-1159639345"/>
    <n v="-2866293878"/>
  </r>
  <r>
    <s v="CLLS"/>
    <x v="323"/>
    <x v="310"/>
    <n v="-448596954"/>
    <n v="-2663454326"/>
  </r>
  <r>
    <s v="CLLS"/>
    <x v="324"/>
    <x v="311"/>
    <n v="-15382751"/>
    <n v="-143189779"/>
  </r>
  <r>
    <s v="CLLS"/>
    <x v="325"/>
    <x v="312"/>
    <n v="-9639959"/>
    <n v="-6458902874"/>
  </r>
  <r>
    <s v="CLLS"/>
    <x v="326"/>
    <x v="313"/>
    <n v="-1210085"/>
    <n v="-20770700"/>
  </r>
  <r>
    <s v="CLLS"/>
    <x v="327"/>
    <x v="314"/>
    <n v="-1203319"/>
    <n v="-167122988"/>
  </r>
  <r>
    <s v="CLLS"/>
    <x v="328"/>
    <x v="315"/>
    <n v="-566866"/>
    <n v="3579476"/>
  </r>
  <r>
    <s v="CLLS"/>
    <x v="329"/>
    <x v="316"/>
    <n v="-9825998"/>
    <n v="-38215171"/>
  </r>
  <r>
    <s v="CLLS"/>
    <x v="330"/>
    <x v="317"/>
    <n v="-224164"/>
    <n v="-28505050"/>
  </r>
  <r>
    <s v="CLLS"/>
    <x v="331"/>
    <x v="318"/>
    <n v="-86904427"/>
    <n v="447932632"/>
  </r>
  <r>
    <s v="CLLS"/>
    <x v="332"/>
    <x v="319"/>
    <n v="73446141"/>
    <n v="174542840"/>
  </r>
  <r>
    <s v="CLLS"/>
    <x v="333"/>
    <x v="320"/>
    <n v="1703341283"/>
    <n v="5643851939"/>
  </r>
  <r>
    <s v="CLLS"/>
    <x v="334"/>
    <x v="321"/>
    <n v="-771807"/>
    <n v="126652974"/>
  </r>
  <r>
    <s v="CLLS"/>
    <x v="335"/>
    <x v="322"/>
    <n v="9315395839"/>
    <n v="30711824241"/>
  </r>
  <r>
    <s v="CLLS"/>
    <x v="336"/>
    <x v="323"/>
    <n v="0"/>
    <n v="6098107"/>
  </r>
  <r>
    <s v="CLLS"/>
    <x v="337"/>
    <x v="324"/>
    <n v="2962893"/>
    <n v="46566915"/>
  </r>
  <r>
    <s v="CLLS"/>
    <x v="338"/>
    <x v="325"/>
    <n v="0"/>
    <n v="22252874"/>
  </r>
  <r>
    <s v="CLLS"/>
    <x v="339"/>
    <x v="326"/>
    <n v="9662653"/>
    <n v="31550694"/>
  </r>
  <r>
    <s v="CLLS"/>
    <x v="340"/>
    <x v="327"/>
    <n v="798603"/>
    <n v="33416107"/>
  </r>
  <r>
    <s v="CLLS"/>
    <x v="341"/>
    <x v="328"/>
    <n v="0"/>
    <n v="-9494161"/>
  </r>
  <r>
    <s v="CLLS"/>
    <x v="342"/>
    <x v="329"/>
    <n v="0"/>
    <n v="-5832"/>
  </r>
  <r>
    <s v="CLLS"/>
    <x v="343"/>
    <x v="330"/>
    <n v="0"/>
    <n v="-365726"/>
  </r>
  <r>
    <s v="CLLS"/>
    <x v="344"/>
    <x v="331"/>
    <n v="0"/>
    <n v="303000"/>
  </r>
  <r>
    <s v="CLLS"/>
    <x v="345"/>
    <x v="332"/>
    <n v="0"/>
    <n v="223440"/>
  </r>
  <r>
    <s v="CLLS"/>
    <x v="346"/>
    <x v="333"/>
    <n v="-110756550"/>
    <n v="2063297670"/>
  </r>
  <r>
    <s v="CLLS"/>
    <x v="347"/>
    <x v="334"/>
    <n v="0"/>
    <n v="311188945"/>
  </r>
  <r>
    <s v="CLLS"/>
    <x v="348"/>
    <x v="335"/>
    <n v="1949932861"/>
    <n v="-2435657666"/>
  </r>
  <r>
    <s v="CLLS"/>
    <x v="349"/>
    <x v="336"/>
    <n v="0"/>
    <n v="642718616"/>
  </r>
  <r>
    <s v="CLLS"/>
    <x v="349"/>
    <x v="336"/>
    <n v="0"/>
    <n v="1935727"/>
  </r>
  <r>
    <s v="CLLS"/>
    <x v="350"/>
    <x v="337"/>
    <n v="530200"/>
    <n v="1976374"/>
  </r>
  <r>
    <s v="CLLS"/>
    <x v="350"/>
    <x v="337"/>
    <n v="176682"/>
    <n v="698396"/>
  </r>
  <r>
    <s v="CLLS"/>
    <x v="350"/>
    <x v="337"/>
    <n v="176682"/>
    <n v="698396"/>
  </r>
  <r>
    <s v="CLLS"/>
    <x v="350"/>
    <x v="337"/>
    <n v="176682"/>
    <n v="698396"/>
  </r>
  <r>
    <s v="CLLS"/>
    <x v="350"/>
    <x v="337"/>
    <n v="0"/>
    <n v="52400"/>
  </r>
  <r>
    <s v="CLLS"/>
    <x v="350"/>
    <x v="337"/>
    <n v="176682"/>
    <n v="698396"/>
  </r>
  <r>
    <s v="CLLS"/>
    <x v="350"/>
    <x v="337"/>
    <n v="176682"/>
    <n v="698396"/>
  </r>
  <r>
    <s v="CLLS"/>
    <x v="350"/>
    <x v="337"/>
    <n v="176682"/>
    <n v="698396"/>
  </r>
  <r>
    <s v="CLLS"/>
    <x v="351"/>
    <x v="338"/>
    <n v="813874"/>
    <n v="126473882"/>
  </r>
  <r>
    <s v="CLLS"/>
    <x v="351"/>
    <x v="338"/>
    <n v="0"/>
    <n v="817125"/>
  </r>
  <r>
    <s v="CLLS"/>
    <x v="351"/>
    <x v="338"/>
    <n v="128520"/>
    <n v="78286"/>
  </r>
  <r>
    <s v="CLLS"/>
    <x v="351"/>
    <x v="338"/>
    <n v="0"/>
    <n v="400460"/>
  </r>
  <r>
    <s v="CLLS"/>
    <x v="351"/>
    <x v="338"/>
    <n v="104024"/>
    <n v="176572"/>
  </r>
  <r>
    <s v="CLLS"/>
    <x v="351"/>
    <x v="338"/>
    <n v="0"/>
    <n v="241065"/>
  </r>
  <r>
    <s v="CLLS"/>
    <x v="351"/>
    <x v="338"/>
    <n v="0"/>
    <n v="78286"/>
  </r>
  <r>
    <s v="CLLS"/>
    <x v="351"/>
    <x v="338"/>
    <n v="193277"/>
    <n v="124827"/>
  </r>
  <r>
    <s v="CLLS"/>
    <x v="351"/>
    <x v="338"/>
    <n v="0"/>
    <n v="78286"/>
  </r>
  <r>
    <s v="CLLS"/>
    <x v="351"/>
    <x v="338"/>
    <n v="0"/>
    <n v="594891"/>
  </r>
  <r>
    <s v="CLLS"/>
    <x v="351"/>
    <x v="338"/>
    <n v="171030"/>
    <n v="78286"/>
  </r>
  <r>
    <s v="CLLS"/>
    <x v="351"/>
    <x v="338"/>
    <n v="0"/>
    <n v="78286"/>
  </r>
  <r>
    <s v="CLLS"/>
    <x v="351"/>
    <x v="338"/>
    <n v="140712"/>
    <n v="195715"/>
  </r>
  <r>
    <s v="CLLS"/>
    <x v="351"/>
    <x v="338"/>
    <n v="148538"/>
    <n v="117429"/>
  </r>
  <r>
    <s v="CLLS"/>
    <x v="351"/>
    <x v="338"/>
    <n v="0"/>
    <n v="117429"/>
  </r>
  <r>
    <s v="CLLS"/>
    <x v="351"/>
    <x v="338"/>
    <n v="0"/>
    <n v="21550"/>
  </r>
  <r>
    <s v="CLLS"/>
    <x v="351"/>
    <x v="338"/>
    <n v="0"/>
    <n v="162232"/>
  </r>
  <r>
    <s v="CLLS"/>
    <x v="351"/>
    <x v="338"/>
    <n v="0"/>
    <n v="358976"/>
  </r>
  <r>
    <s v="CLLS"/>
    <x v="351"/>
    <x v="338"/>
    <n v="0"/>
    <n v="234858"/>
  </r>
  <r>
    <s v="CLLS"/>
    <x v="351"/>
    <x v="338"/>
    <n v="0"/>
    <n v="291572"/>
  </r>
  <r>
    <s v="CLLS"/>
    <x v="351"/>
    <x v="338"/>
    <n v="0"/>
    <n v="39143"/>
  </r>
  <r>
    <s v="CLLS"/>
    <x v="351"/>
    <x v="338"/>
    <n v="0"/>
    <n v="117429"/>
  </r>
  <r>
    <s v="CLLS"/>
    <x v="352"/>
    <x v="339"/>
    <n v="227432981"/>
    <n v="1018473438"/>
  </r>
  <r>
    <s v="CLLS"/>
    <x v="353"/>
    <x v="340"/>
    <n v="1121341639"/>
    <n v="4463785679"/>
  </r>
  <r>
    <s v="CLLS"/>
    <x v="353"/>
    <x v="340"/>
    <n v="8552130"/>
    <n v="33407132"/>
  </r>
  <r>
    <s v="CLLS"/>
    <x v="353"/>
    <x v="340"/>
    <n v="2373847"/>
    <n v="10342420"/>
  </r>
  <r>
    <s v="CLLS"/>
    <x v="353"/>
    <x v="340"/>
    <n v="8517485"/>
    <n v="44862094"/>
  </r>
  <r>
    <s v="CLLS"/>
    <x v="353"/>
    <x v="340"/>
    <n v="6299870"/>
    <n v="24788560"/>
  </r>
  <r>
    <s v="CLLS"/>
    <x v="353"/>
    <x v="340"/>
    <n v="5095117"/>
    <n v="15315573"/>
  </r>
  <r>
    <s v="CLLS"/>
    <x v="353"/>
    <x v="340"/>
    <n v="2052798"/>
    <n v="9876423"/>
  </r>
  <r>
    <s v="CLLS"/>
    <x v="353"/>
    <x v="340"/>
    <n v="7163188"/>
    <n v="28321480"/>
  </r>
  <r>
    <s v="CLLS"/>
    <x v="353"/>
    <x v="340"/>
    <n v="2235557"/>
    <n v="8792172"/>
  </r>
  <r>
    <s v="CLLS"/>
    <x v="353"/>
    <x v="340"/>
    <n v="8915884"/>
    <n v="30097506"/>
  </r>
  <r>
    <s v="CLLS"/>
    <x v="353"/>
    <x v="340"/>
    <n v="3286549"/>
    <n v="12055893"/>
  </r>
  <r>
    <s v="CLLS"/>
    <x v="353"/>
    <x v="340"/>
    <n v="2115909"/>
    <n v="8374536"/>
  </r>
  <r>
    <s v="CLLS"/>
    <x v="353"/>
    <x v="340"/>
    <n v="6387430"/>
    <n v="24729610"/>
  </r>
  <r>
    <s v="CLLS"/>
    <x v="353"/>
    <x v="340"/>
    <n v="3136163"/>
    <n v="12412268"/>
  </r>
  <r>
    <s v="CLLS"/>
    <x v="353"/>
    <x v="340"/>
    <n v="4002990"/>
    <n v="9847501"/>
  </r>
  <r>
    <s v="CLLS"/>
    <x v="353"/>
    <x v="340"/>
    <n v="5585587"/>
    <n v="22019672"/>
  </r>
  <r>
    <s v="CLLS"/>
    <x v="353"/>
    <x v="340"/>
    <n v="5536465"/>
    <n v="16429124"/>
  </r>
  <r>
    <s v="CLLS"/>
    <x v="353"/>
    <x v="340"/>
    <n v="6590342"/>
    <n v="23613769"/>
  </r>
  <r>
    <s v="CLLS"/>
    <x v="353"/>
    <x v="340"/>
    <n v="20637303"/>
    <n v="58888246"/>
  </r>
  <r>
    <s v="CLLS"/>
    <x v="353"/>
    <x v="340"/>
    <n v="1052819"/>
    <n v="4548871"/>
  </r>
  <r>
    <s v="CLLS"/>
    <x v="353"/>
    <x v="340"/>
    <n v="15886399"/>
    <n v="64561567"/>
  </r>
  <r>
    <s v="CLLS"/>
    <x v="354"/>
    <x v="341"/>
    <n v="11550438"/>
    <n v="31652659"/>
  </r>
  <r>
    <s v="CLLS"/>
    <x v="354"/>
    <x v="341"/>
    <n v="0"/>
    <n v="170216"/>
  </r>
  <r>
    <s v="CLLS"/>
    <x v="354"/>
    <x v="341"/>
    <n v="21810"/>
    <n v="0"/>
  </r>
  <r>
    <s v="CLLS"/>
    <x v="354"/>
    <x v="341"/>
    <n v="0"/>
    <n v="17524"/>
  </r>
  <r>
    <s v="CLLS"/>
    <x v="355"/>
    <x v="342"/>
    <n v="2184800"/>
    <n v="8600581"/>
  </r>
  <r>
    <s v="CLLS"/>
    <x v="355"/>
    <x v="342"/>
    <n v="78591"/>
    <n v="295487"/>
  </r>
  <r>
    <s v="CLLS"/>
    <x v="355"/>
    <x v="342"/>
    <n v="37156"/>
    <n v="202165"/>
  </r>
  <r>
    <s v="CLLS"/>
    <x v="355"/>
    <x v="342"/>
    <n v="21536"/>
    <n v="212478"/>
  </r>
  <r>
    <s v="CLLS"/>
    <x v="355"/>
    <x v="342"/>
    <n v="64608"/>
    <n v="254594"/>
  </r>
  <r>
    <s v="CLLS"/>
    <x v="355"/>
    <x v="342"/>
    <n v="12016"/>
    <n v="74137"/>
  </r>
  <r>
    <s v="CLLS"/>
    <x v="355"/>
    <x v="342"/>
    <n v="32304"/>
    <n v="127188"/>
  </r>
  <r>
    <s v="CLLS"/>
    <x v="355"/>
    <x v="342"/>
    <n v="43072"/>
    <n v="170196"/>
  </r>
  <r>
    <s v="CLLS"/>
    <x v="355"/>
    <x v="342"/>
    <n v="40261"/>
    <n v="40185"/>
  </r>
  <r>
    <s v="CLLS"/>
    <x v="355"/>
    <x v="342"/>
    <n v="53840"/>
    <n v="125743"/>
  </r>
  <r>
    <s v="CLLS"/>
    <x v="355"/>
    <x v="342"/>
    <n v="21536"/>
    <n v="84868"/>
  </r>
  <r>
    <s v="CLLS"/>
    <x v="355"/>
    <x v="342"/>
    <n v="43072"/>
    <n v="163849"/>
  </r>
  <r>
    <s v="CLLS"/>
    <x v="355"/>
    <x v="342"/>
    <n v="36322"/>
    <n v="145184"/>
  </r>
  <r>
    <s v="CLLS"/>
    <x v="355"/>
    <x v="342"/>
    <n v="43072"/>
    <n v="148555"/>
  </r>
  <r>
    <s v="CLLS"/>
    <x v="355"/>
    <x v="342"/>
    <n v="39289"/>
    <n v="128543"/>
  </r>
  <r>
    <s v="CLLS"/>
    <x v="355"/>
    <x v="342"/>
    <n v="32304"/>
    <n v="202040"/>
  </r>
  <r>
    <s v="CLLS"/>
    <x v="355"/>
    <x v="342"/>
    <n v="0"/>
    <n v="40466"/>
  </r>
  <r>
    <s v="CLLS"/>
    <x v="355"/>
    <x v="342"/>
    <n v="3606"/>
    <n v="70706"/>
  </r>
  <r>
    <s v="CLLS"/>
    <x v="356"/>
    <x v="343"/>
    <n v="-84471810"/>
    <n v="693941926"/>
  </r>
  <r>
    <s v="CLLS"/>
    <x v="356"/>
    <x v="343"/>
    <n v="0"/>
    <n v="4276442"/>
  </r>
  <r>
    <s v="CLLS"/>
    <x v="356"/>
    <x v="343"/>
    <n v="0"/>
    <n v="3734670"/>
  </r>
  <r>
    <s v="CLLS"/>
    <x v="356"/>
    <x v="343"/>
    <n v="0"/>
    <n v="13304583"/>
  </r>
  <r>
    <s v="CLLS"/>
    <x v="356"/>
    <x v="343"/>
    <n v="0"/>
    <n v="11395956"/>
  </r>
  <r>
    <s v="CLLS"/>
    <x v="356"/>
    <x v="343"/>
    <n v="4395657"/>
    <n v="0"/>
  </r>
  <r>
    <s v="CLLS"/>
    <x v="356"/>
    <x v="343"/>
    <n v="0"/>
    <n v="27802"/>
  </r>
  <r>
    <s v="CLLS"/>
    <x v="356"/>
    <x v="343"/>
    <n v="0"/>
    <n v="6208956"/>
  </r>
  <r>
    <s v="CLLS"/>
    <x v="356"/>
    <x v="343"/>
    <n v="0"/>
    <n v="8520036"/>
  </r>
  <r>
    <s v="CLLS"/>
    <x v="357"/>
    <x v="344"/>
    <n v="557996559"/>
    <n v="2222496613"/>
  </r>
  <r>
    <s v="CLLS"/>
    <x v="357"/>
    <x v="344"/>
    <n v="4276070"/>
    <n v="16240965"/>
  </r>
  <r>
    <s v="CLLS"/>
    <x v="357"/>
    <x v="344"/>
    <n v="1186926"/>
    <n v="5171219"/>
  </r>
  <r>
    <s v="CLLS"/>
    <x v="357"/>
    <x v="344"/>
    <n v="3050914"/>
    <n v="22431064"/>
  </r>
  <r>
    <s v="CLLS"/>
    <x v="357"/>
    <x v="344"/>
    <n v="3149938"/>
    <n v="12394294"/>
  </r>
  <r>
    <s v="CLLS"/>
    <x v="357"/>
    <x v="344"/>
    <n v="2547560"/>
    <n v="7586745"/>
  </r>
  <r>
    <s v="CLLS"/>
    <x v="357"/>
    <x v="344"/>
    <n v="1026400"/>
    <n v="4938219"/>
  </r>
  <r>
    <s v="CLLS"/>
    <x v="357"/>
    <x v="344"/>
    <n v="3581596"/>
    <n v="14130443"/>
  </r>
  <r>
    <s v="CLLS"/>
    <x v="357"/>
    <x v="344"/>
    <n v="1117780"/>
    <n v="4396092"/>
  </r>
  <r>
    <s v="CLLS"/>
    <x v="357"/>
    <x v="344"/>
    <n v="4358398"/>
    <n v="14877308"/>
  </r>
  <r>
    <s v="CLLS"/>
    <x v="357"/>
    <x v="344"/>
    <n v="1643277"/>
    <n v="6027953"/>
  </r>
  <r>
    <s v="CLLS"/>
    <x v="357"/>
    <x v="344"/>
    <n v="1057956"/>
    <n v="4171154"/>
  </r>
  <r>
    <s v="CLLS"/>
    <x v="357"/>
    <x v="344"/>
    <n v="3193719"/>
    <n v="12269751"/>
  </r>
  <r>
    <s v="CLLS"/>
    <x v="357"/>
    <x v="344"/>
    <n v="1568083"/>
    <n v="6182758"/>
  </r>
  <r>
    <s v="CLLS"/>
    <x v="357"/>
    <x v="344"/>
    <n v="2001498"/>
    <n v="4923761"/>
  </r>
  <r>
    <s v="CLLS"/>
    <x v="357"/>
    <x v="344"/>
    <n v="2792798"/>
    <n v="10994550"/>
  </r>
  <r>
    <s v="CLLS"/>
    <x v="357"/>
    <x v="344"/>
    <n v="2768233"/>
    <n v="8214567"/>
  </r>
  <r>
    <s v="CLLS"/>
    <x v="357"/>
    <x v="344"/>
    <n v="3295175"/>
    <n v="11737501"/>
  </r>
  <r>
    <s v="CLLS"/>
    <x v="357"/>
    <x v="344"/>
    <n v="10318654"/>
    <n v="29385419"/>
  </r>
  <r>
    <s v="CLLS"/>
    <x v="357"/>
    <x v="344"/>
    <n v="526410"/>
    <n v="2254612"/>
  </r>
  <r>
    <s v="CLLS"/>
    <x v="357"/>
    <x v="344"/>
    <n v="7943201"/>
    <n v="32232988"/>
  </r>
  <r>
    <s v="CLLS"/>
    <x v="358"/>
    <x v="345"/>
    <n v="45807554"/>
    <n v="145363909"/>
  </r>
  <r>
    <s v="CLLS"/>
    <x v="358"/>
    <x v="345"/>
    <n v="0"/>
    <n v="567384"/>
  </r>
  <r>
    <s v="CLLS"/>
    <x v="358"/>
    <x v="345"/>
    <n v="0"/>
    <n v="73721"/>
  </r>
  <r>
    <s v="CLLS"/>
    <x v="358"/>
    <x v="345"/>
    <n v="34157"/>
    <n v="2160847"/>
  </r>
  <r>
    <s v="CLLS"/>
    <x v="358"/>
    <x v="345"/>
    <n v="0"/>
    <n v="1318787"/>
  </r>
  <r>
    <s v="CLLS"/>
    <x v="358"/>
    <x v="345"/>
    <n v="0"/>
    <n v="328784"/>
  </r>
  <r>
    <s v="CLLS"/>
    <x v="358"/>
    <x v="345"/>
    <n v="250111"/>
    <n v="185938"/>
  </r>
  <r>
    <s v="CLLS"/>
    <x v="358"/>
    <x v="345"/>
    <n v="0"/>
    <n v="806946"/>
  </r>
  <r>
    <s v="CLLS"/>
    <x v="358"/>
    <x v="345"/>
    <n v="0"/>
    <n v="88810"/>
  </r>
  <r>
    <s v="CLLS"/>
    <x v="358"/>
    <x v="345"/>
    <n v="0"/>
    <n v="366874"/>
  </r>
  <r>
    <s v="CLLS"/>
    <x v="358"/>
    <x v="345"/>
    <n v="0"/>
    <n v="155224"/>
  </r>
  <r>
    <s v="CLLS"/>
    <x v="358"/>
    <x v="345"/>
    <n v="0"/>
    <n v="90547"/>
  </r>
  <r>
    <s v="CLLS"/>
    <x v="358"/>
    <x v="345"/>
    <n v="0"/>
    <n v="124826"/>
  </r>
  <r>
    <s v="CLLS"/>
    <x v="358"/>
    <x v="345"/>
    <n v="0"/>
    <n v="1279899"/>
  </r>
  <r>
    <s v="CLLS"/>
    <x v="359"/>
    <x v="346"/>
    <n v="70720375"/>
    <n v="266450506"/>
  </r>
  <r>
    <s v="CLLS"/>
    <x v="359"/>
    <x v="346"/>
    <n v="469619"/>
    <n v="0"/>
  </r>
  <r>
    <s v="CLLS"/>
    <x v="359"/>
    <x v="346"/>
    <n v="0"/>
    <n v="259135"/>
  </r>
  <r>
    <s v="CLLS"/>
    <x v="359"/>
    <x v="346"/>
    <n v="308003"/>
    <n v="741006"/>
  </r>
  <r>
    <s v="CLLS"/>
    <x v="359"/>
    <x v="346"/>
    <n v="316213"/>
    <n v="0"/>
  </r>
  <r>
    <s v="CLLS"/>
    <x v="359"/>
    <x v="346"/>
    <n v="0"/>
    <n v="331539"/>
  </r>
  <r>
    <s v="CLLS"/>
    <x v="359"/>
    <x v="346"/>
    <n v="0"/>
    <n v="530383"/>
  </r>
  <r>
    <s v="CLLS"/>
    <x v="359"/>
    <x v="346"/>
    <n v="0"/>
    <n v="550098"/>
  </r>
  <r>
    <s v="CLLS"/>
    <x v="359"/>
    <x v="346"/>
    <n v="0"/>
    <n v="-946518"/>
  </r>
  <r>
    <s v="CLLS"/>
    <x v="359"/>
    <x v="346"/>
    <n v="0"/>
    <n v="249101"/>
  </r>
  <r>
    <s v="CLLS"/>
    <x v="359"/>
    <x v="346"/>
    <n v="0"/>
    <n v="6215874"/>
  </r>
  <r>
    <s v="CLLS"/>
    <x v="359"/>
    <x v="346"/>
    <n v="0"/>
    <n v="2619575"/>
  </r>
  <r>
    <s v="CLLS"/>
    <x v="360"/>
    <x v="347"/>
    <n v="133725346"/>
    <n v="664809056"/>
  </r>
  <r>
    <s v="CLLS"/>
    <x v="361"/>
    <x v="348"/>
    <n v="125643461"/>
    <n v="457792706"/>
  </r>
  <r>
    <s v="CLLS"/>
    <x v="361"/>
    <x v="348"/>
    <n v="891153"/>
    <n v="6725504"/>
  </r>
  <r>
    <s v="CLLS"/>
    <x v="361"/>
    <x v="348"/>
    <n v="662820"/>
    <n v="1503248"/>
  </r>
  <r>
    <s v="CLLS"/>
    <x v="361"/>
    <x v="348"/>
    <n v="1078050"/>
    <n v="7044428"/>
  </r>
  <r>
    <s v="CLLS"/>
    <x v="361"/>
    <x v="348"/>
    <n v="470304"/>
    <n v="4420788"/>
  </r>
  <r>
    <s v="CLLS"/>
    <x v="361"/>
    <x v="348"/>
    <n v="677919"/>
    <n v="3407610"/>
  </r>
  <r>
    <s v="CLLS"/>
    <x v="361"/>
    <x v="348"/>
    <n v="469820"/>
    <n v="2211085"/>
  </r>
  <r>
    <s v="CLLS"/>
    <x v="361"/>
    <x v="348"/>
    <n v="1777639"/>
    <n v="2522265"/>
  </r>
  <r>
    <s v="CLLS"/>
    <x v="361"/>
    <x v="348"/>
    <n v="608230"/>
    <n v="1695884"/>
  </r>
  <r>
    <s v="CLLS"/>
    <x v="361"/>
    <x v="348"/>
    <n v="1604344"/>
    <n v="5369486"/>
  </r>
  <r>
    <s v="CLLS"/>
    <x v="361"/>
    <x v="348"/>
    <n v="633760"/>
    <n v="2364985"/>
  </r>
  <r>
    <s v="CLLS"/>
    <x v="361"/>
    <x v="348"/>
    <n v="801230"/>
    <n v="1941352"/>
  </r>
  <r>
    <s v="CLLS"/>
    <x v="361"/>
    <x v="348"/>
    <n v="1716251"/>
    <n v="3582257"/>
  </r>
  <r>
    <s v="CLLS"/>
    <x v="361"/>
    <x v="348"/>
    <n v="1065755"/>
    <n v="2793136"/>
  </r>
  <r>
    <s v="CLLS"/>
    <x v="361"/>
    <x v="348"/>
    <n v="1308012"/>
    <n v="2747633"/>
  </r>
  <r>
    <s v="CLLS"/>
    <x v="361"/>
    <x v="348"/>
    <n v="1749812"/>
    <n v="3797538"/>
  </r>
  <r>
    <s v="CLLS"/>
    <x v="361"/>
    <x v="348"/>
    <n v="665140"/>
    <n v="3138524"/>
  </r>
  <r>
    <s v="CLLS"/>
    <x v="361"/>
    <x v="348"/>
    <n v="1741354"/>
    <n v="4653256"/>
  </r>
  <r>
    <s v="CLLS"/>
    <x v="361"/>
    <x v="348"/>
    <n v="3780987"/>
    <n v="6452482"/>
  </r>
  <r>
    <s v="CLLS"/>
    <x v="361"/>
    <x v="348"/>
    <n v="0"/>
    <n v="976046"/>
  </r>
  <r>
    <s v="CLLS"/>
    <x v="361"/>
    <x v="348"/>
    <n v="1390517"/>
    <n v="5903691"/>
  </r>
  <r>
    <s v="CLLS"/>
    <x v="362"/>
    <x v="349"/>
    <n v="31319204"/>
    <n v="110909583"/>
  </r>
  <r>
    <s v="CLLS"/>
    <x v="362"/>
    <x v="349"/>
    <n v="545950"/>
    <n v="1870166"/>
  </r>
  <r>
    <s v="CLLS"/>
    <x v="362"/>
    <x v="349"/>
    <n v="24340"/>
    <n v="178217"/>
  </r>
  <r>
    <s v="CLLS"/>
    <x v="362"/>
    <x v="349"/>
    <n v="6766084"/>
    <n v="8905288"/>
  </r>
  <r>
    <s v="CLLS"/>
    <x v="362"/>
    <x v="349"/>
    <n v="858084"/>
    <n v="3282825"/>
  </r>
  <r>
    <s v="CLLS"/>
    <x v="362"/>
    <x v="349"/>
    <n v="123529"/>
    <n v="715307"/>
  </r>
  <r>
    <s v="CLLS"/>
    <x v="362"/>
    <x v="349"/>
    <n v="73617"/>
    <n v="305951"/>
  </r>
  <r>
    <s v="CLLS"/>
    <x v="362"/>
    <x v="349"/>
    <n v="2516402"/>
    <n v="5253392"/>
  </r>
  <r>
    <s v="CLLS"/>
    <x v="362"/>
    <x v="349"/>
    <n v="116437"/>
    <n v="243516"/>
  </r>
  <r>
    <s v="CLLS"/>
    <x v="362"/>
    <x v="349"/>
    <n v="740812"/>
    <n v="3026325"/>
  </r>
  <r>
    <s v="CLLS"/>
    <x v="362"/>
    <x v="349"/>
    <n v="666935"/>
    <n v="265613"/>
  </r>
  <r>
    <s v="CLLS"/>
    <x v="362"/>
    <x v="349"/>
    <n v="299805"/>
    <n v="581084"/>
  </r>
  <r>
    <s v="CLLS"/>
    <x v="362"/>
    <x v="349"/>
    <n v="131143"/>
    <n v="1144007"/>
  </r>
  <r>
    <s v="CLLS"/>
    <x v="362"/>
    <x v="349"/>
    <n v="227627"/>
    <n v="660139"/>
  </r>
  <r>
    <s v="CLLS"/>
    <x v="362"/>
    <x v="349"/>
    <n v="5011"/>
    <n v="1283345"/>
  </r>
  <r>
    <s v="CLLS"/>
    <x v="362"/>
    <x v="349"/>
    <n v="58182"/>
    <n v="670258"/>
  </r>
  <r>
    <s v="CLLS"/>
    <x v="362"/>
    <x v="349"/>
    <n v="491970"/>
    <n v="932539"/>
  </r>
  <r>
    <s v="CLLS"/>
    <x v="362"/>
    <x v="349"/>
    <n v="2859"/>
    <n v="142255"/>
  </r>
  <r>
    <s v="CLLS"/>
    <x v="362"/>
    <x v="349"/>
    <n v="21496399"/>
    <n v="8219528"/>
  </r>
  <r>
    <s v="CLLS"/>
    <x v="362"/>
    <x v="349"/>
    <n v="0"/>
    <n v="9604"/>
  </r>
  <r>
    <s v="CLLS"/>
    <x v="363"/>
    <x v="350"/>
    <n v="51563617"/>
    <n v="206047797"/>
  </r>
  <r>
    <s v="CLLS"/>
    <x v="363"/>
    <x v="350"/>
    <n v="760989"/>
    <n v="2149459"/>
  </r>
  <r>
    <s v="CLLS"/>
    <x v="363"/>
    <x v="350"/>
    <n v="256729"/>
    <n v="877581"/>
  </r>
  <r>
    <s v="CLLS"/>
    <x v="363"/>
    <x v="350"/>
    <n v="500741"/>
    <n v="2539910"/>
  </r>
  <r>
    <s v="CLLS"/>
    <x v="363"/>
    <x v="350"/>
    <n v="522946"/>
    <n v="2096610"/>
  </r>
  <r>
    <s v="CLLS"/>
    <x v="363"/>
    <x v="350"/>
    <n v="479718"/>
    <n v="1705480"/>
  </r>
  <r>
    <s v="CLLS"/>
    <x v="363"/>
    <x v="350"/>
    <n v="216094"/>
    <n v="834836"/>
  </r>
  <r>
    <s v="CLLS"/>
    <x v="363"/>
    <x v="350"/>
    <n v="638655"/>
    <n v="2285770"/>
  </r>
  <r>
    <s v="CLLS"/>
    <x v="363"/>
    <x v="350"/>
    <n v="223363"/>
    <n v="780195"/>
  </r>
  <r>
    <s v="CLLS"/>
    <x v="363"/>
    <x v="350"/>
    <n v="821440"/>
    <n v="2422782"/>
  </r>
  <r>
    <s v="CLLS"/>
    <x v="363"/>
    <x v="350"/>
    <n v="340613"/>
    <n v="1105103"/>
  </r>
  <r>
    <s v="CLLS"/>
    <x v="363"/>
    <x v="350"/>
    <n v="205601"/>
    <n v="667681"/>
  </r>
  <r>
    <s v="CLLS"/>
    <x v="363"/>
    <x v="350"/>
    <n v="622927"/>
    <n v="2041865"/>
  </r>
  <r>
    <s v="CLLS"/>
    <x v="363"/>
    <x v="350"/>
    <n v="325072"/>
    <n v="1156132"/>
  </r>
  <r>
    <s v="CLLS"/>
    <x v="363"/>
    <x v="350"/>
    <n v="-390528"/>
    <n v="1422581"/>
  </r>
  <r>
    <s v="CLLS"/>
    <x v="363"/>
    <x v="350"/>
    <n v="554436"/>
    <n v="1920865"/>
  </r>
  <r>
    <s v="CLLS"/>
    <x v="363"/>
    <x v="350"/>
    <n v="512832"/>
    <n v="652408"/>
  </r>
  <r>
    <s v="CLLS"/>
    <x v="363"/>
    <x v="350"/>
    <n v="722867"/>
    <n v="2279894"/>
  </r>
  <r>
    <s v="CLLS"/>
    <x v="363"/>
    <x v="350"/>
    <n v="790347"/>
    <n v="1907424"/>
  </r>
  <r>
    <s v="CLLS"/>
    <x v="363"/>
    <x v="350"/>
    <n v="95071"/>
    <n v="426203"/>
  </r>
  <r>
    <s v="CLLS"/>
    <x v="363"/>
    <x v="350"/>
    <n v="734950"/>
    <n v="2791616"/>
  </r>
  <r>
    <s v="CLLS"/>
    <x v="364"/>
    <x v="351"/>
    <n v="8481357"/>
    <n v="18113637"/>
  </r>
  <r>
    <s v="CLLS"/>
    <x v="364"/>
    <x v="351"/>
    <n v="0"/>
    <n v="30093"/>
  </r>
  <r>
    <s v="CLLS"/>
    <x v="364"/>
    <x v="351"/>
    <n v="5210"/>
    <n v="182360"/>
  </r>
  <r>
    <s v="CLLS"/>
    <x v="364"/>
    <x v="351"/>
    <n v="0"/>
    <n v="84000"/>
  </r>
  <r>
    <s v="CLLS"/>
    <x v="364"/>
    <x v="351"/>
    <n v="172800"/>
    <n v="133195"/>
  </r>
  <r>
    <s v="CLLS"/>
    <x v="364"/>
    <x v="351"/>
    <n v="379000"/>
    <n v="1115100"/>
  </r>
  <r>
    <s v="CLLS"/>
    <x v="364"/>
    <x v="351"/>
    <n v="174000"/>
    <n v="508170"/>
  </r>
  <r>
    <s v="CLLS"/>
    <x v="364"/>
    <x v="351"/>
    <n v="0"/>
    <n v="42600"/>
  </r>
  <r>
    <s v="CLLS"/>
    <x v="364"/>
    <x v="351"/>
    <n v="0"/>
    <n v="201000"/>
  </r>
  <r>
    <s v="CLLS"/>
    <x v="364"/>
    <x v="351"/>
    <n v="74000"/>
    <n v="229200"/>
  </r>
  <r>
    <s v="CLLS"/>
    <x v="364"/>
    <x v="351"/>
    <n v="313100"/>
    <n v="93390"/>
  </r>
  <r>
    <s v="CLLS"/>
    <x v="364"/>
    <x v="351"/>
    <n v="95500"/>
    <n v="-43930"/>
  </r>
  <r>
    <s v="CLLS"/>
    <x v="364"/>
    <x v="351"/>
    <n v="117000"/>
    <n v="-14225"/>
  </r>
  <r>
    <s v="CLLS"/>
    <x v="364"/>
    <x v="351"/>
    <n v="121000"/>
    <n v="398510"/>
  </r>
  <r>
    <s v="CLLS"/>
    <x v="364"/>
    <x v="351"/>
    <n v="104000"/>
    <n v="130975"/>
  </r>
  <r>
    <s v="CLLS"/>
    <x v="364"/>
    <x v="351"/>
    <n v="13300"/>
    <n v="69500"/>
  </r>
  <r>
    <s v="CLLS"/>
    <x v="364"/>
    <x v="351"/>
    <n v="0"/>
    <n v="23000"/>
  </r>
  <r>
    <s v="CLLS"/>
    <x v="364"/>
    <x v="351"/>
    <n v="0"/>
    <n v="255600"/>
  </r>
  <r>
    <s v="CLLS"/>
    <x v="364"/>
    <x v="351"/>
    <n v="0"/>
    <n v="32174"/>
  </r>
  <r>
    <s v="CLLS"/>
    <x v="364"/>
    <x v="351"/>
    <n v="0"/>
    <n v="106980"/>
  </r>
  <r>
    <s v="CLLS"/>
    <x v="364"/>
    <x v="351"/>
    <n v="7000"/>
    <n v="464284"/>
  </r>
  <r>
    <s v="CLLS"/>
    <x v="364"/>
    <x v="351"/>
    <n v="0"/>
    <n v="36000"/>
  </r>
  <r>
    <s v="CLLS"/>
    <x v="364"/>
    <x v="351"/>
    <n v="0"/>
    <n v="49287"/>
  </r>
  <r>
    <s v="CLLS"/>
    <x v="365"/>
    <x v="352"/>
    <n v="48334012"/>
    <n v="202641778"/>
  </r>
  <r>
    <s v="CLLS"/>
    <x v="365"/>
    <x v="352"/>
    <n v="627458"/>
    <n v="2490970"/>
  </r>
  <r>
    <s v="CLLS"/>
    <x v="365"/>
    <x v="352"/>
    <n v="138995"/>
    <n v="549708"/>
  </r>
  <r>
    <s v="CLLS"/>
    <x v="365"/>
    <x v="352"/>
    <n v="529132"/>
    <n v="2059363"/>
  </r>
  <r>
    <s v="CLLS"/>
    <x v="365"/>
    <x v="352"/>
    <n v="393473"/>
    <n v="1573806"/>
  </r>
  <r>
    <s v="CLLS"/>
    <x v="365"/>
    <x v="352"/>
    <n v="293806"/>
    <n v="1320018"/>
  </r>
  <r>
    <s v="CLLS"/>
    <x v="365"/>
    <x v="352"/>
    <n v="181339"/>
    <n v="717368"/>
  </r>
  <r>
    <s v="CLLS"/>
    <x v="365"/>
    <x v="352"/>
    <n v="364484"/>
    <n v="1441119"/>
  </r>
  <r>
    <s v="CLLS"/>
    <x v="365"/>
    <x v="352"/>
    <n v="152354"/>
    <n v="601052"/>
  </r>
  <r>
    <s v="CLLS"/>
    <x v="365"/>
    <x v="352"/>
    <n v="564404"/>
    <n v="2024132"/>
  </r>
  <r>
    <s v="CLLS"/>
    <x v="365"/>
    <x v="352"/>
    <n v="204779"/>
    <n v="783380"/>
  </r>
  <r>
    <s v="CLLS"/>
    <x v="365"/>
    <x v="352"/>
    <n v="154319"/>
    <n v="610546"/>
  </r>
  <r>
    <s v="CLLS"/>
    <x v="365"/>
    <x v="352"/>
    <n v="433254"/>
    <n v="1694643"/>
  </r>
  <r>
    <s v="CLLS"/>
    <x v="365"/>
    <x v="352"/>
    <n v="223316"/>
    <n v="883528"/>
  </r>
  <r>
    <s v="CLLS"/>
    <x v="365"/>
    <x v="352"/>
    <n v="348061"/>
    <n v="1352041"/>
  </r>
  <r>
    <s v="CLLS"/>
    <x v="365"/>
    <x v="352"/>
    <n v="337982"/>
    <n v="1336230"/>
  </r>
  <r>
    <s v="CLLS"/>
    <x v="365"/>
    <x v="352"/>
    <n v="318957"/>
    <n v="1221680"/>
  </r>
  <r>
    <s v="CLLS"/>
    <x v="365"/>
    <x v="352"/>
    <n v="781431"/>
    <n v="1630299"/>
  </r>
  <r>
    <s v="CLLS"/>
    <x v="365"/>
    <x v="352"/>
    <n v="709679"/>
    <n v="2226826"/>
  </r>
  <r>
    <s v="CLLS"/>
    <x v="365"/>
    <x v="352"/>
    <n v="80790"/>
    <n v="336305"/>
  </r>
  <r>
    <s v="CLLS"/>
    <x v="365"/>
    <x v="352"/>
    <n v="669846"/>
    <n v="2687572"/>
  </r>
  <r>
    <s v="CLLS"/>
    <x v="366"/>
    <x v="353"/>
    <n v="3363267"/>
    <n v="4778356"/>
  </r>
  <r>
    <s v="CLLS"/>
    <x v="366"/>
    <x v="353"/>
    <n v="0"/>
    <n v="270374"/>
  </r>
  <r>
    <s v="CLLS"/>
    <x v="367"/>
    <x v="354"/>
    <n v="1761770"/>
    <n v="886747"/>
  </r>
  <r>
    <s v="CLLS"/>
    <x v="368"/>
    <x v="355"/>
    <n v="103945950"/>
    <n v="435431271"/>
  </r>
  <r>
    <s v="CLLS"/>
    <x v="368"/>
    <x v="355"/>
    <n v="2376686"/>
    <n v="8758240"/>
  </r>
  <r>
    <s v="CLLS"/>
    <x v="368"/>
    <x v="355"/>
    <n v="571730"/>
    <n v="2670280"/>
  </r>
  <r>
    <s v="CLLS"/>
    <x v="368"/>
    <x v="355"/>
    <n v="1121601"/>
    <n v="6441950"/>
  </r>
  <r>
    <s v="CLLS"/>
    <x v="368"/>
    <x v="355"/>
    <n v="1292254"/>
    <n v="5023339"/>
  </r>
  <r>
    <s v="CLLS"/>
    <x v="368"/>
    <x v="355"/>
    <n v="1276504"/>
    <n v="4211642"/>
  </r>
  <r>
    <s v="CLLS"/>
    <x v="368"/>
    <x v="355"/>
    <n v="483330"/>
    <n v="2446871"/>
  </r>
  <r>
    <s v="CLLS"/>
    <x v="368"/>
    <x v="355"/>
    <n v="884865"/>
    <n v="3884745"/>
  </r>
  <r>
    <s v="CLLS"/>
    <x v="368"/>
    <x v="355"/>
    <n v="610757"/>
    <n v="2669524"/>
  </r>
  <r>
    <s v="CLLS"/>
    <x v="368"/>
    <x v="355"/>
    <n v="2208825"/>
    <n v="7917587"/>
  </r>
  <r>
    <s v="CLLS"/>
    <x v="368"/>
    <x v="355"/>
    <n v="571463"/>
    <n v="2384881"/>
  </r>
  <r>
    <s v="CLLS"/>
    <x v="368"/>
    <x v="355"/>
    <n v="595061"/>
    <n v="2567413"/>
  </r>
  <r>
    <s v="CLLS"/>
    <x v="368"/>
    <x v="355"/>
    <n v="1566065"/>
    <n v="6181011"/>
  </r>
  <r>
    <s v="CLLS"/>
    <x v="368"/>
    <x v="355"/>
    <n v="920046"/>
    <n v="3874198"/>
  </r>
  <r>
    <s v="CLLS"/>
    <x v="368"/>
    <x v="355"/>
    <n v="991183"/>
    <n v="3037407"/>
  </r>
  <r>
    <s v="CLLS"/>
    <x v="368"/>
    <x v="355"/>
    <n v="1245193"/>
    <n v="5233600"/>
  </r>
  <r>
    <s v="CLLS"/>
    <x v="368"/>
    <x v="355"/>
    <n v="1327408"/>
    <n v="4328858"/>
  </r>
  <r>
    <s v="CLLS"/>
    <x v="368"/>
    <x v="355"/>
    <n v="1685511"/>
    <n v="6372866"/>
  </r>
  <r>
    <s v="CLLS"/>
    <x v="368"/>
    <x v="355"/>
    <n v="1362425"/>
    <n v="5158469"/>
  </r>
  <r>
    <s v="CLLS"/>
    <x v="368"/>
    <x v="355"/>
    <n v="294204"/>
    <n v="1188562"/>
  </r>
  <r>
    <s v="CLLS"/>
    <x v="368"/>
    <x v="355"/>
    <n v="955308"/>
    <n v="3929485"/>
  </r>
  <r>
    <s v="CLLS"/>
    <x v="369"/>
    <x v="356"/>
    <n v="1682000"/>
    <n v="7258419"/>
  </r>
  <r>
    <s v="CLLS"/>
    <x v="369"/>
    <x v="356"/>
    <n v="0"/>
    <n v="232912"/>
  </r>
  <r>
    <s v="CLLS"/>
    <x v="369"/>
    <x v="356"/>
    <n v="0"/>
    <n v="10000"/>
  </r>
  <r>
    <s v="CLLS"/>
    <x v="369"/>
    <x v="356"/>
    <n v="0"/>
    <n v="10000"/>
  </r>
  <r>
    <s v="CLLS"/>
    <x v="369"/>
    <x v="356"/>
    <n v="0"/>
    <n v="10000"/>
  </r>
  <r>
    <s v="CLLS"/>
    <x v="369"/>
    <x v="356"/>
    <n v="0"/>
    <n v="10000"/>
  </r>
  <r>
    <s v="CLLS"/>
    <x v="370"/>
    <x v="357"/>
    <n v="14757549"/>
    <n v="67245129"/>
  </r>
  <r>
    <s v="CLLS"/>
    <x v="370"/>
    <x v="357"/>
    <n v="201945"/>
    <n v="104256"/>
  </r>
  <r>
    <s v="CLLS"/>
    <x v="370"/>
    <x v="357"/>
    <n v="0"/>
    <n v="161732"/>
  </r>
  <r>
    <s v="CLLS"/>
    <x v="370"/>
    <x v="357"/>
    <n v="0"/>
    <n v="628130"/>
  </r>
  <r>
    <s v="CLLS"/>
    <x v="370"/>
    <x v="357"/>
    <n v="220846"/>
    <n v="1099935"/>
  </r>
  <r>
    <s v="CLLS"/>
    <x v="370"/>
    <x v="357"/>
    <n v="7400"/>
    <n v="76135"/>
  </r>
  <r>
    <s v="CLLS"/>
    <x v="370"/>
    <x v="357"/>
    <n v="0"/>
    <n v="18123"/>
  </r>
  <r>
    <s v="CLLS"/>
    <x v="370"/>
    <x v="357"/>
    <n v="0"/>
    <n v="165794"/>
  </r>
  <r>
    <s v="CLLS"/>
    <x v="370"/>
    <x v="357"/>
    <n v="0"/>
    <n v="69804"/>
  </r>
  <r>
    <s v="CLLS"/>
    <x v="370"/>
    <x v="357"/>
    <n v="288161"/>
    <n v="2080282"/>
  </r>
  <r>
    <s v="CLLS"/>
    <x v="370"/>
    <x v="357"/>
    <n v="0"/>
    <n v="151731"/>
  </r>
  <r>
    <s v="CLLS"/>
    <x v="370"/>
    <x v="357"/>
    <n v="0"/>
    <n v="18123"/>
  </r>
  <r>
    <s v="CLLS"/>
    <x v="370"/>
    <x v="357"/>
    <n v="261438"/>
    <n v="210857"/>
  </r>
  <r>
    <s v="CLLS"/>
    <x v="370"/>
    <x v="357"/>
    <n v="0"/>
    <n v="160794"/>
  </r>
  <r>
    <s v="CLLS"/>
    <x v="370"/>
    <x v="357"/>
    <n v="118491"/>
    <n v="410392"/>
  </r>
  <r>
    <s v="CLLS"/>
    <x v="370"/>
    <x v="357"/>
    <n v="0"/>
    <n v="209742"/>
  </r>
  <r>
    <s v="CLLS"/>
    <x v="370"/>
    <x v="357"/>
    <n v="121438"/>
    <n v="201796"/>
  </r>
  <r>
    <s v="CLLS"/>
    <x v="370"/>
    <x v="357"/>
    <n v="67315"/>
    <n v="450266"/>
  </r>
  <r>
    <s v="CLLS"/>
    <x v="370"/>
    <x v="357"/>
    <n v="344716"/>
    <n v="76133"/>
  </r>
  <r>
    <s v="CLLS"/>
    <x v="370"/>
    <x v="357"/>
    <n v="0"/>
    <n v="9061"/>
  </r>
  <r>
    <s v="CLLS"/>
    <x v="370"/>
    <x v="357"/>
    <n v="62500"/>
    <n v="280824"/>
  </r>
  <r>
    <s v="CLLS"/>
    <x v="371"/>
    <x v="358"/>
    <n v="2424645"/>
    <n v="259032"/>
  </r>
  <r>
    <s v="CLLS"/>
    <x v="371"/>
    <x v="358"/>
    <n v="0"/>
    <n v="39000"/>
  </r>
  <r>
    <s v="CLLS"/>
    <x v="371"/>
    <x v="358"/>
    <n v="0"/>
    <n v="30000"/>
  </r>
  <r>
    <s v="CLLS"/>
    <x v="371"/>
    <x v="358"/>
    <n v="35870"/>
    <n v="0"/>
  </r>
  <r>
    <s v="CLLS"/>
    <x v="371"/>
    <x v="358"/>
    <n v="0"/>
    <n v="4050"/>
  </r>
  <r>
    <s v="CLLS"/>
    <x v="372"/>
    <x v="359"/>
    <n v="10758101"/>
    <n v="54332286"/>
  </r>
  <r>
    <s v="CLLS"/>
    <x v="372"/>
    <x v="359"/>
    <n v="0"/>
    <n v="8400"/>
  </r>
  <r>
    <s v="CLLS"/>
    <x v="372"/>
    <x v="359"/>
    <n v="0"/>
    <n v="90000"/>
  </r>
  <r>
    <s v="CLLS"/>
    <x v="372"/>
    <x v="359"/>
    <n v="0"/>
    <n v="50000"/>
  </r>
  <r>
    <s v="CLLS"/>
    <x v="372"/>
    <x v="359"/>
    <n v="0"/>
    <n v="115000"/>
  </r>
  <r>
    <s v="CLLS"/>
    <x v="372"/>
    <x v="359"/>
    <n v="0"/>
    <n v="30000"/>
  </r>
  <r>
    <s v="CLLS"/>
    <x v="372"/>
    <x v="359"/>
    <n v="0"/>
    <n v="50000"/>
  </r>
  <r>
    <s v="CLLS"/>
    <x v="372"/>
    <x v="359"/>
    <n v="3700"/>
    <n v="10382"/>
  </r>
  <r>
    <s v="CLLS"/>
    <x v="372"/>
    <x v="359"/>
    <n v="0"/>
    <n v="18000"/>
  </r>
  <r>
    <s v="CLLS"/>
    <x v="372"/>
    <x v="359"/>
    <n v="0"/>
    <n v="30000"/>
  </r>
  <r>
    <s v="CLLS"/>
    <x v="372"/>
    <x v="359"/>
    <n v="0"/>
    <n v="122034"/>
  </r>
  <r>
    <s v="CLLS"/>
    <x v="372"/>
    <x v="359"/>
    <n v="-314992"/>
    <n v="579691"/>
  </r>
  <r>
    <s v="CLLS"/>
    <x v="372"/>
    <x v="359"/>
    <n v="-314992"/>
    <n v="579691"/>
  </r>
  <r>
    <s v="CLLS"/>
    <x v="372"/>
    <x v="359"/>
    <n v="0"/>
    <n v="259764"/>
  </r>
  <r>
    <s v="CLLS"/>
    <x v="372"/>
    <x v="359"/>
    <n v="0"/>
    <n v="99774"/>
  </r>
  <r>
    <s v="CLLS"/>
    <x v="372"/>
    <x v="359"/>
    <n v="0"/>
    <n v="1513440"/>
  </r>
  <r>
    <s v="CLLS"/>
    <x v="373"/>
    <x v="360"/>
    <n v="17471097"/>
    <n v="82564994"/>
  </r>
  <r>
    <s v="CLLS"/>
    <x v="373"/>
    <x v="360"/>
    <n v="0"/>
    <n v="20848"/>
  </r>
  <r>
    <s v="CLLS"/>
    <x v="373"/>
    <x v="360"/>
    <n v="0"/>
    <n v="6155"/>
  </r>
  <r>
    <s v="CLLS"/>
    <x v="373"/>
    <x v="360"/>
    <n v="0"/>
    <n v="4162"/>
  </r>
  <r>
    <s v="CLLS"/>
    <x v="373"/>
    <x v="360"/>
    <n v="0"/>
    <n v="52815"/>
  </r>
  <r>
    <s v="CLLS"/>
    <x v="373"/>
    <x v="360"/>
    <n v="0"/>
    <n v="2482"/>
  </r>
  <r>
    <s v="CLLS"/>
    <x v="373"/>
    <x v="360"/>
    <n v="0"/>
    <n v="36327"/>
  </r>
  <r>
    <s v="CLLS"/>
    <x v="373"/>
    <x v="360"/>
    <n v="0"/>
    <n v="2383"/>
  </r>
  <r>
    <s v="CLLS"/>
    <x v="373"/>
    <x v="360"/>
    <n v="0"/>
    <n v="6513"/>
  </r>
  <r>
    <s v="CLLS"/>
    <x v="373"/>
    <x v="360"/>
    <n v="0"/>
    <n v="3929"/>
  </r>
  <r>
    <s v="CLLS"/>
    <x v="373"/>
    <x v="360"/>
    <n v="0"/>
    <n v="4021"/>
  </r>
  <r>
    <s v="CLLS"/>
    <x v="373"/>
    <x v="360"/>
    <n v="0"/>
    <n v="11067"/>
  </r>
  <r>
    <s v="CLLS"/>
    <x v="373"/>
    <x v="360"/>
    <n v="0"/>
    <n v="24791"/>
  </r>
  <r>
    <s v="CLLS"/>
    <x v="374"/>
    <x v="361"/>
    <n v="55815132"/>
    <n v="209094098"/>
  </r>
  <r>
    <s v="CLLS"/>
    <x v="374"/>
    <x v="361"/>
    <n v="0"/>
    <n v="-526271"/>
  </r>
  <r>
    <s v="CLLS"/>
    <x v="375"/>
    <x v="362"/>
    <n v="112483467"/>
    <n v="367423552"/>
  </r>
  <r>
    <s v="CLLS"/>
    <x v="376"/>
    <x v="363"/>
    <n v="11777210"/>
    <n v="26922710"/>
  </r>
  <r>
    <s v="CLLS"/>
    <x v="376"/>
    <x v="363"/>
    <n v="0"/>
    <n v="-4206"/>
  </r>
  <r>
    <s v="CLLS"/>
    <x v="376"/>
    <x v="363"/>
    <n v="-1888"/>
    <n v="-53495"/>
  </r>
  <r>
    <s v="CLLS"/>
    <x v="376"/>
    <x v="363"/>
    <n v="0"/>
    <n v="-33392"/>
  </r>
  <r>
    <s v="CLLS"/>
    <x v="377"/>
    <x v="364"/>
    <n v="27665755"/>
    <n v="229821654"/>
  </r>
  <r>
    <s v="CLLS"/>
    <x v="378"/>
    <x v="365"/>
    <n v="4145289"/>
    <n v="0"/>
  </r>
  <r>
    <s v="CLLS"/>
    <x v="379"/>
    <x v="366"/>
    <n v="34684925"/>
    <n v="151551487"/>
  </r>
  <r>
    <s v="CLLS"/>
    <x v="379"/>
    <x v="366"/>
    <n v="0"/>
    <n v="440888"/>
  </r>
  <r>
    <s v="CLLS"/>
    <x v="379"/>
    <x v="366"/>
    <n v="0"/>
    <n v="95528"/>
  </r>
  <r>
    <s v="CLLS"/>
    <x v="379"/>
    <x v="366"/>
    <n v="0"/>
    <n v="163228"/>
  </r>
  <r>
    <s v="CLLS"/>
    <x v="379"/>
    <x v="366"/>
    <n v="0"/>
    <n v="294270"/>
  </r>
  <r>
    <s v="CLLS"/>
    <x v="379"/>
    <x v="366"/>
    <n v="0"/>
    <n v="120982"/>
  </r>
  <r>
    <s v="CLLS"/>
    <x v="379"/>
    <x v="366"/>
    <n v="0"/>
    <n v="66063"/>
  </r>
  <r>
    <s v="CLLS"/>
    <x v="379"/>
    <x v="366"/>
    <n v="0"/>
    <n v="44199"/>
  </r>
  <r>
    <s v="CLLS"/>
    <x v="379"/>
    <x v="366"/>
    <n v="0"/>
    <n v="498943"/>
  </r>
  <r>
    <s v="CLLS"/>
    <x v="379"/>
    <x v="366"/>
    <n v="0"/>
    <n v="20874"/>
  </r>
  <r>
    <s v="CLLS"/>
    <x v="379"/>
    <x v="366"/>
    <n v="2751"/>
    <n v="74308"/>
  </r>
  <r>
    <s v="CLLS"/>
    <x v="379"/>
    <x v="366"/>
    <n v="0"/>
    <n v="335435"/>
  </r>
  <r>
    <s v="CLLS"/>
    <x v="379"/>
    <x v="366"/>
    <n v="0"/>
    <n v="156524"/>
  </r>
  <r>
    <s v="CLLS"/>
    <x v="379"/>
    <x v="366"/>
    <n v="0"/>
    <n v="118065"/>
  </r>
  <r>
    <s v="CLLS"/>
    <x v="379"/>
    <x v="366"/>
    <n v="0"/>
    <n v="112621"/>
  </r>
  <r>
    <s v="CLLS"/>
    <x v="379"/>
    <x v="366"/>
    <n v="0"/>
    <n v="122167"/>
  </r>
  <r>
    <s v="CLLS"/>
    <x v="379"/>
    <x v="366"/>
    <n v="0"/>
    <n v="84326"/>
  </r>
  <r>
    <s v="CLLS"/>
    <x v="379"/>
    <x v="366"/>
    <n v="0"/>
    <n v="82055"/>
  </r>
  <r>
    <s v="CLLS"/>
    <x v="380"/>
    <x v="367"/>
    <n v="58002819"/>
    <n v="274620511"/>
  </r>
  <r>
    <s v="CLLS"/>
    <x v="381"/>
    <x v="368"/>
    <n v="15565770"/>
    <n v="36870042"/>
  </r>
  <r>
    <s v="CLLS"/>
    <x v="382"/>
    <x v="369"/>
    <n v="10000000"/>
    <n v="0"/>
  </r>
  <r>
    <s v="CLLS"/>
    <x v="383"/>
    <x v="370"/>
    <n v="34950800"/>
    <n v="0"/>
  </r>
  <r>
    <s v="CLLS"/>
    <x v="384"/>
    <x v="371"/>
    <n v="0"/>
    <n v="2650299"/>
  </r>
  <r>
    <s v="CLLS"/>
    <x v="385"/>
    <x v="372"/>
    <n v="17160270"/>
    <n v="161684591"/>
  </r>
  <r>
    <s v="CLLS"/>
    <x v="386"/>
    <x v="373"/>
    <n v="124637123"/>
    <n v="7410822"/>
  </r>
  <r>
    <s v="CLLS"/>
    <x v="387"/>
    <x v="374"/>
    <n v="0"/>
    <n v="13736357"/>
  </r>
  <r>
    <s v="CLLS"/>
    <x v="388"/>
    <x v="375"/>
    <n v="0"/>
    <n v="480000"/>
  </r>
  <r>
    <s v="CLLS"/>
    <x v="389"/>
    <x v="376"/>
    <n v="27000"/>
    <n v="10924871"/>
  </r>
  <r>
    <s v="CLLS"/>
    <x v="389"/>
    <x v="376"/>
    <n v="0"/>
    <n v="210084"/>
  </r>
  <r>
    <s v="CLLS"/>
    <x v="389"/>
    <x v="376"/>
    <n v="0"/>
    <n v="70000"/>
  </r>
  <r>
    <s v="CLLS"/>
    <x v="390"/>
    <x v="377"/>
    <n v="0"/>
    <n v="397100"/>
  </r>
  <r>
    <s v="CLLS"/>
    <x v="391"/>
    <x v="378"/>
    <n v="19801376"/>
    <n v="4455153"/>
  </r>
  <r>
    <s v="CLLS"/>
    <x v="392"/>
    <x v="379"/>
    <n v="4550000"/>
    <n v="0"/>
  </r>
  <r>
    <s v="CLLS"/>
    <x v="392"/>
    <x v="379"/>
    <n v="0"/>
    <n v="204458"/>
  </r>
  <r>
    <s v="CLLS"/>
    <x v="393"/>
    <x v="380"/>
    <n v="0"/>
    <n v="5696466"/>
  </r>
  <r>
    <s v="CLLS"/>
    <x v="394"/>
    <x v="381"/>
    <n v="31694142"/>
    <n v="113000552"/>
  </r>
  <r>
    <s v="CLLS"/>
    <x v="394"/>
    <x v="381"/>
    <n v="94563"/>
    <n v="0"/>
  </r>
  <r>
    <s v="CLLS"/>
    <x v="394"/>
    <x v="381"/>
    <n v="11200"/>
    <n v="0"/>
  </r>
  <r>
    <s v="CLLS"/>
    <x v="394"/>
    <x v="381"/>
    <n v="245000"/>
    <n v="0"/>
  </r>
  <r>
    <s v="CLLS"/>
    <x v="394"/>
    <x v="381"/>
    <n v="257900"/>
    <n v="30625"/>
  </r>
  <r>
    <s v="CLLS"/>
    <x v="395"/>
    <x v="382"/>
    <n v="1318000"/>
    <n v="1069590"/>
  </r>
  <r>
    <s v="CLLS"/>
    <x v="396"/>
    <x v="383"/>
    <n v="4858654"/>
    <n v="12993835"/>
  </r>
  <r>
    <s v="CLLS"/>
    <x v="397"/>
    <x v="384"/>
    <n v="0"/>
    <n v="9452695"/>
  </r>
  <r>
    <s v="CLLS"/>
    <x v="398"/>
    <x v="385"/>
    <n v="16960860"/>
    <n v="61649170"/>
  </r>
  <r>
    <s v="CLLS"/>
    <x v="398"/>
    <x v="385"/>
    <n v="0"/>
    <n v="5541"/>
  </r>
  <r>
    <s v="CLLS"/>
    <x v="398"/>
    <x v="385"/>
    <n v="0"/>
    <n v="30173"/>
  </r>
  <r>
    <s v="CLLS"/>
    <x v="398"/>
    <x v="385"/>
    <n v="0"/>
    <n v="22832"/>
  </r>
  <r>
    <s v="CLLS"/>
    <x v="398"/>
    <x v="385"/>
    <n v="0"/>
    <n v="22787"/>
  </r>
  <r>
    <s v="CLLS"/>
    <x v="398"/>
    <x v="385"/>
    <n v="0"/>
    <n v="79540"/>
  </r>
  <r>
    <s v="CLLS"/>
    <x v="398"/>
    <x v="385"/>
    <n v="0"/>
    <n v="17127"/>
  </r>
  <r>
    <s v="CLLS"/>
    <x v="398"/>
    <x v="385"/>
    <n v="0"/>
    <n v="5096"/>
  </r>
  <r>
    <s v="CLLS"/>
    <x v="398"/>
    <x v="385"/>
    <n v="0"/>
    <n v="12659"/>
  </r>
  <r>
    <s v="CLLS"/>
    <x v="398"/>
    <x v="385"/>
    <n v="0"/>
    <n v="15290"/>
  </r>
  <r>
    <s v="CLLS"/>
    <x v="398"/>
    <x v="385"/>
    <n v="0"/>
    <n v="31478"/>
  </r>
  <r>
    <s v="CLLS"/>
    <x v="398"/>
    <x v="385"/>
    <n v="0"/>
    <n v="11874"/>
  </r>
  <r>
    <s v="CLLS"/>
    <x v="398"/>
    <x v="385"/>
    <n v="0"/>
    <n v="12809"/>
  </r>
  <r>
    <s v="CLLS"/>
    <x v="398"/>
    <x v="385"/>
    <n v="0"/>
    <n v="32470"/>
  </r>
  <r>
    <s v="CLLS"/>
    <x v="398"/>
    <x v="385"/>
    <n v="0"/>
    <n v="118021"/>
  </r>
  <r>
    <s v="CLLS"/>
    <x v="398"/>
    <x v="385"/>
    <n v="0"/>
    <n v="12692"/>
  </r>
  <r>
    <s v="CLLS"/>
    <x v="398"/>
    <x v="385"/>
    <n v="0"/>
    <n v="16630"/>
  </r>
  <r>
    <s v="CLLS"/>
    <x v="398"/>
    <x v="385"/>
    <n v="0"/>
    <n v="16775"/>
  </r>
  <r>
    <s v="CLLS"/>
    <x v="398"/>
    <x v="385"/>
    <n v="0"/>
    <n v="16357"/>
  </r>
  <r>
    <s v="CLLS"/>
    <x v="398"/>
    <x v="385"/>
    <n v="0"/>
    <n v="582123"/>
  </r>
  <r>
    <s v="CLLS"/>
    <x v="399"/>
    <x v="386"/>
    <n v="17301652"/>
    <n v="42981020"/>
  </r>
  <r>
    <s v="CLLS"/>
    <x v="399"/>
    <x v="386"/>
    <n v="0"/>
    <n v="8227"/>
  </r>
  <r>
    <s v="CLLS"/>
    <x v="399"/>
    <x v="386"/>
    <n v="0"/>
    <n v="15882"/>
  </r>
  <r>
    <s v="CLLS"/>
    <x v="399"/>
    <x v="386"/>
    <n v="0"/>
    <n v="20348"/>
  </r>
  <r>
    <s v="CLLS"/>
    <x v="399"/>
    <x v="386"/>
    <n v="0"/>
    <n v="11784"/>
  </r>
  <r>
    <s v="CLLS"/>
    <x v="399"/>
    <x v="386"/>
    <n v="0"/>
    <n v="24753"/>
  </r>
  <r>
    <s v="CLLS"/>
    <x v="399"/>
    <x v="386"/>
    <n v="0"/>
    <n v="21197"/>
  </r>
  <r>
    <s v="CLLS"/>
    <x v="399"/>
    <x v="386"/>
    <n v="0"/>
    <n v="14298"/>
  </r>
  <r>
    <s v="CLLS"/>
    <x v="399"/>
    <x v="386"/>
    <n v="0"/>
    <n v="21197"/>
  </r>
  <r>
    <s v="CLLS"/>
    <x v="399"/>
    <x v="386"/>
    <n v="0"/>
    <n v="32471"/>
  </r>
  <r>
    <s v="CLLS"/>
    <x v="399"/>
    <x v="386"/>
    <n v="0"/>
    <n v="7665"/>
  </r>
  <r>
    <s v="CLLS"/>
    <x v="399"/>
    <x v="386"/>
    <n v="0"/>
    <n v="13602"/>
  </r>
  <r>
    <s v="CLLS"/>
    <x v="399"/>
    <x v="386"/>
    <n v="0"/>
    <n v="14050"/>
  </r>
  <r>
    <s v="CLLS"/>
    <x v="399"/>
    <x v="386"/>
    <n v="0"/>
    <n v="15329"/>
  </r>
  <r>
    <s v="CLLS"/>
    <x v="399"/>
    <x v="386"/>
    <n v="0"/>
    <n v="8117"/>
  </r>
  <r>
    <s v="CLLS"/>
    <x v="399"/>
    <x v="386"/>
    <n v="0"/>
    <n v="69704"/>
  </r>
  <r>
    <s v="CLLS"/>
    <x v="399"/>
    <x v="386"/>
    <n v="0"/>
    <n v="11865"/>
  </r>
  <r>
    <s v="CLLS"/>
    <x v="399"/>
    <x v="386"/>
    <n v="0"/>
    <n v="16824"/>
  </r>
  <r>
    <s v="CLLS"/>
    <x v="399"/>
    <x v="386"/>
    <n v="0"/>
    <n v="10560"/>
  </r>
  <r>
    <s v="CLLS"/>
    <x v="399"/>
    <x v="386"/>
    <n v="0"/>
    <n v="28337"/>
  </r>
  <r>
    <s v="CLLS"/>
    <x v="400"/>
    <x v="387"/>
    <n v="675000"/>
    <n v="0"/>
  </r>
  <r>
    <s v="CLLS"/>
    <x v="401"/>
    <x v="388"/>
    <n v="1083936"/>
    <n v="3496564"/>
  </r>
  <r>
    <s v="CLLS"/>
    <x v="402"/>
    <x v="389"/>
    <n v="0"/>
    <n v="361312"/>
  </r>
  <r>
    <s v="CLLS"/>
    <x v="403"/>
    <x v="390"/>
    <n v="707428"/>
    <n v="3801569"/>
  </r>
  <r>
    <s v="CLLS"/>
    <x v="404"/>
    <x v="391"/>
    <n v="3217696"/>
    <n v="12589622"/>
  </r>
  <r>
    <s v="CLLS"/>
    <x v="405"/>
    <x v="392"/>
    <n v="0"/>
    <n v="26799838"/>
  </r>
  <r>
    <s v="CLLS"/>
    <x v="406"/>
    <x v="393"/>
    <n v="12286325"/>
    <n v="68446587"/>
  </r>
  <r>
    <s v="CLLS"/>
    <x v="407"/>
    <x v="394"/>
    <n v="0"/>
    <n v="360841"/>
  </r>
  <r>
    <s v="CLLS"/>
    <x v="408"/>
    <x v="395"/>
    <n v="0"/>
    <n v="49422"/>
  </r>
  <r>
    <s v="CLLS"/>
    <x v="408"/>
    <x v="395"/>
    <n v="0"/>
    <n v="15744"/>
  </r>
  <r>
    <s v="CLLS"/>
    <x v="409"/>
    <x v="396"/>
    <n v="10031815"/>
    <n v="63367330"/>
  </r>
  <r>
    <s v="CLLS"/>
    <x v="409"/>
    <x v="396"/>
    <n v="45769110"/>
    <n v="181015710"/>
  </r>
  <r>
    <s v="CLLS"/>
    <x v="409"/>
    <x v="396"/>
    <n v="10644338"/>
    <n v="0"/>
  </r>
  <r>
    <s v="CLLS"/>
    <x v="409"/>
    <x v="396"/>
    <n v="30265630"/>
    <n v="119699825"/>
  </r>
  <r>
    <s v="CLLS"/>
    <x v="409"/>
    <x v="396"/>
    <n v="7252147"/>
    <n v="28682066"/>
  </r>
  <r>
    <s v="CLLS"/>
    <x v="409"/>
    <x v="396"/>
    <n v="453780"/>
    <n v="1376214"/>
  </r>
  <r>
    <s v="CLLS"/>
    <x v="409"/>
    <x v="396"/>
    <n v="12803901"/>
    <n v="49957333"/>
  </r>
  <r>
    <s v="CLLS"/>
    <x v="409"/>
    <x v="396"/>
    <n v="1089434"/>
    <n v="7304331"/>
  </r>
  <r>
    <s v="CLLS"/>
    <x v="409"/>
    <x v="396"/>
    <n v="5282787"/>
    <n v="22008895"/>
  </r>
  <r>
    <s v="CLLS"/>
    <x v="409"/>
    <x v="396"/>
    <n v="3932275"/>
    <n v="15552053"/>
  </r>
  <r>
    <s v="CLLS"/>
    <x v="409"/>
    <x v="396"/>
    <n v="29821638"/>
    <n v="129246601"/>
  </r>
  <r>
    <s v="CLLS"/>
    <x v="409"/>
    <x v="396"/>
    <n v="3441490"/>
    <n v="6074692"/>
  </r>
  <r>
    <s v="CLLS"/>
    <x v="409"/>
    <x v="396"/>
    <n v="3271524"/>
    <n v="12938800"/>
  </r>
  <r>
    <s v="CLLS"/>
    <x v="409"/>
    <x v="396"/>
    <n v="20886186"/>
    <n v="82604352"/>
  </r>
  <r>
    <s v="CLLS"/>
    <x v="409"/>
    <x v="396"/>
    <n v="17727472"/>
    <n v="70111728"/>
  </r>
  <r>
    <s v="CLLS"/>
    <x v="409"/>
    <x v="396"/>
    <n v="15519596"/>
    <n v="73811503"/>
  </r>
  <r>
    <s v="CLLS"/>
    <x v="409"/>
    <x v="396"/>
    <n v="21184534"/>
    <n v="125882405"/>
  </r>
  <r>
    <s v="CLLS"/>
    <x v="409"/>
    <x v="396"/>
    <n v="16035305"/>
    <n v="63385358"/>
  </r>
  <r>
    <s v="CLLS"/>
    <x v="409"/>
    <x v="396"/>
    <n v="18823352"/>
    <n v="71273260"/>
  </r>
  <r>
    <s v="CLLS"/>
    <x v="409"/>
    <x v="396"/>
    <n v="8458097"/>
    <n v="36254530"/>
  </r>
  <r>
    <s v="CLLS"/>
    <x v="409"/>
    <x v="396"/>
    <n v="16026120"/>
    <n v="58477486"/>
  </r>
  <r>
    <s v="CLLS"/>
    <x v="409"/>
    <x v="396"/>
    <n v="1933906"/>
    <n v="7631102"/>
  </r>
  <r>
    <s v="CLLS"/>
    <x v="410"/>
    <x v="397"/>
    <n v="4897244"/>
    <n v="20004740"/>
  </r>
  <r>
    <s v="CLLS"/>
    <x v="410"/>
    <x v="397"/>
    <n v="0"/>
    <n v="282352"/>
  </r>
  <r>
    <s v="CLLS"/>
    <x v="410"/>
    <x v="397"/>
    <n v="0"/>
    <n v="483195"/>
  </r>
  <r>
    <s v="CLLS"/>
    <x v="410"/>
    <x v="397"/>
    <n v="0"/>
    <n v="-986"/>
  </r>
  <r>
    <s v="CLLS"/>
    <x v="411"/>
    <x v="398"/>
    <n v="15670441"/>
    <n v="73006181"/>
  </r>
  <r>
    <s v="CLLS"/>
    <x v="412"/>
    <x v="399"/>
    <n v="69250931"/>
    <n v="275772634"/>
  </r>
  <r>
    <s v="CLLS"/>
    <x v="412"/>
    <x v="399"/>
    <n v="3067008"/>
    <n v="4549382"/>
  </r>
  <r>
    <s v="CLLS"/>
    <x v="412"/>
    <x v="399"/>
    <n v="41695080"/>
    <n v="229471466"/>
  </r>
  <r>
    <s v="CLLS"/>
    <x v="412"/>
    <x v="399"/>
    <n v="43160031"/>
    <n v="182962007"/>
  </r>
  <r>
    <s v="CLLS"/>
    <x v="412"/>
    <x v="399"/>
    <n v="382793"/>
    <n v="19005712"/>
  </r>
  <r>
    <s v="CLLS"/>
    <x v="412"/>
    <x v="399"/>
    <n v="1370281"/>
    <n v="3461045"/>
  </r>
  <r>
    <s v="CLLS"/>
    <x v="412"/>
    <x v="399"/>
    <n v="120000"/>
    <n v="240000"/>
  </r>
  <r>
    <s v="CLLS"/>
    <x v="412"/>
    <x v="399"/>
    <n v="575120"/>
    <n v="1577540"/>
  </r>
  <r>
    <s v="CLLS"/>
    <x v="412"/>
    <x v="399"/>
    <n v="4114881"/>
    <n v="10601411"/>
  </r>
  <r>
    <s v="CLLS"/>
    <x v="412"/>
    <x v="399"/>
    <n v="0"/>
    <n v="10000"/>
  </r>
  <r>
    <s v="CLLS"/>
    <x v="412"/>
    <x v="399"/>
    <n v="0"/>
    <n v="40270"/>
  </r>
  <r>
    <s v="CLLS"/>
    <x v="412"/>
    <x v="399"/>
    <n v="0"/>
    <n v="1458335"/>
  </r>
  <r>
    <s v="CLLS"/>
    <x v="412"/>
    <x v="399"/>
    <n v="5480450"/>
    <n v="64412432"/>
  </r>
  <r>
    <s v="CLLS"/>
    <x v="413"/>
    <x v="400"/>
    <n v="0"/>
    <n v="6897217"/>
  </r>
  <r>
    <s v="CLLS"/>
    <x v="413"/>
    <x v="400"/>
    <n v="0"/>
    <n v="2480310"/>
  </r>
  <r>
    <s v="CLLS"/>
    <x v="413"/>
    <x v="400"/>
    <n v="0"/>
    <n v="1408550"/>
  </r>
  <r>
    <s v="CLLS"/>
    <x v="414"/>
    <x v="401"/>
    <n v="0"/>
    <n v="4543083"/>
  </r>
  <r>
    <s v="CLLS"/>
    <x v="414"/>
    <x v="401"/>
    <n v="0"/>
    <n v="-7363155"/>
  </r>
  <r>
    <s v="CLLS"/>
    <x v="414"/>
    <x v="401"/>
    <n v="0"/>
    <n v="-1917798"/>
  </r>
  <r>
    <s v="CLLS"/>
    <x v="414"/>
    <x v="401"/>
    <n v="0"/>
    <n v="155000"/>
  </r>
  <r>
    <s v="CLLS"/>
    <x v="414"/>
    <x v="401"/>
    <n v="0"/>
    <n v="8990"/>
  </r>
  <r>
    <s v="CLLS"/>
    <x v="414"/>
    <x v="401"/>
    <n v="0"/>
    <n v="-28580623"/>
  </r>
  <r>
    <s v="CLLS"/>
    <x v="415"/>
    <x v="402"/>
    <n v="22040906"/>
    <n v="95663791"/>
  </r>
  <r>
    <s v="CLLS"/>
    <x v="415"/>
    <x v="402"/>
    <n v="2919222"/>
    <n v="11448506"/>
  </r>
  <r>
    <s v="CLLS"/>
    <x v="415"/>
    <x v="402"/>
    <n v="3626711"/>
    <n v="0"/>
  </r>
  <r>
    <s v="CLLS"/>
    <x v="415"/>
    <x v="402"/>
    <n v="2063330"/>
    <n v="7645128"/>
  </r>
  <r>
    <s v="CLLS"/>
    <x v="415"/>
    <x v="402"/>
    <n v="667500"/>
    <n v="2670000"/>
  </r>
  <r>
    <s v="CLLS"/>
    <x v="415"/>
    <x v="402"/>
    <n v="1107000"/>
    <n v="4991049"/>
  </r>
  <r>
    <s v="CLLS"/>
    <x v="415"/>
    <x v="402"/>
    <n v="1491000"/>
    <n v="4805290"/>
  </r>
  <r>
    <s v="CLLS"/>
    <x v="415"/>
    <x v="402"/>
    <n v="369748"/>
    <n v="2218488"/>
  </r>
  <r>
    <s v="CLLS"/>
    <x v="415"/>
    <x v="402"/>
    <n v="357668"/>
    <n v="2189036"/>
  </r>
  <r>
    <s v="CLLS"/>
    <x v="415"/>
    <x v="402"/>
    <n v="888384"/>
    <n v="2672152"/>
  </r>
  <r>
    <s v="CLLS"/>
    <x v="415"/>
    <x v="402"/>
    <n v="474300"/>
    <n v="2142000"/>
  </r>
  <r>
    <s v="CLLS"/>
    <x v="415"/>
    <x v="402"/>
    <n v="2750975"/>
    <n v="9800242"/>
  </r>
  <r>
    <s v="CLLS"/>
    <x v="415"/>
    <x v="402"/>
    <n v="841383"/>
    <n v="2733040"/>
  </r>
  <r>
    <s v="CLLS"/>
    <x v="415"/>
    <x v="402"/>
    <n v="843152"/>
    <n v="3273713"/>
  </r>
  <r>
    <s v="CLLS"/>
    <x v="415"/>
    <x v="402"/>
    <n v="1460260"/>
    <n v="7301300"/>
  </r>
  <r>
    <s v="CLLS"/>
    <x v="415"/>
    <x v="402"/>
    <n v="2279689"/>
    <n v="7551069"/>
  </r>
  <r>
    <s v="CLLS"/>
    <x v="415"/>
    <x v="402"/>
    <n v="610917"/>
    <n v="2237959"/>
  </r>
  <r>
    <s v="CLLS"/>
    <x v="415"/>
    <x v="402"/>
    <n v="1694843"/>
    <n v="20574504"/>
  </r>
  <r>
    <s v="CLLS"/>
    <x v="415"/>
    <x v="402"/>
    <n v="1016685"/>
    <n v="2993187"/>
  </r>
  <r>
    <s v="CLLS"/>
    <x v="415"/>
    <x v="402"/>
    <n v="2095617"/>
    <n v="6927005"/>
  </r>
  <r>
    <s v="CLLS"/>
    <x v="415"/>
    <x v="402"/>
    <n v="975700"/>
    <n v="5732748"/>
  </r>
  <r>
    <s v="CLLS"/>
    <x v="415"/>
    <x v="402"/>
    <n v="987000"/>
    <n v="4277000"/>
  </r>
  <r>
    <s v="CLLS"/>
    <x v="415"/>
    <x v="402"/>
    <n v="180000"/>
    <n v="720000"/>
  </r>
  <r>
    <s v="CLLS"/>
    <x v="415"/>
    <x v="402"/>
    <n v="0"/>
    <n v="1746791"/>
  </r>
  <r>
    <s v="CLLS"/>
    <x v="416"/>
    <x v="403"/>
    <n v="2465932"/>
    <n v="15449143"/>
  </r>
  <r>
    <s v="CLLS"/>
    <x v="416"/>
    <x v="403"/>
    <n v="0"/>
    <n v="673535"/>
  </r>
  <r>
    <s v="CLLS"/>
    <x v="416"/>
    <x v="403"/>
    <n v="0"/>
    <n v="-258815"/>
  </r>
  <r>
    <s v="CLLS"/>
    <x v="416"/>
    <x v="403"/>
    <n v="0"/>
    <n v="184874"/>
  </r>
  <r>
    <s v="CLLS"/>
    <x v="416"/>
    <x v="403"/>
    <n v="0"/>
    <n v="337335"/>
  </r>
  <r>
    <s v="CLLS"/>
    <x v="416"/>
    <x v="403"/>
    <n v="0"/>
    <n v="-136000"/>
  </r>
  <r>
    <s v="CLLS"/>
    <x v="416"/>
    <x v="403"/>
    <n v="0"/>
    <n v="878331"/>
  </r>
  <r>
    <s v="CLLS"/>
    <x v="416"/>
    <x v="403"/>
    <n v="0"/>
    <n v="263569"/>
  </r>
  <r>
    <s v="CLLS"/>
    <x v="416"/>
    <x v="403"/>
    <n v="0"/>
    <n v="-264123"/>
  </r>
  <r>
    <s v="CLLS"/>
    <x v="416"/>
    <x v="403"/>
    <n v="0"/>
    <n v="710935"/>
  </r>
  <r>
    <s v="CLLS"/>
    <x v="416"/>
    <x v="403"/>
    <n v="0"/>
    <n v="725315"/>
  </r>
  <r>
    <s v="CLLS"/>
    <x v="416"/>
    <x v="403"/>
    <n v="0"/>
    <n v="184942"/>
  </r>
  <r>
    <s v="CLLS"/>
    <x v="416"/>
    <x v="403"/>
    <n v="0"/>
    <n v="655779"/>
  </r>
  <r>
    <s v="CLLS"/>
    <x v="416"/>
    <x v="403"/>
    <n v="0"/>
    <n v="405816"/>
  </r>
  <r>
    <s v="CLLS"/>
    <x v="416"/>
    <x v="403"/>
    <n v="0"/>
    <n v="-987000"/>
  </r>
  <r>
    <s v="CLLS"/>
    <x v="416"/>
    <x v="403"/>
    <n v="0"/>
    <n v="60000"/>
  </r>
  <r>
    <s v="CLLS"/>
    <x v="417"/>
    <x v="404"/>
    <n v="103888"/>
    <n v="170800"/>
  </r>
  <r>
    <s v="CLLS"/>
    <x v="417"/>
    <x v="404"/>
    <n v="103888"/>
    <n v="170800"/>
  </r>
  <r>
    <s v="CLLS"/>
    <x v="417"/>
    <x v="404"/>
    <n v="133332"/>
    <n v="166665"/>
  </r>
  <r>
    <s v="CLLS"/>
    <x v="417"/>
    <x v="404"/>
    <n v="0"/>
    <n v="36000"/>
  </r>
  <r>
    <s v="CLLS"/>
    <x v="417"/>
    <x v="404"/>
    <n v="0"/>
    <n v="10000"/>
  </r>
  <r>
    <s v="CLLS"/>
    <x v="417"/>
    <x v="404"/>
    <n v="0"/>
    <n v="147000"/>
  </r>
  <r>
    <s v="CLLS"/>
    <x v="418"/>
    <x v="405"/>
    <n v="4411250"/>
    <n v="21121363"/>
  </r>
  <r>
    <s v="CLLS"/>
    <x v="418"/>
    <x v="405"/>
    <n v="754657"/>
    <n v="2846350"/>
  </r>
  <r>
    <s v="CLLS"/>
    <x v="418"/>
    <x v="405"/>
    <n v="0"/>
    <n v="1914133"/>
  </r>
  <r>
    <s v="CLLS"/>
    <x v="418"/>
    <x v="405"/>
    <n v="360450"/>
    <n v="985230"/>
  </r>
  <r>
    <s v="CLLS"/>
    <x v="418"/>
    <x v="405"/>
    <n v="214140"/>
    <n v="0"/>
  </r>
  <r>
    <s v="CLLS"/>
    <x v="418"/>
    <x v="405"/>
    <n v="729000"/>
    <n v="0"/>
  </r>
  <r>
    <s v="CLLS"/>
    <x v="418"/>
    <x v="405"/>
    <n v="607500"/>
    <n v="780000"/>
  </r>
  <r>
    <s v="CLLS"/>
    <x v="418"/>
    <x v="405"/>
    <n v="439425"/>
    <n v="0"/>
  </r>
  <r>
    <s v="CLLS"/>
    <x v="418"/>
    <x v="405"/>
    <n v="1845000"/>
    <n v="9969500"/>
  </r>
  <r>
    <s v="CLLS"/>
    <x v="418"/>
    <x v="405"/>
    <n v="500800"/>
    <n v="0"/>
  </r>
  <r>
    <s v="CLLS"/>
    <x v="418"/>
    <x v="405"/>
    <n v="1053570"/>
    <n v="2450888"/>
  </r>
  <r>
    <s v="CLLS"/>
    <x v="418"/>
    <x v="405"/>
    <n v="1619544"/>
    <n v="2758632"/>
  </r>
  <r>
    <s v="CLLS"/>
    <x v="418"/>
    <x v="405"/>
    <n v="1470000"/>
    <n v="2940000"/>
  </r>
  <r>
    <s v="CLLS"/>
    <x v="418"/>
    <x v="405"/>
    <n v="0"/>
    <n v="2501846"/>
  </r>
  <r>
    <s v="CLLS"/>
    <x v="418"/>
    <x v="405"/>
    <n v="1494644"/>
    <n v="2843704"/>
  </r>
  <r>
    <s v="CLLS"/>
    <x v="418"/>
    <x v="405"/>
    <n v="1620000"/>
    <n v="3240000"/>
  </r>
  <r>
    <s v="CLLS"/>
    <x v="418"/>
    <x v="405"/>
    <n v="960000"/>
    <n v="2240000"/>
  </r>
  <r>
    <s v="CLLS"/>
    <x v="418"/>
    <x v="405"/>
    <n v="1920000"/>
    <n v="3430000"/>
  </r>
  <r>
    <s v="CLLS"/>
    <x v="419"/>
    <x v="406"/>
    <n v="8659134"/>
    <n v="61470059"/>
  </r>
  <r>
    <s v="CLLS"/>
    <x v="419"/>
    <x v="406"/>
    <n v="1980207"/>
    <n v="14014201"/>
  </r>
  <r>
    <s v="CLLS"/>
    <x v="419"/>
    <x v="406"/>
    <n v="2866278"/>
    <n v="0"/>
  </r>
  <r>
    <s v="CLLS"/>
    <x v="419"/>
    <x v="406"/>
    <n v="1923277"/>
    <n v="14362018"/>
  </r>
  <r>
    <s v="CLLS"/>
    <x v="419"/>
    <x v="406"/>
    <n v="145554"/>
    <n v="510015"/>
  </r>
  <r>
    <s v="CLLS"/>
    <x v="419"/>
    <x v="406"/>
    <n v="69396"/>
    <n v="364823"/>
  </r>
  <r>
    <s v="CLLS"/>
    <x v="419"/>
    <x v="406"/>
    <n v="103896"/>
    <n v="-1168125"/>
  </r>
  <r>
    <s v="CLLS"/>
    <x v="419"/>
    <x v="406"/>
    <n v="103896"/>
    <n v="336301"/>
  </r>
  <r>
    <s v="CLLS"/>
    <x v="419"/>
    <x v="406"/>
    <n v="103896"/>
    <n v="306114"/>
  </r>
  <r>
    <s v="CLLS"/>
    <x v="419"/>
    <x v="406"/>
    <n v="101056"/>
    <n v="283711"/>
  </r>
  <r>
    <s v="CLLS"/>
    <x v="419"/>
    <x v="406"/>
    <n v="58582"/>
    <n v="320047"/>
  </r>
  <r>
    <s v="CLLS"/>
    <x v="419"/>
    <x v="406"/>
    <n v="80539"/>
    <n v="303392"/>
  </r>
  <r>
    <s v="CLLS"/>
    <x v="419"/>
    <x v="406"/>
    <n v="2715490"/>
    <n v="19644782"/>
  </r>
  <r>
    <s v="CLLS"/>
    <x v="419"/>
    <x v="406"/>
    <n v="4413726"/>
    <n v="29846684"/>
  </r>
  <r>
    <s v="CLLS"/>
    <x v="419"/>
    <x v="406"/>
    <n v="138294"/>
    <n v="306378"/>
  </r>
  <r>
    <s v="CLLS"/>
    <x v="419"/>
    <x v="406"/>
    <n v="74387"/>
    <n v="270509"/>
  </r>
  <r>
    <s v="CLLS"/>
    <x v="419"/>
    <x v="406"/>
    <n v="2836907"/>
    <n v="40913068"/>
  </r>
  <r>
    <s v="CLLS"/>
    <x v="419"/>
    <x v="406"/>
    <n v="87787"/>
    <n v="259503"/>
  </r>
  <r>
    <s v="CLLS"/>
    <x v="419"/>
    <x v="406"/>
    <n v="87787"/>
    <n v="280330"/>
  </r>
  <r>
    <s v="CLLS"/>
    <x v="419"/>
    <x v="406"/>
    <n v="95842"/>
    <n v="283425"/>
  </r>
  <r>
    <s v="CLLS"/>
    <x v="419"/>
    <x v="406"/>
    <n v="87787"/>
    <n v="259503"/>
  </r>
  <r>
    <s v="CLLS"/>
    <x v="419"/>
    <x v="406"/>
    <n v="95842"/>
    <n v="386203"/>
  </r>
  <r>
    <s v="CLLS"/>
    <x v="420"/>
    <x v="407"/>
    <n v="0"/>
    <n v="1616651"/>
  </r>
  <r>
    <s v="CLLS"/>
    <x v="420"/>
    <x v="407"/>
    <n v="10047247"/>
    <n v="39303356"/>
  </r>
  <r>
    <s v="CLLS"/>
    <x v="420"/>
    <x v="407"/>
    <n v="0"/>
    <n v="2033456"/>
  </r>
  <r>
    <s v="CLLS"/>
    <x v="420"/>
    <x v="407"/>
    <n v="0"/>
    <n v="6528126"/>
  </r>
  <r>
    <s v="CLLS"/>
    <x v="420"/>
    <x v="407"/>
    <n v="0"/>
    <n v="89609"/>
  </r>
  <r>
    <s v="CLLS"/>
    <x v="420"/>
    <x v="407"/>
    <n v="2055431"/>
    <n v="0"/>
  </r>
  <r>
    <s v="CLLS"/>
    <x v="420"/>
    <x v="407"/>
    <n v="548968"/>
    <n v="1962953"/>
  </r>
  <r>
    <s v="CLLS"/>
    <x v="420"/>
    <x v="407"/>
    <n v="997548"/>
    <n v="2753143"/>
  </r>
  <r>
    <s v="CLLS"/>
    <x v="420"/>
    <x v="407"/>
    <n v="0"/>
    <n v="-25400"/>
  </r>
  <r>
    <s v="CLLS"/>
    <x v="420"/>
    <x v="407"/>
    <n v="0"/>
    <n v="4618616"/>
  </r>
  <r>
    <s v="CLLS"/>
    <x v="420"/>
    <x v="407"/>
    <n v="0"/>
    <n v="3155526"/>
  </r>
  <r>
    <s v="CLLS"/>
    <x v="420"/>
    <x v="407"/>
    <n v="0"/>
    <n v="301415"/>
  </r>
  <r>
    <s v="CLLS"/>
    <x v="420"/>
    <x v="407"/>
    <n v="494552"/>
    <n v="1431561"/>
  </r>
  <r>
    <s v="CLLS"/>
    <x v="420"/>
    <x v="407"/>
    <n v="29205"/>
    <n v="441625"/>
  </r>
  <r>
    <s v="CLLS"/>
    <x v="420"/>
    <x v="407"/>
    <n v="2421509"/>
    <n v="7763026"/>
  </r>
  <r>
    <s v="CLLS"/>
    <x v="420"/>
    <x v="407"/>
    <n v="643699"/>
    <n v="2736711"/>
  </r>
  <r>
    <s v="CLLS"/>
    <x v="420"/>
    <x v="407"/>
    <n v="605454"/>
    <n v="3495986"/>
  </r>
  <r>
    <s v="CLLS"/>
    <x v="420"/>
    <x v="407"/>
    <n v="3037951"/>
    <n v="13169289"/>
  </r>
  <r>
    <s v="CLLS"/>
    <x v="420"/>
    <x v="407"/>
    <n v="1667573"/>
    <n v="7989481"/>
  </r>
  <r>
    <s v="CLLS"/>
    <x v="420"/>
    <x v="407"/>
    <n v="1233512"/>
    <n v="4427712"/>
  </r>
  <r>
    <s v="CLLS"/>
    <x v="420"/>
    <x v="407"/>
    <n v="0"/>
    <n v="5824577"/>
  </r>
  <r>
    <s v="CLLS"/>
    <x v="420"/>
    <x v="407"/>
    <n v="1766775"/>
    <n v="4413157"/>
  </r>
  <r>
    <s v="CLLS"/>
    <x v="420"/>
    <x v="407"/>
    <n v="1559419"/>
    <n v="5745801"/>
  </r>
  <r>
    <s v="CLLS"/>
    <x v="420"/>
    <x v="407"/>
    <n v="873949"/>
    <n v="3253570"/>
  </r>
  <r>
    <s v="CLLS"/>
    <x v="420"/>
    <x v="407"/>
    <n v="1853493"/>
    <n v="5914991"/>
  </r>
  <r>
    <s v="CLLS"/>
    <x v="420"/>
    <x v="407"/>
    <n v="84309"/>
    <n v="222211"/>
  </r>
  <r>
    <s v="CLLS"/>
    <x v="420"/>
    <x v="407"/>
    <n v="0"/>
    <n v="29579303"/>
  </r>
  <r>
    <s v="CLLS"/>
    <x v="421"/>
    <x v="408"/>
    <n v="759730"/>
    <n v="2120385"/>
  </r>
  <r>
    <s v="CLLS"/>
    <x v="421"/>
    <x v="408"/>
    <n v="0"/>
    <n v="31426"/>
  </r>
  <r>
    <s v="CLLS"/>
    <x v="421"/>
    <x v="408"/>
    <n v="0"/>
    <n v="96680"/>
  </r>
  <r>
    <s v="CLLS"/>
    <x v="421"/>
    <x v="408"/>
    <n v="0"/>
    <n v="821692"/>
  </r>
  <r>
    <s v="CLLS"/>
    <x v="421"/>
    <x v="408"/>
    <n v="63540"/>
    <n v="0"/>
  </r>
  <r>
    <s v="CLLS"/>
    <x v="421"/>
    <x v="408"/>
    <n v="31973"/>
    <n v="434558"/>
  </r>
  <r>
    <s v="CLLS"/>
    <x v="421"/>
    <x v="408"/>
    <n v="49736"/>
    <n v="295142"/>
  </r>
  <r>
    <s v="CLLS"/>
    <x v="421"/>
    <x v="408"/>
    <n v="0"/>
    <n v="357789"/>
  </r>
  <r>
    <s v="CLLS"/>
    <x v="421"/>
    <x v="408"/>
    <n v="44600"/>
    <n v="662927"/>
  </r>
  <r>
    <s v="CLLS"/>
    <x v="421"/>
    <x v="408"/>
    <n v="105931"/>
    <n v="322936"/>
  </r>
  <r>
    <s v="CLLS"/>
    <x v="421"/>
    <x v="408"/>
    <n v="17500"/>
    <n v="335764"/>
  </r>
  <r>
    <s v="CLLS"/>
    <x v="421"/>
    <x v="408"/>
    <n v="40605"/>
    <n v="142095"/>
  </r>
  <r>
    <s v="CLLS"/>
    <x v="421"/>
    <x v="408"/>
    <n v="35169"/>
    <n v="266862"/>
  </r>
  <r>
    <s v="CLLS"/>
    <x v="421"/>
    <x v="408"/>
    <n v="107754"/>
    <n v="383205"/>
  </r>
  <r>
    <s v="CLLS"/>
    <x v="421"/>
    <x v="408"/>
    <n v="89331"/>
    <n v="389716"/>
  </r>
  <r>
    <s v="CLLS"/>
    <x v="421"/>
    <x v="408"/>
    <n v="686515"/>
    <n v="1002227"/>
  </r>
  <r>
    <s v="CLLS"/>
    <x v="421"/>
    <x v="408"/>
    <n v="97895"/>
    <n v="1284522"/>
  </r>
  <r>
    <s v="CLLS"/>
    <x v="421"/>
    <x v="408"/>
    <n v="39132"/>
    <n v="192263"/>
  </r>
  <r>
    <s v="CLLS"/>
    <x v="421"/>
    <x v="408"/>
    <n v="0"/>
    <n v="730545"/>
  </r>
  <r>
    <s v="CLLS"/>
    <x v="421"/>
    <x v="408"/>
    <n v="111562"/>
    <n v="499289"/>
  </r>
  <r>
    <s v="CLLS"/>
    <x v="421"/>
    <x v="408"/>
    <n v="131528"/>
    <n v="378740"/>
  </r>
  <r>
    <s v="CLLS"/>
    <x v="421"/>
    <x v="408"/>
    <n v="67403"/>
    <n v="241448"/>
  </r>
  <r>
    <s v="CLLS"/>
    <x v="421"/>
    <x v="408"/>
    <n v="111556"/>
    <n v="84901"/>
  </r>
  <r>
    <s v="CLLS"/>
    <x v="421"/>
    <x v="408"/>
    <n v="141309"/>
    <n v="-11803"/>
  </r>
  <r>
    <s v="CLLS"/>
    <x v="421"/>
    <x v="408"/>
    <n v="0"/>
    <n v="14610"/>
  </r>
  <r>
    <s v="CLLS"/>
    <x v="422"/>
    <x v="409"/>
    <n v="0"/>
    <n v="14696"/>
  </r>
  <r>
    <s v="CLLS"/>
    <x v="422"/>
    <x v="409"/>
    <n v="0"/>
    <n v="2963387"/>
  </r>
  <r>
    <s v="CLLS"/>
    <x v="422"/>
    <x v="409"/>
    <n v="0"/>
    <n v="262282"/>
  </r>
  <r>
    <s v="CLLS"/>
    <x v="422"/>
    <x v="409"/>
    <n v="0"/>
    <n v="9581"/>
  </r>
  <r>
    <s v="CLLS"/>
    <x v="422"/>
    <x v="409"/>
    <n v="0"/>
    <n v="197900"/>
  </r>
  <r>
    <s v="CLLS"/>
    <x v="423"/>
    <x v="410"/>
    <n v="985931"/>
    <n v="7527442"/>
  </r>
  <r>
    <s v="CLLS"/>
    <x v="423"/>
    <x v="410"/>
    <n v="0"/>
    <n v="37000"/>
  </r>
  <r>
    <s v="CLLS"/>
    <x v="423"/>
    <x v="410"/>
    <n v="94005"/>
    <n v="210135"/>
  </r>
  <r>
    <s v="CLLS"/>
    <x v="423"/>
    <x v="410"/>
    <n v="0"/>
    <n v="80900"/>
  </r>
  <r>
    <s v="CLLS"/>
    <x v="423"/>
    <x v="410"/>
    <n v="0"/>
    <n v="29400"/>
  </r>
  <r>
    <s v="CLLS"/>
    <x v="423"/>
    <x v="410"/>
    <n v="0"/>
    <n v="20001"/>
  </r>
  <r>
    <s v="CLLS"/>
    <x v="423"/>
    <x v="410"/>
    <n v="22670"/>
    <n v="61689"/>
  </r>
  <r>
    <s v="CLLS"/>
    <x v="423"/>
    <x v="410"/>
    <n v="50511"/>
    <n v="0"/>
  </r>
  <r>
    <s v="CLLS"/>
    <x v="423"/>
    <x v="410"/>
    <n v="50000"/>
    <n v="25000"/>
  </r>
  <r>
    <s v="CLLS"/>
    <x v="423"/>
    <x v="410"/>
    <n v="0"/>
    <n v="525000"/>
  </r>
  <r>
    <s v="CLLS"/>
    <x v="423"/>
    <x v="410"/>
    <n v="0"/>
    <n v="62350"/>
  </r>
  <r>
    <s v="CLLS"/>
    <x v="423"/>
    <x v="410"/>
    <n v="0"/>
    <n v="65287"/>
  </r>
  <r>
    <s v="CLLS"/>
    <x v="423"/>
    <x v="410"/>
    <n v="0"/>
    <n v="44800"/>
  </r>
  <r>
    <s v="CLLS"/>
    <x v="423"/>
    <x v="410"/>
    <n v="0"/>
    <n v="270760"/>
  </r>
  <r>
    <s v="CLLS"/>
    <x v="423"/>
    <x v="410"/>
    <n v="174960"/>
    <n v="784385"/>
  </r>
  <r>
    <s v="CLLS"/>
    <x v="423"/>
    <x v="410"/>
    <n v="0"/>
    <n v="3104"/>
  </r>
  <r>
    <s v="CLLS"/>
    <x v="424"/>
    <x v="411"/>
    <n v="0"/>
    <n v="2269995"/>
  </r>
  <r>
    <s v="CLLS"/>
    <x v="424"/>
    <x v="411"/>
    <n v="0"/>
    <n v="2958283"/>
  </r>
  <r>
    <s v="CLLS"/>
    <x v="424"/>
    <x v="411"/>
    <n v="0"/>
    <n v="334559"/>
  </r>
  <r>
    <s v="CLLS"/>
    <x v="424"/>
    <x v="411"/>
    <n v="0"/>
    <n v="160000"/>
  </r>
  <r>
    <s v="CLLS"/>
    <x v="424"/>
    <x v="411"/>
    <n v="0"/>
    <n v="145650"/>
  </r>
  <r>
    <s v="CLLS"/>
    <x v="424"/>
    <x v="411"/>
    <n v="0"/>
    <n v="85859"/>
  </r>
  <r>
    <s v="CLLS"/>
    <x v="424"/>
    <x v="411"/>
    <n v="0"/>
    <n v="-70000"/>
  </r>
  <r>
    <s v="CLLS"/>
    <x v="425"/>
    <x v="412"/>
    <n v="3039234"/>
    <n v="180000"/>
  </r>
  <r>
    <s v="CLLS"/>
    <x v="425"/>
    <x v="412"/>
    <n v="446694"/>
    <n v="0"/>
  </r>
  <r>
    <s v="CLLS"/>
    <x v="425"/>
    <x v="412"/>
    <n v="398376"/>
    <n v="385000"/>
  </r>
  <r>
    <s v="CLLS"/>
    <x v="425"/>
    <x v="412"/>
    <n v="137613"/>
    <n v="0"/>
  </r>
  <r>
    <s v="CLLS"/>
    <x v="425"/>
    <x v="412"/>
    <n v="2967617"/>
    <n v="1623500"/>
  </r>
  <r>
    <s v="CLLS"/>
    <x v="426"/>
    <x v="413"/>
    <n v="67460"/>
    <n v="353918"/>
  </r>
  <r>
    <s v="CLLS"/>
    <x v="426"/>
    <x v="413"/>
    <n v="21660"/>
    <n v="97560"/>
  </r>
  <r>
    <s v="CLLS"/>
    <x v="426"/>
    <x v="413"/>
    <n v="6900"/>
    <n v="0"/>
  </r>
  <r>
    <s v="CLLS"/>
    <x v="426"/>
    <x v="413"/>
    <n v="10281"/>
    <n v="0"/>
  </r>
  <r>
    <s v="CLLS"/>
    <x v="426"/>
    <x v="413"/>
    <n v="23300"/>
    <n v="20000"/>
  </r>
  <r>
    <s v="CLLS"/>
    <x v="426"/>
    <x v="413"/>
    <n v="8185"/>
    <n v="6490"/>
  </r>
  <r>
    <s v="CLLS"/>
    <x v="426"/>
    <x v="413"/>
    <n v="36070"/>
    <n v="46140"/>
  </r>
  <r>
    <s v="CLLS"/>
    <x v="426"/>
    <x v="413"/>
    <n v="0"/>
    <n v="66136"/>
  </r>
  <r>
    <s v="CLLS"/>
    <x v="426"/>
    <x v="413"/>
    <n v="15780"/>
    <n v="17240"/>
  </r>
  <r>
    <s v="CLLS"/>
    <x v="426"/>
    <x v="413"/>
    <n v="39620"/>
    <n v="21887"/>
  </r>
  <r>
    <s v="CLLS"/>
    <x v="426"/>
    <x v="413"/>
    <n v="0"/>
    <n v="710935"/>
  </r>
  <r>
    <s v="CLLS"/>
    <x v="426"/>
    <x v="413"/>
    <n v="0"/>
    <n v="42528"/>
  </r>
  <r>
    <s v="CLLS"/>
    <x v="426"/>
    <x v="413"/>
    <n v="31460"/>
    <n v="0"/>
  </r>
  <r>
    <s v="CLLS"/>
    <x v="426"/>
    <x v="413"/>
    <n v="0"/>
    <n v="21990"/>
  </r>
  <r>
    <s v="CLLS"/>
    <x v="426"/>
    <x v="413"/>
    <n v="6990"/>
    <n v="15000"/>
  </r>
  <r>
    <s v="CLLS"/>
    <x v="426"/>
    <x v="413"/>
    <n v="0"/>
    <n v="14430"/>
  </r>
  <r>
    <s v="CLLS"/>
    <x v="426"/>
    <x v="413"/>
    <n v="20020"/>
    <n v="20000"/>
  </r>
  <r>
    <s v="CLLS"/>
    <x v="426"/>
    <x v="413"/>
    <n v="0"/>
    <n v="25768"/>
  </r>
  <r>
    <s v="CLLS"/>
    <x v="427"/>
    <x v="414"/>
    <n v="17052856"/>
    <n v="77922682"/>
  </r>
  <r>
    <s v="CLLS"/>
    <x v="427"/>
    <x v="414"/>
    <n v="1058855"/>
    <n v="27570104"/>
  </r>
  <r>
    <s v="CLLS"/>
    <x v="427"/>
    <x v="414"/>
    <n v="6641329"/>
    <n v="0"/>
  </r>
  <r>
    <s v="CLLS"/>
    <x v="427"/>
    <x v="414"/>
    <n v="4235381"/>
    <n v="13830262"/>
  </r>
  <r>
    <s v="CLLS"/>
    <x v="427"/>
    <x v="414"/>
    <n v="1173069"/>
    <n v="10346739"/>
  </r>
  <r>
    <s v="CLLS"/>
    <x v="427"/>
    <x v="414"/>
    <n v="540000"/>
    <n v="2169670"/>
  </r>
  <r>
    <s v="CLLS"/>
    <x v="427"/>
    <x v="414"/>
    <n v="0"/>
    <n v="1349054"/>
  </r>
  <r>
    <s v="CLLS"/>
    <x v="427"/>
    <x v="414"/>
    <n v="132000"/>
    <n v="1582995"/>
  </r>
  <r>
    <s v="CLLS"/>
    <x v="427"/>
    <x v="414"/>
    <n v="0"/>
    <n v="1107668"/>
  </r>
  <r>
    <s v="CLLS"/>
    <x v="427"/>
    <x v="414"/>
    <n v="0"/>
    <n v="1880890"/>
  </r>
  <r>
    <s v="CLLS"/>
    <x v="427"/>
    <x v="414"/>
    <n v="0"/>
    <n v="7099279"/>
  </r>
  <r>
    <s v="CLLS"/>
    <x v="427"/>
    <x v="414"/>
    <n v="1866614"/>
    <n v="10668062"/>
  </r>
  <r>
    <s v="CLLS"/>
    <x v="427"/>
    <x v="414"/>
    <n v="1166177"/>
    <n v="1841573"/>
  </r>
  <r>
    <s v="CLLS"/>
    <x v="427"/>
    <x v="414"/>
    <n v="0"/>
    <n v="1722876"/>
  </r>
  <r>
    <s v="CLLS"/>
    <x v="427"/>
    <x v="414"/>
    <n v="732037"/>
    <n v="2840904"/>
  </r>
  <r>
    <s v="CLLS"/>
    <x v="427"/>
    <x v="414"/>
    <n v="426236"/>
    <n v="8028537"/>
  </r>
  <r>
    <s v="CLLS"/>
    <x v="427"/>
    <x v="414"/>
    <n v="1331935"/>
    <n v="9807398"/>
  </r>
  <r>
    <s v="CLLS"/>
    <x v="427"/>
    <x v="414"/>
    <n v="2661901"/>
    <n v="8836852"/>
  </r>
  <r>
    <s v="CLLS"/>
    <x v="427"/>
    <x v="414"/>
    <n v="1580954"/>
    <n v="10512975"/>
  </r>
  <r>
    <s v="CLLS"/>
    <x v="427"/>
    <x v="414"/>
    <n v="3475309"/>
    <n v="15827379"/>
  </r>
  <r>
    <s v="CLLS"/>
    <x v="427"/>
    <x v="414"/>
    <n v="2892673"/>
    <n v="17194979"/>
  </r>
  <r>
    <s v="CLLS"/>
    <x v="427"/>
    <x v="414"/>
    <n v="4904217"/>
    <n v="12946433"/>
  </r>
  <r>
    <s v="CLLS"/>
    <x v="427"/>
    <x v="414"/>
    <n v="0"/>
    <n v="27948"/>
  </r>
  <r>
    <s v="CLLS"/>
    <x v="427"/>
    <x v="414"/>
    <n v="0"/>
    <n v="1374195"/>
  </r>
  <r>
    <s v="CLLS"/>
    <x v="427"/>
    <x v="414"/>
    <n v="0"/>
    <n v="586594"/>
  </r>
  <r>
    <s v="CLLS"/>
    <x v="428"/>
    <x v="415"/>
    <n v="22379186"/>
    <n v="104715056"/>
  </r>
  <r>
    <s v="CLLS"/>
    <x v="428"/>
    <x v="415"/>
    <n v="15000"/>
    <n v="1012017"/>
  </r>
  <r>
    <s v="CLLS"/>
    <x v="428"/>
    <x v="415"/>
    <n v="2000"/>
    <n v="579627"/>
  </r>
  <r>
    <s v="CLLS"/>
    <x v="428"/>
    <x v="415"/>
    <n v="65982"/>
    <n v="777617"/>
  </r>
  <r>
    <s v="CLLS"/>
    <x v="428"/>
    <x v="415"/>
    <n v="10670"/>
    <n v="1377126"/>
  </r>
  <r>
    <s v="CLLS"/>
    <x v="428"/>
    <x v="415"/>
    <n v="64740"/>
    <n v="1567605"/>
  </r>
  <r>
    <s v="CLLS"/>
    <x v="428"/>
    <x v="415"/>
    <n v="0"/>
    <n v="425348"/>
  </r>
  <r>
    <s v="CLLS"/>
    <x v="428"/>
    <x v="415"/>
    <n v="0"/>
    <n v="386793"/>
  </r>
  <r>
    <s v="CLLS"/>
    <x v="428"/>
    <x v="415"/>
    <n v="11411"/>
    <n v="1234703"/>
  </r>
  <r>
    <s v="CLLS"/>
    <x v="428"/>
    <x v="415"/>
    <n v="14000"/>
    <n v="610830"/>
  </r>
  <r>
    <s v="CLLS"/>
    <x v="428"/>
    <x v="415"/>
    <n v="0"/>
    <n v="461413"/>
  </r>
  <r>
    <s v="CLLS"/>
    <x v="428"/>
    <x v="415"/>
    <n v="9834"/>
    <n v="414302"/>
  </r>
  <r>
    <s v="CLLS"/>
    <x v="428"/>
    <x v="415"/>
    <n v="7339"/>
    <n v="749053"/>
  </r>
  <r>
    <s v="CLLS"/>
    <x v="428"/>
    <x v="415"/>
    <n v="55000"/>
    <n v="805333"/>
  </r>
  <r>
    <s v="CLLS"/>
    <x v="428"/>
    <x v="415"/>
    <n v="8000"/>
    <n v="306218"/>
  </r>
  <r>
    <s v="CLLS"/>
    <x v="428"/>
    <x v="415"/>
    <n v="0"/>
    <n v="277976"/>
  </r>
  <r>
    <s v="CLLS"/>
    <x v="428"/>
    <x v="415"/>
    <n v="32269"/>
    <n v="441839"/>
  </r>
  <r>
    <s v="CLLS"/>
    <x v="428"/>
    <x v="415"/>
    <n v="15000"/>
    <n v="494480"/>
  </r>
  <r>
    <s v="CLLS"/>
    <x v="428"/>
    <x v="415"/>
    <n v="14000"/>
    <n v="432080"/>
  </r>
  <r>
    <s v="CLLS"/>
    <x v="428"/>
    <x v="415"/>
    <n v="0"/>
    <n v="314402"/>
  </r>
  <r>
    <s v="CLLS"/>
    <x v="428"/>
    <x v="415"/>
    <n v="0"/>
    <n v="10000"/>
  </r>
  <r>
    <s v="CLLS"/>
    <x v="428"/>
    <x v="415"/>
    <n v="0"/>
    <n v="586770"/>
  </r>
  <r>
    <s v="CLLS"/>
    <x v="428"/>
    <x v="415"/>
    <n v="0"/>
    <n v="34981"/>
  </r>
  <r>
    <s v="CLLS"/>
    <x v="429"/>
    <x v="416"/>
    <n v="7853496"/>
    <n v="8554997"/>
  </r>
  <r>
    <s v="CLLS"/>
    <x v="429"/>
    <x v="416"/>
    <n v="137718"/>
    <n v="0"/>
  </r>
  <r>
    <s v="CLLS"/>
    <x v="429"/>
    <x v="416"/>
    <n v="109142"/>
    <n v="0"/>
  </r>
  <r>
    <s v="CLLS"/>
    <x v="429"/>
    <x v="416"/>
    <n v="778167"/>
    <n v="1722106"/>
  </r>
  <r>
    <s v="CLLS"/>
    <x v="429"/>
    <x v="416"/>
    <n v="208431"/>
    <n v="562986"/>
  </r>
  <r>
    <s v="CLLS"/>
    <x v="429"/>
    <x v="416"/>
    <n v="426378"/>
    <n v="900844"/>
  </r>
  <r>
    <s v="CLLS"/>
    <x v="429"/>
    <x v="416"/>
    <n v="965416"/>
    <n v="1873021"/>
  </r>
  <r>
    <s v="CLLS"/>
    <x v="429"/>
    <x v="416"/>
    <n v="703830"/>
    <n v="1443602"/>
  </r>
  <r>
    <s v="CLLS"/>
    <x v="429"/>
    <x v="416"/>
    <n v="623819"/>
    <n v="1200398"/>
  </r>
  <r>
    <s v="CLLS"/>
    <x v="429"/>
    <x v="416"/>
    <n v="323974"/>
    <n v="816902"/>
  </r>
  <r>
    <s v="CLLS"/>
    <x v="429"/>
    <x v="416"/>
    <n v="782735"/>
    <n v="1849015"/>
  </r>
  <r>
    <s v="CLLS"/>
    <x v="429"/>
    <x v="416"/>
    <n v="404522"/>
    <n v="652035"/>
  </r>
  <r>
    <s v="CLLS"/>
    <x v="429"/>
    <x v="416"/>
    <n v="434400"/>
    <n v="1318851"/>
  </r>
  <r>
    <s v="CLLS"/>
    <x v="429"/>
    <x v="416"/>
    <n v="179476"/>
    <n v="506569"/>
  </r>
  <r>
    <s v="CLLS"/>
    <x v="429"/>
    <x v="416"/>
    <n v="239170"/>
    <n v="577725"/>
  </r>
  <r>
    <s v="CLLS"/>
    <x v="429"/>
    <x v="416"/>
    <n v="266173"/>
    <n v="512353"/>
  </r>
  <r>
    <s v="CLLS"/>
    <x v="429"/>
    <x v="416"/>
    <n v="182492"/>
    <n v="471006"/>
  </r>
  <r>
    <s v="CLLS"/>
    <x v="429"/>
    <x v="416"/>
    <n v="103231"/>
    <n v="368713"/>
  </r>
  <r>
    <s v="CLLS"/>
    <x v="429"/>
    <x v="416"/>
    <n v="178547"/>
    <n v="466869"/>
  </r>
  <r>
    <s v="CLLS"/>
    <x v="429"/>
    <x v="416"/>
    <n v="303691"/>
    <n v="528161"/>
  </r>
  <r>
    <s v="CLLS"/>
    <x v="429"/>
    <x v="416"/>
    <n v="192890"/>
    <n v="558365"/>
  </r>
  <r>
    <s v="CLLS"/>
    <x v="429"/>
    <x v="416"/>
    <n v="174576"/>
    <n v="484232"/>
  </r>
  <r>
    <s v="CLLS"/>
    <x v="429"/>
    <x v="416"/>
    <n v="0"/>
    <n v="6116"/>
  </r>
  <r>
    <s v="CLLS"/>
    <x v="429"/>
    <x v="416"/>
    <n v="0"/>
    <n v="77957"/>
  </r>
  <r>
    <s v="CLLS"/>
    <x v="429"/>
    <x v="416"/>
    <n v="31241"/>
    <n v="0"/>
  </r>
  <r>
    <s v="CLLS"/>
    <x v="430"/>
    <x v="417"/>
    <n v="3298864"/>
    <n v="14821162"/>
  </r>
  <r>
    <s v="CLLS"/>
    <x v="430"/>
    <x v="417"/>
    <n v="0"/>
    <n v="13360"/>
  </r>
  <r>
    <s v="CLLS"/>
    <x v="430"/>
    <x v="417"/>
    <n v="0"/>
    <n v="16140"/>
  </r>
  <r>
    <s v="CLLS"/>
    <x v="430"/>
    <x v="417"/>
    <n v="0"/>
    <n v="4000"/>
  </r>
  <r>
    <s v="CLLS"/>
    <x v="430"/>
    <x v="417"/>
    <n v="0"/>
    <n v="12000"/>
  </r>
  <r>
    <s v="CLLS"/>
    <x v="430"/>
    <x v="417"/>
    <n v="0"/>
    <n v="28000"/>
  </r>
  <r>
    <s v="CLLS"/>
    <x v="430"/>
    <x v="417"/>
    <n v="0"/>
    <n v="4000"/>
  </r>
  <r>
    <s v="CLLS"/>
    <x v="430"/>
    <x v="417"/>
    <n v="0"/>
    <n v="5500"/>
  </r>
  <r>
    <s v="CLLS"/>
    <x v="430"/>
    <x v="417"/>
    <n v="0"/>
    <n v="29500"/>
  </r>
  <r>
    <s v="CLLS"/>
    <x v="431"/>
    <x v="418"/>
    <n v="9320110"/>
    <n v="28949022"/>
  </r>
  <r>
    <s v="CLLS"/>
    <x v="431"/>
    <x v="418"/>
    <n v="721629"/>
    <n v="2234323"/>
  </r>
  <r>
    <s v="CLLS"/>
    <x v="431"/>
    <x v="418"/>
    <n v="411025"/>
    <n v="1271426"/>
  </r>
  <r>
    <s v="CLLS"/>
    <x v="431"/>
    <x v="418"/>
    <n v="839739"/>
    <n v="2597580"/>
  </r>
  <r>
    <s v="CLLS"/>
    <x v="431"/>
    <x v="418"/>
    <n v="806329"/>
    <n v="2494234"/>
  </r>
  <r>
    <s v="CLLS"/>
    <x v="431"/>
    <x v="418"/>
    <n v="330351"/>
    <n v="1025657"/>
  </r>
  <r>
    <s v="CLLS"/>
    <x v="431"/>
    <x v="418"/>
    <n v="62409"/>
    <n v="193051"/>
  </r>
  <r>
    <s v="CLLS"/>
    <x v="431"/>
    <x v="418"/>
    <n v="152331"/>
    <n v="471208"/>
  </r>
  <r>
    <s v="CLLS"/>
    <x v="431"/>
    <x v="418"/>
    <n v="135796"/>
    <n v="335023"/>
  </r>
  <r>
    <s v="CLLS"/>
    <x v="431"/>
    <x v="418"/>
    <n v="1228536"/>
    <n v="3820140"/>
  </r>
  <r>
    <s v="CLLS"/>
    <x v="431"/>
    <x v="418"/>
    <n v="243707"/>
    <n v="753871"/>
  </r>
  <r>
    <s v="CLLS"/>
    <x v="431"/>
    <x v="418"/>
    <n v="318737"/>
    <n v="1014004"/>
  </r>
  <r>
    <s v="CLLS"/>
    <x v="431"/>
    <x v="418"/>
    <n v="797269"/>
    <n v="2464197"/>
  </r>
  <r>
    <s v="CLLS"/>
    <x v="431"/>
    <x v="418"/>
    <n v="623416"/>
    <n v="1928425"/>
  </r>
  <r>
    <s v="CLLS"/>
    <x v="431"/>
    <x v="418"/>
    <n v="42512"/>
    <n v="123915"/>
  </r>
  <r>
    <s v="CLLS"/>
    <x v="431"/>
    <x v="418"/>
    <n v="0"/>
    <n v="3929"/>
  </r>
  <r>
    <s v="CLLS"/>
    <x v="431"/>
    <x v="418"/>
    <n v="453824"/>
    <n v="1403827"/>
  </r>
  <r>
    <s v="CLLS"/>
    <x v="431"/>
    <x v="418"/>
    <n v="975677"/>
    <n v="3016691"/>
  </r>
  <r>
    <s v="CLLS"/>
    <x v="431"/>
    <x v="418"/>
    <n v="349720"/>
    <n v="1080910"/>
  </r>
  <r>
    <s v="CLLS"/>
    <x v="431"/>
    <x v="418"/>
    <n v="66129"/>
    <n v="205351"/>
  </r>
  <r>
    <s v="CLLS"/>
    <x v="431"/>
    <x v="418"/>
    <n v="61116"/>
    <n v="189047"/>
  </r>
  <r>
    <s v="CLLS"/>
    <x v="431"/>
    <x v="418"/>
    <n v="88461"/>
    <n v="286014"/>
  </r>
  <r>
    <s v="CLLS"/>
    <x v="432"/>
    <x v="419"/>
    <n v="36831186"/>
    <n v="121479479"/>
  </r>
  <r>
    <s v="CLLS"/>
    <x v="432"/>
    <x v="419"/>
    <n v="253320"/>
    <n v="831366"/>
  </r>
  <r>
    <s v="CLLS"/>
    <x v="432"/>
    <x v="419"/>
    <n v="20400"/>
    <n v="0"/>
  </r>
  <r>
    <s v="CLLS"/>
    <x v="432"/>
    <x v="419"/>
    <n v="420760"/>
    <n v="1430470"/>
  </r>
  <r>
    <s v="CLLS"/>
    <x v="432"/>
    <x v="419"/>
    <n v="45080"/>
    <n v="318978"/>
  </r>
  <r>
    <s v="CLLS"/>
    <x v="432"/>
    <x v="419"/>
    <n v="401440"/>
    <n v="1170463"/>
  </r>
  <r>
    <s v="CLLS"/>
    <x v="432"/>
    <x v="419"/>
    <n v="109960"/>
    <n v="985386"/>
  </r>
  <r>
    <s v="CLLS"/>
    <x v="432"/>
    <x v="419"/>
    <n v="113180"/>
    <n v="352692"/>
  </r>
  <r>
    <s v="CLLS"/>
    <x v="432"/>
    <x v="419"/>
    <n v="3220"/>
    <n v="130487"/>
  </r>
  <r>
    <s v="CLLS"/>
    <x v="432"/>
    <x v="419"/>
    <n v="51520"/>
    <n v="519421"/>
  </r>
  <r>
    <s v="CLLS"/>
    <x v="432"/>
    <x v="419"/>
    <n v="90160"/>
    <n v="533882"/>
  </r>
  <r>
    <s v="CLLS"/>
    <x v="432"/>
    <x v="419"/>
    <n v="475500"/>
    <n v="1742307"/>
  </r>
  <r>
    <s v="CLLS"/>
    <x v="432"/>
    <x v="419"/>
    <n v="67620"/>
    <n v="515294"/>
  </r>
  <r>
    <s v="CLLS"/>
    <x v="432"/>
    <x v="419"/>
    <n v="32200"/>
    <n v="393354"/>
  </r>
  <r>
    <s v="CLLS"/>
    <x v="432"/>
    <x v="419"/>
    <n v="200720"/>
    <n v="691159"/>
  </r>
  <r>
    <s v="CLLS"/>
    <x v="432"/>
    <x v="419"/>
    <n v="103040"/>
    <n v="861166"/>
  </r>
  <r>
    <s v="CLLS"/>
    <x v="432"/>
    <x v="419"/>
    <n v="142180"/>
    <n v="745178"/>
  </r>
  <r>
    <s v="CLLS"/>
    <x v="432"/>
    <x v="419"/>
    <n v="0"/>
    <n v="1892736"/>
  </r>
  <r>
    <s v="CLLS"/>
    <x v="432"/>
    <x v="419"/>
    <n v="115920"/>
    <n v="368633"/>
  </r>
  <r>
    <s v="CLLS"/>
    <x v="432"/>
    <x v="419"/>
    <n v="215740"/>
    <n v="566222"/>
  </r>
  <r>
    <s v="CLLS"/>
    <x v="432"/>
    <x v="419"/>
    <n v="203360"/>
    <n v="489403"/>
  </r>
  <r>
    <s v="CLLS"/>
    <x v="432"/>
    <x v="419"/>
    <n v="106740"/>
    <n v="403238"/>
  </r>
  <r>
    <s v="CLLS"/>
    <x v="432"/>
    <x v="419"/>
    <n v="12880"/>
    <n v="47460"/>
  </r>
  <r>
    <s v="CLLS"/>
    <x v="432"/>
    <x v="419"/>
    <n v="15035"/>
    <n v="155096"/>
  </r>
  <r>
    <s v="CLLS"/>
    <x v="433"/>
    <x v="420"/>
    <n v="175210"/>
    <n v="302605"/>
  </r>
  <r>
    <s v="CLLS"/>
    <x v="433"/>
    <x v="420"/>
    <n v="0"/>
    <n v="70588"/>
  </r>
  <r>
    <s v="CLLS"/>
    <x v="433"/>
    <x v="420"/>
    <n v="80588"/>
    <n v="80588"/>
  </r>
  <r>
    <s v="CLLS"/>
    <x v="433"/>
    <x v="420"/>
    <n v="80588"/>
    <n v="80588"/>
  </r>
  <r>
    <s v="CLLS"/>
    <x v="434"/>
    <x v="421"/>
    <n v="0"/>
    <n v="114034"/>
  </r>
  <r>
    <s v="CLLS"/>
    <x v="434"/>
    <x v="421"/>
    <n v="0"/>
    <n v="79162"/>
  </r>
  <r>
    <s v="CLLS"/>
    <x v="434"/>
    <x v="421"/>
    <n v="0"/>
    <n v="138580"/>
  </r>
  <r>
    <s v="CLLS"/>
    <x v="434"/>
    <x v="421"/>
    <n v="0"/>
    <n v="25000"/>
  </r>
  <r>
    <s v="CLLS"/>
    <x v="434"/>
    <x v="421"/>
    <n v="0"/>
    <n v="154769"/>
  </r>
  <r>
    <s v="CLLS"/>
    <x v="434"/>
    <x v="421"/>
    <n v="0"/>
    <n v="1286700"/>
  </r>
  <r>
    <s v="CLLS"/>
    <x v="434"/>
    <x v="421"/>
    <n v="0"/>
    <n v="120000"/>
  </r>
  <r>
    <s v="CLLS"/>
    <x v="435"/>
    <x v="422"/>
    <n v="517990810"/>
    <n v="2049485676"/>
  </r>
  <r>
    <s v="CLLS"/>
    <x v="435"/>
    <x v="422"/>
    <n v="446828"/>
    <n v="1476473"/>
  </r>
  <r>
    <s v="CLLS"/>
    <x v="435"/>
    <x v="422"/>
    <n v="0"/>
    <n v="141176"/>
  </r>
  <r>
    <s v="CLLS"/>
    <x v="435"/>
    <x v="422"/>
    <n v="0"/>
    <n v="96639"/>
  </r>
  <r>
    <s v="CLLS"/>
    <x v="435"/>
    <x v="422"/>
    <n v="0"/>
    <n v="1596043"/>
  </r>
  <r>
    <s v="CLLS"/>
    <x v="435"/>
    <x v="422"/>
    <n v="0"/>
    <n v="2792358"/>
  </r>
  <r>
    <s v="CLLS"/>
    <x v="436"/>
    <x v="423"/>
    <n v="2277005"/>
    <n v="33944733"/>
  </r>
  <r>
    <s v="CLLS"/>
    <x v="436"/>
    <x v="423"/>
    <n v="0"/>
    <n v="91409"/>
  </r>
  <r>
    <s v="CLLS"/>
    <x v="436"/>
    <x v="423"/>
    <n v="0"/>
    <n v="949906"/>
  </r>
  <r>
    <s v="CLLS"/>
    <x v="436"/>
    <x v="423"/>
    <n v="0"/>
    <n v="482725"/>
  </r>
  <r>
    <s v="CLLS"/>
    <x v="436"/>
    <x v="423"/>
    <n v="19576"/>
    <n v="1062651"/>
  </r>
  <r>
    <s v="CLLS"/>
    <x v="436"/>
    <x v="423"/>
    <n v="55380"/>
    <n v="1106518"/>
  </r>
  <r>
    <s v="CLLS"/>
    <x v="436"/>
    <x v="423"/>
    <n v="58200"/>
    <n v="488898"/>
  </r>
  <r>
    <s v="CLLS"/>
    <x v="436"/>
    <x v="423"/>
    <n v="0"/>
    <n v="169017"/>
  </r>
  <r>
    <s v="CLLS"/>
    <x v="436"/>
    <x v="423"/>
    <n v="10700"/>
    <n v="222102"/>
  </r>
  <r>
    <s v="CLLS"/>
    <x v="436"/>
    <x v="423"/>
    <n v="61017"/>
    <n v="513117"/>
  </r>
  <r>
    <s v="CLLS"/>
    <x v="436"/>
    <x v="423"/>
    <n v="5763"/>
    <n v="1398126"/>
  </r>
  <r>
    <s v="CLLS"/>
    <x v="436"/>
    <x v="423"/>
    <n v="0"/>
    <n v="265194"/>
  </r>
  <r>
    <s v="CLLS"/>
    <x v="436"/>
    <x v="423"/>
    <n v="17300"/>
    <n v="424657"/>
  </r>
  <r>
    <s v="CLLS"/>
    <x v="436"/>
    <x v="423"/>
    <n v="11660"/>
    <n v="1069992"/>
  </r>
  <r>
    <s v="CLLS"/>
    <x v="436"/>
    <x v="423"/>
    <n v="13200"/>
    <n v="1048594"/>
  </r>
  <r>
    <s v="CLLS"/>
    <x v="436"/>
    <x v="423"/>
    <n v="11940"/>
    <n v="119811"/>
  </r>
  <r>
    <s v="CLLS"/>
    <x v="436"/>
    <x v="423"/>
    <n v="0"/>
    <n v="159672"/>
  </r>
  <r>
    <s v="CLLS"/>
    <x v="436"/>
    <x v="423"/>
    <n v="0"/>
    <n v="513781"/>
  </r>
  <r>
    <s v="CLLS"/>
    <x v="436"/>
    <x v="423"/>
    <n v="0"/>
    <n v="1024103"/>
  </r>
  <r>
    <s v="CLLS"/>
    <x v="436"/>
    <x v="423"/>
    <n v="17100"/>
    <n v="673361"/>
  </r>
  <r>
    <s v="CLLS"/>
    <x v="436"/>
    <x v="423"/>
    <n v="20370"/>
    <n v="209007"/>
  </r>
  <r>
    <s v="CLLS"/>
    <x v="436"/>
    <x v="423"/>
    <n v="0"/>
    <n v="68674"/>
  </r>
  <r>
    <s v="CLLS"/>
    <x v="436"/>
    <x v="423"/>
    <n v="0"/>
    <n v="49567"/>
  </r>
  <r>
    <s v="CLLS"/>
    <x v="436"/>
    <x v="423"/>
    <n v="5950"/>
    <n v="136407"/>
  </r>
  <r>
    <s v="CLLS"/>
    <x v="437"/>
    <x v="424"/>
    <n v="86887"/>
    <n v="612989"/>
  </r>
  <r>
    <s v="CLLS"/>
    <x v="437"/>
    <x v="424"/>
    <n v="0"/>
    <n v="6600"/>
  </r>
  <r>
    <s v="CLLS"/>
    <x v="437"/>
    <x v="424"/>
    <n v="3358"/>
    <n v="0"/>
  </r>
  <r>
    <s v="CLLS"/>
    <x v="437"/>
    <x v="424"/>
    <n v="67720"/>
    <n v="0"/>
  </r>
  <r>
    <s v="CLLS"/>
    <x v="437"/>
    <x v="424"/>
    <n v="3004"/>
    <n v="0"/>
  </r>
  <r>
    <s v="CLLS"/>
    <x v="437"/>
    <x v="424"/>
    <n v="2600"/>
    <n v="0"/>
  </r>
  <r>
    <s v="CLLS"/>
    <x v="437"/>
    <x v="424"/>
    <n v="0"/>
    <n v="101100"/>
  </r>
  <r>
    <s v="CLLS"/>
    <x v="437"/>
    <x v="424"/>
    <n v="0"/>
    <n v="10947"/>
  </r>
  <r>
    <s v="CLLS"/>
    <x v="437"/>
    <x v="424"/>
    <n v="6900"/>
    <n v="28020"/>
  </r>
  <r>
    <s v="CLLS"/>
    <x v="437"/>
    <x v="424"/>
    <n v="0"/>
    <n v="13600"/>
  </r>
  <r>
    <s v="CLLS"/>
    <x v="437"/>
    <x v="424"/>
    <n v="8395"/>
    <n v="136722"/>
  </r>
  <r>
    <s v="CLLS"/>
    <x v="438"/>
    <x v="425"/>
    <n v="102000"/>
    <n v="1197274"/>
  </r>
  <r>
    <s v="CLLS"/>
    <x v="438"/>
    <x v="425"/>
    <n v="10500"/>
    <n v="0"/>
  </r>
  <r>
    <s v="CLLS"/>
    <x v="439"/>
    <x v="426"/>
    <n v="27400"/>
    <n v="1266626"/>
  </r>
  <r>
    <s v="CLLS"/>
    <x v="439"/>
    <x v="426"/>
    <n v="29000"/>
    <n v="9400"/>
  </r>
  <r>
    <s v="CLLS"/>
    <x v="439"/>
    <x v="426"/>
    <n v="25400"/>
    <n v="0"/>
  </r>
  <r>
    <s v="CLLS"/>
    <x v="439"/>
    <x v="426"/>
    <n v="0"/>
    <n v="76300"/>
  </r>
  <r>
    <s v="CLLS"/>
    <x v="439"/>
    <x v="426"/>
    <n v="0"/>
    <n v="571000"/>
  </r>
  <r>
    <s v="CLLS"/>
    <x v="439"/>
    <x v="426"/>
    <n v="75000"/>
    <n v="22800"/>
  </r>
  <r>
    <s v="CLLS"/>
    <x v="439"/>
    <x v="426"/>
    <n v="0"/>
    <n v="-28000"/>
  </r>
  <r>
    <s v="CLLS"/>
    <x v="439"/>
    <x v="426"/>
    <n v="0"/>
    <n v="282038"/>
  </r>
  <r>
    <s v="CLLS"/>
    <x v="439"/>
    <x v="426"/>
    <n v="24200"/>
    <n v="136681"/>
  </r>
  <r>
    <s v="CLLS"/>
    <x v="439"/>
    <x v="426"/>
    <n v="0"/>
    <n v="105000"/>
  </r>
  <r>
    <s v="CLLS"/>
    <x v="439"/>
    <x v="426"/>
    <n v="0"/>
    <n v="177311"/>
  </r>
  <r>
    <s v="CLLS"/>
    <x v="439"/>
    <x v="426"/>
    <n v="0"/>
    <n v="14500"/>
  </r>
  <r>
    <s v="CLLS"/>
    <x v="439"/>
    <x v="426"/>
    <n v="0"/>
    <n v="68800"/>
  </r>
  <r>
    <s v="CLLS"/>
    <x v="439"/>
    <x v="426"/>
    <n v="0"/>
    <n v="-88754"/>
  </r>
  <r>
    <s v="CLLS"/>
    <x v="440"/>
    <x v="427"/>
    <n v="6271080"/>
    <n v="41816847"/>
  </r>
  <r>
    <s v="CLLS"/>
    <x v="440"/>
    <x v="427"/>
    <n v="0"/>
    <n v="685369"/>
  </r>
  <r>
    <s v="CLLS"/>
    <x v="440"/>
    <x v="427"/>
    <n v="45126"/>
    <n v="414944"/>
  </r>
  <r>
    <s v="CLLS"/>
    <x v="440"/>
    <x v="427"/>
    <n v="471265"/>
    <n v="1425173"/>
  </r>
  <r>
    <s v="CLLS"/>
    <x v="440"/>
    <x v="427"/>
    <n v="3353604"/>
    <n v="5453822"/>
  </r>
  <r>
    <s v="CLLS"/>
    <x v="440"/>
    <x v="427"/>
    <n v="1172334"/>
    <n v="743498"/>
  </r>
  <r>
    <s v="CLLS"/>
    <x v="440"/>
    <x v="427"/>
    <n v="10000"/>
    <n v="56300"/>
  </r>
  <r>
    <s v="CLLS"/>
    <x v="440"/>
    <x v="427"/>
    <n v="515013"/>
    <n v="2246102"/>
  </r>
  <r>
    <s v="CLLS"/>
    <x v="440"/>
    <x v="427"/>
    <n v="407983"/>
    <n v="3548850"/>
  </r>
  <r>
    <s v="CLLS"/>
    <x v="440"/>
    <x v="427"/>
    <n v="953849"/>
    <n v="1580461"/>
  </r>
  <r>
    <s v="CLLS"/>
    <x v="440"/>
    <x v="427"/>
    <n v="231741"/>
    <n v="507271"/>
  </r>
  <r>
    <s v="CLLS"/>
    <x v="440"/>
    <x v="427"/>
    <n v="0"/>
    <n v="555996"/>
  </r>
  <r>
    <s v="CLLS"/>
    <x v="440"/>
    <x v="427"/>
    <n v="270934"/>
    <n v="1198205"/>
  </r>
  <r>
    <s v="CLLS"/>
    <x v="440"/>
    <x v="427"/>
    <n v="438221"/>
    <n v="965187"/>
  </r>
  <r>
    <s v="CLLS"/>
    <x v="440"/>
    <x v="427"/>
    <n v="77924"/>
    <n v="507423"/>
  </r>
  <r>
    <s v="CLLS"/>
    <x v="440"/>
    <x v="427"/>
    <n v="0"/>
    <n v="69707"/>
  </r>
  <r>
    <s v="CLLS"/>
    <x v="440"/>
    <x v="427"/>
    <n v="0"/>
    <n v="1334754"/>
  </r>
  <r>
    <s v="CLLS"/>
    <x v="440"/>
    <x v="427"/>
    <n v="84418"/>
    <n v="550167"/>
  </r>
  <r>
    <s v="CLLS"/>
    <x v="440"/>
    <x v="427"/>
    <n v="453626"/>
    <n v="511544"/>
  </r>
  <r>
    <s v="CLLS"/>
    <x v="440"/>
    <x v="427"/>
    <n v="1514784"/>
    <n v="2638696"/>
  </r>
  <r>
    <s v="CLLS"/>
    <x v="440"/>
    <x v="427"/>
    <n v="0"/>
    <n v="1120251"/>
  </r>
  <r>
    <s v="CLLS"/>
    <x v="441"/>
    <x v="428"/>
    <n v="9321969"/>
    <n v="72401905"/>
  </r>
  <r>
    <s v="CLLS"/>
    <x v="441"/>
    <x v="428"/>
    <n v="0"/>
    <n v="178516"/>
  </r>
  <r>
    <s v="CLLS"/>
    <x v="441"/>
    <x v="428"/>
    <n v="0"/>
    <n v="227234"/>
  </r>
  <r>
    <s v="CLLS"/>
    <x v="441"/>
    <x v="428"/>
    <n v="0"/>
    <n v="17400"/>
  </r>
  <r>
    <s v="CLLS"/>
    <x v="441"/>
    <x v="428"/>
    <n v="0"/>
    <n v="16000"/>
  </r>
  <r>
    <s v="CLLS"/>
    <x v="441"/>
    <x v="428"/>
    <n v="0"/>
    <n v="114856"/>
  </r>
  <r>
    <s v="CLLS"/>
    <x v="441"/>
    <x v="428"/>
    <n v="0"/>
    <n v="35000"/>
  </r>
  <r>
    <s v="CLLS"/>
    <x v="441"/>
    <x v="428"/>
    <n v="0"/>
    <n v="114536"/>
  </r>
  <r>
    <s v="CLLS"/>
    <x v="441"/>
    <x v="428"/>
    <n v="0"/>
    <n v="346646"/>
  </r>
  <r>
    <s v="CLLS"/>
    <x v="442"/>
    <x v="429"/>
    <n v="0"/>
    <n v="-744778"/>
  </r>
  <r>
    <s v="CLLS"/>
    <x v="442"/>
    <x v="429"/>
    <n v="0"/>
    <n v="-188220"/>
  </r>
  <r>
    <s v="CLLS"/>
    <x v="442"/>
    <x v="429"/>
    <n v="0"/>
    <n v="-69400"/>
  </r>
  <r>
    <s v="CLLS"/>
    <x v="442"/>
    <x v="429"/>
    <n v="0"/>
    <n v="-3857514"/>
  </r>
  <r>
    <s v="CLLS"/>
    <x v="442"/>
    <x v="429"/>
    <n v="0"/>
    <n v="-136296"/>
  </r>
  <r>
    <s v="CLLS"/>
    <x v="442"/>
    <x v="429"/>
    <n v="0"/>
    <n v="-57320"/>
  </r>
  <r>
    <s v="CLLS"/>
    <x v="442"/>
    <x v="429"/>
    <n v="0"/>
    <n v="-67118"/>
  </r>
  <r>
    <s v="CLLS"/>
    <x v="442"/>
    <x v="429"/>
    <n v="0"/>
    <n v="-206810"/>
  </r>
  <r>
    <s v="CLLS"/>
    <x v="442"/>
    <x v="429"/>
    <n v="0"/>
    <n v="-11893"/>
  </r>
  <r>
    <s v="CLLS"/>
    <x v="443"/>
    <x v="430"/>
    <n v="4123806"/>
    <n v="42287419"/>
  </r>
  <r>
    <s v="CLLS"/>
    <x v="443"/>
    <x v="430"/>
    <n v="0"/>
    <n v="1917798"/>
  </r>
  <r>
    <s v="CLLS"/>
    <x v="443"/>
    <x v="430"/>
    <n v="0"/>
    <n v="4441151"/>
  </r>
  <r>
    <s v="CLLS"/>
    <x v="443"/>
    <x v="430"/>
    <n v="240000"/>
    <n v="998241"/>
  </r>
  <r>
    <s v="CLLS"/>
    <x v="443"/>
    <x v="430"/>
    <n v="1329200"/>
    <n v="2536200"/>
  </r>
  <r>
    <s v="CLLS"/>
    <x v="443"/>
    <x v="430"/>
    <n v="0"/>
    <n v="733001"/>
  </r>
  <r>
    <s v="CLLS"/>
    <x v="443"/>
    <x v="430"/>
    <n v="-300000"/>
    <n v="300000"/>
  </r>
  <r>
    <s v="CLLS"/>
    <x v="443"/>
    <x v="430"/>
    <n v="30000"/>
    <n v="715966"/>
  </r>
  <r>
    <s v="CLLS"/>
    <x v="443"/>
    <x v="430"/>
    <n v="0"/>
    <n v="3816569"/>
  </r>
  <r>
    <s v="CLLS"/>
    <x v="443"/>
    <x v="430"/>
    <n v="0"/>
    <n v="-595094"/>
  </r>
  <r>
    <s v="CLLS"/>
    <x v="443"/>
    <x v="430"/>
    <n v="0"/>
    <n v="-244513"/>
  </r>
  <r>
    <s v="CLLS"/>
    <x v="443"/>
    <x v="430"/>
    <n v="42017"/>
    <n v="-2193688"/>
  </r>
  <r>
    <s v="CLLS"/>
    <x v="443"/>
    <x v="430"/>
    <n v="1601"/>
    <n v="-1794167"/>
  </r>
  <r>
    <s v="CLLS"/>
    <x v="443"/>
    <x v="430"/>
    <n v="0"/>
    <n v="1686733"/>
  </r>
  <r>
    <s v="CLLS"/>
    <x v="443"/>
    <x v="430"/>
    <n v="0"/>
    <n v="923293"/>
  </r>
  <r>
    <s v="CLLS"/>
    <x v="443"/>
    <x v="430"/>
    <n v="0"/>
    <n v="2436286"/>
  </r>
  <r>
    <s v="CLLS"/>
    <x v="443"/>
    <x v="430"/>
    <n v="208936"/>
    <n v="1848393"/>
  </r>
  <r>
    <s v="CLLS"/>
    <x v="443"/>
    <x v="430"/>
    <n v="0"/>
    <n v="1815000"/>
  </r>
  <r>
    <s v="CLLS"/>
    <x v="443"/>
    <x v="430"/>
    <n v="0"/>
    <n v="98738"/>
  </r>
  <r>
    <s v="CLLS"/>
    <x v="443"/>
    <x v="430"/>
    <n v="0"/>
    <n v="196920"/>
  </r>
  <r>
    <s v="CLLS"/>
    <x v="443"/>
    <x v="430"/>
    <n v="0"/>
    <n v="12745"/>
  </r>
  <r>
    <s v="CLLS"/>
    <x v="444"/>
    <x v="431"/>
    <n v="5866338"/>
    <n v="5804366"/>
  </r>
  <r>
    <s v="CLLS"/>
    <x v="444"/>
    <x v="431"/>
    <n v="0"/>
    <n v="271014"/>
  </r>
  <r>
    <s v="CLLS"/>
    <x v="444"/>
    <x v="431"/>
    <n v="0"/>
    <n v="211577"/>
  </r>
  <r>
    <s v="CLLS"/>
    <x v="444"/>
    <x v="431"/>
    <n v="0"/>
    <n v="636807"/>
  </r>
  <r>
    <s v="CLLS"/>
    <x v="444"/>
    <x v="431"/>
    <n v="0"/>
    <n v="2195168"/>
  </r>
  <r>
    <s v="CLLS"/>
    <x v="444"/>
    <x v="431"/>
    <n v="91215"/>
    <n v="458062"/>
  </r>
  <r>
    <s v="CLLS"/>
    <x v="444"/>
    <x v="431"/>
    <n v="8000"/>
    <n v="169531"/>
  </r>
  <r>
    <s v="CLLS"/>
    <x v="444"/>
    <x v="431"/>
    <n v="1849"/>
    <n v="72433"/>
  </r>
  <r>
    <s v="CLLS"/>
    <x v="444"/>
    <x v="431"/>
    <n v="20500"/>
    <n v="821315"/>
  </r>
  <r>
    <s v="CLLS"/>
    <x v="444"/>
    <x v="431"/>
    <n v="0"/>
    <n v="256200"/>
  </r>
  <r>
    <s v="CLLS"/>
    <x v="444"/>
    <x v="431"/>
    <n v="8380"/>
    <n v="209367"/>
  </r>
  <r>
    <s v="CLLS"/>
    <x v="444"/>
    <x v="431"/>
    <n v="42160"/>
    <n v="227953"/>
  </r>
  <r>
    <s v="CLLS"/>
    <x v="444"/>
    <x v="431"/>
    <n v="24200"/>
    <n v="53320"/>
  </r>
  <r>
    <s v="CLLS"/>
    <x v="444"/>
    <x v="431"/>
    <n v="0"/>
    <n v="124300"/>
  </r>
  <r>
    <s v="CLLS"/>
    <x v="444"/>
    <x v="431"/>
    <n v="0"/>
    <n v="150815"/>
  </r>
  <r>
    <s v="CLLS"/>
    <x v="444"/>
    <x v="431"/>
    <n v="0"/>
    <n v="397732"/>
  </r>
  <r>
    <s v="CLLS"/>
    <x v="444"/>
    <x v="431"/>
    <n v="33350"/>
    <n v="309388"/>
  </r>
  <r>
    <s v="CLLS"/>
    <x v="444"/>
    <x v="431"/>
    <n v="25137"/>
    <n v="508615"/>
  </r>
  <r>
    <s v="CLLS"/>
    <x v="444"/>
    <x v="431"/>
    <n v="0"/>
    <n v="5550"/>
  </r>
  <r>
    <s v="CLLS"/>
    <x v="444"/>
    <x v="431"/>
    <n v="0"/>
    <n v="162682"/>
  </r>
  <r>
    <s v="CLLS"/>
    <x v="445"/>
    <x v="432"/>
    <n v="2488479"/>
    <n v="9989585"/>
  </r>
  <r>
    <s v="CLLS"/>
    <x v="445"/>
    <x v="432"/>
    <n v="0"/>
    <n v="329988"/>
  </r>
  <r>
    <s v="CLLS"/>
    <x v="445"/>
    <x v="432"/>
    <n v="22704"/>
    <n v="13400"/>
  </r>
  <r>
    <s v="CLLS"/>
    <x v="445"/>
    <x v="432"/>
    <n v="149521"/>
    <n v="37950"/>
  </r>
  <r>
    <s v="CLLS"/>
    <x v="445"/>
    <x v="432"/>
    <n v="0"/>
    <n v="85260"/>
  </r>
  <r>
    <s v="CLLS"/>
    <x v="445"/>
    <x v="432"/>
    <n v="11160"/>
    <n v="80819"/>
  </r>
  <r>
    <s v="CLLS"/>
    <x v="445"/>
    <x v="432"/>
    <n v="19491"/>
    <n v="61758"/>
  </r>
  <r>
    <s v="CLLS"/>
    <x v="445"/>
    <x v="432"/>
    <n v="2560"/>
    <n v="39858"/>
  </r>
  <r>
    <s v="CLLS"/>
    <x v="445"/>
    <x v="432"/>
    <n v="85700"/>
    <n v="5220"/>
  </r>
  <r>
    <s v="CLLS"/>
    <x v="445"/>
    <x v="432"/>
    <n v="0"/>
    <n v="36674"/>
  </r>
  <r>
    <s v="CLLS"/>
    <x v="445"/>
    <x v="432"/>
    <n v="33730"/>
    <n v="2409042"/>
  </r>
  <r>
    <s v="CLLS"/>
    <x v="445"/>
    <x v="432"/>
    <n v="85700"/>
    <n v="133550"/>
  </r>
  <r>
    <s v="CLLS"/>
    <x v="445"/>
    <x v="432"/>
    <n v="0"/>
    <n v="123070"/>
  </r>
  <r>
    <s v="CLLS"/>
    <x v="445"/>
    <x v="432"/>
    <n v="0"/>
    <n v="14520"/>
  </r>
  <r>
    <s v="CLLS"/>
    <x v="445"/>
    <x v="432"/>
    <n v="20000"/>
    <n v="42990"/>
  </r>
  <r>
    <s v="CLLS"/>
    <x v="445"/>
    <x v="432"/>
    <n v="84390"/>
    <n v="9750"/>
  </r>
  <r>
    <s v="CLLS"/>
    <x v="445"/>
    <x v="432"/>
    <n v="150347"/>
    <n v="-181872"/>
  </r>
  <r>
    <s v="CLLS"/>
    <x v="445"/>
    <x v="432"/>
    <n v="0"/>
    <n v="4120"/>
  </r>
  <r>
    <s v="CLLS"/>
    <x v="445"/>
    <x v="432"/>
    <n v="0"/>
    <n v="74750"/>
  </r>
  <r>
    <s v="CLLS"/>
    <x v="446"/>
    <x v="433"/>
    <n v="-107796"/>
    <n v="32720134"/>
  </r>
  <r>
    <s v="CLLS"/>
    <x v="446"/>
    <x v="433"/>
    <n v="0"/>
    <n v="5003"/>
  </r>
  <r>
    <s v="CLLS"/>
    <x v="446"/>
    <x v="433"/>
    <n v="0"/>
    <n v="276730"/>
  </r>
  <r>
    <s v="CLLS"/>
    <x v="446"/>
    <x v="433"/>
    <n v="0"/>
    <n v="3859"/>
  </r>
  <r>
    <s v="CLLS"/>
    <x v="446"/>
    <x v="433"/>
    <n v="0"/>
    <n v="89174"/>
  </r>
  <r>
    <s v="CLLS"/>
    <x v="446"/>
    <x v="433"/>
    <n v="42342"/>
    <n v="341217"/>
  </r>
  <r>
    <s v="CLLS"/>
    <x v="446"/>
    <x v="433"/>
    <n v="0"/>
    <n v="147868"/>
  </r>
  <r>
    <s v="CLLS"/>
    <x v="446"/>
    <x v="433"/>
    <n v="0"/>
    <n v="31054"/>
  </r>
  <r>
    <s v="CLLS"/>
    <x v="446"/>
    <x v="433"/>
    <n v="0"/>
    <n v="91281"/>
  </r>
  <r>
    <s v="CLLS"/>
    <x v="446"/>
    <x v="433"/>
    <n v="0"/>
    <n v="27980"/>
  </r>
  <r>
    <s v="CLLS"/>
    <x v="446"/>
    <x v="433"/>
    <n v="0"/>
    <n v="229450"/>
  </r>
  <r>
    <s v="CLLS"/>
    <x v="446"/>
    <x v="433"/>
    <n v="0"/>
    <n v="6178"/>
  </r>
  <r>
    <s v="CLLS"/>
    <x v="446"/>
    <x v="433"/>
    <n v="0"/>
    <n v="9560"/>
  </r>
  <r>
    <s v="CLLS"/>
    <x v="446"/>
    <x v="433"/>
    <n v="0"/>
    <n v="270592"/>
  </r>
  <r>
    <s v="CLLS"/>
    <x v="446"/>
    <x v="433"/>
    <n v="0"/>
    <n v="66513"/>
  </r>
  <r>
    <s v="CLLS"/>
    <x v="446"/>
    <x v="433"/>
    <n v="0"/>
    <n v="-39218"/>
  </r>
  <r>
    <s v="CLLS"/>
    <x v="446"/>
    <x v="433"/>
    <n v="192780"/>
    <n v="488537"/>
  </r>
  <r>
    <s v="CLLS"/>
    <x v="446"/>
    <x v="433"/>
    <n v="0"/>
    <n v="292074"/>
  </r>
  <r>
    <s v="CLLS"/>
    <x v="446"/>
    <x v="433"/>
    <n v="0"/>
    <n v="350014"/>
  </r>
  <r>
    <s v="CLLS"/>
    <x v="446"/>
    <x v="433"/>
    <n v="0"/>
    <n v="212032"/>
  </r>
  <r>
    <s v="CLLS"/>
    <x v="446"/>
    <x v="433"/>
    <n v="0"/>
    <n v="569929"/>
  </r>
  <r>
    <s v="CLLS"/>
    <x v="447"/>
    <x v="434"/>
    <n v="6627536"/>
    <n v="27186710"/>
  </r>
  <r>
    <s v="CLLS"/>
    <x v="448"/>
    <x v="435"/>
    <n v="3918993"/>
    <n v="473783"/>
  </r>
  <r>
    <s v="CLLS"/>
    <x v="448"/>
    <x v="435"/>
    <n v="0"/>
    <n v="767727"/>
  </r>
  <r>
    <s v="CLLS"/>
    <x v="448"/>
    <x v="435"/>
    <n v="17746"/>
    <n v="0"/>
  </r>
  <r>
    <s v="CLLS"/>
    <x v="448"/>
    <x v="435"/>
    <n v="1379564"/>
    <n v="0"/>
  </r>
  <r>
    <s v="CLLS"/>
    <x v="448"/>
    <x v="435"/>
    <n v="0"/>
    <n v="43000"/>
  </r>
  <r>
    <s v="CLLS"/>
    <x v="448"/>
    <x v="435"/>
    <n v="0"/>
    <n v="612070"/>
  </r>
  <r>
    <s v="CLLS"/>
    <x v="448"/>
    <x v="435"/>
    <n v="459855"/>
    <n v="0"/>
  </r>
  <r>
    <s v="CLLS"/>
    <x v="448"/>
    <x v="435"/>
    <n v="10000"/>
    <n v="329450"/>
  </r>
  <r>
    <s v="CLLS"/>
    <x v="448"/>
    <x v="435"/>
    <n v="15000"/>
    <n v="4100"/>
  </r>
  <r>
    <s v="CLLS"/>
    <x v="448"/>
    <x v="435"/>
    <n v="0"/>
    <n v="96577"/>
  </r>
  <r>
    <s v="CLLS"/>
    <x v="448"/>
    <x v="435"/>
    <n v="5621900"/>
    <n v="-5610"/>
  </r>
  <r>
    <s v="CLLS"/>
    <x v="448"/>
    <x v="435"/>
    <n v="0"/>
    <n v="182310"/>
  </r>
  <r>
    <s v="CLLS"/>
    <x v="448"/>
    <x v="435"/>
    <n v="0"/>
    <n v="371228"/>
  </r>
  <r>
    <s v="CLLS"/>
    <x v="448"/>
    <x v="435"/>
    <n v="0"/>
    <n v="10000"/>
  </r>
  <r>
    <s v="CLLS"/>
    <x v="448"/>
    <x v="435"/>
    <n v="0"/>
    <n v="64382"/>
  </r>
  <r>
    <s v="CLLS"/>
    <x v="448"/>
    <x v="435"/>
    <n v="0"/>
    <n v="264180"/>
  </r>
  <r>
    <s v="CLLS"/>
    <x v="448"/>
    <x v="435"/>
    <n v="0"/>
    <n v="41141"/>
  </r>
  <r>
    <s v="CLLS"/>
    <x v="449"/>
    <x v="436"/>
    <n v="10100"/>
    <n v="39895"/>
  </r>
  <r>
    <s v="CLLS"/>
    <x v="449"/>
    <x v="436"/>
    <n v="0"/>
    <n v="2450"/>
  </r>
  <r>
    <s v="CLLS"/>
    <x v="449"/>
    <x v="436"/>
    <n v="0"/>
    <n v="3400"/>
  </r>
  <r>
    <s v="CLLS"/>
    <x v="449"/>
    <x v="436"/>
    <n v="0"/>
    <n v="35000"/>
  </r>
  <r>
    <s v="CLLS"/>
    <x v="449"/>
    <x v="436"/>
    <n v="0"/>
    <n v="80378"/>
  </r>
  <r>
    <s v="CLLS"/>
    <x v="449"/>
    <x v="436"/>
    <n v="0"/>
    <n v="524862"/>
  </r>
  <r>
    <s v="CLLS"/>
    <x v="449"/>
    <x v="436"/>
    <n v="0"/>
    <n v="359379"/>
  </r>
  <r>
    <s v="CLLS"/>
    <x v="449"/>
    <x v="436"/>
    <n v="0"/>
    <n v="260162"/>
  </r>
  <r>
    <s v="CLLS"/>
    <x v="449"/>
    <x v="436"/>
    <n v="0"/>
    <n v="210783"/>
  </r>
  <r>
    <s v="CLLS"/>
    <x v="449"/>
    <x v="436"/>
    <n v="145038"/>
    <n v="0"/>
  </r>
  <r>
    <s v="CLLS"/>
    <x v="449"/>
    <x v="436"/>
    <n v="0"/>
    <n v="222565"/>
  </r>
  <r>
    <s v="CLLS"/>
    <x v="449"/>
    <x v="436"/>
    <n v="0"/>
    <n v="235862"/>
  </r>
  <r>
    <s v="CLLS"/>
    <x v="449"/>
    <x v="436"/>
    <n v="7000"/>
    <n v="35000"/>
  </r>
  <r>
    <s v="CLLS"/>
    <x v="449"/>
    <x v="436"/>
    <n v="0"/>
    <n v="35000"/>
  </r>
  <r>
    <s v="CLLS"/>
    <x v="449"/>
    <x v="436"/>
    <n v="0"/>
    <n v="47300"/>
  </r>
  <r>
    <s v="CLLS"/>
    <x v="450"/>
    <x v="437"/>
    <n v="446706"/>
    <n v="6378648"/>
  </r>
  <r>
    <s v="CLLS"/>
    <x v="450"/>
    <x v="437"/>
    <n v="0"/>
    <n v="12800"/>
  </r>
  <r>
    <s v="CLLS"/>
    <x v="450"/>
    <x v="437"/>
    <n v="52250"/>
    <n v="54500"/>
  </r>
  <r>
    <s v="CLLS"/>
    <x v="450"/>
    <x v="437"/>
    <n v="28650"/>
    <n v="0"/>
  </r>
  <r>
    <s v="CLLS"/>
    <x v="450"/>
    <x v="437"/>
    <n v="22730"/>
    <n v="0"/>
  </r>
  <r>
    <s v="CLLS"/>
    <x v="450"/>
    <x v="437"/>
    <n v="33700"/>
    <n v="14100"/>
  </r>
  <r>
    <s v="CLLS"/>
    <x v="450"/>
    <x v="437"/>
    <n v="1550"/>
    <n v="0"/>
  </r>
  <r>
    <s v="CLLS"/>
    <x v="450"/>
    <x v="437"/>
    <n v="8720"/>
    <n v="3300"/>
  </r>
  <r>
    <s v="CLLS"/>
    <x v="450"/>
    <x v="437"/>
    <n v="20000"/>
    <n v="25100"/>
  </r>
  <r>
    <s v="CLLS"/>
    <x v="450"/>
    <x v="437"/>
    <n v="600"/>
    <n v="34500"/>
  </r>
  <r>
    <s v="CLLS"/>
    <x v="450"/>
    <x v="437"/>
    <n v="28500"/>
    <n v="55700"/>
  </r>
  <r>
    <s v="CLLS"/>
    <x v="450"/>
    <x v="437"/>
    <n v="67700"/>
    <n v="88350"/>
  </r>
  <r>
    <s v="CLLS"/>
    <x v="450"/>
    <x v="437"/>
    <n v="0"/>
    <n v="17700"/>
  </r>
  <r>
    <s v="CLLS"/>
    <x v="450"/>
    <x v="437"/>
    <n v="0"/>
    <n v="43150"/>
  </r>
  <r>
    <s v="CLLS"/>
    <x v="450"/>
    <x v="437"/>
    <n v="600"/>
    <n v="21300"/>
  </r>
  <r>
    <s v="CLLS"/>
    <x v="450"/>
    <x v="437"/>
    <n v="29200"/>
    <n v="301410"/>
  </r>
  <r>
    <s v="CLLS"/>
    <x v="450"/>
    <x v="437"/>
    <n v="0"/>
    <n v="-3882"/>
  </r>
  <r>
    <s v="CLLS"/>
    <x v="451"/>
    <x v="438"/>
    <n v="-705083"/>
    <n v="5655055"/>
  </r>
  <r>
    <s v="CLLS"/>
    <x v="452"/>
    <x v="439"/>
    <n v="20541848"/>
    <n v="47797792"/>
  </r>
  <r>
    <s v="CLLS"/>
    <x v="453"/>
    <x v="440"/>
    <n v="0"/>
    <n v="-1242584"/>
  </r>
  <r>
    <s v="CLLS"/>
    <x v="454"/>
    <x v="441"/>
    <n v="233304108"/>
    <n v="864053126"/>
  </r>
  <r>
    <s v="CLLS"/>
    <x v="454"/>
    <x v="441"/>
    <n v="0"/>
    <n v="29176"/>
  </r>
  <r>
    <s v="CLLS"/>
    <x v="455"/>
    <x v="442"/>
    <n v="16131071"/>
    <n v="8925627"/>
  </r>
  <r>
    <s v="CLLS"/>
    <x v="456"/>
    <x v="443"/>
    <n v="84768420"/>
    <n v="112337175"/>
  </r>
  <r>
    <s v="CLLS"/>
    <x v="457"/>
    <x v="444"/>
    <n v="0"/>
    <n v="19340877"/>
  </r>
  <r>
    <s v="CLLS"/>
    <x v="458"/>
    <x v="445"/>
    <n v="156752919"/>
    <n v="22845555"/>
  </r>
  <r>
    <s v="CLLS"/>
    <x v="459"/>
    <x v="446"/>
    <n v="65157680"/>
    <n v="199969697"/>
  </r>
  <r>
    <s v="CLLS"/>
    <x v="459"/>
    <x v="446"/>
    <n v="1875340"/>
    <n v="4316110"/>
  </r>
  <r>
    <s v="CLLS"/>
    <x v="459"/>
    <x v="446"/>
    <n v="0"/>
    <n v="6715006"/>
  </r>
  <r>
    <s v="CLLS"/>
    <x v="459"/>
    <x v="446"/>
    <n v="1713735"/>
    <n v="14135634"/>
  </r>
  <r>
    <s v="CLLS"/>
    <x v="459"/>
    <x v="446"/>
    <n v="1979188"/>
    <n v="10137991"/>
  </r>
  <r>
    <s v="CLLS"/>
    <x v="459"/>
    <x v="446"/>
    <n v="1658347"/>
    <n v="4799077"/>
  </r>
  <r>
    <s v="CLLS"/>
    <x v="459"/>
    <x v="446"/>
    <n v="1711389"/>
    <n v="6619506"/>
  </r>
  <r>
    <s v="CLLS"/>
    <x v="459"/>
    <x v="446"/>
    <n v="2710581"/>
    <n v="7831249"/>
  </r>
  <r>
    <s v="CLLS"/>
    <x v="459"/>
    <x v="446"/>
    <n v="626273"/>
    <n v="0"/>
  </r>
  <r>
    <s v="CLLS"/>
    <x v="460"/>
    <x v="447"/>
    <n v="183148"/>
    <n v="-1841104"/>
  </r>
  <r>
    <s v="CLLS"/>
    <x v="460"/>
    <x v="447"/>
    <n v="0"/>
    <n v="-555529"/>
  </r>
  <r>
    <s v="CLLS"/>
    <x v="460"/>
    <x v="447"/>
    <n v="0"/>
    <n v="-564711"/>
  </r>
  <r>
    <s v="CLLS"/>
    <x v="460"/>
    <x v="447"/>
    <n v="0"/>
    <n v="119344"/>
  </r>
  <r>
    <s v="CLLS"/>
    <x v="460"/>
    <x v="447"/>
    <n v="0"/>
    <n v="-1129422"/>
  </r>
  <r>
    <s v="CLLS"/>
    <x v="460"/>
    <x v="447"/>
    <n v="0"/>
    <n v="-830700"/>
  </r>
  <r>
    <s v="CLLS"/>
    <x v="461"/>
    <x v="448"/>
    <n v="0"/>
    <n v="12306161"/>
  </r>
  <r>
    <s v="CLLS"/>
    <x v="461"/>
    <x v="448"/>
    <n v="0"/>
    <n v="2091488"/>
  </r>
  <r>
    <s v="CLLS"/>
    <x v="462"/>
    <x v="449"/>
    <n v="0"/>
    <n v="161448"/>
  </r>
  <r>
    <s v="CLLS"/>
    <x v="463"/>
    <x v="450"/>
    <n v="0"/>
    <n v="30000"/>
  </r>
  <r>
    <s v="CLLS"/>
    <x v="464"/>
    <x v="451"/>
    <n v="0"/>
    <n v="2710982"/>
  </r>
  <r>
    <s v="CLLS"/>
    <x v="465"/>
    <x v="452"/>
    <n v="152129894"/>
    <n v="382468786"/>
  </r>
  <r>
    <s v="CLLS"/>
    <x v="465"/>
    <x v="452"/>
    <n v="16667"/>
    <n v="0"/>
  </r>
  <r>
    <s v="CLLS"/>
    <x v="465"/>
    <x v="452"/>
    <n v="35000"/>
    <n v="0"/>
  </r>
  <r>
    <s v="CLLS"/>
    <x v="466"/>
    <x v="453"/>
    <n v="301775"/>
    <n v="330905578"/>
  </r>
  <r>
    <s v="CLLS"/>
    <x v="467"/>
    <x v="454"/>
    <n v="5435326"/>
    <n v="266168983"/>
  </r>
  <r>
    <s v="CLLS"/>
    <x v="467"/>
    <x v="454"/>
    <n v="0"/>
    <n v="88240"/>
  </r>
  <r>
    <s v="CLLS"/>
    <x v="467"/>
    <x v="454"/>
    <n v="40000"/>
    <n v="93000"/>
  </r>
  <r>
    <s v="CLLS"/>
    <x v="468"/>
    <x v="455"/>
    <n v="-160714984"/>
    <n v="789338981"/>
  </r>
  <r>
    <s v="CLLS"/>
    <x v="468"/>
    <x v="455"/>
    <n v="0"/>
    <n v="31065"/>
  </r>
  <r>
    <s v="CLLS"/>
    <x v="469"/>
    <x v="456"/>
    <n v="2932989"/>
    <n v="42278376"/>
  </r>
  <r>
    <s v="CLLS"/>
    <x v="469"/>
    <x v="456"/>
    <n v="4174962"/>
    <n v="109626893"/>
  </r>
  <r>
    <s v="CLLS"/>
    <x v="470"/>
    <x v="457"/>
    <n v="79299882"/>
    <n v="336641671"/>
  </r>
  <r>
    <s v="CLLS"/>
    <x v="471"/>
    <x v="458"/>
    <n v="0"/>
    <n v="261417"/>
  </r>
  <r>
    <s v="CLLS"/>
    <x v="472"/>
    <x v="459"/>
    <n v="4796"/>
    <n v="3199"/>
  </r>
  <r>
    <s v="CLLS"/>
    <x v="472"/>
    <x v="459"/>
    <n v="1607"/>
    <n v="6395"/>
  </r>
  <r>
    <s v="CLLS"/>
    <x v="472"/>
    <x v="459"/>
    <n v="1600"/>
    <n v="1598"/>
  </r>
  <r>
    <s v="CLLS"/>
    <x v="472"/>
    <x v="459"/>
    <n v="1609"/>
    <n v="6373"/>
  </r>
  <r>
    <s v="CLLS"/>
    <x v="472"/>
    <x v="459"/>
    <n v="0"/>
    <n v="1598"/>
  </r>
  <r>
    <s v="CLLS"/>
    <x v="472"/>
    <x v="459"/>
    <n v="0"/>
    <n v="1599"/>
  </r>
  <r>
    <s v="CLLS"/>
    <x v="472"/>
    <x v="459"/>
    <n v="1609"/>
    <n v="6354"/>
  </r>
  <r>
    <s v="CLLS"/>
    <x v="473"/>
    <x v="460"/>
    <n v="3465939"/>
    <n v="0"/>
  </r>
  <r>
    <s v="CLLS"/>
    <x v="474"/>
    <x v="461"/>
    <n v="32361"/>
    <n v="14244634"/>
  </r>
  <r>
    <s v="CLLS"/>
    <x v="475"/>
    <x v="462"/>
    <n v="741680"/>
    <n v="3356377"/>
  </r>
  <r>
    <s v="CLLS"/>
    <x v="476"/>
    <x v="463"/>
    <n v="0"/>
    <n v="17398836"/>
  </r>
  <r>
    <s v="CLLS"/>
    <x v="476"/>
    <x v="463"/>
    <n v="0"/>
    <n v="-158816"/>
  </r>
  <r>
    <s v="CLLS"/>
    <x v="476"/>
    <x v="463"/>
    <n v="0"/>
    <n v="-8834"/>
  </r>
  <r>
    <s v="CLLS"/>
    <x v="476"/>
    <x v="463"/>
    <n v="0"/>
    <n v="-10000"/>
  </r>
  <r>
    <s v="CLLS"/>
    <x v="477"/>
    <x v="464"/>
    <n v="30412184"/>
    <n v="137727614"/>
  </r>
  <r>
    <s v="CLLS"/>
    <x v="477"/>
    <x v="464"/>
    <n v="0"/>
    <n v="1724186"/>
  </r>
  <r>
    <s v="CLLS"/>
    <x v="477"/>
    <x v="464"/>
    <n v="0"/>
    <n v="376045"/>
  </r>
  <r>
    <s v="CLLS"/>
    <x v="477"/>
    <x v="464"/>
    <n v="0"/>
    <n v="531858"/>
  </r>
  <r>
    <s v="CLLS"/>
    <x v="478"/>
    <x v="465"/>
    <n v="2561121"/>
    <n v="3343197"/>
  </r>
  <r>
    <s v="CLLS"/>
    <x v="478"/>
    <x v="465"/>
    <n v="9596243"/>
    <n v="17061818"/>
  </r>
  <r>
    <s v="CLLS"/>
    <x v="478"/>
    <x v="465"/>
    <n v="11578329"/>
    <n v="36271337"/>
  </r>
  <r>
    <s v="CLLS"/>
    <x v="478"/>
    <x v="465"/>
    <n v="41188357"/>
    <n v="95206286"/>
  </r>
  <r>
    <s v="CLLS"/>
    <x v="478"/>
    <x v="465"/>
    <n v="2563817"/>
    <n v="9182821"/>
  </r>
  <r>
    <s v="CLLS"/>
    <x v="478"/>
    <x v="465"/>
    <n v="1820022"/>
    <n v="6831230"/>
  </r>
  <r>
    <s v="CLLS"/>
    <x v="479"/>
    <x v="466"/>
    <n v="1319153"/>
    <n v="2133422"/>
  </r>
  <r>
    <s v="CLLS"/>
    <x v="480"/>
    <x v="467"/>
    <n v="1893122"/>
    <n v="33202929"/>
  </r>
  <r>
    <s v="CLLS"/>
    <x v="480"/>
    <x v="467"/>
    <n v="0"/>
    <n v="533462"/>
  </r>
  <r>
    <s v="CLLS"/>
    <x v="480"/>
    <x v="467"/>
    <n v="0"/>
    <n v="45993764"/>
  </r>
  <r>
    <s v="CLLS"/>
    <x v="480"/>
    <x v="467"/>
    <n v="370800"/>
    <n v="3663720"/>
  </r>
  <r>
    <s v="CLLS"/>
    <x v="481"/>
    <x v="468"/>
    <n v="42560"/>
    <n v="25123680"/>
  </r>
  <r>
    <s v="CLLS"/>
    <x v="481"/>
    <x v="468"/>
    <n v="0"/>
    <n v="3264198"/>
  </r>
  <r>
    <s v="CLLS"/>
    <x v="481"/>
    <x v="468"/>
    <n v="0"/>
    <n v="4203837"/>
  </r>
  <r>
    <s v="CLLS"/>
    <x v="481"/>
    <x v="468"/>
    <n v="0"/>
    <n v="33736"/>
  </r>
  <r>
    <s v="CLLS"/>
    <x v="481"/>
    <x v="468"/>
    <n v="0"/>
    <n v="33736"/>
  </r>
  <r>
    <s v="CLLS"/>
    <x v="481"/>
    <x v="468"/>
    <n v="0"/>
    <n v="38422"/>
  </r>
  <r>
    <s v="CLLS"/>
    <x v="481"/>
    <x v="468"/>
    <n v="0"/>
    <n v="33736"/>
  </r>
  <r>
    <s v="CLLS"/>
    <x v="481"/>
    <x v="468"/>
    <n v="0"/>
    <n v="33736"/>
  </r>
  <r>
    <s v="CLLS"/>
    <x v="481"/>
    <x v="468"/>
    <n v="0"/>
    <n v="33736"/>
  </r>
  <r>
    <s v="CLLS"/>
    <x v="481"/>
    <x v="468"/>
    <n v="0"/>
    <n v="33736"/>
  </r>
  <r>
    <s v="CLLS"/>
    <x v="481"/>
    <x v="468"/>
    <n v="0"/>
    <n v="33729"/>
  </r>
  <r>
    <s v="CLLS"/>
    <x v="481"/>
    <x v="468"/>
    <n v="0"/>
    <n v="38422"/>
  </r>
  <r>
    <s v="CLLS"/>
    <x v="481"/>
    <x v="468"/>
    <n v="0"/>
    <n v="38422"/>
  </r>
  <r>
    <s v="CLLS"/>
    <x v="481"/>
    <x v="468"/>
    <n v="0"/>
    <n v="38422"/>
  </r>
  <r>
    <s v="CLLS"/>
    <x v="481"/>
    <x v="468"/>
    <n v="0"/>
    <n v="38422"/>
  </r>
  <r>
    <s v="CLLS"/>
    <x v="481"/>
    <x v="468"/>
    <n v="0"/>
    <n v="38422"/>
  </r>
  <r>
    <s v="CLLS"/>
    <x v="481"/>
    <x v="468"/>
    <n v="0"/>
    <n v="38416"/>
  </r>
  <r>
    <s v="CLLS"/>
    <x v="481"/>
    <x v="468"/>
    <n v="0"/>
    <n v="33736"/>
  </r>
  <r>
    <s v="CLLS"/>
    <x v="481"/>
    <x v="468"/>
    <n v="0"/>
    <n v="33736"/>
  </r>
  <r>
    <s v="CLLS"/>
    <x v="482"/>
    <x v="469"/>
    <n v="0"/>
    <n v="-78493"/>
  </r>
  <r>
    <s v="CLLS"/>
    <x v="483"/>
    <x v="470"/>
    <n v="35064"/>
    <n v="34891"/>
  </r>
  <r>
    <s v="CLLS"/>
    <x v="483"/>
    <x v="470"/>
    <n v="6509443"/>
    <n v="8822616"/>
  </r>
  <r>
    <s v="CLLS"/>
    <x v="483"/>
    <x v="470"/>
    <n v="14252306"/>
    <n v="26879656"/>
  </r>
  <r>
    <s v="CLLS"/>
    <x v="483"/>
    <x v="470"/>
    <n v="2496030"/>
    <n v="4302115"/>
  </r>
  <r>
    <s v="CLLS"/>
    <x v="483"/>
    <x v="470"/>
    <n v="7603797"/>
    <n v="14521756"/>
  </r>
  <r>
    <s v="CLLS"/>
    <x v="483"/>
    <x v="470"/>
    <n v="6409226"/>
    <n v="12894639"/>
  </r>
  <r>
    <s v="CLLS"/>
    <x v="483"/>
    <x v="470"/>
    <n v="5217718"/>
    <n v="9764628"/>
  </r>
  <r>
    <s v="CLLS"/>
    <x v="483"/>
    <x v="470"/>
    <n v="597982"/>
    <n v="1136829"/>
  </r>
  <r>
    <s v="CLLS"/>
    <x v="483"/>
    <x v="470"/>
    <n v="2564618"/>
    <n v="5130798"/>
  </r>
  <r>
    <s v="CLLS"/>
    <x v="483"/>
    <x v="470"/>
    <n v="2120978"/>
    <n v="4152459"/>
  </r>
  <r>
    <s v="CLLS"/>
    <x v="483"/>
    <x v="470"/>
    <n v="11705486"/>
    <n v="25182751"/>
  </r>
  <r>
    <s v="CLLS"/>
    <x v="483"/>
    <x v="470"/>
    <n v="3452475"/>
    <n v="7168444"/>
  </r>
  <r>
    <s v="CLLS"/>
    <x v="483"/>
    <x v="470"/>
    <n v="3014834"/>
    <n v="6231363"/>
  </r>
  <r>
    <s v="CLLS"/>
    <x v="483"/>
    <x v="470"/>
    <n v="7362984"/>
    <n v="14098967"/>
  </r>
  <r>
    <s v="CLLS"/>
    <x v="483"/>
    <x v="470"/>
    <n v="6198222"/>
    <n v="12886633"/>
  </r>
  <r>
    <s v="CLLS"/>
    <x v="483"/>
    <x v="470"/>
    <n v="4811921"/>
    <n v="9480726"/>
  </r>
  <r>
    <s v="CLLS"/>
    <x v="483"/>
    <x v="470"/>
    <n v="27672814"/>
    <n v="43663734"/>
  </r>
  <r>
    <s v="CLLS"/>
    <x v="483"/>
    <x v="470"/>
    <n v="4806383"/>
    <n v="8815822"/>
  </r>
  <r>
    <s v="CLLS"/>
    <x v="483"/>
    <x v="470"/>
    <n v="6903021"/>
    <n v="14005382"/>
  </r>
  <r>
    <s v="CLLS"/>
    <x v="483"/>
    <x v="470"/>
    <n v="6196377"/>
    <n v="11484236"/>
  </r>
  <r>
    <s v="CLLS"/>
    <x v="483"/>
    <x v="470"/>
    <n v="4396861"/>
    <n v="8461062"/>
  </r>
  <r>
    <s v="CLLS"/>
    <x v="483"/>
    <x v="470"/>
    <n v="333816"/>
    <n v="610996"/>
  </r>
  <r>
    <s v="CLLS"/>
    <x v="483"/>
    <x v="470"/>
    <n v="58766956"/>
    <n v="116182570"/>
  </r>
  <r>
    <s v="CLLS"/>
    <x v="484"/>
    <x v="471"/>
    <n v="0"/>
    <n v="4000"/>
  </r>
  <r>
    <s v="CLLS"/>
    <x v="484"/>
    <x v="471"/>
    <n v="0"/>
    <n v="-33529"/>
  </r>
  <r>
    <s v="CLLS"/>
    <x v="484"/>
    <x v="471"/>
    <n v="0"/>
    <n v="20000"/>
  </r>
  <r>
    <s v="CLLS"/>
    <x v="485"/>
    <x v="472"/>
    <n v="0"/>
    <n v="40100"/>
  </r>
  <r>
    <s v="CLLS"/>
    <x v="486"/>
    <x v="473"/>
    <n v="35590239"/>
    <n v="-644606261"/>
  </r>
  <r>
    <s v="CLLS"/>
    <x v="486"/>
    <x v="473"/>
    <n v="-2160651"/>
    <n v="13934702"/>
  </r>
  <r>
    <s v="CLLS"/>
    <x v="487"/>
    <x v="474"/>
    <n v="0"/>
    <n v="2300"/>
  </r>
  <r>
    <s v="CLLS"/>
    <x v="487"/>
    <x v="474"/>
    <n v="5000"/>
    <n v="0"/>
  </r>
  <r>
    <s v="CLLS"/>
    <x v="488"/>
    <x v="475"/>
    <n v="65713"/>
    <n v="4684596"/>
  </r>
  <r>
    <s v="CLLS"/>
    <x v="489"/>
    <x v="476"/>
    <n v="0"/>
    <n v="980569282"/>
  </r>
  <r>
    <s v="CLLS"/>
    <x v="490"/>
    <x v="477"/>
    <n v="538238272"/>
    <n v="1652881365"/>
  </r>
  <r>
    <s v="CLLS"/>
    <x v="491"/>
    <x v="478"/>
    <n v="805165"/>
    <n v="2774768"/>
  </r>
  <r>
    <s v="CLLS"/>
    <x v="492"/>
    <x v="479"/>
    <n v="19312629"/>
    <n v="74446954"/>
  </r>
  <r>
    <s v="CLLS"/>
    <x v="493"/>
    <x v="480"/>
    <n v="12860994"/>
    <n v="17497738"/>
  </r>
  <r>
    <s v="CLLS"/>
    <x v="494"/>
    <x v="481"/>
    <n v="48319568"/>
    <n v="153235914"/>
  </r>
  <r>
    <s v="CLLS"/>
    <x v="494"/>
    <x v="481"/>
    <n v="0"/>
    <n v="3000"/>
  </r>
  <r>
    <s v="CLLS"/>
    <x v="495"/>
    <x v="482"/>
    <n v="0"/>
    <n v="82227813"/>
  </r>
  <r>
    <s v="CLLS"/>
    <x v="495"/>
    <x v="482"/>
    <n v="4357024"/>
    <n v="120044404"/>
  </r>
  <r>
    <s v="CLLS"/>
    <x v="495"/>
    <x v="482"/>
    <n v="27795182"/>
    <n v="20332546"/>
  </r>
  <r>
    <s v="CLLS"/>
    <x v="495"/>
    <x v="482"/>
    <n v="14699299"/>
    <n v="62937122"/>
  </r>
  <r>
    <s v="CLLS"/>
    <x v="495"/>
    <x v="482"/>
    <n v="0"/>
    <n v="1738367"/>
  </r>
  <r>
    <s v="CLLS"/>
    <x v="496"/>
    <x v="483"/>
    <n v="651000"/>
    <n v="550000"/>
  </r>
  <r>
    <s v="CLLS"/>
    <x v="497"/>
    <x v="484"/>
    <n v="0"/>
    <n v="50501953"/>
  </r>
  <r>
    <s v="CLLS"/>
    <x v="497"/>
    <x v="484"/>
    <n v="0"/>
    <n v="350092"/>
  </r>
  <r>
    <s v="CLLS"/>
    <x v="497"/>
    <x v="484"/>
    <n v="0"/>
    <n v="9184"/>
  </r>
  <r>
    <s v="CLLS"/>
    <x v="497"/>
    <x v="484"/>
    <n v="0"/>
    <n v="1601"/>
  </r>
  <r>
    <s v="CLLS"/>
    <x v="497"/>
    <x v="484"/>
    <n v="0"/>
    <n v="1696"/>
  </r>
  <r>
    <s v="CLLS"/>
    <x v="497"/>
    <x v="484"/>
    <n v="0"/>
    <n v="721"/>
  </r>
  <r>
    <s v="CLLS"/>
    <x v="497"/>
    <x v="484"/>
    <n v="0"/>
    <n v="92"/>
  </r>
  <r>
    <s v="CLLS"/>
    <x v="497"/>
    <x v="484"/>
    <n v="0"/>
    <n v="27"/>
  </r>
  <r>
    <s v="CLLS"/>
    <x v="497"/>
    <x v="484"/>
    <n v="0"/>
    <n v="-174"/>
  </r>
  <r>
    <s v="CLLS"/>
    <x v="497"/>
    <x v="484"/>
    <n v="0"/>
    <n v="83"/>
  </r>
  <r>
    <s v="CLLS"/>
    <x v="497"/>
    <x v="484"/>
    <n v="0"/>
    <n v="3"/>
  </r>
  <r>
    <s v="CLLS"/>
    <x v="497"/>
    <x v="484"/>
    <n v="0"/>
    <n v="-1696"/>
  </r>
  <r>
    <s v="CLLS"/>
    <x v="497"/>
    <x v="484"/>
    <n v="0"/>
    <n v="37"/>
  </r>
  <r>
    <s v="CLLS"/>
    <x v="498"/>
    <x v="485"/>
    <n v="0"/>
    <n v="888889"/>
  </r>
  <r>
    <s v="CLLS"/>
    <x v="499"/>
    <x v="486"/>
    <n v="0"/>
    <n v="52627"/>
  </r>
  <r>
    <s v="CLLS"/>
    <x v="500"/>
    <x v="487"/>
    <n v="0"/>
    <n v="602500"/>
  </r>
  <r>
    <s v="CLLS"/>
    <x v="501"/>
    <x v="488"/>
    <n v="805174"/>
    <n v="20283218"/>
  </r>
  <r>
    <s v="CLLS"/>
    <x v="501"/>
    <x v="488"/>
    <n v="0"/>
    <n v="1"/>
  </r>
  <r>
    <s v="CLLS"/>
    <x v="501"/>
    <x v="488"/>
    <n v="340946"/>
    <n v="0"/>
  </r>
  <r>
    <s v="CLLS"/>
    <x v="501"/>
    <x v="488"/>
    <n v="0"/>
    <n v="184"/>
  </r>
  <r>
    <s v="CLLS"/>
    <x v="501"/>
    <x v="488"/>
    <n v="11500"/>
    <n v="16503"/>
  </r>
  <r>
    <s v="CLLS"/>
    <x v="501"/>
    <x v="488"/>
    <n v="8000"/>
    <n v="5000"/>
  </r>
  <r>
    <s v="CLLS"/>
    <x v="501"/>
    <x v="488"/>
    <n v="49790"/>
    <n v="0"/>
  </r>
  <r>
    <s v="CLLS"/>
    <x v="502"/>
    <x v="489"/>
    <n v="1540746"/>
    <n v="29054485"/>
  </r>
  <r>
    <s v="CLLS"/>
    <x v="502"/>
    <x v="489"/>
    <n v="0"/>
    <n v="665775"/>
  </r>
  <r>
    <s v="CLLS"/>
    <x v="502"/>
    <x v="489"/>
    <n v="0"/>
    <n v="9917834"/>
  </r>
  <r>
    <s v="CLLS"/>
    <x v="502"/>
    <x v="489"/>
    <n v="0"/>
    <n v="2626311"/>
  </r>
  <r>
    <s v="CLLS"/>
    <x v="503"/>
    <x v="490"/>
    <n v="0"/>
    <n v="5368981"/>
  </r>
  <r>
    <s v="CLLS"/>
    <x v="504"/>
    <x v="491"/>
    <n v="3290105"/>
    <n v="3074755"/>
  </r>
  <r>
    <s v="CLLS"/>
    <x v="505"/>
    <x v="492"/>
    <n v="1620000"/>
    <n v="0"/>
  </r>
  <r>
    <s v="CLLS"/>
    <x v="506"/>
    <x v="493"/>
    <n v="86110493"/>
    <n v="256350896"/>
  </r>
  <r>
    <s v="CLLS"/>
    <x v="506"/>
    <x v="493"/>
    <n v="0"/>
    <n v="1124667"/>
  </r>
  <r>
    <s v="CLLS"/>
    <x v="506"/>
    <x v="493"/>
    <n v="0"/>
    <n v="1702987"/>
  </r>
  <r>
    <s v="CLLS"/>
    <x v="506"/>
    <x v="493"/>
    <n v="0"/>
    <n v="1741757"/>
  </r>
  <r>
    <s v="CLLS"/>
    <x v="506"/>
    <x v="493"/>
    <n v="0"/>
    <n v="1130045"/>
  </r>
  <r>
    <s v="CLLS"/>
    <x v="506"/>
    <x v="493"/>
    <n v="0"/>
    <n v="830700"/>
  </r>
  <r>
    <s v="CLLS"/>
    <x v="506"/>
    <x v="493"/>
    <n v="0"/>
    <n v="559884"/>
  </r>
  <r>
    <s v="CLLS"/>
    <x v="507"/>
    <x v="494"/>
    <n v="29000"/>
    <n v="42838948"/>
  </r>
  <r>
    <s v="CLLS"/>
    <x v="507"/>
    <x v="494"/>
    <n v="0"/>
    <n v="43000"/>
  </r>
  <r>
    <s v="CLLS"/>
    <x v="507"/>
    <x v="494"/>
    <n v="11000"/>
    <n v="40000"/>
  </r>
  <r>
    <s v="CLLS"/>
    <x v="507"/>
    <x v="494"/>
    <n v="3000"/>
    <n v="15000"/>
  </r>
  <r>
    <s v="CLLS"/>
    <x v="507"/>
    <x v="494"/>
    <n v="0"/>
    <n v="6500"/>
  </r>
  <r>
    <s v="CLLS"/>
    <x v="507"/>
    <x v="494"/>
    <n v="12000"/>
    <n v="15000"/>
  </r>
  <r>
    <s v="CLLS"/>
    <x v="507"/>
    <x v="494"/>
    <n v="0"/>
    <n v="49000"/>
  </r>
  <r>
    <s v="CLLS"/>
    <x v="507"/>
    <x v="494"/>
    <n v="2000"/>
    <n v="15200"/>
  </r>
  <r>
    <s v="CLLS"/>
    <x v="507"/>
    <x v="494"/>
    <n v="0"/>
    <n v="3800"/>
  </r>
  <r>
    <s v="CLLS"/>
    <x v="507"/>
    <x v="494"/>
    <n v="19500"/>
    <n v="60200"/>
  </r>
  <r>
    <s v="CLLS"/>
    <x v="507"/>
    <x v="494"/>
    <n v="0"/>
    <n v="11000"/>
  </r>
  <r>
    <s v="CLLS"/>
    <x v="507"/>
    <x v="494"/>
    <n v="10000"/>
    <n v="19800"/>
  </r>
  <r>
    <s v="CLLS"/>
    <x v="507"/>
    <x v="494"/>
    <n v="0"/>
    <n v="2000"/>
  </r>
  <r>
    <s v="CLLS"/>
    <x v="507"/>
    <x v="494"/>
    <n v="7000"/>
    <n v="20000"/>
  </r>
  <r>
    <s v="CLLS"/>
    <x v="507"/>
    <x v="494"/>
    <n v="2000"/>
    <n v="0"/>
  </r>
  <r>
    <s v="CLLS"/>
    <x v="507"/>
    <x v="494"/>
    <n v="0"/>
    <n v="12000"/>
  </r>
  <r>
    <s v="CLLS"/>
    <x v="507"/>
    <x v="494"/>
    <n v="0"/>
    <n v="6000"/>
  </r>
  <r>
    <s v="CLLS"/>
    <x v="507"/>
    <x v="494"/>
    <n v="5000"/>
    <n v="4500"/>
  </r>
  <r>
    <s v="CLLS"/>
    <x v="507"/>
    <x v="494"/>
    <n v="9000"/>
    <n v="17000"/>
  </r>
  <r>
    <s v="CLLS"/>
    <x v="507"/>
    <x v="494"/>
    <n v="0"/>
    <n v="27500"/>
  </r>
  <r>
    <s v="CLLS"/>
    <x v="508"/>
    <x v="495"/>
    <n v="0"/>
    <n v="52445"/>
  </r>
  <r>
    <s v="CLLS"/>
    <x v="509"/>
    <x v="496"/>
    <n v="2230565"/>
    <n v="25179174"/>
  </r>
  <r>
    <s v="CLLS"/>
    <x v="510"/>
    <x v="497"/>
    <n v="3209803"/>
    <n v="1455160"/>
  </r>
  <r>
    <s v="CLLS"/>
    <x v="510"/>
    <x v="497"/>
    <n v="0"/>
    <n v="3000"/>
  </r>
  <r>
    <s v="CLLS"/>
    <x v="510"/>
    <x v="497"/>
    <n v="0"/>
    <n v="18000"/>
  </r>
  <r>
    <s v="CLLS"/>
    <x v="510"/>
    <x v="497"/>
    <n v="0"/>
    <n v="8600"/>
  </r>
  <r>
    <s v="CLLS"/>
    <x v="510"/>
    <x v="497"/>
    <n v="0"/>
    <n v="87000"/>
  </r>
  <r>
    <s v="CLLS"/>
    <x v="510"/>
    <x v="497"/>
    <n v="0"/>
    <n v="24000"/>
  </r>
  <r>
    <s v="CLLS"/>
    <x v="510"/>
    <x v="497"/>
    <n v="0"/>
    <n v="10500"/>
  </r>
  <r>
    <s v="CLLS"/>
    <x v="510"/>
    <x v="497"/>
    <n v="0"/>
    <n v="22000"/>
  </r>
  <r>
    <s v="CLLS"/>
    <x v="510"/>
    <x v="497"/>
    <n v="0"/>
    <n v="4000"/>
  </r>
  <r>
    <s v="CLLS"/>
    <x v="511"/>
    <x v="498"/>
    <n v="19058102"/>
    <n v="13833344"/>
  </r>
  <r>
    <s v="CLLS"/>
    <x v="511"/>
    <x v="498"/>
    <n v="0"/>
    <n v="3449194"/>
  </r>
  <r>
    <s v="CLLS"/>
    <x v="511"/>
    <x v="498"/>
    <n v="1398593"/>
    <n v="14605862"/>
  </r>
  <r>
    <s v="CLLS"/>
    <x v="511"/>
    <x v="498"/>
    <n v="5782729"/>
    <n v="8120118"/>
  </r>
  <r>
    <s v="CLLS"/>
    <x v="511"/>
    <x v="498"/>
    <n v="0"/>
    <n v="1856574"/>
  </r>
  <r>
    <s v="CLLS"/>
    <x v="511"/>
    <x v="498"/>
    <n v="11500"/>
    <n v="0"/>
  </r>
  <r>
    <s v="CLLS"/>
    <x v="511"/>
    <x v="498"/>
    <n v="2000"/>
    <n v="0"/>
  </r>
  <r>
    <s v="CLLS"/>
    <x v="511"/>
    <x v="498"/>
    <n v="2500"/>
    <n v="7000"/>
  </r>
  <r>
    <s v="CLLS"/>
    <x v="511"/>
    <x v="498"/>
    <n v="2000"/>
    <n v="0"/>
  </r>
  <r>
    <s v="CLLS"/>
    <x v="511"/>
    <x v="498"/>
    <n v="4000"/>
    <n v="6000"/>
  </r>
  <r>
    <s v="CLLS"/>
    <x v="511"/>
    <x v="498"/>
    <n v="0"/>
    <n v="2000"/>
  </r>
  <r>
    <s v="CLLS"/>
    <x v="511"/>
    <x v="498"/>
    <n v="0"/>
    <n v="2500"/>
  </r>
  <r>
    <s v="CLLS"/>
    <x v="512"/>
    <x v="499"/>
    <n v="0"/>
    <n v="707572"/>
  </r>
  <r>
    <s v="CLLS"/>
    <x v="513"/>
    <x v="500"/>
    <n v="0"/>
    <n v="1526134"/>
  </r>
  <r>
    <s v="CLLS"/>
    <x v="513"/>
    <x v="500"/>
    <n v="0"/>
    <n v="780000"/>
  </r>
  <r>
    <s v="CLLS"/>
    <x v="513"/>
    <x v="500"/>
    <n v="0"/>
    <n v="27000"/>
  </r>
  <r>
    <s v="CLLS"/>
    <x v="514"/>
    <x v="501"/>
    <n v="436362783"/>
    <n v="1519005483"/>
  </r>
  <r>
    <s v="CLLS"/>
    <x v="514"/>
    <x v="501"/>
    <n v="0"/>
    <n v="-66155"/>
  </r>
  <r>
    <s v="CLLS"/>
    <x v="514"/>
    <x v="501"/>
    <n v="-670927"/>
    <n v="0"/>
  </r>
  <r>
    <s v="CLLS"/>
    <x v="514"/>
    <x v="501"/>
    <n v="0"/>
    <n v="-1584234"/>
  </r>
  <r>
    <s v="CLLS"/>
    <x v="514"/>
    <x v="501"/>
    <n v="-284409"/>
    <n v="0"/>
  </r>
  <r>
    <s v="CLLS"/>
    <x v="514"/>
    <x v="501"/>
    <n v="-229872"/>
    <n v="0"/>
  </r>
  <r>
    <s v="CLLS"/>
    <x v="514"/>
    <x v="501"/>
    <n v="0"/>
    <n v="1356778"/>
  </r>
  <r>
    <s v="CLLS"/>
    <x v="515"/>
    <x v="502"/>
    <n v="0"/>
    <n v="8300747"/>
  </r>
  <r>
    <s v="CLLS"/>
    <x v="515"/>
    <x v="502"/>
    <n v="0"/>
    <n v="162165619"/>
  </r>
  <r>
    <s v="CLLS"/>
    <x v="515"/>
    <x v="502"/>
    <n v="0"/>
    <n v="268377643"/>
  </r>
  <r>
    <s v="CLLS"/>
    <x v="515"/>
    <x v="502"/>
    <n v="0"/>
    <n v="520293257"/>
  </r>
  <r>
    <s v="CLLS"/>
    <x v="515"/>
    <x v="502"/>
    <n v="0"/>
    <n v="53077925"/>
  </r>
  <r>
    <s v="CLLS"/>
    <x v="515"/>
    <x v="502"/>
    <n v="0"/>
    <n v="42186996"/>
  </r>
  <r>
    <s v="CLLS"/>
    <x v="516"/>
    <x v="503"/>
    <n v="0"/>
    <n v="295457978"/>
  </r>
  <r>
    <s v="CLLS"/>
    <x v="517"/>
    <x v="504"/>
    <n v="1740586"/>
    <n v="272561543"/>
  </r>
  <r>
    <s v="CLLS"/>
    <x v="518"/>
    <x v="505"/>
    <n v="1816669"/>
    <n v="2256633"/>
  </r>
  <r>
    <s v="CLLS"/>
    <x v="519"/>
    <x v="506"/>
    <n v="83287997"/>
    <n v="299397702"/>
  </r>
  <r>
    <s v="CLLS"/>
    <x v="520"/>
    <x v="507"/>
    <n v="40968373"/>
    <n v="5716119"/>
  </r>
  <r>
    <s v="CLLS"/>
    <x v="521"/>
    <x v="508"/>
    <n v="28431631"/>
    <n v="153183739"/>
  </r>
  <r>
    <s v="CLLS"/>
    <x v="522"/>
    <x v="509"/>
    <n v="17014254"/>
    <n v="2425505562"/>
  </r>
  <r>
    <s v="CLLS"/>
    <x v="523"/>
    <x v="510"/>
    <n v="218764818"/>
    <n v="-94888568"/>
  </r>
  <r>
    <s v="CLLS"/>
    <x v="524"/>
    <x v="511"/>
    <n v="66957745"/>
    <n v="732171666"/>
  </r>
  <r>
    <s v="CLLS"/>
    <x v="525"/>
    <x v="512"/>
    <n v="16241190"/>
    <n v="64310651"/>
  </r>
  <r>
    <s v="CLLS"/>
    <x v="526"/>
    <x v="513"/>
    <n v="242944709"/>
    <n v="0"/>
  </r>
  <r>
    <s v="CLLS"/>
    <x v="527"/>
    <x v="514"/>
    <n v="105786846"/>
    <n v="11740619"/>
  </r>
  <r>
    <s v="CLLS"/>
    <x v="528"/>
    <x v="515"/>
    <n v="0"/>
    <n v="39647585"/>
  </r>
  <r>
    <s v="CLLS"/>
    <x v="529"/>
    <x v="516"/>
    <n v="6403106"/>
    <n v="118435"/>
  </r>
  <r>
    <s v="CLLS"/>
    <x v="530"/>
    <x v="517"/>
    <n v="145799539"/>
    <n v="615192978"/>
  </r>
  <r>
    <s v="CLLS"/>
    <x v="530"/>
    <x v="517"/>
    <n v="6011760"/>
    <n v="5421225"/>
  </r>
  <r>
    <s v="CLLS"/>
    <x v="531"/>
    <x v="518"/>
    <n v="-47318241"/>
    <n v="164265740"/>
  </r>
  <r>
    <s v="CLLS"/>
    <x v="531"/>
    <x v="518"/>
    <n v="44105"/>
    <n v="0"/>
  </r>
  <r>
    <s v="CLLS"/>
    <x v="531"/>
    <x v="518"/>
    <n v="-1299392"/>
    <n v="1721912"/>
  </r>
  <r>
    <s v="CLLS"/>
    <x v="532"/>
    <x v="519"/>
    <n v="30229349"/>
    <n v="87042997"/>
  </r>
  <r>
    <s v="CLLS"/>
    <x v="533"/>
    <x v="520"/>
    <n v="675000"/>
    <n v="-10239070"/>
  </r>
  <r>
    <s v="CLLS"/>
    <x v="534"/>
    <x v="521"/>
    <n v="0"/>
    <n v="32546824"/>
  </r>
  <r>
    <s v="CLLS"/>
    <x v="535"/>
    <x v="522"/>
    <n v="103147913"/>
    <n v="408187257"/>
  </r>
  <r>
    <s v="CLLS"/>
    <x v="536"/>
    <x v="523"/>
    <n v="437234861"/>
    <n v="1550904697"/>
  </r>
  <r>
    <s v="CLLS"/>
    <x v="537"/>
    <x v="524"/>
    <n v="55950884"/>
    <n v="224365630"/>
  </r>
  <r>
    <s v="CLLS"/>
    <x v="537"/>
    <x v="524"/>
    <n v="4628928"/>
    <n v="20232750"/>
  </r>
  <r>
    <s v="CLLS"/>
    <x v="537"/>
    <x v="524"/>
    <n v="329218"/>
    <n v="1308156"/>
  </r>
  <r>
    <s v="CLLS"/>
    <x v="537"/>
    <x v="524"/>
    <n v="411529"/>
    <n v="1646329"/>
  </r>
  <r>
    <s v="CLLS"/>
    <x v="537"/>
    <x v="524"/>
    <n v="301184"/>
    <n v="1204738"/>
  </r>
  <r>
    <s v="CLLS"/>
    <x v="537"/>
    <x v="524"/>
    <n v="288035"/>
    <n v="534686"/>
  </r>
  <r>
    <s v="CLLS"/>
    <x v="537"/>
    <x v="524"/>
    <n v="308468"/>
    <n v="1233958"/>
  </r>
  <r>
    <s v="CLLS"/>
    <x v="537"/>
    <x v="524"/>
    <n v="1892256"/>
    <n v="7569024"/>
  </r>
  <r>
    <s v="CLLS"/>
    <x v="537"/>
    <x v="524"/>
    <n v="0"/>
    <n v="3"/>
  </r>
  <r>
    <s v="CLLS"/>
    <x v="537"/>
    <x v="524"/>
    <n v="158797"/>
    <n v="1205269"/>
  </r>
  <r>
    <s v="CLLS"/>
    <x v="537"/>
    <x v="524"/>
    <n v="258217"/>
    <n v="886792"/>
  </r>
  <r>
    <s v="CLLS"/>
    <x v="537"/>
    <x v="524"/>
    <n v="8043394"/>
    <n v="32173770"/>
  </r>
  <r>
    <s v="CLLS"/>
    <x v="537"/>
    <x v="524"/>
    <n v="2773357"/>
    <n v="11093411"/>
  </r>
  <r>
    <s v="CLLS"/>
    <x v="537"/>
    <x v="524"/>
    <n v="1333159"/>
    <n v="5332626"/>
  </r>
  <r>
    <s v="CLLS"/>
    <x v="537"/>
    <x v="524"/>
    <n v="278233"/>
    <n v="1112925"/>
  </r>
  <r>
    <s v="CLLS"/>
    <x v="537"/>
    <x v="524"/>
    <n v="3892981"/>
    <n v="15571919"/>
  </r>
  <r>
    <s v="CLLS"/>
    <x v="537"/>
    <x v="524"/>
    <n v="2676863"/>
    <n v="10707471"/>
  </r>
  <r>
    <s v="CLLS"/>
    <x v="537"/>
    <x v="524"/>
    <n v="3244319"/>
    <n v="12977259"/>
  </r>
  <r>
    <s v="CLLS"/>
    <x v="537"/>
    <x v="524"/>
    <n v="4152621"/>
    <n v="16610506"/>
  </r>
  <r>
    <s v="CLLS"/>
    <x v="537"/>
    <x v="524"/>
    <n v="532717"/>
    <n v="2130865"/>
  </r>
  <r>
    <s v="CLLS"/>
    <x v="537"/>
    <x v="524"/>
    <n v="3720570"/>
    <n v="14882269"/>
  </r>
  <r>
    <s v="CLLS"/>
    <x v="537"/>
    <x v="524"/>
    <n v="0"/>
    <n v="6"/>
  </r>
  <r>
    <s v="CLLS"/>
    <x v="537"/>
    <x v="524"/>
    <n v="6906083"/>
    <n v="27624319"/>
  </r>
  <r>
    <s v="CLLS"/>
    <x v="537"/>
    <x v="524"/>
    <n v="0"/>
    <n v="1"/>
  </r>
  <r>
    <s v="CLLS"/>
    <x v="538"/>
    <x v="525"/>
    <n v="540162"/>
    <n v="1815057"/>
  </r>
  <r>
    <s v="CLLS"/>
    <x v="538"/>
    <x v="525"/>
    <n v="0"/>
    <n v="37"/>
  </r>
  <r>
    <s v="CLLS"/>
    <x v="538"/>
    <x v="525"/>
    <n v="0"/>
    <n v="1"/>
  </r>
  <r>
    <s v="CLLS"/>
    <x v="539"/>
    <x v="526"/>
    <n v="15839819"/>
    <n v="73570147"/>
  </r>
  <r>
    <s v="CLLS"/>
    <x v="539"/>
    <x v="526"/>
    <n v="374417"/>
    <n v="1588242"/>
  </r>
  <r>
    <s v="CLLS"/>
    <x v="539"/>
    <x v="526"/>
    <n v="0"/>
    <n v="59186"/>
  </r>
  <r>
    <s v="CLLS"/>
    <x v="539"/>
    <x v="526"/>
    <n v="20724"/>
    <n v="82897"/>
  </r>
  <r>
    <s v="CLLS"/>
    <x v="539"/>
    <x v="526"/>
    <n v="344969"/>
    <n v="1379885"/>
  </r>
  <r>
    <s v="CLLS"/>
    <x v="539"/>
    <x v="526"/>
    <n v="0"/>
    <n v="4"/>
  </r>
  <r>
    <s v="CLLS"/>
    <x v="539"/>
    <x v="526"/>
    <n v="0"/>
    <n v="4"/>
  </r>
  <r>
    <s v="CLLS"/>
    <x v="539"/>
    <x v="526"/>
    <n v="210534"/>
    <n v="842137"/>
  </r>
  <r>
    <s v="CLLS"/>
    <x v="539"/>
    <x v="526"/>
    <n v="246400"/>
    <n v="985599"/>
  </r>
  <r>
    <s v="CLLS"/>
    <x v="539"/>
    <x v="526"/>
    <n v="240734"/>
    <n v="962938"/>
  </r>
  <r>
    <s v="CLLS"/>
    <x v="539"/>
    <x v="526"/>
    <n v="0"/>
    <n v="4"/>
  </r>
  <r>
    <s v="CLLS"/>
    <x v="539"/>
    <x v="526"/>
    <n v="244101"/>
    <n v="976402"/>
  </r>
  <r>
    <s v="CLLS"/>
    <x v="539"/>
    <x v="526"/>
    <n v="0"/>
    <n v="2"/>
  </r>
  <r>
    <s v="CLLS"/>
    <x v="539"/>
    <x v="526"/>
    <n v="301163"/>
    <n v="1204654"/>
  </r>
  <r>
    <s v="CLLS"/>
    <x v="539"/>
    <x v="526"/>
    <n v="0"/>
    <n v="2"/>
  </r>
  <r>
    <s v="CLLS"/>
    <x v="539"/>
    <x v="526"/>
    <n v="0"/>
    <n v="1"/>
  </r>
  <r>
    <s v="CLLS"/>
    <x v="539"/>
    <x v="526"/>
    <n v="0"/>
    <n v="3"/>
  </r>
  <r>
    <s v="CLLS"/>
    <x v="539"/>
    <x v="526"/>
    <n v="0"/>
    <n v="4"/>
  </r>
  <r>
    <s v="CLLS"/>
    <x v="539"/>
    <x v="526"/>
    <n v="287737"/>
    <n v="1210124"/>
  </r>
  <r>
    <s v="CLLS"/>
    <x v="539"/>
    <x v="526"/>
    <n v="350701"/>
    <n v="1402804"/>
  </r>
  <r>
    <s v="CLLS"/>
    <x v="539"/>
    <x v="526"/>
    <n v="213891"/>
    <n v="855565"/>
  </r>
  <r>
    <s v="CLLS"/>
    <x v="539"/>
    <x v="526"/>
    <n v="520390"/>
    <n v="2187093"/>
  </r>
  <r>
    <s v="CLLS"/>
    <x v="539"/>
    <x v="526"/>
    <n v="324475"/>
    <n v="1297903"/>
  </r>
  <r>
    <s v="CLLS"/>
    <x v="540"/>
    <x v="527"/>
    <n v="7475901"/>
    <n v="53929182"/>
  </r>
  <r>
    <s v="CLLS"/>
    <x v="540"/>
    <x v="527"/>
    <n v="0"/>
    <n v="13"/>
  </r>
  <r>
    <s v="CLLS"/>
    <x v="540"/>
    <x v="527"/>
    <n v="0"/>
    <n v="1"/>
  </r>
  <r>
    <s v="CLLS"/>
    <x v="540"/>
    <x v="527"/>
    <n v="0"/>
    <n v="2"/>
  </r>
  <r>
    <s v="CLLS"/>
    <x v="540"/>
    <x v="527"/>
    <n v="0"/>
    <n v="2"/>
  </r>
  <r>
    <s v="CLLS"/>
    <x v="540"/>
    <x v="527"/>
    <n v="0"/>
    <n v="1"/>
  </r>
  <r>
    <s v="CLLS"/>
    <x v="540"/>
    <x v="527"/>
    <n v="0"/>
    <n v="11"/>
  </r>
  <r>
    <s v="CLLS"/>
    <x v="540"/>
    <x v="527"/>
    <n v="0"/>
    <n v="1"/>
  </r>
  <r>
    <s v="CLLS"/>
    <x v="540"/>
    <x v="527"/>
    <n v="0"/>
    <n v="2"/>
  </r>
  <r>
    <s v="CLLS"/>
    <x v="540"/>
    <x v="527"/>
    <n v="0"/>
    <n v="2"/>
  </r>
  <r>
    <s v="CLLS"/>
    <x v="540"/>
    <x v="527"/>
    <n v="0"/>
    <n v="3"/>
  </r>
  <r>
    <s v="CLLS"/>
    <x v="540"/>
    <x v="527"/>
    <n v="0"/>
    <n v="1"/>
  </r>
  <r>
    <s v="CLLS"/>
    <x v="540"/>
    <x v="527"/>
    <n v="149984"/>
    <n v="599959"/>
  </r>
  <r>
    <s v="CLLS"/>
    <x v="541"/>
    <x v="528"/>
    <n v="21063926"/>
    <n v="120509690"/>
  </r>
  <r>
    <s v="CLLS"/>
    <x v="541"/>
    <x v="528"/>
    <n v="0"/>
    <n v="20"/>
  </r>
  <r>
    <s v="CLLS"/>
    <x v="541"/>
    <x v="528"/>
    <n v="86015"/>
    <n v="0"/>
  </r>
  <r>
    <s v="CLLS"/>
    <x v="541"/>
    <x v="528"/>
    <n v="0"/>
    <n v="2"/>
  </r>
  <r>
    <s v="CLLS"/>
    <x v="541"/>
    <x v="528"/>
    <n v="0"/>
    <n v="1"/>
  </r>
  <r>
    <s v="CLLS"/>
    <x v="541"/>
    <x v="528"/>
    <n v="0"/>
    <n v="1"/>
  </r>
  <r>
    <s v="CLLS"/>
    <x v="541"/>
    <x v="528"/>
    <n v="0"/>
    <n v="1"/>
  </r>
  <r>
    <s v="CLLS"/>
    <x v="541"/>
    <x v="528"/>
    <n v="0"/>
    <n v="1"/>
  </r>
  <r>
    <s v="CLLS"/>
    <x v="541"/>
    <x v="528"/>
    <n v="82160"/>
    <n v="23250"/>
  </r>
  <r>
    <s v="CLLS"/>
    <x v="541"/>
    <x v="528"/>
    <n v="66405"/>
    <n v="18792"/>
  </r>
  <r>
    <s v="CLLS"/>
    <x v="541"/>
    <x v="528"/>
    <n v="0"/>
    <n v="2"/>
  </r>
  <r>
    <s v="CLLS"/>
    <x v="541"/>
    <x v="528"/>
    <n v="0"/>
    <n v="2"/>
  </r>
  <r>
    <s v="CLLS"/>
    <x v="541"/>
    <x v="528"/>
    <n v="0"/>
    <n v="1"/>
  </r>
  <r>
    <s v="CLLS"/>
    <x v="542"/>
    <x v="529"/>
    <n v="17231"/>
    <n v="21531"/>
  </r>
  <r>
    <s v="CLLS"/>
    <x v="542"/>
    <x v="529"/>
    <n v="115"/>
    <n v="0"/>
  </r>
  <r>
    <s v="CLLS"/>
    <x v="542"/>
    <x v="529"/>
    <n v="133"/>
    <n v="0"/>
  </r>
  <r>
    <s v="CLLS"/>
    <x v="542"/>
    <x v="529"/>
    <n v="959"/>
    <n v="0"/>
  </r>
  <r>
    <s v="CLLS"/>
    <x v="543"/>
    <x v="530"/>
    <n v="26697153"/>
    <n v="82422020"/>
  </r>
  <r>
    <s v="CLLS"/>
    <x v="543"/>
    <x v="530"/>
    <n v="0"/>
    <n v="1"/>
  </r>
  <r>
    <s v="CLLS"/>
    <x v="544"/>
    <x v="531"/>
    <n v="-1787966"/>
    <n v="-1787966"/>
  </r>
  <r>
    <s v="CLLS"/>
    <x v="544"/>
    <x v="531"/>
    <n v="890866"/>
    <n v="890866"/>
  </r>
  <r>
    <s v="CLLS"/>
    <x v="544"/>
    <x v="531"/>
    <n v="897100"/>
    <n v="897100"/>
  </r>
  <r>
    <s v="CLLS"/>
    <x v="545"/>
    <x v="532"/>
    <n v="-30011066"/>
    <n v="-23463066"/>
  </r>
  <r>
    <s v="CLLS"/>
    <x v="545"/>
    <x v="532"/>
    <n v="15023040"/>
    <n v="15023040"/>
  </r>
  <r>
    <s v="CLLS"/>
    <x v="545"/>
    <x v="532"/>
    <n v="4786026"/>
    <n v="4786026"/>
  </r>
  <r>
    <s v="CLLS"/>
    <x v="545"/>
    <x v="532"/>
    <n v="1330000"/>
    <n v="532000"/>
  </r>
  <r>
    <s v="CLLS"/>
    <x v="545"/>
    <x v="532"/>
    <n v="1674000"/>
    <n v="1674000"/>
  </r>
  <r>
    <s v="CLLS"/>
    <x v="545"/>
    <x v="532"/>
    <n v="1353000"/>
    <n v="1353000"/>
  </r>
  <r>
    <s v="CLLS"/>
    <x v="545"/>
    <x v="532"/>
    <n v="5845000"/>
    <n v="95000"/>
  </r>
  <r>
    <s v="CLLS"/>
    <x v="546"/>
    <x v="533"/>
    <n v="-240756570"/>
    <n v="-103811962"/>
  </r>
  <r>
    <s v="CLLS"/>
    <x v="546"/>
    <x v="533"/>
    <n v="238317457"/>
    <n v="103103119"/>
  </r>
  <r>
    <s v="CLLS"/>
    <x v="546"/>
    <x v="533"/>
    <n v="138000"/>
    <n v="138000"/>
  </r>
  <r>
    <s v="CLLS"/>
    <x v="546"/>
    <x v="533"/>
    <n v="688280"/>
    <n v="0"/>
  </r>
  <r>
    <s v="CLLS"/>
    <x v="546"/>
    <x v="533"/>
    <n v="1612833"/>
    <n v="570843"/>
  </r>
  <r>
    <s v="CLLS"/>
    <x v="547"/>
    <x v="534"/>
    <n v="-1492197"/>
    <n v="-1492197"/>
  </r>
  <r>
    <s v="CLLS"/>
    <x v="547"/>
    <x v="534"/>
    <n v="1492197"/>
    <n v="1492197"/>
  </r>
  <r>
    <s v="CLLS"/>
    <x v="548"/>
    <x v="535"/>
    <n v="-2070000"/>
    <n v="-2070000"/>
  </r>
  <r>
    <s v="CLLS"/>
    <x v="548"/>
    <x v="535"/>
    <n v="2070000"/>
    <n v="2070000"/>
  </r>
  <r>
    <s v="CLLS"/>
    <x v="549"/>
    <x v="536"/>
    <n v="-4000015212"/>
    <n v="-3016224638"/>
  </r>
  <r>
    <s v="CLLS"/>
    <x v="549"/>
    <x v="536"/>
    <n v="892510152"/>
    <n v="733888638"/>
  </r>
  <r>
    <s v="CLLS"/>
    <x v="549"/>
    <x v="536"/>
    <n v="1872144070"/>
    <n v="1323334865"/>
  </r>
  <r>
    <s v="CLLS"/>
    <x v="549"/>
    <x v="536"/>
    <n v="869380445"/>
    <n v="634068178"/>
  </r>
  <r>
    <s v="CLLS"/>
    <x v="549"/>
    <x v="536"/>
    <n v="238691881"/>
    <n v="197644293"/>
  </r>
  <r>
    <s v="CLLS"/>
    <x v="549"/>
    <x v="536"/>
    <n v="122157224"/>
    <n v="122157224"/>
  </r>
  <r>
    <s v="CLLS"/>
    <x v="549"/>
    <x v="536"/>
    <n v="5131440"/>
    <n v="5131440"/>
  </r>
  <r>
    <s v="CLLS"/>
    <x v="550"/>
    <x v="537"/>
    <n v="-30"/>
    <n v="33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2" cacheId="0"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I9:K561" firstHeaderRow="1" firstDataRow="1" firstDataCol="2"/>
  <pivotFields count="5">
    <pivotField showAll="0" defaultSubtotal="0"/>
    <pivotField axis="axisRow" outline="0" showAll="0" sortType="ascending" defaultSubtotal="0">
      <items count="55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s>
      <extLst>
        <ext xmlns:x14="http://schemas.microsoft.com/office/spreadsheetml/2009/9/main" uri="{2946ED86-A175-432a-8AC1-64E0C546D7DE}">
          <x14:pivotField fillDownLabels="1"/>
        </ext>
      </extLst>
    </pivotField>
    <pivotField axis="axisRow" showAll="0" defaultSubtotal="0">
      <items count="538">
        <item x="217"/>
        <item x="216"/>
        <item x="221"/>
        <item x="138"/>
        <item x="44"/>
        <item x="445"/>
        <item x="479"/>
        <item x="359"/>
        <item x="385"/>
        <item x="405"/>
        <item x="505"/>
        <item x="523"/>
        <item x="525"/>
        <item x="524"/>
        <item x="529"/>
        <item x="526"/>
        <item x="528"/>
        <item x="527"/>
        <item x="530"/>
        <item x="275"/>
        <item x="161"/>
        <item x="162"/>
        <item x="163"/>
        <item x="159"/>
        <item x="167"/>
        <item x="166"/>
        <item x="194"/>
        <item x="164"/>
        <item x="81"/>
        <item x="80"/>
        <item x="135"/>
        <item x="32"/>
        <item x="235"/>
        <item x="236"/>
        <item x="8"/>
        <item x="3"/>
        <item x="50"/>
        <item x="62"/>
        <item x="5"/>
        <item x="52"/>
        <item x="6"/>
        <item x="4"/>
        <item x="51"/>
        <item x="63"/>
        <item x="7"/>
        <item x="53"/>
        <item x="65"/>
        <item x="457"/>
        <item x="11"/>
        <item x="55"/>
        <item x="68"/>
        <item x="12"/>
        <item x="57"/>
        <item x="69"/>
        <item x="14"/>
        <item x="15"/>
        <item x="9"/>
        <item x="54"/>
        <item x="66"/>
        <item x="10"/>
        <item x="67"/>
        <item x="18"/>
        <item x="17"/>
        <item x="16"/>
        <item x="70"/>
        <item x="19"/>
        <item x="13"/>
        <item x="58"/>
        <item x="20"/>
        <item x="461"/>
        <item x="340"/>
        <item x="31"/>
        <item x="30"/>
        <item x="29"/>
        <item x="28"/>
        <item x="420"/>
        <item x="372"/>
        <item x="373"/>
        <item x="482"/>
        <item x="35"/>
        <item x="522"/>
        <item x="34"/>
        <item x="36"/>
        <item x="378"/>
        <item x="470"/>
        <item x="0"/>
        <item x="168"/>
        <item x="21"/>
        <item x="337"/>
        <item x="477"/>
        <item x="259"/>
        <item x="238"/>
        <item x="237"/>
        <item x="256"/>
        <item x="260"/>
        <item x="257"/>
        <item x="255"/>
        <item x="258"/>
        <item x="253"/>
        <item x="254"/>
        <item x="263"/>
        <item x="262"/>
        <item x="261"/>
        <item x="106"/>
        <item x="215"/>
        <item x="104"/>
        <item x="192"/>
        <item x="107"/>
        <item x="173"/>
        <item x="264"/>
        <item x="24"/>
        <item x="25"/>
        <item x="23"/>
        <item x="436"/>
        <item x="346"/>
        <item x="441"/>
        <item x="423"/>
        <item x="532"/>
        <item x="531"/>
        <item x="534"/>
        <item x="533"/>
        <item x="535"/>
        <item x="536"/>
        <item x="120"/>
        <item x="459"/>
        <item x="117"/>
        <item x="47"/>
        <item x="333"/>
        <item x="116"/>
        <item x="464"/>
        <item x="510"/>
        <item x="130"/>
        <item x="131"/>
        <item x="137"/>
        <item x="335"/>
        <item x="388"/>
        <item x="272"/>
        <item x="537"/>
        <item x="407"/>
        <item x="433"/>
        <item x="435"/>
        <item x="430"/>
        <item x="230"/>
        <item x="480"/>
        <item x="189"/>
        <item x="491"/>
        <item x="497"/>
        <item x="498"/>
        <item x="481"/>
        <item x="496"/>
        <item x="424"/>
        <item x="416"/>
        <item x="364"/>
        <item x="357"/>
        <item x="358"/>
        <item x="456"/>
        <item x="376"/>
        <item x="462"/>
        <item x="118"/>
        <item x="127"/>
        <item x="126"/>
        <item x="226"/>
        <item x="124"/>
        <item x="123"/>
        <item x="125"/>
        <item x="139"/>
        <item x="140"/>
        <item x="96"/>
        <item x="285"/>
        <item x="282"/>
        <item x="283"/>
        <item x="287"/>
        <item x="288"/>
        <item x="404"/>
        <item x="410"/>
        <item x="344"/>
        <item x="520"/>
        <item x="519"/>
        <item x="511"/>
        <item x="425"/>
        <item x="26"/>
        <item x="172"/>
        <item x="281"/>
        <item x="299"/>
        <item x="368"/>
        <item x="468"/>
        <item x="352"/>
        <item x="428"/>
        <item x="279"/>
        <item x="273"/>
        <item x="274"/>
        <item x="277"/>
        <item x="278"/>
        <item x="280"/>
        <item x="271"/>
        <item x="85"/>
        <item x="434"/>
        <item x="356"/>
        <item x="102"/>
        <item x="86"/>
        <item x="506"/>
        <item x="508"/>
        <item x="33"/>
        <item x="133"/>
        <item x="132"/>
        <item x="343"/>
        <item x="494"/>
        <item x="443"/>
        <item x="474"/>
        <item x="512"/>
        <item x="246"/>
        <item x="250"/>
        <item x="252"/>
        <item x="251"/>
        <item x="247"/>
        <item x="249"/>
        <item x="248"/>
        <item x="207"/>
        <item x="89"/>
        <item x="516"/>
        <item x="517"/>
        <item x="518"/>
        <item x="427"/>
        <item x="295"/>
        <item x="291"/>
        <item x="296"/>
        <item x="293"/>
        <item x="360"/>
        <item x="509"/>
        <item x="514"/>
        <item x="393"/>
        <item x="452"/>
        <item x="453"/>
        <item x="454"/>
        <item x="355"/>
        <item x="363"/>
        <item x="37"/>
        <item x="39"/>
        <item x="38"/>
        <item x="129"/>
        <item x="128"/>
        <item x="414"/>
        <item x="483"/>
        <item x="349"/>
        <item x="103"/>
        <item x="165"/>
        <item x="180"/>
        <item x="73"/>
        <item x="84"/>
        <item x="100"/>
        <item x="213"/>
        <item x="214"/>
        <item x="203"/>
        <item x="95"/>
        <item x="218"/>
        <item x="473"/>
        <item x="348"/>
        <item x="504"/>
        <item x="402"/>
        <item x="403"/>
        <item x="108"/>
        <item x="339"/>
        <item x="210"/>
        <item x="488"/>
        <item x="446"/>
        <item x="134"/>
        <item x="342"/>
        <item x="243"/>
        <item x="507"/>
        <item x="174"/>
        <item x="413"/>
        <item x="181"/>
        <item x="169"/>
        <item x="183"/>
        <item x="182"/>
        <item x="177"/>
        <item x="170"/>
        <item x="178"/>
        <item x="179"/>
        <item x="184"/>
        <item x="417"/>
        <item x="175"/>
        <item x="110"/>
        <item x="111"/>
        <item x="91"/>
        <item x="92"/>
        <item x="119"/>
        <item x="97"/>
        <item x="87"/>
        <item x="101"/>
        <item x="98"/>
        <item x="88"/>
        <item x="439"/>
        <item x="93"/>
        <item x="202"/>
        <item x="115"/>
        <item x="240"/>
        <item x="242"/>
        <item x="455"/>
        <item x="426"/>
        <item x="475"/>
        <item x="341"/>
        <item x="196"/>
        <item x="160"/>
        <item x="366"/>
        <item x="146"/>
        <item x="41"/>
        <item x="42"/>
        <item x="43"/>
        <item x="40"/>
        <item x="109"/>
        <item x="415"/>
        <item x="232"/>
        <item x="418"/>
        <item x="493"/>
        <item x="447"/>
        <item x="386"/>
        <item x="220"/>
        <item x="212"/>
        <item x="211"/>
        <item x="351"/>
        <item x="83"/>
        <item x="467"/>
        <item x="465"/>
        <item x="466"/>
        <item x="316"/>
        <item x="314"/>
        <item x="303"/>
        <item x="302"/>
        <item x="315"/>
        <item x="326"/>
        <item x="324"/>
        <item x="306"/>
        <item x="305"/>
        <item x="317"/>
        <item x="327"/>
        <item x="78"/>
        <item x="79"/>
        <item x="74"/>
        <item x="82"/>
        <item x="76"/>
        <item x="45"/>
        <item x="46"/>
        <item x="438"/>
        <item x="75"/>
        <item x="158"/>
        <item x="437"/>
        <item x="478"/>
        <item x="412"/>
        <item x="276"/>
        <item x="396"/>
        <item x="398"/>
        <item x="397"/>
        <item x="244"/>
        <item x="422"/>
        <item x="152"/>
        <item x="144"/>
        <item x="153"/>
        <item x="151"/>
        <item x="145"/>
        <item x="142"/>
        <item x="141"/>
        <item x="147"/>
        <item x="154"/>
        <item x="148"/>
        <item x="143"/>
        <item x="149"/>
        <item x="150"/>
        <item x="157"/>
        <item x="224"/>
        <item x="188"/>
        <item x="381"/>
        <item x="406"/>
        <item x="399"/>
        <item x="2"/>
        <item x="193"/>
        <item x="222"/>
        <item x="379"/>
        <item x="350"/>
        <item x="383"/>
        <item x="122"/>
        <item x="121"/>
        <item x="361"/>
        <item x="354"/>
        <item x="353"/>
        <item x="186"/>
        <item x="347"/>
        <item x="187"/>
        <item x="431"/>
        <item x="432"/>
        <item x="191"/>
        <item x="419"/>
        <item x="225"/>
        <item x="382"/>
        <item x="94"/>
        <item x="195"/>
        <item x="90"/>
        <item x="362"/>
        <item x="201"/>
        <item x="442"/>
        <item x="199"/>
        <item x="489"/>
        <item x="367"/>
        <item x="176"/>
        <item x="289"/>
        <item x="290"/>
        <item x="297"/>
        <item x="298"/>
        <item x="156"/>
        <item x="155"/>
        <item x="48"/>
        <item x="49"/>
        <item x="266"/>
        <item x="270"/>
        <item x="265"/>
        <item x="269"/>
        <item x="268"/>
        <item x="105"/>
        <item x="27"/>
        <item x="311"/>
        <item x="308"/>
        <item x="301"/>
        <item x="300"/>
        <item x="309"/>
        <item x="312"/>
        <item x="310"/>
        <item x="321"/>
        <item x="318"/>
        <item x="304"/>
        <item x="319"/>
        <item x="322"/>
        <item x="320"/>
        <item x="313"/>
        <item x="267"/>
        <item x="345"/>
        <item x="113"/>
        <item x="501"/>
        <item x="198"/>
        <item x="112"/>
        <item x="114"/>
        <item x="408"/>
        <item x="390"/>
        <item x="391"/>
        <item x="200"/>
        <item x="205"/>
        <item x="204"/>
        <item x="136"/>
        <item x="233"/>
        <item x="229"/>
        <item x="231"/>
        <item x="338"/>
        <item x="1"/>
        <item x="22"/>
        <item x="56"/>
        <item x="60"/>
        <item x="61"/>
        <item x="64"/>
        <item x="72"/>
        <item x="77"/>
        <item x="99"/>
        <item x="185"/>
        <item x="190"/>
        <item x="206"/>
        <item x="241"/>
        <item x="365"/>
        <item x="369"/>
        <item x="370"/>
        <item x="387"/>
        <item x="460"/>
        <item x="492"/>
        <item x="513"/>
        <item x="59"/>
        <item x="71"/>
        <item x="208"/>
        <item x="209"/>
        <item x="219"/>
        <item x="228"/>
        <item x="239"/>
        <item x="245"/>
        <item x="294"/>
        <item x="323"/>
        <item x="325"/>
        <item x="392"/>
        <item x="400"/>
        <item x="401"/>
        <item x="411"/>
        <item x="421"/>
        <item x="429"/>
        <item x="440"/>
        <item x="444"/>
        <item x="448"/>
        <item x="449"/>
        <item x="451"/>
        <item x="458"/>
        <item x="463"/>
        <item x="472"/>
        <item x="476"/>
        <item x="486"/>
        <item x="490"/>
        <item x="495"/>
        <item x="499"/>
        <item x="500"/>
        <item x="502"/>
        <item x="171"/>
        <item x="197"/>
        <item x="223"/>
        <item x="227"/>
        <item x="234"/>
        <item x="284"/>
        <item x="286"/>
        <item x="292"/>
        <item x="307"/>
        <item x="328"/>
        <item x="329"/>
        <item x="330"/>
        <item x="331"/>
        <item x="332"/>
        <item x="334"/>
        <item x="336"/>
        <item x="371"/>
        <item x="374"/>
        <item x="375"/>
        <item x="377"/>
        <item x="380"/>
        <item x="384"/>
        <item x="389"/>
        <item x="394"/>
        <item x="395"/>
        <item x="409"/>
        <item x="450"/>
        <item x="469"/>
        <item x="471"/>
        <item x="484"/>
        <item x="485"/>
        <item x="487"/>
        <item x="503"/>
        <item x="515"/>
        <item x="521"/>
      </items>
    </pivotField>
    <pivotField dataField="1" showAll="0" defaultSubtotal="0"/>
    <pivotField showAll="0" defaultSubtotal="0"/>
  </pivotFields>
  <rowFields count="2">
    <field x="1"/>
    <field x="2"/>
  </rowFields>
  <rowItems count="552">
    <i>
      <x/>
      <x v="85"/>
    </i>
    <i>
      <x v="1"/>
      <x v="451"/>
    </i>
    <i>
      <x v="2"/>
      <x v="374"/>
    </i>
    <i>
      <x v="3"/>
      <x v="35"/>
    </i>
    <i>
      <x v="4"/>
      <x v="41"/>
    </i>
    <i>
      <x v="5"/>
      <x v="38"/>
    </i>
    <i>
      <x v="6"/>
      <x v="40"/>
    </i>
    <i>
      <x v="7"/>
      <x v="44"/>
    </i>
    <i>
      <x v="8"/>
      <x v="34"/>
    </i>
    <i>
      <x v="9"/>
      <x v="56"/>
    </i>
    <i>
      <x v="10"/>
      <x v="59"/>
    </i>
    <i>
      <x v="11"/>
      <x v="48"/>
    </i>
    <i>
      <x v="12"/>
      <x v="51"/>
    </i>
    <i>
      <x v="13"/>
      <x v="66"/>
    </i>
    <i>
      <x v="14"/>
      <x v="54"/>
    </i>
    <i>
      <x v="15"/>
      <x v="55"/>
    </i>
    <i>
      <x v="16"/>
      <x v="63"/>
    </i>
    <i>
      <x v="17"/>
      <x v="62"/>
    </i>
    <i>
      <x v="18"/>
      <x v="61"/>
    </i>
    <i>
      <x v="19"/>
      <x v="65"/>
    </i>
    <i>
      <x v="20"/>
      <x v="68"/>
    </i>
    <i>
      <x v="21"/>
      <x v="87"/>
    </i>
    <i>
      <x v="22"/>
      <x v="452"/>
    </i>
    <i>
      <x v="23"/>
      <x v="112"/>
    </i>
    <i>
      <x v="24"/>
      <x v="110"/>
    </i>
    <i>
      <x v="25"/>
      <x v="111"/>
    </i>
    <i>
      <x v="26"/>
      <x v="180"/>
    </i>
    <i>
      <x v="27"/>
      <x v="418"/>
    </i>
    <i>
      <x v="28"/>
      <x v="74"/>
    </i>
    <i>
      <x v="29"/>
      <x v="73"/>
    </i>
    <i>
      <x v="30"/>
      <x v="72"/>
    </i>
    <i>
      <x v="31"/>
      <x v="71"/>
    </i>
    <i>
      <x v="32"/>
      <x v="31"/>
    </i>
    <i>
      <x v="33"/>
      <x v="202"/>
    </i>
    <i>
      <x v="34"/>
      <x v="81"/>
    </i>
    <i>
      <x v="35"/>
      <x v="79"/>
    </i>
    <i>
      <x v="36"/>
      <x v="82"/>
    </i>
    <i>
      <x v="37"/>
      <x v="236"/>
    </i>
    <i>
      <x v="38"/>
      <x v="238"/>
    </i>
    <i>
      <x v="39"/>
      <x v="237"/>
    </i>
    <i>
      <x v="40"/>
      <x v="309"/>
    </i>
    <i>
      <x v="41"/>
      <x v="306"/>
    </i>
    <i>
      <x v="42"/>
      <x v="307"/>
    </i>
    <i>
      <x v="43"/>
      <x v="308"/>
    </i>
    <i>
      <x v="44"/>
      <x v="4"/>
    </i>
    <i>
      <x v="45"/>
      <x v="341"/>
    </i>
    <i>
      <x v="46"/>
      <x v="342"/>
    </i>
    <i>
      <x v="47"/>
      <x v="126"/>
    </i>
    <i>
      <x v="48"/>
      <x v="410"/>
    </i>
    <i>
      <x v="49"/>
      <x v="411"/>
    </i>
    <i>
      <x v="50"/>
      <x v="36"/>
    </i>
    <i>
      <x v="51"/>
      <x v="42"/>
    </i>
    <i>
      <x v="52"/>
      <x v="39"/>
    </i>
    <i>
      <x v="53"/>
      <x v="45"/>
    </i>
    <i>
      <x v="54"/>
      <x v="34"/>
    </i>
    <i>
      <x v="55"/>
      <x v="57"/>
    </i>
    <i>
      <x v="56"/>
      <x v="49"/>
    </i>
    <i>
      <x v="57"/>
      <x v="453"/>
    </i>
    <i>
      <x v="58"/>
      <x v="52"/>
    </i>
    <i>
      <x v="59"/>
      <x v="67"/>
    </i>
    <i>
      <x v="60"/>
      <x v="471"/>
    </i>
    <i>
      <x v="61"/>
      <x v="62"/>
    </i>
    <i>
      <x v="62"/>
      <x v="61"/>
    </i>
    <i>
      <x v="63"/>
      <x v="454"/>
    </i>
    <i>
      <x v="64"/>
      <x v="455"/>
    </i>
    <i>
      <x v="65"/>
      <x v="37"/>
    </i>
    <i>
      <x v="66"/>
      <x v="43"/>
    </i>
    <i>
      <x v="67"/>
      <x v="456"/>
    </i>
    <i>
      <x v="68"/>
      <x v="46"/>
    </i>
    <i>
      <x v="69"/>
      <x v="34"/>
    </i>
    <i>
      <x v="70"/>
      <x v="58"/>
    </i>
    <i>
      <x v="71"/>
      <x v="60"/>
    </i>
    <i>
      <x v="72"/>
      <x v="50"/>
    </i>
    <i>
      <x v="73"/>
      <x v="453"/>
    </i>
    <i>
      <x v="74"/>
      <x v="53"/>
    </i>
    <i>
      <x v="75"/>
      <x v="67"/>
    </i>
    <i>
      <x v="76"/>
      <x v="64"/>
    </i>
    <i>
      <x v="77"/>
      <x v="472"/>
    </i>
    <i>
      <x v="78"/>
      <x v="61"/>
    </i>
    <i>
      <x v="79"/>
      <x v="454"/>
    </i>
    <i>
      <x v="80"/>
      <x v="457"/>
    </i>
    <i>
      <x v="81"/>
      <x v="247"/>
    </i>
    <i>
      <x v="82"/>
      <x v="338"/>
    </i>
    <i>
      <x v="83"/>
      <x v="344"/>
    </i>
    <i>
      <x v="84"/>
      <x v="340"/>
    </i>
    <i>
      <x v="85"/>
      <x v="458"/>
    </i>
    <i>
      <x v="86"/>
      <x v="336"/>
    </i>
    <i>
      <x v="87"/>
      <x v="337"/>
    </i>
    <i>
      <x v="88"/>
      <x v="29"/>
    </i>
    <i>
      <x v="89"/>
      <x v="28"/>
    </i>
    <i>
      <x v="90"/>
      <x v="339"/>
    </i>
    <i>
      <x v="91"/>
      <x v="321"/>
    </i>
    <i>
      <x v="92"/>
      <x v="248"/>
    </i>
    <i>
      <x v="93"/>
      <x v="195"/>
    </i>
    <i>
      <x v="94"/>
      <x v="199"/>
    </i>
    <i>
      <x v="95"/>
      <x v="288"/>
    </i>
    <i>
      <x v="96"/>
      <x v="291"/>
    </i>
    <i>
      <x v="97"/>
      <x v="218"/>
    </i>
    <i>
      <x v="98"/>
      <x v="396"/>
    </i>
    <i>
      <x v="99"/>
      <x v="284"/>
    </i>
    <i>
      <x v="100"/>
      <x v="285"/>
    </i>
    <i>
      <x v="101"/>
      <x v="293"/>
    </i>
    <i>
      <x v="102"/>
      <x v="394"/>
    </i>
    <i>
      <x v="103"/>
      <x v="253"/>
    </i>
    <i>
      <x v="104"/>
      <x v="167"/>
    </i>
    <i>
      <x v="105"/>
      <x v="287"/>
    </i>
    <i>
      <x v="106"/>
      <x v="290"/>
    </i>
    <i>
      <x v="107"/>
      <x v="459"/>
    </i>
    <i>
      <x v="108"/>
      <x v="249"/>
    </i>
    <i>
      <x v="109"/>
      <x v="289"/>
    </i>
    <i>
      <x v="110"/>
      <x v="198"/>
    </i>
    <i>
      <x v="111"/>
      <x v="244"/>
    </i>
    <i>
      <x v="112"/>
      <x v="105"/>
    </i>
    <i>
      <x v="113"/>
      <x v="417"/>
    </i>
    <i>
      <x v="114"/>
      <x v="103"/>
    </i>
    <i>
      <x v="115"/>
      <x v="107"/>
    </i>
    <i>
      <x v="116"/>
      <x v="260"/>
    </i>
    <i>
      <x v="117"/>
      <x v="310"/>
    </i>
    <i>
      <x v="118"/>
      <x v="282"/>
    </i>
    <i>
      <x v="119"/>
      <x v="283"/>
    </i>
    <i>
      <x v="120"/>
      <x v="438"/>
    </i>
    <i>
      <x v="121"/>
      <x v="435"/>
    </i>
    <i>
      <x v="122"/>
      <x v="439"/>
    </i>
    <i>
      <x v="123"/>
      <x v="295"/>
    </i>
    <i>
      <x v="124"/>
      <x v="128"/>
    </i>
    <i>
      <x v="125"/>
      <x v="125"/>
    </i>
    <i>
      <x v="126"/>
      <x v="158"/>
    </i>
    <i>
      <x v="127"/>
      <x v="286"/>
    </i>
    <i>
      <x v="128"/>
      <x v="123"/>
    </i>
    <i>
      <x v="129"/>
      <x v="381"/>
    </i>
    <i>
      <x v="130"/>
      <x v="380"/>
    </i>
    <i>
      <x v="131"/>
      <x v="163"/>
    </i>
    <i>
      <x v="132"/>
      <x v="162"/>
    </i>
    <i>
      <x v="133"/>
      <x v="164"/>
    </i>
    <i>
      <x v="134"/>
      <x v="160"/>
    </i>
    <i>
      <x v="135"/>
      <x v="159"/>
    </i>
    <i>
      <x v="136"/>
      <x v="240"/>
    </i>
    <i>
      <x v="137"/>
      <x v="239"/>
    </i>
    <i>
      <x v="138"/>
      <x v="131"/>
    </i>
    <i>
      <x v="139"/>
      <x v="132"/>
    </i>
    <i>
      <x v="140"/>
      <x v="204"/>
    </i>
    <i>
      <x v="141"/>
      <x v="203"/>
    </i>
    <i>
      <x v="142"/>
      <x v="203"/>
    </i>
    <i>
      <x v="143"/>
      <x v="265"/>
    </i>
    <i>
      <x v="144"/>
      <x v="30"/>
    </i>
    <i>
      <x v="145"/>
      <x v="446"/>
    </i>
    <i>
      <x v="146"/>
      <x v="133"/>
    </i>
    <i>
      <x v="147"/>
      <x v="3"/>
    </i>
    <i>
      <x v="148"/>
      <x v="165"/>
    </i>
    <i>
      <x v="149"/>
      <x v="166"/>
    </i>
    <i>
      <x v="150"/>
      <x v="361"/>
    </i>
    <i>
      <x v="151"/>
      <x v="360"/>
    </i>
    <i>
      <x v="152"/>
      <x v="365"/>
    </i>
    <i>
      <x v="153"/>
      <x v="356"/>
    </i>
    <i>
      <x v="154"/>
      <x v="359"/>
    </i>
    <i>
      <x v="155"/>
      <x v="305"/>
    </i>
    <i>
      <x v="156"/>
      <x v="362"/>
    </i>
    <i>
      <x v="157"/>
      <x v="364"/>
    </i>
    <i>
      <x v="158"/>
      <x v="366"/>
    </i>
    <i>
      <x v="159"/>
      <x v="367"/>
    </i>
    <i>
      <x v="160"/>
      <x v="358"/>
    </i>
    <i>
      <x v="161"/>
      <x v="355"/>
    </i>
    <i>
      <x v="162"/>
      <x v="357"/>
    </i>
    <i>
      <x v="163"/>
      <x v="363"/>
    </i>
    <i>
      <x v="164"/>
      <x v="409"/>
    </i>
    <i>
      <x v="165"/>
      <x v="408"/>
    </i>
    <i>
      <x v="166"/>
      <x v="368"/>
    </i>
    <i>
      <x v="167"/>
      <x v="345"/>
    </i>
    <i>
      <x v="168"/>
      <x v="23"/>
    </i>
    <i>
      <x v="169"/>
      <x v="303"/>
    </i>
    <i>
      <x v="170"/>
      <x v="20"/>
    </i>
    <i>
      <x v="171"/>
      <x v="21"/>
    </i>
    <i>
      <x v="172"/>
      <x v="22"/>
    </i>
    <i>
      <x v="173"/>
      <x v="27"/>
    </i>
    <i>
      <x v="174"/>
      <x v="245"/>
    </i>
    <i>
      <x v="175"/>
      <x v="25"/>
    </i>
    <i>
      <x v="176"/>
      <x v="24"/>
    </i>
    <i>
      <x v="177"/>
      <x v="86"/>
    </i>
    <i>
      <x v="178"/>
      <x v="272"/>
    </i>
    <i>
      <x v="179"/>
      <x v="276"/>
    </i>
    <i>
      <x v="180"/>
      <x v="503"/>
    </i>
    <i>
      <x v="181"/>
      <x v="181"/>
    </i>
    <i>
      <x v="182"/>
      <x v="108"/>
    </i>
    <i>
      <x v="183"/>
      <x v="269"/>
    </i>
    <i>
      <x v="184"/>
      <x v="281"/>
    </i>
    <i>
      <x v="185"/>
      <x v="403"/>
    </i>
    <i>
      <x v="186"/>
      <x v="275"/>
    </i>
    <i>
      <x v="187"/>
      <x v="277"/>
    </i>
    <i>
      <x v="188"/>
      <x v="278"/>
    </i>
    <i>
      <x v="189"/>
      <x v="246"/>
    </i>
    <i>
      <x v="190"/>
      <x v="271"/>
    </i>
    <i>
      <x v="191"/>
      <x v="274"/>
    </i>
    <i>
      <x v="192"/>
      <x v="273"/>
    </i>
    <i>
      <x v="193"/>
      <x v="279"/>
    </i>
    <i>
      <x v="194"/>
      <x v="460"/>
    </i>
    <i>
      <x v="195"/>
      <x v="385"/>
    </i>
    <i>
      <x v="196"/>
      <x v="387"/>
    </i>
    <i>
      <x v="197"/>
      <x v="370"/>
    </i>
    <i>
      <x v="198"/>
      <x v="144"/>
    </i>
    <i>
      <x v="199"/>
      <x v="461"/>
    </i>
    <i>
      <x v="200"/>
      <x v="390"/>
    </i>
    <i>
      <x v="201"/>
      <x v="106"/>
    </i>
    <i>
      <x v="202"/>
      <x v="375"/>
    </i>
    <i>
      <x v="203"/>
      <x v="26"/>
    </i>
    <i>
      <x v="204"/>
      <x v="395"/>
    </i>
    <i>
      <x v="205"/>
      <x v="302"/>
    </i>
    <i>
      <x v="206"/>
      <x v="504"/>
    </i>
    <i>
      <x v="207"/>
      <x v="437"/>
    </i>
    <i>
      <x v="208"/>
      <x v="400"/>
    </i>
    <i>
      <x v="209"/>
      <x v="443"/>
    </i>
    <i>
      <x v="210"/>
      <x v="398"/>
    </i>
    <i>
      <x v="211"/>
      <x v="294"/>
    </i>
    <i>
      <x v="212"/>
      <x v="252"/>
    </i>
    <i>
      <x v="213"/>
      <x v="445"/>
    </i>
    <i>
      <x v="214"/>
      <x v="444"/>
    </i>
    <i>
      <x v="215"/>
      <x v="462"/>
    </i>
    <i>
      <x v="216"/>
      <x v="217"/>
    </i>
    <i>
      <x v="217"/>
      <x v="473"/>
    </i>
    <i>
      <x v="218"/>
      <x v="474"/>
    </i>
    <i>
      <x v="219"/>
      <x v="281"/>
    </i>
    <i>
      <x v="220"/>
      <x v="262"/>
    </i>
    <i>
      <x v="221"/>
      <x v="319"/>
    </i>
    <i>
      <x v="222"/>
      <x v="318"/>
    </i>
    <i>
      <x v="223"/>
      <x v="250"/>
    </i>
    <i>
      <x v="224"/>
      <x v="251"/>
    </i>
    <i>
      <x v="225"/>
      <x v="126"/>
    </i>
    <i>
      <x v="226"/>
      <x v="104"/>
    </i>
    <i>
      <x v="227"/>
      <x v="1"/>
    </i>
    <i>
      <x v="228"/>
      <x/>
    </i>
    <i>
      <x v="229"/>
      <x v="254"/>
    </i>
    <i>
      <x v="230"/>
      <x v="475"/>
    </i>
    <i>
      <x v="231"/>
      <x v="317"/>
    </i>
    <i>
      <x v="232"/>
      <x v="2"/>
    </i>
    <i>
      <x v="233"/>
      <x v="376"/>
    </i>
    <i>
      <x v="234"/>
      <x v="505"/>
    </i>
    <i>
      <x v="235"/>
      <x v="369"/>
    </i>
    <i>
      <x v="236"/>
      <x v="392"/>
    </i>
    <i>
      <x v="237"/>
      <x v="161"/>
    </i>
    <i>
      <x v="238"/>
      <x v="506"/>
    </i>
    <i>
      <x v="239"/>
      <x v="506"/>
    </i>
    <i>
      <x v="240"/>
      <x v="476"/>
    </i>
    <i>
      <x v="241"/>
      <x v="448"/>
    </i>
    <i>
      <x v="242"/>
      <x v="142"/>
    </i>
    <i>
      <x v="243"/>
      <x v="449"/>
    </i>
    <i>
      <x v="244"/>
      <x v="312"/>
    </i>
    <i>
      <x v="245"/>
      <x v="447"/>
    </i>
    <i>
      <x v="246"/>
      <x v="507"/>
    </i>
    <i>
      <x v="247"/>
      <x v="32"/>
    </i>
    <i>
      <x v="248"/>
      <x v="33"/>
    </i>
    <i>
      <x v="249"/>
      <x v="92"/>
    </i>
    <i>
      <x v="250"/>
      <x v="91"/>
    </i>
    <i>
      <x v="251"/>
      <x v="477"/>
    </i>
    <i>
      <x v="252"/>
      <x v="296"/>
    </i>
    <i>
      <x v="253"/>
      <x v="463"/>
    </i>
    <i>
      <x v="254"/>
      <x v="297"/>
    </i>
    <i>
      <x v="255"/>
      <x v="267"/>
    </i>
    <i>
      <x v="256"/>
      <x v="353"/>
    </i>
    <i>
      <x v="257"/>
      <x v="478"/>
    </i>
    <i>
      <x v="258"/>
      <x v="210"/>
    </i>
    <i>
      <x v="259"/>
      <x v="214"/>
    </i>
    <i>
      <x v="260"/>
      <x v="216"/>
    </i>
    <i>
      <x v="261"/>
      <x v="215"/>
    </i>
    <i>
      <x v="262"/>
      <x v="211"/>
    </i>
    <i>
      <x v="263"/>
      <x v="213"/>
    </i>
    <i>
      <x v="264"/>
      <x v="212"/>
    </i>
    <i>
      <x v="265"/>
      <x v="98"/>
    </i>
    <i>
      <x v="266"/>
      <x v="99"/>
    </i>
    <i>
      <x v="267"/>
      <x v="96"/>
    </i>
    <i>
      <x v="268"/>
      <x v="93"/>
    </i>
    <i>
      <x v="269"/>
      <x v="95"/>
    </i>
    <i>
      <x v="270"/>
      <x v="97"/>
    </i>
    <i>
      <x v="271"/>
      <x v="90"/>
    </i>
    <i>
      <x v="272"/>
      <x v="94"/>
    </i>
    <i>
      <x v="273"/>
      <x v="102"/>
    </i>
    <i>
      <x v="274"/>
      <x v="101"/>
    </i>
    <i>
      <x v="275"/>
      <x v="100"/>
    </i>
    <i>
      <x v="276"/>
      <x v="109"/>
    </i>
    <i>
      <x v="277"/>
      <x v="414"/>
    </i>
    <i>
      <x v="278"/>
      <x v="414"/>
    </i>
    <i>
      <x v="279"/>
      <x v="412"/>
    </i>
    <i>
      <x v="280"/>
      <x v="433"/>
    </i>
    <i>
      <x v="281"/>
      <x v="416"/>
    </i>
    <i>
      <x v="282"/>
      <x v="415"/>
    </i>
    <i>
      <x v="283"/>
      <x v="413"/>
    </i>
    <i>
      <x v="284"/>
      <x v="194"/>
    </i>
    <i>
      <x v="285"/>
      <x v="136"/>
    </i>
    <i>
      <x v="286"/>
      <x v="189"/>
    </i>
    <i>
      <x v="287"/>
      <x v="190"/>
    </i>
    <i>
      <x v="288"/>
      <x v="19"/>
    </i>
    <i>
      <x v="289"/>
      <x v="349"/>
    </i>
    <i>
      <x v="290"/>
      <x v="191"/>
    </i>
    <i>
      <x v="291"/>
      <x v="192"/>
    </i>
    <i>
      <x v="292"/>
      <x v="188"/>
    </i>
    <i>
      <x v="293"/>
      <x v="193"/>
    </i>
    <i>
      <x v="294"/>
      <x v="182"/>
    </i>
    <i>
      <x v="295"/>
      <x v="169"/>
    </i>
    <i>
      <x v="296"/>
      <x v="170"/>
    </i>
    <i>
      <x v="297"/>
      <x v="508"/>
    </i>
    <i>
      <x v="298"/>
      <x v="168"/>
    </i>
    <i>
      <x v="299"/>
      <x v="509"/>
    </i>
    <i>
      <x v="300"/>
      <x v="171"/>
    </i>
    <i>
      <x v="301"/>
      <x v="172"/>
    </i>
    <i>
      <x v="302"/>
      <x v="404"/>
    </i>
    <i>
      <x v="303"/>
      <x v="405"/>
    </i>
    <i>
      <x v="304"/>
      <x v="224"/>
    </i>
    <i>
      <x v="305"/>
      <x v="510"/>
    </i>
    <i>
      <x v="306"/>
      <x v="226"/>
    </i>
    <i>
      <x v="307"/>
      <x v="479"/>
    </i>
    <i>
      <x v="308"/>
      <x v="223"/>
    </i>
    <i>
      <x v="309"/>
      <x v="225"/>
    </i>
    <i>
      <x v="310"/>
      <x v="406"/>
    </i>
    <i>
      <x v="311"/>
      <x v="407"/>
    </i>
    <i>
      <x v="312"/>
      <x v="183"/>
    </i>
    <i>
      <x v="313"/>
      <x v="422"/>
    </i>
    <i>
      <x v="314"/>
      <x v="421"/>
    </i>
    <i>
      <x v="315"/>
      <x v="328"/>
    </i>
    <i>
      <x v="316"/>
      <x v="327"/>
    </i>
    <i>
      <x v="317"/>
      <x v="428"/>
    </i>
    <i>
      <x v="318"/>
      <x v="333"/>
    </i>
    <i>
      <x v="319"/>
      <x v="332"/>
    </i>
    <i>
      <x v="320"/>
      <x v="511"/>
    </i>
    <i>
      <x v="321"/>
      <x v="420"/>
    </i>
    <i>
      <x v="322"/>
      <x v="423"/>
    </i>
    <i>
      <x v="323"/>
      <x v="425"/>
    </i>
    <i>
      <x v="324"/>
      <x v="419"/>
    </i>
    <i>
      <x v="325"/>
      <x v="424"/>
    </i>
    <i>
      <x v="326"/>
      <x v="432"/>
    </i>
    <i>
      <x v="327"/>
      <x v="326"/>
    </i>
    <i>
      <x v="328"/>
      <x v="329"/>
    </i>
    <i>
      <x v="329"/>
      <x v="325"/>
    </i>
    <i>
      <x v="330"/>
      <x v="334"/>
    </i>
    <i>
      <x v="331"/>
      <x v="427"/>
    </i>
    <i>
      <x v="332"/>
      <x v="429"/>
    </i>
    <i>
      <x v="333"/>
      <x v="431"/>
    </i>
    <i>
      <x v="334"/>
      <x v="426"/>
    </i>
    <i>
      <x v="335"/>
      <x v="430"/>
    </i>
    <i>
      <x v="336"/>
      <x v="480"/>
    </i>
    <i>
      <x v="337"/>
      <x v="331"/>
    </i>
    <i>
      <x v="338"/>
      <x v="481"/>
    </i>
    <i>
      <x v="339"/>
      <x v="330"/>
    </i>
    <i>
      <x v="340"/>
      <x v="335"/>
    </i>
    <i>
      <x v="341"/>
      <x v="512"/>
    </i>
    <i>
      <x v="342"/>
      <x v="513"/>
    </i>
    <i>
      <x v="343"/>
      <x v="514"/>
    </i>
    <i>
      <x v="344"/>
      <x v="515"/>
    </i>
    <i>
      <x v="345"/>
      <x v="516"/>
    </i>
    <i>
      <x v="346"/>
      <x v="127"/>
    </i>
    <i>
      <x v="347"/>
      <x v="517"/>
    </i>
    <i>
      <x v="348"/>
      <x v="134"/>
    </i>
    <i>
      <x v="349"/>
      <x v="518"/>
    </i>
    <i>
      <x v="350"/>
      <x v="88"/>
    </i>
    <i>
      <x v="351"/>
      <x v="450"/>
    </i>
    <i>
      <x v="352"/>
      <x v="261"/>
    </i>
    <i>
      <x v="353"/>
      <x v="70"/>
    </i>
    <i>
      <x v="354"/>
      <x v="301"/>
    </i>
    <i>
      <x v="355"/>
      <x v="266"/>
    </i>
    <i>
      <x v="356"/>
      <x v="205"/>
    </i>
    <i>
      <x v="357"/>
      <x v="175"/>
    </i>
    <i>
      <x v="358"/>
      <x v="434"/>
    </i>
    <i>
      <x v="359"/>
      <x v="114"/>
    </i>
    <i>
      <x v="360"/>
      <x v="386"/>
    </i>
    <i>
      <x v="361"/>
      <x v="256"/>
    </i>
    <i>
      <x v="362"/>
      <x v="243"/>
    </i>
    <i>
      <x v="363"/>
      <x v="378"/>
    </i>
    <i>
      <x v="364"/>
      <x v="320"/>
    </i>
    <i>
      <x v="365"/>
      <x v="186"/>
    </i>
    <i>
      <x v="366"/>
      <x v="384"/>
    </i>
    <i>
      <x v="367"/>
      <x v="383"/>
    </i>
    <i>
      <x v="368"/>
      <x v="234"/>
    </i>
    <i>
      <x v="369"/>
      <x v="197"/>
    </i>
    <i>
      <x v="370"/>
      <x v="153"/>
    </i>
    <i>
      <x v="371"/>
      <x v="154"/>
    </i>
    <i>
      <x v="372"/>
      <x v="7"/>
    </i>
    <i>
      <x v="373"/>
      <x v="227"/>
    </i>
    <i>
      <x v="374"/>
      <x v="382"/>
    </i>
    <i>
      <x v="375"/>
      <x v="397"/>
    </i>
    <i>
      <x v="376"/>
      <x v="235"/>
    </i>
    <i>
      <x v="377"/>
      <x v="152"/>
    </i>
    <i>
      <x v="378"/>
      <x v="464"/>
    </i>
    <i>
      <x v="379"/>
      <x v="304"/>
    </i>
    <i>
      <x v="380"/>
      <x v="402"/>
    </i>
    <i>
      <x v="381"/>
      <x v="184"/>
    </i>
    <i>
      <x v="382"/>
      <x v="465"/>
    </i>
    <i>
      <x v="383"/>
      <x v="466"/>
    </i>
    <i>
      <x v="384"/>
      <x v="519"/>
    </i>
    <i>
      <x v="385"/>
      <x v="76"/>
    </i>
    <i>
      <x v="386"/>
      <x v="77"/>
    </i>
    <i>
      <x v="387"/>
      <x v="520"/>
    </i>
    <i>
      <x v="388"/>
      <x v="521"/>
    </i>
    <i>
      <x v="389"/>
      <x v="156"/>
    </i>
    <i>
      <x v="390"/>
      <x v="522"/>
    </i>
    <i>
      <x v="391"/>
      <x v="83"/>
    </i>
    <i>
      <x v="392"/>
      <x v="377"/>
    </i>
    <i>
      <x v="393"/>
      <x v="523"/>
    </i>
    <i>
      <x v="394"/>
      <x v="371"/>
    </i>
    <i>
      <x v="395"/>
      <x v="393"/>
    </i>
    <i>
      <x v="396"/>
      <x v="379"/>
    </i>
    <i>
      <x v="397"/>
      <x v="524"/>
    </i>
    <i>
      <x v="398"/>
      <x v="8"/>
    </i>
    <i>
      <x v="399"/>
      <x v="316"/>
    </i>
    <i>
      <x v="400"/>
      <x v="467"/>
    </i>
    <i>
      <x v="401"/>
      <x v="135"/>
    </i>
    <i>
      <x v="402"/>
      <x v="525"/>
    </i>
    <i>
      <x v="403"/>
      <x v="441"/>
    </i>
    <i>
      <x v="404"/>
      <x v="442"/>
    </i>
    <i>
      <x v="405"/>
      <x v="482"/>
    </i>
    <i>
      <x v="406"/>
      <x v="230"/>
    </i>
    <i>
      <x v="407"/>
      <x v="526"/>
    </i>
    <i>
      <x v="408"/>
      <x v="527"/>
    </i>
    <i>
      <x v="409"/>
      <x v="350"/>
    </i>
    <i>
      <x v="410"/>
      <x v="352"/>
    </i>
    <i>
      <x v="411"/>
      <x v="351"/>
    </i>
    <i>
      <x v="412"/>
      <x v="373"/>
    </i>
    <i>
      <x v="413"/>
      <x v="483"/>
    </i>
    <i>
      <x v="414"/>
      <x v="484"/>
    </i>
    <i>
      <x v="415"/>
      <x v="258"/>
    </i>
    <i>
      <x v="416"/>
      <x v="259"/>
    </i>
    <i>
      <x v="417"/>
      <x v="173"/>
    </i>
    <i>
      <x v="418"/>
      <x v="9"/>
    </i>
    <i>
      <x v="419"/>
      <x v="372"/>
    </i>
    <i>
      <x v="420"/>
      <x v="138"/>
    </i>
    <i>
      <x v="421"/>
      <x v="440"/>
    </i>
    <i>
      <x v="422"/>
      <x v="528"/>
    </i>
    <i>
      <x v="423"/>
      <x v="174"/>
    </i>
    <i>
      <x v="424"/>
      <x v="485"/>
    </i>
    <i>
      <x v="425"/>
      <x v="348"/>
    </i>
    <i>
      <x v="426"/>
      <x v="270"/>
    </i>
    <i>
      <x v="427"/>
      <x v="241"/>
    </i>
    <i>
      <x v="428"/>
      <x v="311"/>
    </i>
    <i>
      <x v="429"/>
      <x v="151"/>
    </i>
    <i>
      <x v="430"/>
      <x v="280"/>
    </i>
    <i>
      <x v="431"/>
      <x v="313"/>
    </i>
    <i>
      <x v="432"/>
      <x v="391"/>
    </i>
    <i>
      <x v="433"/>
      <x v="75"/>
    </i>
    <i>
      <x v="434"/>
      <x v="486"/>
    </i>
    <i>
      <x v="435"/>
      <x v="354"/>
    </i>
    <i>
      <x v="436"/>
      <x v="116"/>
    </i>
    <i>
      <x v="437"/>
      <x v="150"/>
    </i>
    <i>
      <x v="438"/>
      <x v="179"/>
    </i>
    <i>
      <x v="439"/>
      <x v="299"/>
    </i>
    <i>
      <x v="440"/>
      <x v="222"/>
    </i>
    <i>
      <x v="441"/>
      <x v="187"/>
    </i>
    <i>
      <x v="442"/>
      <x v="487"/>
    </i>
    <i>
      <x v="443"/>
      <x v="141"/>
    </i>
    <i>
      <x v="444"/>
      <x v="388"/>
    </i>
    <i>
      <x v="445"/>
      <x v="389"/>
    </i>
    <i>
      <x v="446"/>
      <x v="139"/>
    </i>
    <i>
      <x v="447"/>
      <x v="196"/>
    </i>
    <i>
      <x v="448"/>
      <x v="140"/>
    </i>
    <i>
      <x v="449"/>
      <x v="113"/>
    </i>
    <i>
      <x v="450"/>
      <x v="346"/>
    </i>
    <i>
      <x v="451"/>
      <x v="343"/>
    </i>
    <i>
      <x v="452"/>
      <x v="292"/>
    </i>
    <i>
      <x v="453"/>
      <x v="488"/>
    </i>
    <i>
      <x v="454"/>
      <x v="115"/>
    </i>
    <i>
      <x v="455"/>
      <x v="399"/>
    </i>
    <i>
      <x v="456"/>
      <x v="207"/>
    </i>
    <i>
      <x v="457"/>
      <x v="489"/>
    </i>
    <i>
      <x v="458"/>
      <x v="5"/>
    </i>
    <i>
      <x v="459"/>
      <x v="264"/>
    </i>
    <i>
      <x v="460"/>
      <x v="315"/>
    </i>
    <i>
      <x v="461"/>
      <x v="490"/>
    </i>
    <i>
      <x v="462"/>
      <x v="491"/>
    </i>
    <i>
      <x v="463"/>
      <x v="529"/>
    </i>
    <i>
      <x v="464"/>
      <x v="492"/>
    </i>
    <i>
      <x v="465"/>
      <x v="231"/>
    </i>
    <i>
      <x v="466"/>
      <x v="232"/>
    </i>
    <i>
      <x v="467"/>
      <x v="233"/>
    </i>
    <i>
      <x v="468"/>
      <x v="298"/>
    </i>
    <i>
      <x v="469"/>
      <x v="155"/>
    </i>
    <i>
      <x v="470"/>
      <x v="47"/>
    </i>
    <i>
      <x v="471"/>
      <x v="493"/>
    </i>
    <i>
      <x v="472"/>
      <x v="124"/>
    </i>
    <i>
      <x v="473"/>
      <x v="468"/>
    </i>
    <i>
      <x v="474"/>
      <x v="69"/>
    </i>
    <i>
      <x v="475"/>
      <x v="157"/>
    </i>
    <i>
      <x v="476"/>
      <x v="494"/>
    </i>
    <i>
      <x v="477"/>
      <x v="129"/>
    </i>
    <i>
      <x v="478"/>
      <x v="323"/>
    </i>
    <i>
      <x v="479"/>
      <x v="324"/>
    </i>
    <i>
      <x v="480"/>
      <x v="322"/>
    </i>
    <i>
      <x v="481"/>
      <x v="185"/>
    </i>
    <i>
      <x v="482"/>
      <x v="530"/>
    </i>
    <i>
      <x v="483"/>
      <x v="84"/>
    </i>
    <i>
      <x v="484"/>
      <x v="531"/>
    </i>
    <i>
      <x v="485"/>
      <x v="495"/>
    </i>
    <i>
      <x v="486"/>
      <x v="255"/>
    </i>
    <i>
      <x v="487"/>
      <x v="208"/>
    </i>
    <i>
      <x v="488"/>
      <x v="300"/>
    </i>
    <i>
      <x v="489"/>
      <x v="496"/>
    </i>
    <i>
      <x v="490"/>
      <x v="89"/>
    </i>
    <i>
      <x v="491"/>
      <x v="347"/>
    </i>
    <i>
      <x v="492"/>
      <x v="6"/>
    </i>
    <i>
      <x v="493"/>
      <x v="143"/>
    </i>
    <i>
      <x v="494"/>
      <x v="148"/>
    </i>
    <i>
      <x v="495"/>
      <x v="78"/>
    </i>
    <i>
      <x v="496"/>
      <x v="242"/>
    </i>
    <i>
      <x v="497"/>
      <x v="532"/>
    </i>
    <i>
      <x v="498"/>
      <x v="533"/>
    </i>
    <i>
      <x v="499"/>
      <x v="497"/>
    </i>
    <i>
      <x v="500"/>
      <x v="534"/>
    </i>
    <i>
      <x v="501"/>
      <x v="263"/>
    </i>
    <i>
      <x v="502"/>
      <x v="401"/>
    </i>
    <i>
      <x v="503"/>
      <x v="498"/>
    </i>
    <i>
      <x v="504"/>
      <x v="145"/>
    </i>
    <i>
      <x v="505"/>
      <x v="469"/>
    </i>
    <i>
      <x v="506"/>
      <x v="314"/>
    </i>
    <i>
      <x v="507"/>
      <x v="206"/>
    </i>
    <i>
      <x v="508"/>
      <x v="499"/>
    </i>
    <i>
      <x v="509"/>
      <x v="149"/>
    </i>
    <i>
      <x v="510"/>
      <x v="146"/>
    </i>
    <i>
      <x v="511"/>
      <x v="147"/>
    </i>
    <i>
      <x v="512"/>
      <x v="500"/>
    </i>
    <i>
      <x v="513"/>
      <x v="501"/>
    </i>
    <i>
      <x v="514"/>
      <x v="436"/>
    </i>
    <i>
      <x v="515"/>
      <x v="502"/>
    </i>
    <i>
      <x v="516"/>
      <x v="535"/>
    </i>
    <i>
      <x v="517"/>
      <x v="257"/>
    </i>
    <i>
      <x v="518"/>
      <x v="10"/>
    </i>
    <i>
      <x v="519"/>
      <x v="200"/>
    </i>
    <i>
      <x v="520"/>
      <x v="268"/>
    </i>
    <i>
      <x v="521"/>
      <x v="201"/>
    </i>
    <i>
      <x v="522"/>
      <x v="228"/>
    </i>
    <i>
      <x v="523"/>
      <x v="130"/>
    </i>
    <i>
      <x v="524"/>
      <x v="178"/>
    </i>
    <i>
      <x v="525"/>
      <x v="209"/>
    </i>
    <i>
      <x v="526"/>
      <x v="470"/>
    </i>
    <i>
      <x v="527"/>
      <x v="229"/>
    </i>
    <i>
      <x v="528"/>
      <x v="536"/>
    </i>
    <i>
      <x v="529"/>
      <x v="219"/>
    </i>
    <i>
      <x v="530"/>
      <x v="220"/>
    </i>
    <i>
      <x v="531"/>
      <x v="221"/>
    </i>
    <i>
      <x v="532"/>
      <x v="177"/>
    </i>
    <i>
      <x v="533"/>
      <x v="176"/>
    </i>
    <i>
      <x v="534"/>
      <x v="537"/>
    </i>
    <i>
      <x v="535"/>
      <x v="80"/>
    </i>
    <i>
      <x v="536"/>
      <x v="11"/>
    </i>
    <i>
      <x v="537"/>
      <x v="13"/>
    </i>
    <i>
      <x v="538"/>
      <x v="12"/>
    </i>
    <i>
      <x v="539"/>
      <x v="15"/>
    </i>
    <i>
      <x v="540"/>
      <x v="17"/>
    </i>
    <i>
      <x v="541"/>
      <x v="16"/>
    </i>
    <i>
      <x v="542"/>
      <x v="14"/>
    </i>
    <i>
      <x v="543"/>
      <x v="18"/>
    </i>
    <i>
      <x v="544"/>
      <x v="118"/>
    </i>
    <i>
      <x v="545"/>
      <x v="117"/>
    </i>
    <i>
      <x v="546"/>
      <x v="120"/>
    </i>
    <i>
      <x v="547"/>
      <x v="119"/>
    </i>
    <i>
      <x v="548"/>
      <x v="121"/>
    </i>
    <i>
      <x v="549"/>
      <x v="122"/>
    </i>
    <i>
      <x v="550"/>
      <x v="137"/>
    </i>
    <i t="grand">
      <x/>
    </i>
  </rowItems>
  <colItems count="1">
    <i/>
  </colItems>
  <dataFields count="1">
    <dataField name="Suma de (01.2018-03.2018)" fld="3" baseField="2" baseItem="56"/>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6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ivotTable" Target="../pivotTables/pivotTable1.xml"/></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9.bin"/></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30.bin"/><Relationship Id="rId4" Type="http://schemas.openxmlformats.org/officeDocument/2006/relationships/comments" Target="../comments1.xml"/></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32.bin"/><Relationship Id="rId4" Type="http://schemas.openxmlformats.org/officeDocument/2006/relationships/comments" Target="../comments2.xml"/></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34.bin"/><Relationship Id="rId4" Type="http://schemas.openxmlformats.org/officeDocument/2006/relationships/comments" Target="../comments3.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M216"/>
  <sheetViews>
    <sheetView showGridLines="0" zoomScale="85" zoomScaleNormal="85" workbookViewId="0">
      <selection activeCell="C127" sqref="C127"/>
    </sheetView>
  </sheetViews>
  <sheetFormatPr baseColWidth="10" defaultRowHeight="15"/>
  <cols>
    <col min="1" max="1" width="3.7109375" customWidth="1"/>
    <col min="2" max="2" width="37.7109375" customWidth="1"/>
    <col min="3" max="3" width="65.28515625" customWidth="1"/>
    <col min="4" max="4" width="12.7109375" bestFit="1" customWidth="1"/>
    <col min="5" max="5" width="3.7109375" style="146" customWidth="1"/>
    <col min="6" max="6" width="37.7109375" customWidth="1"/>
    <col min="7" max="7" width="35.7109375" customWidth="1"/>
    <col min="8" max="8" width="12.7109375" bestFit="1" customWidth="1"/>
    <col min="11" max="11" width="13.42578125" bestFit="1" customWidth="1"/>
  </cols>
  <sheetData>
    <row r="3" spans="2:11">
      <c r="C3" t="s">
        <v>4127</v>
      </c>
      <c r="D3" t="s">
        <v>4128</v>
      </c>
      <c r="E3" s="146" t="s">
        <v>4129</v>
      </c>
      <c r="F3" s="315" t="s">
        <v>4132</v>
      </c>
      <c r="G3" s="315" t="s">
        <v>4130</v>
      </c>
      <c r="H3" s="315" t="s">
        <v>4130</v>
      </c>
      <c r="I3" s="315" t="s">
        <v>4131</v>
      </c>
    </row>
    <row r="4" spans="2:11">
      <c r="B4" s="1553" t="s">
        <v>835</v>
      </c>
      <c r="C4" t="s">
        <v>6</v>
      </c>
      <c r="D4" s="192">
        <f ca="1">'2. Estado de situación'!I6</f>
        <v>2125954316</v>
      </c>
      <c r="E4" s="183"/>
      <c r="F4" t="s">
        <v>835</v>
      </c>
      <c r="G4" t="s">
        <v>60</v>
      </c>
      <c r="H4" s="192">
        <f ca="1">'2. Estado de situación'!I60</f>
        <v>2125954316</v>
      </c>
      <c r="I4" s="696" t="str">
        <f ca="1">IF(D4-H4=0,"OK","ERROR")</f>
        <v>OK</v>
      </c>
      <c r="J4" s="192">
        <f ca="1">+D4-H4</f>
        <v>0</v>
      </c>
      <c r="K4" s="192">
        <f t="shared" ref="K4:K13" ca="1" si="0">+H4-D4</f>
        <v>0</v>
      </c>
    </row>
    <row r="5" spans="2:11">
      <c r="B5" s="1553"/>
      <c r="C5" t="s">
        <v>96</v>
      </c>
      <c r="D5" s="192">
        <f ca="1">'2. Estado de situación'!I96</f>
        <v>44718799</v>
      </c>
      <c r="E5" s="183"/>
      <c r="F5" t="s">
        <v>868</v>
      </c>
      <c r="G5" t="s">
        <v>2721</v>
      </c>
      <c r="H5" s="192">
        <f>'6. Cambios en el patrimonio'!F23</f>
        <v>44718799</v>
      </c>
      <c r="I5" s="696" t="str">
        <f t="shared" ref="I5:I9" ca="1" si="1">IF(D5-H5=0,"OK","ERROR")</f>
        <v>OK</v>
      </c>
      <c r="K5" s="192">
        <f t="shared" ca="1" si="0"/>
        <v>0</v>
      </c>
    </row>
    <row r="6" spans="2:11">
      <c r="B6" s="1553"/>
      <c r="C6" t="s">
        <v>97</v>
      </c>
      <c r="D6" s="192">
        <f ca="1">'2. Estado de situación'!I97</f>
        <v>-14505314</v>
      </c>
      <c r="E6" s="183"/>
      <c r="F6" t="s">
        <v>868</v>
      </c>
      <c r="G6" t="s">
        <v>2722</v>
      </c>
      <c r="H6" s="192">
        <f>'6. Cambios en el patrimonio'!K23</f>
        <v>-14505314</v>
      </c>
      <c r="I6" s="696" t="str">
        <f t="shared" ca="1" si="1"/>
        <v>OK</v>
      </c>
      <c r="J6" s="192">
        <f ca="1">+D6-H6</f>
        <v>0</v>
      </c>
      <c r="K6" s="192">
        <f t="shared" ca="1" si="0"/>
        <v>0</v>
      </c>
    </row>
    <row r="7" spans="2:11">
      <c r="B7" s="1553"/>
      <c r="C7" t="s">
        <v>98</v>
      </c>
      <c r="D7" s="192">
        <f ca="1">'2. Estado de situación'!I98</f>
        <v>108490594</v>
      </c>
      <c r="E7" s="183"/>
      <c r="F7" t="s">
        <v>868</v>
      </c>
      <c r="G7" t="s">
        <v>2723</v>
      </c>
      <c r="H7" s="192">
        <f>'6. Cambios en el patrimonio'!N23</f>
        <v>108490594</v>
      </c>
      <c r="I7" s="696" t="str">
        <f t="shared" ca="1" si="1"/>
        <v>OK</v>
      </c>
      <c r="K7" s="192">
        <f t="shared" ca="1" si="0"/>
        <v>0</v>
      </c>
    </row>
    <row r="8" spans="2:11">
      <c r="B8" s="1553"/>
      <c r="C8" t="s">
        <v>99</v>
      </c>
      <c r="D8" s="192">
        <f ca="1">'2. Estado de situación'!I99</f>
        <v>106252185</v>
      </c>
      <c r="E8" s="183"/>
      <c r="F8" t="s">
        <v>868</v>
      </c>
      <c r="G8" t="s">
        <v>2724</v>
      </c>
      <c r="H8" s="192">
        <f>'6. Cambios en el patrimonio'!L23</f>
        <v>106252185</v>
      </c>
      <c r="I8" s="696" t="str">
        <f t="shared" ca="1" si="1"/>
        <v>OK</v>
      </c>
      <c r="K8" s="192">
        <f t="shared" ca="1" si="0"/>
        <v>0</v>
      </c>
    </row>
    <row r="9" spans="2:11">
      <c r="B9" s="1553"/>
      <c r="C9" t="s">
        <v>100</v>
      </c>
      <c r="D9" s="192">
        <f ca="1">'2. Estado de situación'!I100</f>
        <v>3197727</v>
      </c>
      <c r="E9" s="183"/>
      <c r="F9" t="s">
        <v>868</v>
      </c>
      <c r="G9" t="s">
        <v>2725</v>
      </c>
      <c r="H9" s="192">
        <f>'6. Cambios en el patrimonio'!M23</f>
        <v>3197727</v>
      </c>
      <c r="I9" s="696" t="str">
        <f t="shared" ca="1" si="1"/>
        <v>OK</v>
      </c>
      <c r="K9" s="192">
        <f t="shared" ca="1" si="0"/>
        <v>0</v>
      </c>
    </row>
    <row r="10" spans="2:11">
      <c r="B10" s="1553"/>
      <c r="C10" t="s">
        <v>8</v>
      </c>
      <c r="D10" s="192">
        <f ca="1">'2. Estado de situación'!I8</f>
        <v>6508368</v>
      </c>
      <c r="F10" t="s">
        <v>2616</v>
      </c>
      <c r="G10" t="s">
        <v>897</v>
      </c>
      <c r="H10" s="192">
        <f>'Nota 7'!I11</f>
        <v>6508368</v>
      </c>
      <c r="I10" s="696" t="str">
        <f t="shared" ref="I10:I19" ca="1" si="2">IF(D10-H10=0,"OK","ERROR")</f>
        <v>OK</v>
      </c>
      <c r="K10" s="192">
        <f t="shared" ca="1" si="0"/>
        <v>0</v>
      </c>
    </row>
    <row r="11" spans="2:11">
      <c r="B11" s="1553"/>
      <c r="C11" t="s">
        <v>8</v>
      </c>
      <c r="D11" s="192">
        <f ca="1">'2. Estado de situación'!I8</f>
        <v>6508368</v>
      </c>
      <c r="F11" t="s">
        <v>849</v>
      </c>
      <c r="G11" t="s">
        <v>220</v>
      </c>
      <c r="H11" s="192">
        <f>'4. Estado de flujo'!F71</f>
        <v>6508368</v>
      </c>
      <c r="I11" s="696" t="str">
        <f t="shared" ca="1" si="2"/>
        <v>OK</v>
      </c>
      <c r="K11" s="192">
        <f t="shared" ca="1" si="0"/>
        <v>0</v>
      </c>
    </row>
    <row r="12" spans="2:11">
      <c r="B12" s="1553"/>
      <c r="C12" t="s">
        <v>2617</v>
      </c>
      <c r="D12" s="192">
        <f ca="1">'2. Estado de situación'!I9</f>
        <v>37127948</v>
      </c>
      <c r="F12" t="s">
        <v>2618</v>
      </c>
      <c r="G12" s="699" t="s">
        <v>432</v>
      </c>
      <c r="H12" s="192">
        <f>'Nota  8'!J38</f>
        <v>37127948</v>
      </c>
      <c r="I12" s="696" t="str">
        <f t="shared" ca="1" si="2"/>
        <v>OK</v>
      </c>
      <c r="K12" s="192">
        <f t="shared" ca="1" si="0"/>
        <v>0</v>
      </c>
    </row>
    <row r="13" spans="2:11">
      <c r="B13" s="1553"/>
      <c r="C13" s="699" t="s">
        <v>2751</v>
      </c>
      <c r="D13" s="192">
        <f ca="1">'2. Estado de situación'!I9+'2. Estado de situación'!I10+'2. Estado de situación'!I14+'2. Estado de situación'!I15+'2. Estado de situación'!I20</f>
        <v>1808562543</v>
      </c>
      <c r="F13" t="s">
        <v>2752</v>
      </c>
      <c r="G13" s="699" t="s">
        <v>2753</v>
      </c>
      <c r="H13" s="192">
        <f>'Nota 13'!D22+'Nota 13'!E22+'Nota 13'!F22+'Nota 14'!L31+'Nota 12'!G104</f>
        <v>1808562543</v>
      </c>
      <c r="I13" s="696" t="str">
        <f t="shared" ca="1" si="2"/>
        <v>OK</v>
      </c>
      <c r="K13" s="192">
        <f t="shared" ca="1" si="0"/>
        <v>0</v>
      </c>
    </row>
    <row r="14" spans="2:11">
      <c r="B14" s="1553"/>
      <c r="C14" t="s">
        <v>10</v>
      </c>
      <c r="D14" s="192">
        <f ca="1">'2. Estado de situación'!I10</f>
        <v>1387160161</v>
      </c>
      <c r="F14" t="s">
        <v>2619</v>
      </c>
      <c r="G14" t="s">
        <v>769</v>
      </c>
      <c r="H14" s="192">
        <f>'Nota 9'!H22</f>
        <v>1387160161</v>
      </c>
      <c r="I14" s="696" t="str">
        <f t="shared" ca="1" si="2"/>
        <v>OK</v>
      </c>
      <c r="K14" s="192">
        <f ca="1">+H14-D14</f>
        <v>0</v>
      </c>
    </row>
    <row r="15" spans="2:11">
      <c r="B15" s="1553"/>
      <c r="C15" t="s">
        <v>11</v>
      </c>
      <c r="D15" s="192">
        <f ca="1">'2. Estado de situación'!I11</f>
        <v>10600244</v>
      </c>
      <c r="F15" t="s">
        <v>2620</v>
      </c>
      <c r="G15" t="s">
        <v>1255</v>
      </c>
      <c r="H15" s="192">
        <f>'Nota 10'!G9</f>
        <v>10600244</v>
      </c>
      <c r="I15" s="696" t="str">
        <f t="shared" ca="1" si="2"/>
        <v>OK</v>
      </c>
      <c r="K15" s="192">
        <f t="shared" ref="K15:K78" ca="1" si="3">+H15-D15</f>
        <v>0</v>
      </c>
    </row>
    <row r="16" spans="2:11">
      <c r="B16" s="1553"/>
      <c r="C16" t="s">
        <v>12</v>
      </c>
      <c r="D16" s="192">
        <f ca="1">'2. Estado de situación'!I12</f>
        <v>2508900</v>
      </c>
      <c r="F16" t="s">
        <v>2620</v>
      </c>
      <c r="G16" t="s">
        <v>386</v>
      </c>
      <c r="H16" s="192">
        <f>'Nota 10'!G7</f>
        <v>2508900</v>
      </c>
      <c r="I16" s="696" t="str">
        <f t="shared" ca="1" si="2"/>
        <v>OK</v>
      </c>
      <c r="K16" s="192">
        <f t="shared" ca="1" si="3"/>
        <v>0</v>
      </c>
    </row>
    <row r="17" spans="2:11">
      <c r="B17" s="1553"/>
      <c r="C17" t="s">
        <v>13</v>
      </c>
      <c r="D17" s="192">
        <f>'Nota 10'!G8</f>
        <v>8091344</v>
      </c>
      <c r="F17" t="s">
        <v>2620</v>
      </c>
      <c r="G17" t="s">
        <v>387</v>
      </c>
      <c r="H17" s="192">
        <f>'Nota 10'!G8</f>
        <v>8091344</v>
      </c>
      <c r="I17" s="696" t="str">
        <f t="shared" si="2"/>
        <v>OK</v>
      </c>
      <c r="K17" s="192">
        <f t="shared" si="3"/>
        <v>0</v>
      </c>
    </row>
    <row r="18" spans="2:11">
      <c r="B18" s="1553"/>
      <c r="C18" t="s">
        <v>14</v>
      </c>
      <c r="D18" s="192">
        <f ca="1">'2. Estado de situación'!I14</f>
        <v>240984977</v>
      </c>
      <c r="F18" t="s">
        <v>2688</v>
      </c>
      <c r="G18" t="s">
        <v>432</v>
      </c>
      <c r="H18" s="192">
        <f>'Nota 11'!V41</f>
        <v>240984977</v>
      </c>
      <c r="I18" s="696" t="str">
        <f t="shared" ca="1" si="2"/>
        <v>OK</v>
      </c>
      <c r="K18" s="192">
        <f t="shared" ca="1" si="3"/>
        <v>0</v>
      </c>
    </row>
    <row r="19" spans="2:11">
      <c r="B19" s="1553"/>
      <c r="C19" t="s">
        <v>15</v>
      </c>
      <c r="D19" s="192">
        <f ca="1">'2. Estado de situación'!I15</f>
        <v>5463590</v>
      </c>
      <c r="F19" t="s">
        <v>2689</v>
      </c>
      <c r="G19" t="s">
        <v>1295</v>
      </c>
      <c r="H19" s="192">
        <f>'Nota 12'!G104</f>
        <v>5463590</v>
      </c>
      <c r="I19" s="696" t="str">
        <f t="shared" ca="1" si="2"/>
        <v>OK</v>
      </c>
      <c r="K19" s="192">
        <f t="shared" ca="1" si="3"/>
        <v>0</v>
      </c>
    </row>
    <row r="20" spans="2:11">
      <c r="B20" s="1553"/>
      <c r="C20" t="s">
        <v>16</v>
      </c>
      <c r="D20" s="192">
        <f ca="1">'2. Estado de situación'!I16</f>
        <v>2934111</v>
      </c>
      <c r="F20" t="s">
        <v>2689</v>
      </c>
      <c r="G20" t="s">
        <v>1283</v>
      </c>
      <c r="H20" s="192">
        <f>'Nota 12'!N28</f>
        <v>2934111</v>
      </c>
      <c r="I20" s="696" t="str">
        <f t="shared" ref="I20:I32" ca="1" si="4">IF(D20-H20=0,"OK","ERROR")</f>
        <v>OK</v>
      </c>
      <c r="K20" s="192">
        <f t="shared" ca="1" si="3"/>
        <v>0</v>
      </c>
    </row>
    <row r="21" spans="2:11">
      <c r="B21" s="1553"/>
      <c r="C21" t="s">
        <v>17</v>
      </c>
      <c r="D21" s="192">
        <f ca="1">'2. Estado de situación'!I17</f>
        <v>2529479</v>
      </c>
      <c r="F21" t="s">
        <v>2689</v>
      </c>
      <c r="G21" t="s">
        <v>1283</v>
      </c>
      <c r="H21" s="192">
        <f>'Nota 12'!N86</f>
        <v>2529479</v>
      </c>
      <c r="I21" s="696" t="str">
        <f t="shared" ca="1" si="4"/>
        <v>OK</v>
      </c>
      <c r="K21" s="192">
        <f t="shared" ca="1" si="3"/>
        <v>0</v>
      </c>
    </row>
    <row r="22" spans="2:11">
      <c r="B22" s="1553"/>
      <c r="C22" t="s">
        <v>19</v>
      </c>
      <c r="D22" s="192">
        <f ca="1">'2. Estado de situación'!I19</f>
        <v>153329844</v>
      </c>
      <c r="F22" t="s">
        <v>2690</v>
      </c>
      <c r="G22" t="s">
        <v>1389</v>
      </c>
      <c r="H22" s="192">
        <f>'Nota 14'!H16</f>
        <v>153329844</v>
      </c>
      <c r="I22" s="696" t="str">
        <f t="shared" ca="1" si="4"/>
        <v>OK</v>
      </c>
      <c r="K22" s="192">
        <f t="shared" ca="1" si="3"/>
        <v>0</v>
      </c>
    </row>
    <row r="23" spans="2:11">
      <c r="B23" s="1553"/>
      <c r="C23" t="s">
        <v>20</v>
      </c>
      <c r="D23" s="192">
        <f ca="1">'2. Estado de situación'!I20</f>
        <v>137825867</v>
      </c>
      <c r="F23" t="s">
        <v>2690</v>
      </c>
      <c r="G23" t="s">
        <v>769</v>
      </c>
      <c r="H23" s="192">
        <f>'Nota 14'!L31</f>
        <v>137825867</v>
      </c>
      <c r="I23" s="696" t="str">
        <f t="shared" ca="1" si="4"/>
        <v>OK</v>
      </c>
      <c r="K23" s="192">
        <f t="shared" ca="1" si="3"/>
        <v>0</v>
      </c>
    </row>
    <row r="24" spans="2:11">
      <c r="B24" s="1553"/>
      <c r="C24" t="s">
        <v>22</v>
      </c>
      <c r="D24" s="192">
        <f ca="1">'2. Estado de situación'!I22</f>
        <v>0</v>
      </c>
      <c r="F24" t="s">
        <v>2690</v>
      </c>
      <c r="G24" t="s">
        <v>1389</v>
      </c>
      <c r="H24" s="192">
        <f>'Nota 14'!H57</f>
        <v>0</v>
      </c>
      <c r="I24" s="696" t="str">
        <f t="shared" ca="1" si="4"/>
        <v>OK</v>
      </c>
      <c r="K24" s="192">
        <f t="shared" ca="1" si="3"/>
        <v>0</v>
      </c>
    </row>
    <row r="25" spans="2:11">
      <c r="B25" s="1553"/>
      <c r="C25" t="s">
        <v>23</v>
      </c>
      <c r="D25" s="192">
        <f ca="1">'2. Estado de situación'!I23</f>
        <v>1758434</v>
      </c>
      <c r="F25" t="s">
        <v>2691</v>
      </c>
      <c r="G25" t="s">
        <v>1969</v>
      </c>
      <c r="H25" s="192">
        <f>'Nota 48'!G130</f>
        <v>1758434</v>
      </c>
      <c r="I25" s="696" t="str">
        <f t="shared" ca="1" si="4"/>
        <v>OK</v>
      </c>
      <c r="K25" s="192">
        <f t="shared" ca="1" si="3"/>
        <v>0</v>
      </c>
    </row>
    <row r="26" spans="2:11">
      <c r="B26" s="1553"/>
      <c r="C26" t="s">
        <v>24</v>
      </c>
      <c r="D26" s="192">
        <f>'2. Estado de situación'!I24</f>
        <v>0</v>
      </c>
      <c r="F26" t="s">
        <v>2693</v>
      </c>
      <c r="G26" t="s">
        <v>2692</v>
      </c>
      <c r="H26" s="192">
        <f>'Nota 15'!C8</f>
        <v>0</v>
      </c>
      <c r="I26" s="696" t="str">
        <f t="shared" si="4"/>
        <v>OK</v>
      </c>
      <c r="K26" s="192">
        <f t="shared" si="3"/>
        <v>0</v>
      </c>
    </row>
    <row r="27" spans="2:11">
      <c r="B27" s="1553"/>
      <c r="C27" t="s">
        <v>27</v>
      </c>
      <c r="D27" s="192">
        <f ca="1">'2. Estado de situación'!I27</f>
        <v>47148059</v>
      </c>
      <c r="F27" t="s">
        <v>2694</v>
      </c>
      <c r="G27" t="s">
        <v>1422</v>
      </c>
      <c r="H27" s="192">
        <f>'Nota 16'!F9</f>
        <v>47148059</v>
      </c>
      <c r="I27" s="696" t="str">
        <f t="shared" ca="1" si="4"/>
        <v>OK</v>
      </c>
      <c r="K27" s="192">
        <f t="shared" ca="1" si="3"/>
        <v>0</v>
      </c>
    </row>
    <row r="28" spans="2:11">
      <c r="B28" s="1553"/>
      <c r="C28" s="699" t="s">
        <v>28</v>
      </c>
      <c r="D28" s="192">
        <f ca="1">'2. Estado de situación'!I28</f>
        <v>851176</v>
      </c>
      <c r="F28" t="s">
        <v>2695</v>
      </c>
      <c r="G28" t="s">
        <v>432</v>
      </c>
      <c r="H28" s="192">
        <f>'Nota 17'!G13</f>
        <v>851176</v>
      </c>
      <c r="I28" s="696" t="str">
        <f t="shared" ca="1" si="4"/>
        <v>OK</v>
      </c>
      <c r="K28" s="192">
        <f t="shared" ca="1" si="3"/>
        <v>0</v>
      </c>
    </row>
    <row r="29" spans="2:11">
      <c r="B29" s="1553"/>
      <c r="C29" t="s">
        <v>29</v>
      </c>
      <c r="D29" s="192">
        <f ca="1">'2. Estado de situación'!I29</f>
        <v>851176</v>
      </c>
      <c r="F29" t="s">
        <v>2695</v>
      </c>
      <c r="G29" t="s">
        <v>1503</v>
      </c>
      <c r="H29" s="192">
        <f>'Nota 17.1'!F81</f>
        <v>851176</v>
      </c>
      <c r="I29" s="696" t="str">
        <f t="shared" ca="1" si="4"/>
        <v>OK</v>
      </c>
      <c r="K29" s="192">
        <f t="shared" ca="1" si="3"/>
        <v>0</v>
      </c>
    </row>
    <row r="30" spans="2:11">
      <c r="B30" s="1553"/>
      <c r="C30" t="s">
        <v>33</v>
      </c>
      <c r="D30" s="192">
        <f ca="1">'2. Estado de situación'!I33</f>
        <v>15820</v>
      </c>
      <c r="F30" t="s">
        <v>2696</v>
      </c>
      <c r="G30" t="s">
        <v>432</v>
      </c>
      <c r="H30" s="192">
        <f>'Nota 18'!G12</f>
        <v>15820</v>
      </c>
      <c r="I30" s="696" t="str">
        <f t="shared" ca="1" si="4"/>
        <v>OK</v>
      </c>
      <c r="J30" s="192">
        <f ca="1">+D30-H30</f>
        <v>0</v>
      </c>
      <c r="K30" s="192">
        <f t="shared" ca="1" si="3"/>
        <v>0</v>
      </c>
    </row>
    <row r="31" spans="2:11">
      <c r="B31" s="1553"/>
      <c r="C31" t="s">
        <v>37</v>
      </c>
      <c r="D31" s="192">
        <f ca="1">'2. Estado de situación'!I37</f>
        <v>68520824</v>
      </c>
      <c r="F31" t="s">
        <v>2697</v>
      </c>
      <c r="G31" t="s">
        <v>432</v>
      </c>
      <c r="H31" s="192">
        <f>'Nota 19'!J24</f>
        <v>68520824</v>
      </c>
      <c r="I31" s="696" t="str">
        <f t="shared" ca="1" si="4"/>
        <v>OK</v>
      </c>
      <c r="K31" s="192">
        <f t="shared" ca="1" si="3"/>
        <v>0</v>
      </c>
    </row>
    <row r="32" spans="2:11">
      <c r="B32" s="1553"/>
      <c r="C32" t="s">
        <v>38</v>
      </c>
      <c r="D32" s="192">
        <f ca="1">'2. Estado de situación'!I38</f>
        <v>367717</v>
      </c>
      <c r="F32" t="s">
        <v>2697</v>
      </c>
      <c r="G32" t="s">
        <v>439</v>
      </c>
      <c r="H32" s="192">
        <f>'Nota 19'!J8</f>
        <v>367717</v>
      </c>
      <c r="I32" s="696" t="str">
        <f t="shared" ca="1" si="4"/>
        <v>OK</v>
      </c>
      <c r="K32" s="192">
        <f t="shared" ca="1" si="3"/>
        <v>0</v>
      </c>
    </row>
    <row r="33" spans="2:11">
      <c r="B33" s="1553"/>
      <c r="C33" t="s">
        <v>38</v>
      </c>
      <c r="D33" s="192">
        <f ca="1">'2. Estado de situación'!I38</f>
        <v>367717</v>
      </c>
      <c r="F33" t="s">
        <v>2691</v>
      </c>
      <c r="G33" t="s">
        <v>1903</v>
      </c>
      <c r="H33" s="192">
        <f ca="1">'Nota 48'!E29</f>
        <v>367717</v>
      </c>
      <c r="I33" s="696" t="str">
        <f t="shared" ref="I33:I105" ca="1" si="5">IF(D33-H33=0,"OK","ERROR")</f>
        <v>OK</v>
      </c>
      <c r="K33" s="192">
        <f t="shared" ca="1" si="3"/>
        <v>0</v>
      </c>
    </row>
    <row r="34" spans="2:11">
      <c r="B34" s="1553"/>
      <c r="C34" t="s">
        <v>39</v>
      </c>
      <c r="D34" s="192">
        <f ca="1">'2. Estado de situación'!I39</f>
        <v>66529859</v>
      </c>
      <c r="F34" t="s">
        <v>2697</v>
      </c>
      <c r="G34" t="s">
        <v>440</v>
      </c>
      <c r="H34" s="192">
        <f>'Nota 19'!J9</f>
        <v>66529859</v>
      </c>
      <c r="I34" s="696" t="str">
        <f t="shared" ca="1" si="5"/>
        <v>OK</v>
      </c>
      <c r="K34" s="192">
        <f t="shared" ca="1" si="3"/>
        <v>0</v>
      </c>
    </row>
    <row r="35" spans="2:11">
      <c r="B35" s="1553"/>
      <c r="C35" t="s">
        <v>40</v>
      </c>
      <c r="D35" s="192">
        <f ca="1">'2. Estado de situación'!I40</f>
        <v>20329986</v>
      </c>
      <c r="F35" t="s">
        <v>2697</v>
      </c>
      <c r="G35" t="s">
        <v>441</v>
      </c>
      <c r="H35" s="192">
        <f>'Nota 19'!J10</f>
        <v>20329986</v>
      </c>
      <c r="I35" s="696" t="str">
        <f t="shared" ca="1" si="5"/>
        <v>OK</v>
      </c>
      <c r="K35" s="192">
        <f t="shared" ca="1" si="3"/>
        <v>0</v>
      </c>
    </row>
    <row r="36" spans="2:11">
      <c r="B36" s="1553"/>
      <c r="C36" t="s">
        <v>40</v>
      </c>
      <c r="D36" s="192">
        <f ca="1">'2. Estado de situación'!I40</f>
        <v>20329986</v>
      </c>
      <c r="F36" t="s">
        <v>2691</v>
      </c>
      <c r="G36" t="s">
        <v>40</v>
      </c>
      <c r="H36" s="192">
        <f ca="1">'Nota 48'!E22</f>
        <v>20329986</v>
      </c>
      <c r="I36" s="696" t="str">
        <f t="shared" ca="1" si="5"/>
        <v>OK</v>
      </c>
      <c r="K36" s="192">
        <f t="shared" ca="1" si="3"/>
        <v>0</v>
      </c>
    </row>
    <row r="37" spans="2:11">
      <c r="B37" s="1553"/>
      <c r="C37" t="s">
        <v>41</v>
      </c>
      <c r="D37" s="192">
        <f ca="1">'2. Estado de situación'!I41</f>
        <v>46199873</v>
      </c>
      <c r="F37" t="s">
        <v>2697</v>
      </c>
      <c r="G37" t="s">
        <v>442</v>
      </c>
      <c r="H37" s="192">
        <f>'Nota 19'!J11</f>
        <v>46199873</v>
      </c>
      <c r="I37" s="696" t="str">
        <f t="shared" ca="1" si="5"/>
        <v>OK</v>
      </c>
      <c r="K37" s="192">
        <f t="shared" ca="1" si="3"/>
        <v>0</v>
      </c>
    </row>
    <row r="38" spans="2:11">
      <c r="B38" s="1553"/>
      <c r="C38" t="s">
        <v>41</v>
      </c>
      <c r="D38" s="192">
        <f ca="1">'2. Estado de situación'!I41</f>
        <v>46199873</v>
      </c>
      <c r="F38" t="s">
        <v>2691</v>
      </c>
      <c r="G38" t="s">
        <v>41</v>
      </c>
      <c r="H38" s="192">
        <f ca="1">'Nota 48'!E25</f>
        <v>46199873</v>
      </c>
      <c r="I38" s="696" t="str">
        <f t="shared" ca="1" si="5"/>
        <v>OK</v>
      </c>
      <c r="K38" s="192">
        <f t="shared" ca="1" si="3"/>
        <v>0</v>
      </c>
    </row>
    <row r="39" spans="2:11">
      <c r="B39" s="1553"/>
      <c r="C39" t="s">
        <v>42</v>
      </c>
      <c r="D39" s="192">
        <f ca="1">'2. Estado de situación'!I42</f>
        <v>0</v>
      </c>
      <c r="F39" t="s">
        <v>2697</v>
      </c>
      <c r="G39" t="s">
        <v>443</v>
      </c>
      <c r="H39" s="192">
        <f>'Nota 19'!J12</f>
        <v>0</v>
      </c>
      <c r="I39" s="696" t="str">
        <f t="shared" ca="1" si="5"/>
        <v>OK</v>
      </c>
      <c r="K39" s="192">
        <f t="shared" ca="1" si="3"/>
        <v>0</v>
      </c>
    </row>
    <row r="40" spans="2:11">
      <c r="B40" s="1553"/>
      <c r="C40" t="s">
        <v>42</v>
      </c>
      <c r="D40" s="192">
        <f ca="1">'2. Estado de situación'!I42</f>
        <v>0</v>
      </c>
      <c r="F40" t="s">
        <v>2691</v>
      </c>
      <c r="G40" t="s">
        <v>42</v>
      </c>
      <c r="H40" s="192">
        <f ca="1">'Nota 48'!E32</f>
        <v>0</v>
      </c>
      <c r="I40" s="696" t="str">
        <f t="shared" ca="1" si="5"/>
        <v>OK</v>
      </c>
      <c r="K40" s="192">
        <f t="shared" ca="1" si="3"/>
        <v>0</v>
      </c>
    </row>
    <row r="41" spans="2:11">
      <c r="B41" s="1553"/>
      <c r="C41" t="s">
        <v>43</v>
      </c>
      <c r="D41" s="192">
        <f ca="1">'2. Estado de situación'!I43</f>
        <v>0</v>
      </c>
      <c r="F41" t="s">
        <v>2697</v>
      </c>
      <c r="G41" t="s">
        <v>444</v>
      </c>
      <c r="H41" s="192">
        <f>'Nota 19'!J13</f>
        <v>0</v>
      </c>
      <c r="I41" s="696" t="str">
        <f t="shared" ca="1" si="5"/>
        <v>OK</v>
      </c>
      <c r="K41" s="192">
        <f t="shared" ca="1" si="3"/>
        <v>0</v>
      </c>
    </row>
    <row r="42" spans="2:11">
      <c r="B42" s="1553"/>
      <c r="C42" t="s">
        <v>43</v>
      </c>
      <c r="D42" s="192">
        <f ca="1">'2. Estado de situación'!I43</f>
        <v>0</v>
      </c>
      <c r="F42" t="s">
        <v>2691</v>
      </c>
      <c r="G42" t="s">
        <v>43</v>
      </c>
      <c r="H42" s="192">
        <f ca="1">'Nota 48'!E36</f>
        <v>0</v>
      </c>
      <c r="I42" s="696" t="str">
        <f t="shared" ca="1" si="5"/>
        <v>OK</v>
      </c>
      <c r="K42" s="192">
        <f t="shared" ca="1" si="3"/>
        <v>0</v>
      </c>
    </row>
    <row r="43" spans="2:11">
      <c r="B43" s="1553"/>
      <c r="C43" t="s">
        <v>44</v>
      </c>
      <c r="D43" s="192">
        <f ca="1">'2. Estado de situación'!I44</f>
        <v>911782</v>
      </c>
      <c r="F43" t="s">
        <v>2697</v>
      </c>
      <c r="G43" t="s">
        <v>445</v>
      </c>
      <c r="H43" s="192">
        <f>'Nota 19'!J14</f>
        <v>911782</v>
      </c>
      <c r="I43" s="696" t="str">
        <f t="shared" ca="1" si="5"/>
        <v>OK</v>
      </c>
      <c r="K43" s="192">
        <f t="shared" ca="1" si="3"/>
        <v>0</v>
      </c>
    </row>
    <row r="44" spans="2:11">
      <c r="B44" s="1553"/>
      <c r="C44" t="s">
        <v>44</v>
      </c>
      <c r="D44" s="192">
        <f ca="1">'2. Estado de situación'!I44</f>
        <v>911782</v>
      </c>
      <c r="F44" t="s">
        <v>2691</v>
      </c>
      <c r="G44" t="s">
        <v>44</v>
      </c>
      <c r="H44" s="192">
        <f ca="1">'Nota 48'!E40</f>
        <v>911782</v>
      </c>
      <c r="I44" s="696" t="str">
        <f t="shared" ca="1" si="5"/>
        <v>OK</v>
      </c>
      <c r="K44" s="192">
        <f t="shared" ca="1" si="3"/>
        <v>0</v>
      </c>
    </row>
    <row r="45" spans="2:11">
      <c r="B45" s="1553"/>
      <c r="C45" t="s">
        <v>45</v>
      </c>
      <c r="D45" s="192">
        <f ca="1">'2. Estado de situación'!I45</f>
        <v>711466</v>
      </c>
      <c r="F45" t="s">
        <v>2697</v>
      </c>
      <c r="G45" t="s">
        <v>452</v>
      </c>
      <c r="H45" s="192">
        <f>'Nota 19'!J21</f>
        <v>711466</v>
      </c>
      <c r="I45" s="696" t="str">
        <f t="shared" ca="1" si="5"/>
        <v>OK</v>
      </c>
      <c r="K45" s="192">
        <f t="shared" ca="1" si="3"/>
        <v>0</v>
      </c>
    </row>
    <row r="46" spans="2:11">
      <c r="B46" s="1553"/>
      <c r="C46" t="s">
        <v>45</v>
      </c>
      <c r="D46" s="192">
        <f ca="1">'2. Estado de situación'!I45</f>
        <v>711466</v>
      </c>
      <c r="F46" t="s">
        <v>2691</v>
      </c>
      <c r="G46" t="s">
        <v>45</v>
      </c>
      <c r="H46" s="192">
        <f ca="1">'Nota 48'!E45</f>
        <v>711466</v>
      </c>
      <c r="I46" s="696" t="str">
        <f t="shared" ca="1" si="5"/>
        <v>OK</v>
      </c>
      <c r="K46" s="192">
        <f t="shared" ca="1" si="3"/>
        <v>0</v>
      </c>
    </row>
    <row r="47" spans="2:11">
      <c r="B47" s="1553"/>
      <c r="C47" t="s">
        <v>46</v>
      </c>
      <c r="D47" s="192">
        <f>'2. Estado de situación'!I46</f>
        <v>0</v>
      </c>
      <c r="F47" t="s">
        <v>2697</v>
      </c>
      <c r="G47" t="s">
        <v>453</v>
      </c>
      <c r="H47" s="192">
        <f>'Nota 19'!J22</f>
        <v>0</v>
      </c>
      <c r="I47" s="696" t="str">
        <f t="shared" si="5"/>
        <v>OK</v>
      </c>
      <c r="K47" s="192">
        <f t="shared" si="3"/>
        <v>0</v>
      </c>
    </row>
    <row r="48" spans="2:11">
      <c r="B48" s="1553"/>
      <c r="C48" t="s">
        <v>46</v>
      </c>
      <c r="D48" s="192">
        <f>'2. Estado de situación'!I46</f>
        <v>0</v>
      </c>
      <c r="F48" t="s">
        <v>2691</v>
      </c>
      <c r="G48" t="s">
        <v>46</v>
      </c>
      <c r="H48" s="192">
        <f>'Nota 48'!E48</f>
        <v>0</v>
      </c>
      <c r="I48" s="696" t="str">
        <f t="shared" si="5"/>
        <v>OK</v>
      </c>
      <c r="K48" s="192">
        <f t="shared" si="3"/>
        <v>0</v>
      </c>
    </row>
    <row r="49" spans="2:11">
      <c r="B49" s="1553"/>
      <c r="C49" t="s">
        <v>52</v>
      </c>
      <c r="D49" s="192">
        <f ca="1">'2. Estado de situación'!I52</f>
        <v>6426998</v>
      </c>
      <c r="F49" t="s">
        <v>2698</v>
      </c>
      <c r="G49" t="s">
        <v>432</v>
      </c>
      <c r="H49" s="192">
        <f>'Nota 21'!E14</f>
        <v>6426998</v>
      </c>
      <c r="I49" s="696" t="str">
        <f t="shared" ca="1" si="5"/>
        <v>OK</v>
      </c>
      <c r="K49" s="192">
        <f t="shared" ca="1" si="3"/>
        <v>0</v>
      </c>
    </row>
    <row r="50" spans="2:11">
      <c r="B50" s="1553"/>
      <c r="C50" t="s">
        <v>56</v>
      </c>
      <c r="D50" s="192">
        <f ca="1">'2. Estado de situación'!I56</f>
        <v>76723</v>
      </c>
      <c r="F50" t="s">
        <v>2699</v>
      </c>
      <c r="G50" t="s">
        <v>432</v>
      </c>
      <c r="H50" s="192">
        <f>'Nota 22'!G12</f>
        <v>76723</v>
      </c>
      <c r="I50" s="696" t="str">
        <f t="shared" ca="1" si="5"/>
        <v>OK</v>
      </c>
      <c r="K50" s="192">
        <f t="shared" ca="1" si="3"/>
        <v>0</v>
      </c>
    </row>
    <row r="51" spans="2:11">
      <c r="B51" s="1553"/>
      <c r="C51" t="s">
        <v>57</v>
      </c>
      <c r="D51" s="192">
        <f ca="1">'2. Estado de situación'!I57</f>
        <v>1052267</v>
      </c>
      <c r="F51" t="s">
        <v>2700</v>
      </c>
      <c r="G51" t="s">
        <v>1978</v>
      </c>
      <c r="H51" s="192">
        <f>'Nota 49'!K27</f>
        <v>1052267</v>
      </c>
      <c r="I51" s="696" t="str">
        <f t="shared" ca="1" si="5"/>
        <v>OK</v>
      </c>
      <c r="K51" s="192">
        <f t="shared" ca="1" si="3"/>
        <v>0</v>
      </c>
    </row>
    <row r="52" spans="2:11">
      <c r="B52" s="1553"/>
      <c r="C52" t="s">
        <v>59</v>
      </c>
      <c r="D52" s="192">
        <f ca="1">'2. Estado de situación'!I59</f>
        <v>7801036</v>
      </c>
      <c r="F52" t="s">
        <v>2699</v>
      </c>
      <c r="G52" t="s">
        <v>579</v>
      </c>
      <c r="H52" s="192">
        <f>'Nota 22'!E36</f>
        <v>7801036</v>
      </c>
      <c r="I52" s="696" t="str">
        <f t="shared" ca="1" si="5"/>
        <v>OK</v>
      </c>
      <c r="K52" s="192">
        <f t="shared" ca="1" si="3"/>
        <v>0</v>
      </c>
    </row>
    <row r="53" spans="2:11" s="785" customFormat="1">
      <c r="B53" s="1553"/>
      <c r="C53" s="785" t="s">
        <v>53</v>
      </c>
      <c r="D53" s="786">
        <f ca="1">'2. Estado de situación'!I53</f>
        <v>12750062</v>
      </c>
      <c r="E53" s="787"/>
      <c r="F53" s="785" t="s">
        <v>2698</v>
      </c>
      <c r="G53" s="785" t="s">
        <v>2754</v>
      </c>
      <c r="H53" s="786">
        <f>'Nota 21'!G25+'Nota 21'!G50</f>
        <v>12750062</v>
      </c>
      <c r="I53" s="788" t="str">
        <f t="shared" ca="1" si="5"/>
        <v>OK</v>
      </c>
      <c r="K53" s="192">
        <f t="shared" ca="1" si="3"/>
        <v>0</v>
      </c>
    </row>
    <row r="54" spans="2:11">
      <c r="B54" s="1553"/>
      <c r="C54" t="s">
        <v>62</v>
      </c>
      <c r="D54" s="192">
        <f ca="1">'2. Estado de situación'!I62</f>
        <v>0</v>
      </c>
      <c r="F54" t="s">
        <v>2761</v>
      </c>
      <c r="G54" t="s">
        <v>2765</v>
      </c>
      <c r="H54" s="192">
        <f>'Nota 23'!E11+'Nota 23'!N80+'Nota 23'!E94</f>
        <v>0</v>
      </c>
      <c r="I54" s="696" t="str">
        <f t="shared" ca="1" si="5"/>
        <v>OK</v>
      </c>
      <c r="K54" s="192">
        <f t="shared" ca="1" si="3"/>
        <v>0</v>
      </c>
    </row>
    <row r="55" spans="2:11">
      <c r="B55" s="1553"/>
      <c r="C55" t="s">
        <v>65</v>
      </c>
      <c r="D55" s="192">
        <f ca="1">'2. Estado de situación'!I65</f>
        <v>1930950837</v>
      </c>
      <c r="F55" t="s">
        <v>2697</v>
      </c>
      <c r="G55" t="s">
        <v>432</v>
      </c>
      <c r="H55" s="192">
        <f>'Nota 19'!G24</f>
        <v>1930950837</v>
      </c>
      <c r="I55" s="696" t="str">
        <f t="shared" ca="1" si="5"/>
        <v>OK</v>
      </c>
      <c r="K55" s="192">
        <f t="shared" ca="1" si="3"/>
        <v>0</v>
      </c>
    </row>
    <row r="56" spans="2:11">
      <c r="B56" s="1553"/>
      <c r="C56" t="s">
        <v>66</v>
      </c>
      <c r="D56" s="192">
        <f ca="1">'2. Estado de situación'!I66</f>
        <v>15621002</v>
      </c>
      <c r="F56" t="s">
        <v>2697</v>
      </c>
      <c r="G56" t="s">
        <v>439</v>
      </c>
      <c r="H56" s="192">
        <f>'Nota 19'!G8</f>
        <v>15621002</v>
      </c>
      <c r="I56" s="696" t="str">
        <f t="shared" ca="1" si="5"/>
        <v>OK</v>
      </c>
      <c r="K56" s="192">
        <f t="shared" ca="1" si="3"/>
        <v>0</v>
      </c>
    </row>
    <row r="57" spans="2:11">
      <c r="B57" s="1553"/>
      <c r="C57" t="s">
        <v>66</v>
      </c>
      <c r="D57" s="192">
        <f ca="1">'2. Estado de situación'!I66</f>
        <v>15621002</v>
      </c>
      <c r="F57" t="s">
        <v>2701</v>
      </c>
      <c r="G57" t="s">
        <v>1567</v>
      </c>
      <c r="H57" s="192">
        <f>'Nota 25'!E13</f>
        <v>15621002</v>
      </c>
      <c r="I57" s="696" t="str">
        <f t="shared" ca="1" si="5"/>
        <v>OK</v>
      </c>
      <c r="K57" s="192">
        <f t="shared" ca="1" si="3"/>
        <v>0</v>
      </c>
    </row>
    <row r="58" spans="2:11">
      <c r="B58" s="1553"/>
      <c r="C58" t="s">
        <v>66</v>
      </c>
      <c r="D58" s="192">
        <f ca="1">'2. Estado de situación'!I66</f>
        <v>15621002</v>
      </c>
      <c r="F58" t="s">
        <v>2691</v>
      </c>
      <c r="G58" t="s">
        <v>1902</v>
      </c>
      <c r="H58" s="192">
        <f ca="1">'Nota 48'!E28</f>
        <v>15621002</v>
      </c>
      <c r="I58" s="696" t="str">
        <f t="shared" ca="1" si="5"/>
        <v>OK</v>
      </c>
      <c r="K58" s="192">
        <f t="shared" ca="1" si="3"/>
        <v>0</v>
      </c>
    </row>
    <row r="59" spans="2:11">
      <c r="B59" s="1553"/>
      <c r="C59" t="s">
        <v>66</v>
      </c>
      <c r="D59" s="192">
        <f ca="1">'2. Estado de situación'!I66</f>
        <v>15621002</v>
      </c>
      <c r="F59" t="s">
        <v>2720</v>
      </c>
      <c r="G59" t="s">
        <v>2473</v>
      </c>
      <c r="H59" s="192">
        <f>'602'!BO52</f>
        <v>15621002</v>
      </c>
      <c r="I59" s="696" t="str">
        <f t="shared" ca="1" si="5"/>
        <v>OK</v>
      </c>
      <c r="K59" s="192">
        <f t="shared" ca="1" si="3"/>
        <v>0</v>
      </c>
    </row>
    <row r="60" spans="2:11">
      <c r="B60" s="1553"/>
      <c r="C60" t="s">
        <v>67</v>
      </c>
      <c r="D60" s="192">
        <f ca="1">'2. Estado de situación'!I67</f>
        <v>1609271677</v>
      </c>
      <c r="F60" t="s">
        <v>2697</v>
      </c>
      <c r="G60" t="s">
        <v>440</v>
      </c>
      <c r="H60" s="192">
        <f>'Nota 19'!G9</f>
        <v>1609271677</v>
      </c>
      <c r="I60" s="696" t="str">
        <f t="shared" ca="1" si="5"/>
        <v>OK</v>
      </c>
      <c r="K60" s="192">
        <f t="shared" ca="1" si="3"/>
        <v>0</v>
      </c>
    </row>
    <row r="61" spans="2:11">
      <c r="B61" s="1553"/>
      <c r="C61" t="s">
        <v>68</v>
      </c>
      <c r="D61" s="192">
        <f ca="1">'2. Estado de situación'!I68</f>
        <v>1491349572</v>
      </c>
      <c r="F61" t="s">
        <v>2697</v>
      </c>
      <c r="G61" t="s">
        <v>441</v>
      </c>
      <c r="H61" s="192">
        <f>'Nota 19'!G10</f>
        <v>1491349572</v>
      </c>
      <c r="I61" s="696" t="str">
        <f t="shared" ca="1" si="5"/>
        <v>OK</v>
      </c>
      <c r="K61" s="192">
        <f t="shared" ca="1" si="3"/>
        <v>0</v>
      </c>
    </row>
    <row r="62" spans="2:11">
      <c r="B62" s="1553"/>
      <c r="C62" t="s">
        <v>68</v>
      </c>
      <c r="D62" s="192">
        <f ca="1">'2. Estado de situación'!I68</f>
        <v>1491349572</v>
      </c>
      <c r="F62" t="s">
        <v>2701</v>
      </c>
      <c r="G62" t="s">
        <v>1575</v>
      </c>
      <c r="H62" s="192">
        <f>'Nota 25'!E30</f>
        <v>1491349572</v>
      </c>
      <c r="I62" s="696" t="str">
        <f t="shared" ca="1" si="5"/>
        <v>OK</v>
      </c>
      <c r="K62" s="192">
        <f t="shared" ca="1" si="3"/>
        <v>0</v>
      </c>
    </row>
    <row r="63" spans="2:11">
      <c r="B63" s="1553"/>
      <c r="C63" t="s">
        <v>68</v>
      </c>
      <c r="D63" s="192">
        <f ca="1">'2. Estado de situación'!I68</f>
        <v>1491349572</v>
      </c>
      <c r="F63" t="s">
        <v>2691</v>
      </c>
      <c r="G63" t="s">
        <v>1900</v>
      </c>
      <c r="H63" s="192">
        <f ca="1">'Nota 48'!E21</f>
        <v>1491349572</v>
      </c>
      <c r="I63" s="696" t="str">
        <f t="shared" ca="1" si="5"/>
        <v>OK</v>
      </c>
      <c r="K63" s="192">
        <f t="shared" ca="1" si="3"/>
        <v>0</v>
      </c>
    </row>
    <row r="64" spans="2:11">
      <c r="B64" s="1553"/>
      <c r="C64" t="s">
        <v>69</v>
      </c>
      <c r="D64" s="192">
        <f ca="1">'2. Estado de situación'!I69</f>
        <v>117922105</v>
      </c>
      <c r="F64" t="s">
        <v>2691</v>
      </c>
      <c r="G64" t="s">
        <v>69</v>
      </c>
      <c r="H64" s="192">
        <f ca="1">'Nota 48'!E24</f>
        <v>117922105</v>
      </c>
      <c r="I64" s="696" t="str">
        <f t="shared" ca="1" si="5"/>
        <v>OK</v>
      </c>
      <c r="K64" s="192">
        <f t="shared" ca="1" si="3"/>
        <v>0</v>
      </c>
    </row>
    <row r="65" spans="2:11">
      <c r="B65" s="1553"/>
      <c r="C65" t="s">
        <v>69</v>
      </c>
      <c r="D65" s="192">
        <f ca="1">'2. Estado de situación'!I69</f>
        <v>117922105</v>
      </c>
      <c r="F65" t="s">
        <v>2701</v>
      </c>
      <c r="G65" t="s">
        <v>1583</v>
      </c>
      <c r="H65" s="192">
        <f>'Nota 25'!E45</f>
        <v>117922105</v>
      </c>
      <c r="I65" s="696" t="str">
        <f t="shared" ca="1" si="5"/>
        <v>OK</v>
      </c>
      <c r="K65" s="192">
        <f t="shared" ca="1" si="3"/>
        <v>0</v>
      </c>
    </row>
    <row r="66" spans="2:11">
      <c r="B66" s="1553"/>
      <c r="C66" t="s">
        <v>69</v>
      </c>
      <c r="D66" s="192">
        <f ca="1">'2. Estado de situación'!I69</f>
        <v>117922105</v>
      </c>
      <c r="F66" t="s">
        <v>2697</v>
      </c>
      <c r="G66" t="s">
        <v>442</v>
      </c>
      <c r="H66" s="192">
        <f>'Nota 19'!G11</f>
        <v>117922105</v>
      </c>
      <c r="I66" s="696" t="str">
        <f t="shared" ca="1" si="5"/>
        <v>OK</v>
      </c>
      <c r="K66" s="192">
        <f t="shared" ca="1" si="3"/>
        <v>0</v>
      </c>
    </row>
    <row r="67" spans="2:11">
      <c r="B67" s="1553"/>
      <c r="C67" t="s">
        <v>70</v>
      </c>
      <c r="D67" s="192">
        <f ca="1">'2. Estado de situación'!I70</f>
        <v>34625496</v>
      </c>
      <c r="F67" t="s">
        <v>2697</v>
      </c>
      <c r="G67" t="s">
        <v>443</v>
      </c>
      <c r="H67" s="192">
        <f>'Nota 19'!G12</f>
        <v>34625496</v>
      </c>
      <c r="I67" s="696" t="str">
        <f t="shared" ca="1" si="5"/>
        <v>OK</v>
      </c>
      <c r="K67" s="192">
        <f t="shared" ca="1" si="3"/>
        <v>0</v>
      </c>
    </row>
    <row r="68" spans="2:11">
      <c r="B68" s="1553"/>
      <c r="C68" t="s">
        <v>70</v>
      </c>
      <c r="D68" s="192">
        <f ca="1">'2. Estado de situación'!I70</f>
        <v>34625496</v>
      </c>
      <c r="F68" t="s">
        <v>2701</v>
      </c>
      <c r="G68" t="s">
        <v>1588</v>
      </c>
      <c r="H68" s="192">
        <f>'Nota 25'!E62</f>
        <v>34625496</v>
      </c>
      <c r="I68" s="696" t="str">
        <f t="shared" ca="1" si="5"/>
        <v>OK</v>
      </c>
      <c r="K68" s="192">
        <f t="shared" ca="1" si="3"/>
        <v>0</v>
      </c>
    </row>
    <row r="69" spans="2:11">
      <c r="B69" s="1553"/>
      <c r="C69" t="s">
        <v>70</v>
      </c>
      <c r="D69" s="192">
        <f ca="1">'2. Estado de situación'!I70</f>
        <v>34625496</v>
      </c>
      <c r="F69" t="s">
        <v>2691</v>
      </c>
      <c r="G69" t="s">
        <v>70</v>
      </c>
      <c r="H69" s="192">
        <f ca="1">'Nota 48'!E31</f>
        <v>34625496</v>
      </c>
      <c r="I69" s="696" t="str">
        <f t="shared" ca="1" si="5"/>
        <v>OK</v>
      </c>
      <c r="K69" s="192">
        <f t="shared" ca="1" si="3"/>
        <v>0</v>
      </c>
    </row>
    <row r="70" spans="2:11">
      <c r="B70" s="1553"/>
      <c r="C70" t="s">
        <v>70</v>
      </c>
      <c r="D70" s="192">
        <f ca="1">'2. Estado de situación'!I70</f>
        <v>34625496</v>
      </c>
      <c r="F70" t="s">
        <v>2720</v>
      </c>
      <c r="G70" t="s">
        <v>2474</v>
      </c>
      <c r="H70" s="192">
        <f>'602'!BO53</f>
        <v>34625496</v>
      </c>
      <c r="I70" s="696" t="str">
        <f t="shared" ca="1" si="5"/>
        <v>OK</v>
      </c>
      <c r="K70" s="192">
        <f t="shared" ca="1" si="3"/>
        <v>0</v>
      </c>
    </row>
    <row r="71" spans="2:11">
      <c r="B71" s="1553"/>
      <c r="C71" t="s">
        <v>71</v>
      </c>
      <c r="D71" s="192">
        <f ca="1">'2. Estado de situación'!I71</f>
        <v>237638535</v>
      </c>
      <c r="F71" t="s">
        <v>2697</v>
      </c>
      <c r="G71" t="s">
        <v>454</v>
      </c>
      <c r="H71" s="192">
        <f>'Nota 19'!G23</f>
        <v>237638535</v>
      </c>
      <c r="I71" s="696" t="str">
        <f t="shared" ca="1" si="5"/>
        <v>OK</v>
      </c>
      <c r="K71" s="192">
        <f t="shared" ca="1" si="3"/>
        <v>0</v>
      </c>
    </row>
    <row r="72" spans="2:11">
      <c r="B72" s="1553"/>
      <c r="C72" t="s">
        <v>71</v>
      </c>
      <c r="D72" s="192">
        <f ca="1">'2. Estado de situación'!I71</f>
        <v>237638535</v>
      </c>
      <c r="F72" t="s">
        <v>2701</v>
      </c>
      <c r="G72" t="s">
        <v>454</v>
      </c>
      <c r="H72" s="192">
        <f>'Nota 25'!G73</f>
        <v>237638535</v>
      </c>
      <c r="I72" s="696" t="str">
        <f t="shared" ca="1" si="5"/>
        <v>OK</v>
      </c>
      <c r="K72" s="192">
        <f t="shared" ca="1" si="3"/>
        <v>0</v>
      </c>
    </row>
    <row r="73" spans="2:11">
      <c r="B73" s="1553"/>
      <c r="C73" t="s">
        <v>71</v>
      </c>
      <c r="D73" s="192">
        <f ca="1">'2. Estado de situación'!I71</f>
        <v>237638535</v>
      </c>
      <c r="F73" t="s">
        <v>2691</v>
      </c>
      <c r="G73" t="s">
        <v>71</v>
      </c>
      <c r="H73" s="192">
        <f ca="1">'Nota 48'!E33</f>
        <v>237638535</v>
      </c>
      <c r="I73" s="696" t="str">
        <f t="shared" ca="1" si="5"/>
        <v>OK</v>
      </c>
      <c r="K73" s="192">
        <f t="shared" ca="1" si="3"/>
        <v>0</v>
      </c>
    </row>
    <row r="74" spans="2:11">
      <c r="B74" s="1553"/>
      <c r="C74" t="s">
        <v>71</v>
      </c>
      <c r="D74" s="192">
        <f ca="1">'2. Estado de situación'!I71+'6. Cambios en el patrimonio'!I23</f>
        <v>237143037</v>
      </c>
      <c r="F74" t="s">
        <v>2729</v>
      </c>
      <c r="G74" t="s">
        <v>2548</v>
      </c>
      <c r="H74" s="192">
        <f>'605'!BO15</f>
        <v>237143037</v>
      </c>
      <c r="I74" s="696" t="str">
        <f t="shared" ca="1" si="5"/>
        <v>OK</v>
      </c>
      <c r="K74" s="192">
        <f t="shared" ca="1" si="3"/>
        <v>0</v>
      </c>
    </row>
    <row r="75" spans="2:11">
      <c r="B75" s="1553"/>
      <c r="C75" t="s">
        <v>72</v>
      </c>
      <c r="D75" s="192">
        <f ca="1">'2. Estado de situación'!I72</f>
        <v>14763120</v>
      </c>
      <c r="F75" t="s">
        <v>2697</v>
      </c>
      <c r="G75" t="s">
        <v>444</v>
      </c>
      <c r="H75" s="192">
        <f>'Nota 19'!G13</f>
        <v>14763120</v>
      </c>
      <c r="I75" s="696" t="str">
        <f t="shared" ca="1" si="5"/>
        <v>OK</v>
      </c>
      <c r="K75" s="192">
        <f t="shared" ca="1" si="3"/>
        <v>0</v>
      </c>
    </row>
    <row r="76" spans="2:11">
      <c r="B76" s="1553"/>
      <c r="C76" t="s">
        <v>72</v>
      </c>
      <c r="D76" s="192">
        <f ca="1">'2. Estado de situación'!I72</f>
        <v>14763120</v>
      </c>
      <c r="F76" t="s">
        <v>2701</v>
      </c>
      <c r="G76" t="s">
        <v>1606</v>
      </c>
      <c r="H76" s="192">
        <f>'Nota 25'!E192</f>
        <v>14763120</v>
      </c>
      <c r="I76" s="696" t="str">
        <f t="shared" ca="1" si="5"/>
        <v>OK</v>
      </c>
      <c r="K76" s="192">
        <f t="shared" ca="1" si="3"/>
        <v>0</v>
      </c>
    </row>
    <row r="77" spans="2:11">
      <c r="B77" s="1553"/>
      <c r="C77" t="s">
        <v>72</v>
      </c>
      <c r="D77" s="192">
        <f ca="1">'2. Estado de situación'!I72</f>
        <v>14763120</v>
      </c>
      <c r="F77" t="s">
        <v>2691</v>
      </c>
      <c r="G77" t="s">
        <v>1904</v>
      </c>
      <c r="H77" s="192">
        <f ca="1">'Nota 48'!E35</f>
        <v>14763120</v>
      </c>
      <c r="I77" s="696" t="str">
        <f t="shared" ca="1" si="5"/>
        <v>OK</v>
      </c>
      <c r="K77" s="192">
        <f t="shared" ca="1" si="3"/>
        <v>0</v>
      </c>
    </row>
    <row r="78" spans="2:11">
      <c r="B78" s="1553"/>
      <c r="C78" t="s">
        <v>73</v>
      </c>
      <c r="D78" s="192">
        <f ca="1">'2. Estado de situación'!I73</f>
        <v>17881158</v>
      </c>
      <c r="F78" t="s">
        <v>2697</v>
      </c>
      <c r="G78" t="s">
        <v>445</v>
      </c>
      <c r="H78" s="192">
        <f>'Nota 19'!G14</f>
        <v>17881158</v>
      </c>
      <c r="I78" s="696" t="str">
        <f t="shared" ca="1" si="5"/>
        <v>OK</v>
      </c>
      <c r="K78" s="192">
        <f t="shared" ca="1" si="3"/>
        <v>0</v>
      </c>
    </row>
    <row r="79" spans="2:11">
      <c r="B79" s="1553"/>
      <c r="C79" t="s">
        <v>73</v>
      </c>
      <c r="D79" s="192">
        <f ca="1">'2. Estado de situación'!I73</f>
        <v>17881158</v>
      </c>
      <c r="F79" t="s">
        <v>2701</v>
      </c>
      <c r="G79" t="s">
        <v>1295</v>
      </c>
      <c r="H79" s="192">
        <f>'Nota 25'!K205</f>
        <v>17881158</v>
      </c>
      <c r="I79" s="696" t="str">
        <f t="shared" ca="1" si="5"/>
        <v>OK</v>
      </c>
      <c r="K79" s="192">
        <f t="shared" ref="K79:K142" ca="1" si="6">+H79-D79</f>
        <v>0</v>
      </c>
    </row>
    <row r="80" spans="2:11">
      <c r="B80" s="1553"/>
      <c r="C80" t="s">
        <v>73</v>
      </c>
      <c r="D80" s="192">
        <f ca="1">'2. Estado de situación'!I73</f>
        <v>17881158</v>
      </c>
      <c r="F80" t="s">
        <v>2691</v>
      </c>
      <c r="G80" t="s">
        <v>73</v>
      </c>
      <c r="H80" s="192">
        <f ca="1">'Nota 48'!E38</f>
        <v>17881158</v>
      </c>
      <c r="I80" s="696" t="str">
        <f t="shared" ca="1" si="5"/>
        <v>OK</v>
      </c>
      <c r="K80" s="192">
        <f t="shared" ca="1" si="6"/>
        <v>0</v>
      </c>
    </row>
    <row r="81" spans="2:11">
      <c r="B81" s="1553"/>
      <c r="C81" t="s">
        <v>73</v>
      </c>
      <c r="D81" s="192">
        <f ca="1">'2. Estado de situación'!I73</f>
        <v>17881158</v>
      </c>
      <c r="F81" t="s">
        <v>2702</v>
      </c>
      <c r="G81" t="s">
        <v>2481</v>
      </c>
      <c r="H81" s="192">
        <f>'603'!BO10</f>
        <v>17887044</v>
      </c>
      <c r="I81" s="696" t="str">
        <f t="shared" ca="1" si="5"/>
        <v>ERROR</v>
      </c>
      <c r="K81" s="192">
        <f t="shared" ca="1" si="6"/>
        <v>5886</v>
      </c>
    </row>
    <row r="82" spans="2:11">
      <c r="B82" s="1553"/>
      <c r="C82" t="s">
        <v>74</v>
      </c>
      <c r="D82" s="192">
        <f ca="1">'2. Estado de situación'!I74</f>
        <v>0</v>
      </c>
      <c r="F82" t="s">
        <v>2691</v>
      </c>
      <c r="G82" t="s">
        <v>74</v>
      </c>
      <c r="H82" s="192">
        <f ca="1">'Nota 48'!E41</f>
        <v>0</v>
      </c>
      <c r="I82" s="696" t="str">
        <f t="shared" ca="1" si="5"/>
        <v>OK</v>
      </c>
      <c r="K82" s="192">
        <f t="shared" ca="1" si="6"/>
        <v>0</v>
      </c>
    </row>
    <row r="83" spans="2:11">
      <c r="B83" s="1553"/>
      <c r="C83" t="s">
        <v>75</v>
      </c>
      <c r="D83" s="192">
        <f ca="1">'2. Estado de situación'!I75</f>
        <v>1149849</v>
      </c>
      <c r="F83" t="s">
        <v>2697</v>
      </c>
      <c r="G83" t="s">
        <v>452</v>
      </c>
      <c r="H83" s="192">
        <f>'Nota 19'!G21</f>
        <v>1149849</v>
      </c>
      <c r="I83" s="696" t="str">
        <f t="shared" ca="1" si="5"/>
        <v>OK</v>
      </c>
      <c r="K83" s="192">
        <f t="shared" ca="1" si="6"/>
        <v>0</v>
      </c>
    </row>
    <row r="84" spans="2:11">
      <c r="B84" s="1553"/>
      <c r="C84" t="s">
        <v>75</v>
      </c>
      <c r="D84" s="192">
        <f ca="1">'2. Estado de situación'!I75</f>
        <v>1149849</v>
      </c>
      <c r="F84" t="s">
        <v>2691</v>
      </c>
      <c r="G84" t="s">
        <v>75</v>
      </c>
      <c r="H84" s="192">
        <f ca="1">'Nota 48'!E44</f>
        <v>1149849</v>
      </c>
      <c r="I84" s="696" t="str">
        <f ca="1">IF(D84-H84=0,"OK","ERROR")</f>
        <v>OK</v>
      </c>
      <c r="K84" s="192">
        <f t="shared" ca="1" si="6"/>
        <v>0</v>
      </c>
    </row>
    <row r="85" spans="2:11">
      <c r="B85" s="1553"/>
      <c r="C85" t="s">
        <v>75</v>
      </c>
      <c r="D85" s="192">
        <f ca="1">'2. Estado de situación'!I75</f>
        <v>1149849</v>
      </c>
      <c r="F85" t="s">
        <v>2702</v>
      </c>
      <c r="G85" t="s">
        <v>2475</v>
      </c>
      <c r="H85" s="192">
        <f>'602'!BO54</f>
        <v>1149849</v>
      </c>
      <c r="I85" s="696" t="str">
        <f ca="1">IF(D85-H85=0,"OK","ERROR")</f>
        <v>OK</v>
      </c>
      <c r="K85" s="192">
        <f t="shared" ca="1" si="6"/>
        <v>0</v>
      </c>
    </row>
    <row r="86" spans="2:11">
      <c r="B86" s="1553"/>
      <c r="C86" t="s">
        <v>76</v>
      </c>
      <c r="D86" s="192">
        <f ca="1">'2. Estado de situación'!I76</f>
        <v>0</v>
      </c>
      <c r="F86" t="s">
        <v>2697</v>
      </c>
      <c r="G86" t="s">
        <v>1525</v>
      </c>
      <c r="H86" s="192">
        <f>'Nota 19'!G22</f>
        <v>0</v>
      </c>
      <c r="I86" s="696" t="str">
        <f t="shared" ca="1" si="5"/>
        <v>OK</v>
      </c>
      <c r="K86" s="192">
        <f t="shared" ca="1" si="6"/>
        <v>0</v>
      </c>
    </row>
    <row r="87" spans="2:11">
      <c r="B87" s="1553"/>
      <c r="C87" t="s">
        <v>76</v>
      </c>
      <c r="D87" s="192">
        <f ca="1">'2. Estado de situación'!I76</f>
        <v>0</v>
      </c>
      <c r="F87" t="s">
        <v>2691</v>
      </c>
      <c r="G87" t="s">
        <v>76</v>
      </c>
      <c r="H87" s="192">
        <f ca="1">'Nota 48'!E47</f>
        <v>0</v>
      </c>
      <c r="I87" s="696" t="str">
        <f t="shared" ca="1" si="5"/>
        <v>OK</v>
      </c>
      <c r="K87" s="192">
        <f t="shared" ca="1" si="6"/>
        <v>0</v>
      </c>
    </row>
    <row r="88" spans="2:11">
      <c r="B88" s="1553"/>
      <c r="C88" t="s">
        <v>76</v>
      </c>
      <c r="D88" s="192">
        <f ca="1">'2. Estado de situación'!I76</f>
        <v>0</v>
      </c>
      <c r="F88" t="s">
        <v>2702</v>
      </c>
      <c r="G88" t="s">
        <v>2476</v>
      </c>
      <c r="H88" s="192">
        <f>'602'!BO55</f>
        <v>0</v>
      </c>
      <c r="I88" s="696" t="str">
        <f t="shared" ca="1" si="5"/>
        <v>OK</v>
      </c>
      <c r="K88" s="192">
        <f t="shared" ca="1" si="6"/>
        <v>0</v>
      </c>
    </row>
    <row r="89" spans="2:11">
      <c r="B89" s="1553"/>
      <c r="C89" t="s">
        <v>78</v>
      </c>
      <c r="D89" s="192">
        <f ca="1">'2. Estado de situación'!I78</f>
        <v>744785</v>
      </c>
      <c r="F89" t="s">
        <v>2703</v>
      </c>
      <c r="G89" t="s">
        <v>557</v>
      </c>
      <c r="H89" s="192">
        <f>'Nota 26'!G7</f>
        <v>744785</v>
      </c>
      <c r="I89" s="696" t="str">
        <f t="shared" ca="1" si="5"/>
        <v>OK</v>
      </c>
      <c r="K89" s="192">
        <f t="shared" ca="1" si="6"/>
        <v>0</v>
      </c>
    </row>
    <row r="90" spans="2:11">
      <c r="B90" s="1553"/>
      <c r="C90" t="s">
        <v>79</v>
      </c>
      <c r="D90" s="192">
        <f ca="1">'2. Estado de situación'!I79</f>
        <v>18064490</v>
      </c>
      <c r="F90" t="s">
        <v>2703</v>
      </c>
      <c r="G90" t="s">
        <v>1503</v>
      </c>
      <c r="H90" s="192">
        <f>'Nota 26'!E71</f>
        <v>18064490</v>
      </c>
      <c r="I90" s="696" t="str">
        <f t="shared" ca="1" si="5"/>
        <v>OK</v>
      </c>
      <c r="K90" s="192">
        <f t="shared" ca="1" si="6"/>
        <v>0</v>
      </c>
    </row>
    <row r="91" spans="2:11">
      <c r="B91" s="1553"/>
      <c r="C91" t="s">
        <v>79</v>
      </c>
      <c r="D91" s="192">
        <f ca="1">'2. Estado de situación'!I79</f>
        <v>18064490</v>
      </c>
      <c r="F91" t="s">
        <v>2691</v>
      </c>
      <c r="G91" t="s">
        <v>79</v>
      </c>
      <c r="H91" s="192">
        <f ca="1">'Nota 48'!E50</f>
        <v>18064490</v>
      </c>
      <c r="I91" s="696" t="str">
        <f t="shared" ca="1" si="5"/>
        <v>OK</v>
      </c>
      <c r="K91" s="192">
        <f t="shared" ca="1" si="6"/>
        <v>0</v>
      </c>
    </row>
    <row r="92" spans="2:11">
      <c r="B92" s="1553"/>
      <c r="C92" t="s">
        <v>80</v>
      </c>
      <c r="D92" s="192">
        <f ca="1">'2. Estado de situación'!I80</f>
        <v>46558</v>
      </c>
      <c r="F92" t="s">
        <v>2703</v>
      </c>
      <c r="G92" t="s">
        <v>432</v>
      </c>
      <c r="H92" s="192">
        <f>'Nota 26'!G81</f>
        <v>46558</v>
      </c>
      <c r="I92" s="696" t="str">
        <f t="shared" ca="1" si="5"/>
        <v>OK</v>
      </c>
      <c r="K92" s="192">
        <f t="shared" ca="1" si="6"/>
        <v>0</v>
      </c>
    </row>
    <row r="93" spans="2:11">
      <c r="B93" s="1553"/>
      <c r="C93" t="s">
        <v>81</v>
      </c>
      <c r="D93" s="192">
        <f ca="1">'2. Estado de situación'!I81</f>
        <v>46558</v>
      </c>
      <c r="F93" t="s">
        <v>2703</v>
      </c>
      <c r="G93" t="s">
        <v>2704</v>
      </c>
      <c r="H93" s="192">
        <f>'Nota 26'!G81</f>
        <v>46558</v>
      </c>
      <c r="I93" s="696" t="str">
        <f t="shared" ca="1" si="5"/>
        <v>OK</v>
      </c>
      <c r="K93" s="192">
        <f t="shared" ca="1" si="6"/>
        <v>0</v>
      </c>
    </row>
    <row r="94" spans="2:11">
      <c r="B94" s="1553"/>
      <c r="C94" t="s">
        <v>81</v>
      </c>
      <c r="D94" s="192">
        <f ca="1">'2. Estado de situación'!I81</f>
        <v>46558</v>
      </c>
      <c r="F94" t="s">
        <v>2705</v>
      </c>
      <c r="G94" t="s">
        <v>1912</v>
      </c>
      <c r="H94" s="192">
        <f ca="1">'Nota 48'!E64</f>
        <v>46558</v>
      </c>
      <c r="I94" s="696" t="str">
        <f t="shared" ca="1" si="5"/>
        <v>OK</v>
      </c>
      <c r="K94" s="192">
        <f t="shared" ca="1" si="6"/>
        <v>0</v>
      </c>
    </row>
    <row r="95" spans="2:11">
      <c r="B95" s="1553"/>
      <c r="C95" t="s">
        <v>82</v>
      </c>
      <c r="D95" s="192">
        <f>'2. Estado de situación'!I82</f>
        <v>0</v>
      </c>
      <c r="F95" t="s">
        <v>2703</v>
      </c>
      <c r="G95" t="s">
        <v>563</v>
      </c>
      <c r="H95" s="192">
        <f>'Nota 26'!G80</f>
        <v>0</v>
      </c>
      <c r="I95" s="696" t="str">
        <f t="shared" si="5"/>
        <v>OK</v>
      </c>
      <c r="K95" s="192">
        <f t="shared" si="6"/>
        <v>0</v>
      </c>
    </row>
    <row r="96" spans="2:11">
      <c r="B96" s="1553"/>
      <c r="C96" t="s">
        <v>82</v>
      </c>
      <c r="D96" s="192">
        <f>'2. Estado de situación'!I82</f>
        <v>0</v>
      </c>
      <c r="F96" t="s">
        <v>2691</v>
      </c>
      <c r="G96" t="s">
        <v>82</v>
      </c>
      <c r="H96" s="192">
        <f>'Nota 48'!E39</f>
        <v>0</v>
      </c>
      <c r="I96" s="696" t="str">
        <f t="shared" si="5"/>
        <v>OK</v>
      </c>
      <c r="K96" s="192">
        <f t="shared" si="6"/>
        <v>0</v>
      </c>
    </row>
    <row r="97" spans="2:11">
      <c r="B97" s="1553"/>
      <c r="C97" t="s">
        <v>83</v>
      </c>
      <c r="D97" s="192">
        <f>'2. Estado de situación'!I83</f>
        <v>0</v>
      </c>
      <c r="F97" t="s">
        <v>2703</v>
      </c>
      <c r="G97" t="s">
        <v>579</v>
      </c>
      <c r="H97" s="192">
        <f>'Nota 26'!E102</f>
        <v>0</v>
      </c>
      <c r="I97" s="696" t="str">
        <f t="shared" si="5"/>
        <v>OK</v>
      </c>
      <c r="K97" s="192">
        <f t="shared" si="6"/>
        <v>0</v>
      </c>
    </row>
    <row r="98" spans="2:11">
      <c r="B98" s="1553"/>
      <c r="C98" t="s">
        <v>85</v>
      </c>
      <c r="D98" s="192">
        <f ca="1">'2. Estado de situación'!I85</f>
        <v>8533829</v>
      </c>
      <c r="F98" t="s">
        <v>2706</v>
      </c>
      <c r="G98" t="s">
        <v>432</v>
      </c>
      <c r="H98" s="192">
        <f>'Nota 27'!K28</f>
        <v>8533829</v>
      </c>
      <c r="I98" s="696" t="str">
        <f t="shared" ca="1" si="5"/>
        <v>OK</v>
      </c>
      <c r="K98" s="192">
        <f t="shared" ca="1" si="6"/>
        <v>0</v>
      </c>
    </row>
    <row r="99" spans="2:11">
      <c r="B99" s="1553"/>
      <c r="C99" t="s">
        <v>88</v>
      </c>
      <c r="D99" s="192">
        <f ca="1">'2. Estado de situación'!I88</f>
        <v>3533711</v>
      </c>
      <c r="F99" t="s">
        <v>2707</v>
      </c>
      <c r="G99" t="s">
        <v>432</v>
      </c>
      <c r="H99" s="192">
        <f>'Nota 28'!E10</f>
        <v>3533711</v>
      </c>
      <c r="I99" s="696" t="str">
        <f t="shared" ca="1" si="5"/>
        <v>OK</v>
      </c>
      <c r="K99" s="192">
        <f t="shared" ca="1" si="6"/>
        <v>0</v>
      </c>
    </row>
    <row r="100" spans="2:11">
      <c r="B100" s="1553"/>
      <c r="C100" t="s">
        <v>90</v>
      </c>
      <c r="D100" s="192">
        <f ca="1">'2. Estado de situación'!I90</f>
        <v>1125711</v>
      </c>
      <c r="F100" t="s">
        <v>2700</v>
      </c>
      <c r="G100" t="s">
        <v>1978</v>
      </c>
      <c r="H100" s="192">
        <f>'Nota 49'!K54</f>
        <v>1125711</v>
      </c>
      <c r="I100" s="696" t="str">
        <f t="shared" ca="1" si="5"/>
        <v>OK</v>
      </c>
      <c r="K100" s="192">
        <f t="shared" ca="1" si="6"/>
        <v>0</v>
      </c>
    </row>
    <row r="101" spans="2:11">
      <c r="B101" s="1553"/>
      <c r="C101" t="s">
        <v>91</v>
      </c>
      <c r="D101" s="192">
        <f ca="1">'2. Estado de situación'!I91</f>
        <v>1578354</v>
      </c>
      <c r="F101" t="s">
        <v>2707</v>
      </c>
      <c r="G101" t="s">
        <v>432</v>
      </c>
      <c r="H101" s="192">
        <f>'Nota 28'!G22</f>
        <v>1578354</v>
      </c>
      <c r="I101" s="696" t="str">
        <f t="shared" ca="1" si="5"/>
        <v>OK</v>
      </c>
      <c r="K101" s="192">
        <f t="shared" ca="1" si="6"/>
        <v>0</v>
      </c>
    </row>
    <row r="102" spans="2:11">
      <c r="B102" s="1553"/>
      <c r="C102" t="s">
        <v>92</v>
      </c>
      <c r="D102" s="192">
        <f ca="1">'2. Estado de situación'!I92</f>
        <v>6837880</v>
      </c>
      <c r="F102" t="s">
        <v>2707</v>
      </c>
      <c r="G102" t="s">
        <v>1772</v>
      </c>
      <c r="H102" s="192">
        <f>'Nota 28'!E36</f>
        <v>6837880</v>
      </c>
      <c r="I102" s="696" t="str">
        <f t="shared" ca="1" si="5"/>
        <v>OK</v>
      </c>
      <c r="K102" s="192">
        <f t="shared" ca="1" si="6"/>
        <v>0</v>
      </c>
    </row>
    <row r="103" spans="2:11">
      <c r="B103" s="1553"/>
      <c r="C103" t="s">
        <v>95</v>
      </c>
      <c r="D103" s="192">
        <f ca="1">'2. Estado de situación'!I95</f>
        <v>138704079</v>
      </c>
      <c r="F103" t="s">
        <v>2708</v>
      </c>
      <c r="G103" t="s">
        <v>867</v>
      </c>
      <c r="H103">
        <f>'6. Cambios en el patrimonio'!T23</f>
        <v>138704079</v>
      </c>
      <c r="I103" s="696" t="str">
        <f t="shared" ca="1" si="5"/>
        <v>OK</v>
      </c>
      <c r="J103" s="192">
        <f ca="1">+D103-H103</f>
        <v>0</v>
      </c>
      <c r="K103" s="192">
        <f t="shared" ca="1" si="6"/>
        <v>0</v>
      </c>
    </row>
    <row r="104" spans="2:11">
      <c r="B104" s="1553"/>
      <c r="C104" t="s">
        <v>95</v>
      </c>
      <c r="D104" s="192">
        <f ca="1">'2. Estado de situación'!I95</f>
        <v>138704079</v>
      </c>
      <c r="F104" t="s">
        <v>2691</v>
      </c>
      <c r="G104" t="s">
        <v>1896</v>
      </c>
      <c r="H104" s="192">
        <f ca="1">'Nota 48'!E12</f>
        <v>138704079</v>
      </c>
      <c r="I104" s="696" t="str">
        <f t="shared" ca="1" si="5"/>
        <v>OK</v>
      </c>
      <c r="K104" s="192">
        <f t="shared" ca="1" si="6"/>
        <v>0</v>
      </c>
    </row>
    <row r="105" spans="2:11">
      <c r="B105" s="1554" t="s">
        <v>838</v>
      </c>
      <c r="C105" t="s">
        <v>103</v>
      </c>
      <c r="D105" s="192">
        <f ca="1">'3. Estado de resultados'!G7</f>
        <v>-7053535</v>
      </c>
      <c r="F105" t="s">
        <v>2726</v>
      </c>
      <c r="G105" t="s">
        <v>2414</v>
      </c>
      <c r="H105" s="192">
        <f>'601'!BO7</f>
        <v>-7053535</v>
      </c>
      <c r="I105" s="696" t="str">
        <f t="shared" ca="1" si="5"/>
        <v>OK</v>
      </c>
      <c r="K105" s="192">
        <f t="shared" ca="1" si="6"/>
        <v>0</v>
      </c>
    </row>
    <row r="106" spans="2:11">
      <c r="B106" s="1554"/>
      <c r="C106" t="s">
        <v>104</v>
      </c>
      <c r="D106" s="192">
        <f ca="1">'3. Estado de resultados'!G8</f>
        <v>97983942</v>
      </c>
      <c r="F106" t="s">
        <v>2726</v>
      </c>
      <c r="G106" t="s">
        <v>2415</v>
      </c>
      <c r="H106" s="192">
        <f>'601'!BO8</f>
        <v>97983942</v>
      </c>
      <c r="I106" s="696" t="str">
        <f t="shared" ref="I106:I172" ca="1" si="7">IF(D106-H106=0,"OK","ERROR")</f>
        <v>OK</v>
      </c>
      <c r="K106" s="192">
        <f t="shared" ca="1" si="6"/>
        <v>0</v>
      </c>
    </row>
    <row r="107" spans="2:11">
      <c r="B107" s="1554"/>
      <c r="C107" t="s">
        <v>104</v>
      </c>
      <c r="D107" s="192">
        <f ca="1">'3. Estado de resultados'!G8</f>
        <v>97983942</v>
      </c>
      <c r="F107" t="s">
        <v>2720</v>
      </c>
      <c r="G107" t="s">
        <v>2453</v>
      </c>
      <c r="H107" s="192">
        <f>'602'!BO7</f>
        <v>97983942</v>
      </c>
      <c r="I107" s="696" t="str">
        <f t="shared" ca="1" si="7"/>
        <v>OK</v>
      </c>
      <c r="K107" s="192">
        <f t="shared" ca="1" si="6"/>
        <v>0</v>
      </c>
    </row>
    <row r="108" spans="2:11">
      <c r="B108" s="1554"/>
      <c r="C108" t="s">
        <v>105</v>
      </c>
      <c r="D108" s="192">
        <f ca="1">'3. Estado de resultados'!G9</f>
        <v>118692674</v>
      </c>
      <c r="F108" t="s">
        <v>2726</v>
      </c>
      <c r="G108" t="s">
        <v>2416</v>
      </c>
      <c r="H108" s="192">
        <f>'601'!BO9</f>
        <v>118692674</v>
      </c>
      <c r="I108" s="696" t="str">
        <f t="shared" ca="1" si="7"/>
        <v>OK</v>
      </c>
      <c r="K108" s="192">
        <f t="shared" ca="1" si="6"/>
        <v>0</v>
      </c>
    </row>
    <row r="109" spans="2:11">
      <c r="B109" s="1554"/>
      <c r="C109" t="s">
        <v>105</v>
      </c>
      <c r="D109" s="192">
        <f ca="1">'3. Estado de resultados'!G9</f>
        <v>118692674</v>
      </c>
      <c r="F109" t="s">
        <v>2720</v>
      </c>
      <c r="G109" t="s">
        <v>2454</v>
      </c>
      <c r="H109" s="192">
        <f>'602'!BO9</f>
        <v>118692674</v>
      </c>
      <c r="I109" s="696" t="str">
        <f t="shared" ca="1" si="7"/>
        <v>OK</v>
      </c>
      <c r="K109" s="192">
        <f t="shared" ca="1" si="6"/>
        <v>0</v>
      </c>
    </row>
    <row r="110" spans="2:11" s="785" customFormat="1">
      <c r="B110" s="1554"/>
      <c r="C110" s="785" t="s">
        <v>105</v>
      </c>
      <c r="D110" s="786">
        <f ca="1">'3. Estado de resultados'!G9</f>
        <v>118692674</v>
      </c>
      <c r="E110" s="787"/>
      <c r="F110" s="785" t="s">
        <v>2727</v>
      </c>
      <c r="G110" s="785" t="s">
        <v>2562</v>
      </c>
      <c r="H110" s="786">
        <f>'607'!BO22</f>
        <v>118692674</v>
      </c>
      <c r="I110" s="788" t="str">
        <f t="shared" ca="1" si="7"/>
        <v>OK</v>
      </c>
      <c r="K110" s="192">
        <f t="shared" ca="1" si="6"/>
        <v>0</v>
      </c>
    </row>
    <row r="111" spans="2:11">
      <c r="B111" s="1554"/>
      <c r="C111" t="s">
        <v>106</v>
      </c>
      <c r="D111" s="192">
        <f ca="1">'3. Estado de resultados'!G10</f>
        <v>0</v>
      </c>
      <c r="F111" t="s">
        <v>2726</v>
      </c>
      <c r="G111" t="s">
        <v>2417</v>
      </c>
      <c r="H111" s="192">
        <f>'601'!BO10</f>
        <v>0</v>
      </c>
      <c r="I111" s="696" t="str">
        <f t="shared" ca="1" si="7"/>
        <v>OK</v>
      </c>
      <c r="K111" s="192">
        <f t="shared" ca="1" si="6"/>
        <v>0</v>
      </c>
    </row>
    <row r="112" spans="2:11">
      <c r="B112" s="1554"/>
      <c r="C112" t="s">
        <v>106</v>
      </c>
      <c r="D112" s="192">
        <f ca="1">'3. Estado de resultados'!G10</f>
        <v>0</v>
      </c>
      <c r="F112" t="s">
        <v>2720</v>
      </c>
      <c r="G112" t="s">
        <v>2457</v>
      </c>
      <c r="H112" s="192">
        <f>'602'!BO11</f>
        <v>0</v>
      </c>
      <c r="I112" s="696" t="str">
        <f t="shared" ca="1" si="7"/>
        <v>OK</v>
      </c>
      <c r="K112" s="192">
        <f t="shared" ca="1" si="6"/>
        <v>0</v>
      </c>
    </row>
    <row r="113" spans="2:11">
      <c r="B113" s="1554"/>
      <c r="C113" t="s">
        <v>107</v>
      </c>
      <c r="D113" s="192">
        <f ca="1">'3. Estado de resultados'!G11</f>
        <v>20708732</v>
      </c>
      <c r="F113" t="s">
        <v>2726</v>
      </c>
      <c r="G113" t="s">
        <v>2418</v>
      </c>
      <c r="H113" s="192">
        <f>'601'!BO11</f>
        <v>20708732</v>
      </c>
      <c r="I113" s="696" t="str">
        <f t="shared" ca="1" si="7"/>
        <v>OK</v>
      </c>
      <c r="K113" s="192">
        <f t="shared" ca="1" si="6"/>
        <v>0</v>
      </c>
    </row>
    <row r="114" spans="2:11">
      <c r="B114" s="1554"/>
      <c r="C114" t="s">
        <v>107</v>
      </c>
      <c r="D114" s="192">
        <f ca="1">'3. Estado de resultados'!G11</f>
        <v>20708732</v>
      </c>
      <c r="F114" t="s">
        <v>2720</v>
      </c>
      <c r="G114" t="s">
        <v>2458</v>
      </c>
      <c r="H114" s="192">
        <f>'602'!BO12</f>
        <v>20708732</v>
      </c>
      <c r="I114" s="696" t="str">
        <f t="shared" ca="1" si="7"/>
        <v>OK</v>
      </c>
      <c r="K114" s="192">
        <f t="shared" ca="1" si="6"/>
        <v>0</v>
      </c>
    </row>
    <row r="115" spans="2:11">
      <c r="B115" s="1554"/>
      <c r="C115" t="s">
        <v>107</v>
      </c>
      <c r="D115" s="192">
        <f ca="1">'3. Estado de resultados'!G11</f>
        <v>20708732</v>
      </c>
      <c r="F115" t="s">
        <v>2741</v>
      </c>
      <c r="G115" t="s">
        <v>2740</v>
      </c>
      <c r="H115" s="192">
        <f>'Nota 30'!H123</f>
        <v>20708732</v>
      </c>
      <c r="I115" s="696" t="str">
        <f t="shared" ref="I115" ca="1" si="8">IF(D115-H115=0,"OK","ERROR")</f>
        <v>OK</v>
      </c>
      <c r="K115" s="192">
        <f t="shared" ca="1" si="6"/>
        <v>0</v>
      </c>
    </row>
    <row r="116" spans="2:11">
      <c r="B116" s="1554"/>
      <c r="C116" t="s">
        <v>108</v>
      </c>
      <c r="D116" s="192">
        <f ca="1">'3. Estado de resultados'!G12</f>
        <v>-1151987</v>
      </c>
      <c r="F116" t="s">
        <v>2728</v>
      </c>
      <c r="G116" t="s">
        <v>1792</v>
      </c>
      <c r="H116" s="192">
        <f>'Nota 31'!H13</f>
        <v>-1151987</v>
      </c>
      <c r="I116" s="696" t="str">
        <f t="shared" ca="1" si="7"/>
        <v>OK</v>
      </c>
      <c r="K116" s="192">
        <f t="shared" ca="1" si="6"/>
        <v>0</v>
      </c>
    </row>
    <row r="117" spans="2:11">
      <c r="B117" s="1554"/>
      <c r="C117" t="s">
        <v>108</v>
      </c>
      <c r="D117" s="192">
        <f ca="1">'3. Estado de resultados'!G12</f>
        <v>-1151987</v>
      </c>
      <c r="F117" t="s">
        <v>2726</v>
      </c>
      <c r="G117" t="s">
        <v>2419</v>
      </c>
      <c r="H117" s="192">
        <f>'601'!BO12</f>
        <v>-1151987</v>
      </c>
      <c r="I117" s="696" t="str">
        <f t="shared" ca="1" si="7"/>
        <v>OK</v>
      </c>
      <c r="K117" s="192">
        <f t="shared" ca="1" si="6"/>
        <v>0</v>
      </c>
    </row>
    <row r="118" spans="2:11">
      <c r="B118" s="1554"/>
      <c r="C118" t="s">
        <v>109</v>
      </c>
      <c r="D118" s="192">
        <f ca="1">'3. Estado de resultados'!G13</f>
        <v>709928</v>
      </c>
      <c r="F118" t="s">
        <v>2728</v>
      </c>
      <c r="G118" t="s">
        <v>1592</v>
      </c>
      <c r="H118" s="192">
        <f>'Nota 31'!H7</f>
        <v>709928</v>
      </c>
      <c r="I118" s="696" t="str">
        <f t="shared" ca="1" si="7"/>
        <v>OK</v>
      </c>
      <c r="K118" s="192">
        <f t="shared" ca="1" si="6"/>
        <v>0</v>
      </c>
    </row>
    <row r="119" spans="2:11">
      <c r="B119" s="1554"/>
      <c r="C119" t="s">
        <v>109</v>
      </c>
      <c r="D119" s="192">
        <f ca="1">'3. Estado de resultados'!G13</f>
        <v>709928</v>
      </c>
      <c r="F119" t="s">
        <v>2726</v>
      </c>
      <c r="G119" t="s">
        <v>2420</v>
      </c>
      <c r="H119" s="192">
        <f>'601'!BO13</f>
        <v>709928</v>
      </c>
      <c r="I119" s="696" t="str">
        <f t="shared" ca="1" si="7"/>
        <v>OK</v>
      </c>
      <c r="K119" s="192">
        <f t="shared" ca="1" si="6"/>
        <v>0</v>
      </c>
    </row>
    <row r="120" spans="2:11">
      <c r="B120" s="1554"/>
      <c r="C120" t="s">
        <v>109</v>
      </c>
      <c r="D120" s="192">
        <f ca="1">'3. Estado de resultados'!G13</f>
        <v>709928</v>
      </c>
      <c r="F120" t="s">
        <v>2729</v>
      </c>
      <c r="G120" t="s">
        <v>2540</v>
      </c>
      <c r="H120" s="192">
        <f>'605'!BO7</f>
        <v>709928</v>
      </c>
      <c r="I120" s="696" t="str">
        <f t="shared" ca="1" si="7"/>
        <v>OK</v>
      </c>
      <c r="K120" s="192">
        <f t="shared" ca="1" si="6"/>
        <v>0</v>
      </c>
    </row>
    <row r="121" spans="2:11">
      <c r="B121" s="1554"/>
      <c r="C121" t="s">
        <v>110</v>
      </c>
      <c r="D121" s="192">
        <f ca="1">'3. Estado de resultados'!G14</f>
        <v>-118576</v>
      </c>
      <c r="F121" t="s">
        <v>2728</v>
      </c>
      <c r="G121" t="s">
        <v>443</v>
      </c>
      <c r="H121" s="192">
        <f>'Nota 31'!H8</f>
        <v>-118576</v>
      </c>
      <c r="I121" s="696" t="str">
        <f t="shared" ca="1" si="7"/>
        <v>OK</v>
      </c>
      <c r="K121" s="192">
        <f t="shared" ca="1" si="6"/>
        <v>0</v>
      </c>
    </row>
    <row r="122" spans="2:11">
      <c r="B122" s="1554"/>
      <c r="C122" t="s">
        <v>110</v>
      </c>
      <c r="D122" s="192">
        <f ca="1">'3. Estado de resultados'!G14</f>
        <v>-118576</v>
      </c>
      <c r="F122" t="s">
        <v>2726</v>
      </c>
      <c r="G122" t="s">
        <v>2421</v>
      </c>
      <c r="H122" s="192">
        <f>'601'!BO14</f>
        <v>-118576</v>
      </c>
      <c r="I122" s="696" t="str">
        <f t="shared" ca="1" si="7"/>
        <v>OK</v>
      </c>
      <c r="K122" s="192">
        <f t="shared" ca="1" si="6"/>
        <v>0</v>
      </c>
    </row>
    <row r="123" spans="2:11">
      <c r="B123" s="1554"/>
      <c r="C123" t="s">
        <v>110</v>
      </c>
      <c r="D123" s="192">
        <f ca="1">'3. Estado de resultados'!G14</f>
        <v>-118576</v>
      </c>
      <c r="F123" t="s">
        <v>2729</v>
      </c>
      <c r="G123" t="s">
        <v>2543</v>
      </c>
      <c r="H123" s="192">
        <f>'605'!BO10</f>
        <v>-118576</v>
      </c>
      <c r="I123" s="696" t="str">
        <f t="shared" ca="1" si="7"/>
        <v>OK</v>
      </c>
      <c r="K123" s="192">
        <f t="shared" ca="1" si="6"/>
        <v>0</v>
      </c>
    </row>
    <row r="124" spans="2:11">
      <c r="B124" s="1554"/>
      <c r="C124" t="s">
        <v>111</v>
      </c>
      <c r="D124" s="192">
        <f ca="1">'3. Estado de resultados'!G15</f>
        <v>-1198051</v>
      </c>
      <c r="F124" t="s">
        <v>2728</v>
      </c>
      <c r="G124" t="s">
        <v>454</v>
      </c>
      <c r="H124" s="192">
        <f>'Nota 31'!H9</f>
        <v>-1198051</v>
      </c>
      <c r="I124" s="696" t="str">
        <f t="shared" ca="1" si="7"/>
        <v>OK</v>
      </c>
      <c r="K124" s="192">
        <f t="shared" ca="1" si="6"/>
        <v>0</v>
      </c>
    </row>
    <row r="125" spans="2:11">
      <c r="B125" s="1554"/>
      <c r="C125" t="s">
        <v>111</v>
      </c>
      <c r="D125" s="192">
        <f ca="1">'3. Estado de resultados'!G15</f>
        <v>-1198051</v>
      </c>
      <c r="F125" t="s">
        <v>2726</v>
      </c>
      <c r="G125" t="s">
        <v>2422</v>
      </c>
      <c r="H125" s="192">
        <f>'601'!BO15</f>
        <v>-1198051</v>
      </c>
      <c r="I125" s="696" t="str">
        <f t="shared" ca="1" si="7"/>
        <v>OK</v>
      </c>
      <c r="K125" s="192">
        <f t="shared" ca="1" si="6"/>
        <v>0</v>
      </c>
    </row>
    <row r="126" spans="2:11">
      <c r="B126" s="1554"/>
      <c r="C126" t="s">
        <v>111</v>
      </c>
      <c r="D126" s="192">
        <f ca="1">'3. Estado de resultados'!G15</f>
        <v>-1198051</v>
      </c>
      <c r="F126" t="s">
        <v>2729</v>
      </c>
      <c r="G126" t="s">
        <v>2546</v>
      </c>
      <c r="H126" s="192">
        <f>'605'!BO13</f>
        <v>-1198051</v>
      </c>
      <c r="I126" s="696" t="str">
        <f t="shared" ca="1" si="7"/>
        <v>OK</v>
      </c>
      <c r="K126" s="192">
        <f t="shared" ca="1" si="6"/>
        <v>0</v>
      </c>
    </row>
    <row r="127" spans="2:11">
      <c r="B127" s="1554"/>
      <c r="C127" t="s">
        <v>112</v>
      </c>
      <c r="D127" s="192">
        <f ca="1">'3. Estado de resultados'!G16</f>
        <v>0</v>
      </c>
      <c r="F127" t="s">
        <v>2728</v>
      </c>
      <c r="G127" t="s">
        <v>744</v>
      </c>
      <c r="H127" s="192">
        <f>'Nota 31'!H10</f>
        <v>0</v>
      </c>
      <c r="I127" s="696" t="str">
        <f t="shared" ca="1" si="7"/>
        <v>OK</v>
      </c>
      <c r="K127" s="192">
        <f t="shared" ca="1" si="6"/>
        <v>0</v>
      </c>
    </row>
    <row r="128" spans="2:11">
      <c r="B128" s="1554"/>
      <c r="C128" t="s">
        <v>113</v>
      </c>
      <c r="D128" s="192">
        <f ca="1">'3. Estado de resultados'!G17</f>
        <v>-545288</v>
      </c>
      <c r="F128" t="s">
        <v>2728</v>
      </c>
      <c r="G128" t="s">
        <v>1791</v>
      </c>
      <c r="H128" s="192">
        <f>'Nota 31'!H11</f>
        <v>-545288</v>
      </c>
      <c r="I128" s="696" t="str">
        <f t="shared" ca="1" si="7"/>
        <v>OK</v>
      </c>
      <c r="K128" s="192">
        <f t="shared" ca="1" si="6"/>
        <v>0</v>
      </c>
    </row>
    <row r="129" spans="2:11">
      <c r="B129" s="1554"/>
      <c r="C129" t="s">
        <v>113</v>
      </c>
      <c r="D129" s="192">
        <f ca="1">'3. Estado de resultados'!G17</f>
        <v>-545288</v>
      </c>
      <c r="F129" t="s">
        <v>2726</v>
      </c>
      <c r="G129" t="s">
        <v>2423</v>
      </c>
      <c r="H129" s="192">
        <f>'601'!BO16</f>
        <v>-545288</v>
      </c>
      <c r="I129" s="696" t="str">
        <f t="shared" ca="1" si="7"/>
        <v>OK</v>
      </c>
      <c r="K129" s="192">
        <f t="shared" ca="1" si="6"/>
        <v>0</v>
      </c>
    </row>
    <row r="130" spans="2:11">
      <c r="B130" s="1554"/>
      <c r="C130" t="s">
        <v>113</v>
      </c>
      <c r="D130" s="192">
        <f ca="1">'3. Estado de resultados'!G17</f>
        <v>-545288</v>
      </c>
      <c r="F130" t="s">
        <v>2729</v>
      </c>
      <c r="G130" t="s">
        <v>2549</v>
      </c>
      <c r="H130" s="192">
        <f>'605'!BO16</f>
        <v>-545288</v>
      </c>
      <c r="I130" s="696" t="str">
        <f t="shared" ca="1" si="7"/>
        <v>OK</v>
      </c>
      <c r="K130" s="192">
        <f t="shared" ca="1" si="6"/>
        <v>0</v>
      </c>
    </row>
    <row r="131" spans="2:11">
      <c r="B131" s="1554"/>
      <c r="C131" t="s">
        <v>114</v>
      </c>
      <c r="D131" s="192">
        <f ca="1">'3. Estado de resultados'!G18</f>
        <v>0</v>
      </c>
      <c r="F131" t="s">
        <v>2728</v>
      </c>
      <c r="G131" t="s">
        <v>453</v>
      </c>
      <c r="H131" s="192">
        <f>'Nota 31'!H12</f>
        <v>0</v>
      </c>
      <c r="I131" s="696" t="str">
        <f t="shared" ca="1" si="7"/>
        <v>OK</v>
      </c>
      <c r="K131" s="192">
        <f t="shared" ca="1" si="6"/>
        <v>0</v>
      </c>
    </row>
    <row r="132" spans="2:11">
      <c r="B132" s="1554"/>
      <c r="C132" t="s">
        <v>114</v>
      </c>
      <c r="D132" s="192">
        <f ca="1">'3. Estado de resultados'!G18</f>
        <v>0</v>
      </c>
      <c r="F132" t="s">
        <v>2726</v>
      </c>
      <c r="G132" t="s">
        <v>2424</v>
      </c>
      <c r="H132" s="192">
        <f>'601'!BO17</f>
        <v>0</v>
      </c>
      <c r="I132" s="696" t="str">
        <f t="shared" ca="1" si="7"/>
        <v>OK</v>
      </c>
      <c r="K132" s="192">
        <f t="shared" ca="1" si="6"/>
        <v>0</v>
      </c>
    </row>
    <row r="133" spans="2:11">
      <c r="B133" s="1554"/>
      <c r="C133" t="s">
        <v>114</v>
      </c>
      <c r="D133" s="192">
        <f ca="1">'3. Estado de resultados'!G18</f>
        <v>0</v>
      </c>
      <c r="F133" t="s">
        <v>2729</v>
      </c>
      <c r="G133" t="s">
        <v>2553</v>
      </c>
      <c r="H133" s="192">
        <f>'605'!BO27</f>
        <v>0</v>
      </c>
      <c r="I133" s="696" t="str">
        <f t="shared" ca="1" si="7"/>
        <v>OK</v>
      </c>
      <c r="K133" s="192">
        <f t="shared" ca="1" si="6"/>
        <v>0</v>
      </c>
    </row>
    <row r="134" spans="2:11">
      <c r="B134" s="1554"/>
      <c r="C134" t="s">
        <v>115</v>
      </c>
      <c r="D134" s="192">
        <f ca="1">'3. Estado de resultados'!G19</f>
        <v>57671229</v>
      </c>
      <c r="F134" t="s">
        <v>2730</v>
      </c>
      <c r="G134" s="699" t="s">
        <v>1795</v>
      </c>
      <c r="H134" s="192">
        <f>'Nota 32'!E17</f>
        <v>57671229</v>
      </c>
      <c r="I134" s="696" t="str">
        <f t="shared" ca="1" si="7"/>
        <v>OK</v>
      </c>
      <c r="K134" s="192">
        <f t="shared" ca="1" si="6"/>
        <v>0</v>
      </c>
    </row>
    <row r="135" spans="2:11">
      <c r="B135" s="1554"/>
      <c r="C135" t="s">
        <v>115</v>
      </c>
      <c r="D135" s="192">
        <f ca="1">'3. Estado de resultados'!G19</f>
        <v>57671229</v>
      </c>
      <c r="F135" t="s">
        <v>2726</v>
      </c>
      <c r="G135" t="s">
        <v>2425</v>
      </c>
      <c r="H135" s="192">
        <f>'601'!BO18</f>
        <v>57671229</v>
      </c>
      <c r="I135" s="696" t="str">
        <f t="shared" ca="1" si="7"/>
        <v>OK</v>
      </c>
      <c r="K135" s="192">
        <f t="shared" ca="1" si="6"/>
        <v>0</v>
      </c>
    </row>
    <row r="136" spans="2:11">
      <c r="B136" s="1554"/>
      <c r="C136" t="s">
        <v>115</v>
      </c>
      <c r="D136" s="192">
        <f ca="1">'3. Estado de resultados'!G19</f>
        <v>57671229</v>
      </c>
      <c r="F136" t="s">
        <v>2702</v>
      </c>
      <c r="G136" t="s">
        <v>2482</v>
      </c>
      <c r="H136" s="192">
        <f>'603'!BO11</f>
        <v>57671229</v>
      </c>
      <c r="I136" s="696" t="str">
        <f t="shared" ca="1" si="7"/>
        <v>OK</v>
      </c>
      <c r="K136" s="192">
        <f t="shared" ca="1" si="6"/>
        <v>0</v>
      </c>
    </row>
    <row r="137" spans="2:11">
      <c r="B137" s="1554"/>
      <c r="C137" t="s">
        <v>116</v>
      </c>
      <c r="D137" s="192">
        <f ca="1">'3. Estado de resultados'!G20</f>
        <v>73881734</v>
      </c>
      <c r="F137" t="s">
        <v>2730</v>
      </c>
      <c r="G137" t="s">
        <v>582</v>
      </c>
      <c r="H137" s="192">
        <f>'Nota 32'!E5</f>
        <v>73881734</v>
      </c>
      <c r="I137" s="696" t="str">
        <f t="shared" ca="1" si="7"/>
        <v>OK</v>
      </c>
      <c r="K137" s="192">
        <f t="shared" ca="1" si="6"/>
        <v>0</v>
      </c>
    </row>
    <row r="138" spans="2:11">
      <c r="B138" s="1554"/>
      <c r="C138" t="s">
        <v>116</v>
      </c>
      <c r="D138" s="192">
        <f ca="1">'3. Estado de resultados'!G20</f>
        <v>73881734</v>
      </c>
      <c r="F138" t="s">
        <v>2726</v>
      </c>
      <c r="G138" t="s">
        <v>2426</v>
      </c>
      <c r="H138" s="192">
        <f>'601'!BO19</f>
        <v>73881734</v>
      </c>
      <c r="I138" s="696" t="str">
        <f t="shared" ca="1" si="7"/>
        <v>OK</v>
      </c>
      <c r="K138" s="192">
        <f t="shared" ca="1" si="6"/>
        <v>0</v>
      </c>
    </row>
    <row r="139" spans="2:11">
      <c r="B139" s="1554"/>
      <c r="C139" t="s">
        <v>117</v>
      </c>
      <c r="D139" s="192">
        <f ca="1">'3. Estado de resultados'!G21</f>
        <v>16210505</v>
      </c>
      <c r="F139" t="s">
        <v>2730</v>
      </c>
      <c r="G139" t="s">
        <v>586</v>
      </c>
      <c r="H139" s="192">
        <f>'Nota 32'!E9</f>
        <v>16210505</v>
      </c>
      <c r="I139" s="696" t="str">
        <f t="shared" ca="1" si="7"/>
        <v>OK</v>
      </c>
      <c r="K139" s="192">
        <f t="shared" ca="1" si="6"/>
        <v>0</v>
      </c>
    </row>
    <row r="140" spans="2:11">
      <c r="B140" s="1554"/>
      <c r="C140" t="s">
        <v>117</v>
      </c>
      <c r="D140" s="192">
        <f ca="1">'3. Estado de resultados'!G21</f>
        <v>16210505</v>
      </c>
      <c r="F140" t="s">
        <v>2726</v>
      </c>
      <c r="G140" t="s">
        <v>2427</v>
      </c>
      <c r="H140" s="192">
        <f>'601'!BO20</f>
        <v>16210505</v>
      </c>
      <c r="I140" s="696" t="str">
        <f t="shared" ca="1" si="7"/>
        <v>OK</v>
      </c>
      <c r="K140" s="192">
        <f t="shared" ca="1" si="6"/>
        <v>0</v>
      </c>
    </row>
    <row r="141" spans="2:11">
      <c r="B141" s="1554"/>
      <c r="C141" t="s">
        <v>118</v>
      </c>
      <c r="D141" s="192">
        <f ca="1">'3. Estado de resultados'!G22</f>
        <v>0</v>
      </c>
      <c r="F141" t="s">
        <v>2730</v>
      </c>
      <c r="G141" t="s">
        <v>590</v>
      </c>
      <c r="H141" s="192">
        <f>'Nota 32'!E13</f>
        <v>0</v>
      </c>
      <c r="I141" s="696" t="str">
        <f t="shared" ca="1" si="7"/>
        <v>OK</v>
      </c>
      <c r="K141" s="192">
        <f t="shared" ca="1" si="6"/>
        <v>0</v>
      </c>
    </row>
    <row r="142" spans="2:11">
      <c r="B142" s="1554"/>
      <c r="C142" t="s">
        <v>118</v>
      </c>
      <c r="D142" s="192">
        <f ca="1">'3. Estado de resultados'!G22</f>
        <v>0</v>
      </c>
      <c r="F142" t="s">
        <v>2726</v>
      </c>
      <c r="G142" t="s">
        <v>2428</v>
      </c>
      <c r="H142" s="192">
        <f>'601'!BO21</f>
        <v>0</v>
      </c>
      <c r="I142" s="696" t="str">
        <f t="shared" ca="1" si="7"/>
        <v>OK</v>
      </c>
      <c r="K142" s="192">
        <f t="shared" ca="1" si="6"/>
        <v>0</v>
      </c>
    </row>
    <row r="143" spans="2:11">
      <c r="B143" s="1554"/>
      <c r="C143" t="s">
        <v>119</v>
      </c>
      <c r="D143" s="192">
        <f ca="1">'3. Estado de resultados'!G23</f>
        <v>41902869</v>
      </c>
      <c r="F143" t="s">
        <v>2726</v>
      </c>
      <c r="G143" t="s">
        <v>2429</v>
      </c>
      <c r="H143" s="192">
        <f>'601'!BO22</f>
        <v>41902869</v>
      </c>
      <c r="I143" s="696" t="str">
        <f t="shared" ca="1" si="7"/>
        <v>OK</v>
      </c>
      <c r="K143" s="192">
        <f t="shared" ref="K143:K199" ca="1" si="9">+H143-D143</f>
        <v>0</v>
      </c>
    </row>
    <row r="144" spans="2:11">
      <c r="B144" s="1554"/>
      <c r="C144" t="s">
        <v>119</v>
      </c>
      <c r="D144" s="192">
        <f ca="1">'3. Estado de resultados'!G23</f>
        <v>41902869</v>
      </c>
      <c r="F144" t="s">
        <v>2731</v>
      </c>
      <c r="G144" t="s">
        <v>2529</v>
      </c>
      <c r="H144" s="192">
        <f>'604'!U6</f>
        <v>41902869</v>
      </c>
      <c r="I144" s="696" t="str">
        <f t="shared" ca="1" si="7"/>
        <v>OK</v>
      </c>
      <c r="K144" s="192">
        <f t="shared" ca="1" si="9"/>
        <v>0</v>
      </c>
    </row>
    <row r="145" spans="2:13">
      <c r="B145" s="1554"/>
      <c r="C145" t="s">
        <v>120</v>
      </c>
      <c r="D145" s="192">
        <f ca="1">'3. Estado de resultados'!G24</f>
        <v>41958632</v>
      </c>
      <c r="F145" t="s">
        <v>2726</v>
      </c>
      <c r="G145" t="s">
        <v>2430</v>
      </c>
      <c r="H145" s="192">
        <f>'601'!BO23</f>
        <v>41958632</v>
      </c>
      <c r="I145" s="696" t="str">
        <f t="shared" ca="1" si="7"/>
        <v>OK</v>
      </c>
      <c r="K145" s="192">
        <f t="shared" ca="1" si="9"/>
        <v>0</v>
      </c>
    </row>
    <row r="146" spans="2:13">
      <c r="B146" s="1554"/>
      <c r="C146" t="s">
        <v>121</v>
      </c>
      <c r="D146" s="192">
        <f ca="1">'3. Estado de resultados'!G25</f>
        <v>55763</v>
      </c>
      <c r="F146" t="s">
        <v>2726</v>
      </c>
      <c r="G146" t="s">
        <v>2431</v>
      </c>
      <c r="H146" s="192">
        <f>'601'!BO24</f>
        <v>55763</v>
      </c>
      <c r="I146" s="696" t="str">
        <f t="shared" ca="1" si="7"/>
        <v>OK</v>
      </c>
      <c r="K146" s="192">
        <f t="shared" ca="1" si="9"/>
        <v>0</v>
      </c>
    </row>
    <row r="147" spans="2:13">
      <c r="B147" s="1554"/>
      <c r="C147" t="s">
        <v>122</v>
      </c>
      <c r="D147" s="192">
        <f ca="1">'3. Estado de resultados'!G26</f>
        <v>0</v>
      </c>
      <c r="F147" t="s">
        <v>2726</v>
      </c>
      <c r="G147" t="s">
        <v>2432</v>
      </c>
      <c r="H147" s="192">
        <f>'601'!BO25</f>
        <v>0</v>
      </c>
      <c r="I147" s="696" t="str">
        <f t="shared" ca="1" si="7"/>
        <v>OK</v>
      </c>
      <c r="K147" s="192">
        <f t="shared" ca="1" si="9"/>
        <v>0</v>
      </c>
    </row>
    <row r="148" spans="2:13">
      <c r="B148" s="1554"/>
      <c r="C148" t="s">
        <v>123</v>
      </c>
      <c r="D148" s="192">
        <f ca="1">'3. Estado de resultados'!G27</f>
        <v>6172327</v>
      </c>
      <c r="F148" t="s">
        <v>2726</v>
      </c>
      <c r="G148" t="s">
        <v>2433</v>
      </c>
      <c r="H148" s="192">
        <f>'601'!BO26</f>
        <v>6172327</v>
      </c>
      <c r="I148" s="696" t="str">
        <f t="shared" ca="1" si="7"/>
        <v>OK</v>
      </c>
      <c r="K148" s="192">
        <f t="shared" ca="1" si="9"/>
        <v>0</v>
      </c>
    </row>
    <row r="149" spans="2:13">
      <c r="B149" s="1554"/>
      <c r="C149" t="s">
        <v>124</v>
      </c>
      <c r="D149" s="192">
        <f ca="1">'3. Estado de resultados'!G28</f>
        <v>5864672</v>
      </c>
      <c r="F149" t="s">
        <v>2726</v>
      </c>
      <c r="G149" t="s">
        <v>2434</v>
      </c>
      <c r="H149" s="192">
        <f>'601'!BO27</f>
        <v>5864672</v>
      </c>
      <c r="I149" s="696" t="str">
        <f t="shared" ca="1" si="7"/>
        <v>OK</v>
      </c>
      <c r="K149" s="192">
        <f t="shared" ca="1" si="9"/>
        <v>0</v>
      </c>
    </row>
    <row r="150" spans="2:13">
      <c r="B150" s="1554"/>
      <c r="C150" t="s">
        <v>125</v>
      </c>
      <c r="D150" s="192">
        <f ca="1">'3. Estado de resultados'!G29</f>
        <v>909644</v>
      </c>
      <c r="F150" t="s">
        <v>2726</v>
      </c>
      <c r="G150" t="s">
        <v>2435</v>
      </c>
      <c r="H150" s="192">
        <f>'601'!BO28</f>
        <v>909644</v>
      </c>
      <c r="I150" s="696" t="str">
        <f t="shared" ca="1" si="7"/>
        <v>OK</v>
      </c>
      <c r="K150" s="192">
        <f t="shared" ca="1" si="9"/>
        <v>0</v>
      </c>
    </row>
    <row r="151" spans="2:13">
      <c r="B151" s="1554"/>
      <c r="C151" t="s">
        <v>126</v>
      </c>
      <c r="D151" s="192">
        <f ca="1">'3. Estado de resultados'!G30</f>
        <v>0</v>
      </c>
      <c r="F151" t="s">
        <v>2726</v>
      </c>
      <c r="G151" t="s">
        <v>2436</v>
      </c>
      <c r="H151" s="192">
        <f>'601'!BO29</f>
        <v>0</v>
      </c>
      <c r="I151" s="696" t="str">
        <f t="shared" ca="1" si="7"/>
        <v>OK</v>
      </c>
      <c r="K151" s="192">
        <f t="shared" ca="1" si="9"/>
        <v>0</v>
      </c>
    </row>
    <row r="152" spans="2:13">
      <c r="B152" s="1554"/>
      <c r="C152" t="s">
        <v>127</v>
      </c>
      <c r="D152" s="192">
        <f ca="1">'3. Estado de resultados'!G31</f>
        <v>601989</v>
      </c>
      <c r="F152" t="s">
        <v>2726</v>
      </c>
      <c r="G152" t="s">
        <v>2437</v>
      </c>
      <c r="H152" s="192">
        <f>'601'!BO30</f>
        <v>601989</v>
      </c>
      <c r="I152" s="696" t="str">
        <f t="shared" ca="1" si="7"/>
        <v>OK</v>
      </c>
      <c r="K152" s="192">
        <f t="shared" ca="1" si="9"/>
        <v>0</v>
      </c>
    </row>
    <row r="153" spans="2:13">
      <c r="B153" s="1554"/>
      <c r="C153" t="s">
        <v>128</v>
      </c>
      <c r="D153" s="192">
        <f ca="1">'3. Estado de resultados'!G32</f>
        <v>287955</v>
      </c>
      <c r="F153" t="s">
        <v>2726</v>
      </c>
      <c r="G153" t="s">
        <v>2438</v>
      </c>
      <c r="H153" s="192">
        <f>'601'!BO31</f>
        <v>287955</v>
      </c>
      <c r="I153" s="696" t="str">
        <f t="shared" ca="1" si="7"/>
        <v>OK</v>
      </c>
      <c r="K153" s="192">
        <f t="shared" ca="1" si="9"/>
        <v>0</v>
      </c>
    </row>
    <row r="154" spans="2:13">
      <c r="B154" s="1554"/>
      <c r="C154" t="s">
        <v>129</v>
      </c>
      <c r="D154" s="192">
        <f ca="1">'3. Estado de resultados'!G33</f>
        <v>170820</v>
      </c>
      <c r="F154" t="s">
        <v>2726</v>
      </c>
      <c r="G154" t="s">
        <v>2439</v>
      </c>
      <c r="H154" s="192">
        <f>'601'!BO32</f>
        <v>170820</v>
      </c>
      <c r="I154" s="696" t="str">
        <f t="shared" ca="1" si="7"/>
        <v>OK</v>
      </c>
      <c r="K154" s="192">
        <f t="shared" ca="1" si="9"/>
        <v>0</v>
      </c>
    </row>
    <row r="155" spans="2:13">
      <c r="B155" s="1554"/>
      <c r="C155" t="s">
        <v>130</v>
      </c>
      <c r="D155" s="192">
        <f ca="1">'3. Estado de resultados'!G34</f>
        <v>-15736</v>
      </c>
      <c r="F155" t="s">
        <v>2726</v>
      </c>
      <c r="G155" t="s">
        <v>2440</v>
      </c>
      <c r="H155" s="192">
        <f>'601'!BO33</f>
        <v>-15736</v>
      </c>
      <c r="I155" s="696" t="str">
        <f t="shared" ca="1" si="7"/>
        <v>OK</v>
      </c>
      <c r="K155" s="192">
        <f t="shared" ca="1" si="9"/>
        <v>0</v>
      </c>
    </row>
    <row r="156" spans="2:13">
      <c r="B156" s="1554"/>
      <c r="C156" t="s">
        <v>130</v>
      </c>
      <c r="D156" s="192">
        <f ca="1">'3. Estado de resultados'!G34</f>
        <v>-15736</v>
      </c>
      <c r="F156" t="s">
        <v>2732</v>
      </c>
      <c r="G156" t="s">
        <v>432</v>
      </c>
      <c r="H156" s="192">
        <f>'Nota 34'!E13</f>
        <v>-15736</v>
      </c>
      <c r="I156" s="696" t="str">
        <f t="shared" ca="1" si="7"/>
        <v>OK</v>
      </c>
      <c r="K156" s="192">
        <f t="shared" ca="1" si="9"/>
        <v>0</v>
      </c>
    </row>
    <row r="157" spans="2:13">
      <c r="B157" s="1554"/>
      <c r="C157" t="s">
        <v>131</v>
      </c>
      <c r="D157" s="192">
        <f ca="1">'3. Estado de resultados'!G35</f>
        <v>7474329</v>
      </c>
      <c r="F157" t="s">
        <v>2733</v>
      </c>
      <c r="G157" t="s">
        <v>1797</v>
      </c>
      <c r="H157" s="192">
        <f>'Nota 33'!E8</f>
        <v>7474329</v>
      </c>
      <c r="I157" s="696" t="str">
        <f t="shared" ca="1" si="7"/>
        <v>OK</v>
      </c>
      <c r="K157" s="192">
        <f t="shared" ca="1" si="9"/>
        <v>0</v>
      </c>
    </row>
    <row r="158" spans="2:13">
      <c r="B158" s="1554"/>
      <c r="C158" t="s">
        <v>131</v>
      </c>
      <c r="D158" s="192">
        <f ca="1">'3. Estado de resultados'!G35</f>
        <v>7474329</v>
      </c>
      <c r="F158" t="s">
        <v>2726</v>
      </c>
      <c r="G158" t="s">
        <v>2443</v>
      </c>
      <c r="H158" s="192">
        <f>'601'!BO42</f>
        <v>7474329</v>
      </c>
      <c r="I158" s="696" t="str">
        <f t="shared" ca="1" si="7"/>
        <v>OK</v>
      </c>
      <c r="K158" s="192">
        <f t="shared" ca="1" si="9"/>
        <v>0</v>
      </c>
      <c r="M158" t="s">
        <v>4126</v>
      </c>
    </row>
    <row r="159" spans="2:13">
      <c r="B159" s="1554"/>
      <c r="C159" t="s">
        <v>132</v>
      </c>
      <c r="D159" s="192">
        <f ca="1">'3. Estado de resultados'!G36</f>
        <v>2657860</v>
      </c>
      <c r="F159" t="s">
        <v>2733</v>
      </c>
      <c r="G159" t="s">
        <v>594</v>
      </c>
      <c r="H159" s="192">
        <f>'Nota 33'!E5</f>
        <v>2657860</v>
      </c>
      <c r="I159" s="696" t="str">
        <f t="shared" ca="1" si="7"/>
        <v>OK</v>
      </c>
      <c r="K159" s="192">
        <f t="shared" ca="1" si="9"/>
        <v>0</v>
      </c>
    </row>
    <row r="160" spans="2:13">
      <c r="B160" s="1554"/>
      <c r="C160" t="s">
        <v>132</v>
      </c>
      <c r="D160" s="192">
        <f ca="1">'3. Estado de resultados'!G36</f>
        <v>2657860</v>
      </c>
      <c r="F160" t="s">
        <v>2744</v>
      </c>
      <c r="G160" t="s">
        <v>2742</v>
      </c>
      <c r="H160" s="192">
        <f>'601'!BO44+'601'!BO48</f>
        <v>2657860</v>
      </c>
      <c r="I160" s="696" t="str">
        <f t="shared" ca="1" si="7"/>
        <v>OK</v>
      </c>
      <c r="K160" s="192">
        <f t="shared" ca="1" si="9"/>
        <v>0</v>
      </c>
      <c r="L160" s="192">
        <f ca="1">+K160+K161</f>
        <v>0</v>
      </c>
      <c r="M160" t="s">
        <v>4126</v>
      </c>
    </row>
    <row r="161" spans="2:13">
      <c r="B161" s="1554"/>
      <c r="C161" t="s">
        <v>133</v>
      </c>
      <c r="D161" s="192">
        <f ca="1">'3. Estado de resultados'!G37</f>
        <v>4816469</v>
      </c>
      <c r="F161" t="s">
        <v>2744</v>
      </c>
      <c r="G161" t="s">
        <v>2743</v>
      </c>
      <c r="H161" s="192">
        <f>'601'!BO45+'601'!BO46+'601'!BO49+'601'!BO50</f>
        <v>4816469</v>
      </c>
      <c r="I161" s="696" t="str">
        <f t="shared" ca="1" si="7"/>
        <v>OK</v>
      </c>
      <c r="K161" s="192">
        <f t="shared" ca="1" si="9"/>
        <v>0</v>
      </c>
      <c r="M161" t="s">
        <v>4126</v>
      </c>
    </row>
    <row r="162" spans="2:13">
      <c r="B162" s="1554"/>
      <c r="C162" t="s">
        <v>134</v>
      </c>
      <c r="D162" s="192">
        <f ca="1">'3. Estado de resultados'!G38</f>
        <v>18887240</v>
      </c>
      <c r="F162" t="s">
        <v>2734</v>
      </c>
      <c r="G162" t="s">
        <v>1816</v>
      </c>
      <c r="H162" s="192">
        <f>'Nota 35'!G47</f>
        <v>18887240</v>
      </c>
      <c r="I162" s="696" t="str">
        <f t="shared" ca="1" si="7"/>
        <v>OK</v>
      </c>
      <c r="K162" s="192">
        <f t="shared" ca="1" si="9"/>
        <v>0</v>
      </c>
    </row>
    <row r="163" spans="2:13">
      <c r="B163" s="1554"/>
      <c r="C163" t="s">
        <v>135</v>
      </c>
      <c r="D163" s="192">
        <f ca="1">'3. Estado de resultados'!G39</f>
        <v>1424414</v>
      </c>
      <c r="F163" t="s">
        <v>2734</v>
      </c>
      <c r="G163" t="s">
        <v>1803</v>
      </c>
      <c r="H163" s="192">
        <f>'Nota 35'!G7</f>
        <v>1424414</v>
      </c>
      <c r="I163" s="696" t="str">
        <f t="shared" ca="1" si="7"/>
        <v>OK</v>
      </c>
      <c r="K163" s="192">
        <f t="shared" ca="1" si="9"/>
        <v>0</v>
      </c>
    </row>
    <row r="164" spans="2:13">
      <c r="B164" s="1554"/>
      <c r="C164" t="s">
        <v>136</v>
      </c>
      <c r="D164" s="192">
        <f ca="1">'3. Estado de resultados'!G40</f>
        <v>662500</v>
      </c>
      <c r="F164" t="s">
        <v>2734</v>
      </c>
      <c r="G164" t="s">
        <v>1804</v>
      </c>
      <c r="H164" s="192">
        <f>'Nota 35'!G8</f>
        <v>662500</v>
      </c>
      <c r="I164" s="696" t="str">
        <f t="shared" ca="1" si="7"/>
        <v>OK</v>
      </c>
      <c r="K164" s="192">
        <f t="shared" ca="1" si="9"/>
        <v>0</v>
      </c>
    </row>
    <row r="165" spans="2:13">
      <c r="B165" s="1554"/>
      <c r="C165" t="s">
        <v>137</v>
      </c>
      <c r="D165" s="192">
        <f ca="1">'3. Estado de resultados'!G41</f>
        <v>761914</v>
      </c>
      <c r="F165" t="s">
        <v>2734</v>
      </c>
      <c r="G165" t="s">
        <v>1805</v>
      </c>
      <c r="H165" s="192">
        <f>'Nota 35'!G13</f>
        <v>761914</v>
      </c>
      <c r="I165" s="696" t="str">
        <f t="shared" ca="1" si="7"/>
        <v>OK</v>
      </c>
      <c r="K165" s="192">
        <f t="shared" ca="1" si="9"/>
        <v>0</v>
      </c>
    </row>
    <row r="166" spans="2:13">
      <c r="B166" s="1554"/>
      <c r="C166" t="s">
        <v>138</v>
      </c>
      <c r="D166" s="192">
        <f ca="1">'3. Estado de resultados'!G42</f>
        <v>-941200</v>
      </c>
      <c r="F166" t="s">
        <v>2734</v>
      </c>
      <c r="G166" t="s">
        <v>1806</v>
      </c>
      <c r="H166" s="192">
        <f>'Nota 35'!G16</f>
        <v>-941200</v>
      </c>
      <c r="I166" s="696" t="str">
        <f t="shared" ca="1" si="7"/>
        <v>OK</v>
      </c>
      <c r="K166" s="192">
        <f t="shared" ca="1" si="9"/>
        <v>0</v>
      </c>
    </row>
    <row r="167" spans="2:13">
      <c r="B167" s="1554"/>
      <c r="C167" t="s">
        <v>139</v>
      </c>
      <c r="D167" s="192">
        <f ca="1">'3. Estado de resultados'!G43</f>
        <v>0</v>
      </c>
      <c r="F167" t="s">
        <v>2734</v>
      </c>
      <c r="G167" t="s">
        <v>1807</v>
      </c>
      <c r="H167" s="192">
        <f>'Nota 35'!G17</f>
        <v>0</v>
      </c>
      <c r="I167" s="696" t="str">
        <f t="shared" ca="1" si="7"/>
        <v>OK</v>
      </c>
      <c r="K167" s="192">
        <f t="shared" ca="1" si="9"/>
        <v>0</v>
      </c>
    </row>
    <row r="168" spans="2:13">
      <c r="B168" s="1554"/>
      <c r="C168" t="s">
        <v>140</v>
      </c>
      <c r="D168" s="192">
        <f ca="1">'3. Estado de resultados'!G44</f>
        <v>-941200</v>
      </c>
      <c r="F168" t="s">
        <v>2734</v>
      </c>
      <c r="G168" t="s">
        <v>1808</v>
      </c>
      <c r="H168" s="192">
        <f>'Nota 35'!G20</f>
        <v>-941200</v>
      </c>
      <c r="I168" s="696" t="str">
        <f t="shared" ca="1" si="7"/>
        <v>OK</v>
      </c>
      <c r="K168" s="192">
        <f t="shared" ca="1" si="9"/>
        <v>0</v>
      </c>
    </row>
    <row r="169" spans="2:13">
      <c r="B169" s="1554"/>
      <c r="C169" t="s">
        <v>141</v>
      </c>
      <c r="D169" s="192">
        <f ca="1">'3. Estado de resultados'!G45</f>
        <v>17677718</v>
      </c>
      <c r="F169" t="s">
        <v>2734</v>
      </c>
      <c r="G169" t="s">
        <v>1809</v>
      </c>
      <c r="H169" s="192">
        <f>'Nota 35'!G23</f>
        <v>17677718</v>
      </c>
      <c r="I169" s="696" t="str">
        <f t="shared" ca="1" si="7"/>
        <v>OK</v>
      </c>
      <c r="K169" s="192">
        <f t="shared" ca="1" si="9"/>
        <v>0</v>
      </c>
    </row>
    <row r="170" spans="2:13">
      <c r="B170" s="1554"/>
      <c r="C170" t="s">
        <v>142</v>
      </c>
      <c r="D170" s="192">
        <f ca="1">'3. Estado de resultados'!G46</f>
        <v>4652074</v>
      </c>
      <c r="F170" t="s">
        <v>2734</v>
      </c>
      <c r="G170" t="s">
        <v>1810</v>
      </c>
      <c r="H170" s="192">
        <f>'Nota 35'!G24</f>
        <v>4652074</v>
      </c>
      <c r="I170" s="696" t="str">
        <f t="shared" ca="1" si="7"/>
        <v>OK</v>
      </c>
      <c r="K170" s="192">
        <f t="shared" ca="1" si="9"/>
        <v>0</v>
      </c>
    </row>
    <row r="171" spans="2:13">
      <c r="B171" s="1554"/>
      <c r="C171" t="s">
        <v>143</v>
      </c>
      <c r="D171" s="192">
        <f ca="1">'3. Estado de resultados'!G47</f>
        <v>13854292</v>
      </c>
      <c r="F171" t="s">
        <v>2734</v>
      </c>
      <c r="G171" t="s">
        <v>1811</v>
      </c>
      <c r="H171" s="192">
        <f>'Nota 35'!G27</f>
        <v>13854292</v>
      </c>
      <c r="I171" s="696" t="str">
        <f t="shared" ca="1" si="7"/>
        <v>OK</v>
      </c>
      <c r="K171" s="192">
        <f t="shared" ca="1" si="9"/>
        <v>0</v>
      </c>
    </row>
    <row r="172" spans="2:13">
      <c r="B172" s="1554"/>
      <c r="C172" t="s">
        <v>144</v>
      </c>
      <c r="D172" s="192">
        <f ca="1">'3. Estado de resultados'!G48</f>
        <v>437235</v>
      </c>
      <c r="F172" t="s">
        <v>2734</v>
      </c>
      <c r="G172" t="s">
        <v>1812</v>
      </c>
      <c r="H172" s="192">
        <f>'Nota 35'!G31</f>
        <v>437235</v>
      </c>
      <c r="I172" s="696" t="str">
        <f t="shared" ca="1" si="7"/>
        <v>OK</v>
      </c>
      <c r="K172" s="192">
        <f t="shared" ca="1" si="9"/>
        <v>0</v>
      </c>
    </row>
    <row r="173" spans="2:13">
      <c r="B173" s="1554"/>
      <c r="C173" t="s">
        <v>145</v>
      </c>
      <c r="D173" s="192">
        <f ca="1">'3. Estado de resultados'!G49</f>
        <v>391413</v>
      </c>
      <c r="F173" t="s">
        <v>2734</v>
      </c>
      <c r="G173" t="s">
        <v>1813</v>
      </c>
      <c r="H173" s="192">
        <f>'Nota 35'!G35</f>
        <v>391413</v>
      </c>
      <c r="I173" s="696" t="str">
        <f t="shared" ref="I173:I201" ca="1" si="10">IF(D173-H173=0,"OK","ERROR")</f>
        <v>OK</v>
      </c>
      <c r="K173" s="192">
        <f t="shared" ca="1" si="9"/>
        <v>0</v>
      </c>
    </row>
    <row r="174" spans="2:13">
      <c r="B174" s="1554"/>
      <c r="C174" t="s">
        <v>146</v>
      </c>
      <c r="D174" s="192">
        <f ca="1">'3. Estado de resultados'!G50</f>
        <v>761497</v>
      </c>
      <c r="F174" t="s">
        <v>2734</v>
      </c>
      <c r="G174" t="s">
        <v>614</v>
      </c>
      <c r="H174" s="192">
        <f>'Nota 35'!G39</f>
        <v>761497</v>
      </c>
      <c r="I174" s="696" t="str">
        <f t="shared" ca="1" si="10"/>
        <v>OK</v>
      </c>
      <c r="K174" s="192">
        <f t="shared" ca="1" si="9"/>
        <v>0</v>
      </c>
    </row>
    <row r="175" spans="2:13">
      <c r="B175" s="1554"/>
      <c r="C175" t="s">
        <v>147</v>
      </c>
      <c r="D175" s="192">
        <f ca="1">'3. Estado de resultados'!G51</f>
        <v>35189</v>
      </c>
      <c r="F175" t="s">
        <v>2734</v>
      </c>
      <c r="G175" t="s">
        <v>1814</v>
      </c>
      <c r="H175" s="192">
        <f>'Nota 35'!G40</f>
        <v>35189</v>
      </c>
      <c r="I175" s="696" t="str">
        <f t="shared" ca="1" si="10"/>
        <v>OK</v>
      </c>
      <c r="K175" s="192">
        <f t="shared" ca="1" si="9"/>
        <v>0</v>
      </c>
    </row>
    <row r="176" spans="2:13">
      <c r="B176" s="1554"/>
      <c r="C176" t="s">
        <v>150</v>
      </c>
      <c r="D176" s="192">
        <f ca="1">'3. Estado de resultados'!G54</f>
        <v>310857</v>
      </c>
      <c r="F176" t="s">
        <v>2735</v>
      </c>
      <c r="G176" t="s">
        <v>579</v>
      </c>
      <c r="H176" s="192">
        <f>'Nota 36'!E22</f>
        <v>310857</v>
      </c>
      <c r="I176" s="696" t="str">
        <f t="shared" ca="1" si="10"/>
        <v>OK</v>
      </c>
      <c r="K176" s="192">
        <f t="shared" ca="1" si="9"/>
        <v>0</v>
      </c>
    </row>
    <row r="177" spans="2:11">
      <c r="B177" s="1554"/>
      <c r="C177" t="s">
        <v>151</v>
      </c>
      <c r="D177" s="192">
        <f ca="1">'3. Estado de resultados'!G55</f>
        <v>112372</v>
      </c>
      <c r="F177" t="s">
        <v>2736</v>
      </c>
      <c r="G177" t="s">
        <v>579</v>
      </c>
      <c r="H177" s="192">
        <f>'Nota 37'!E22</f>
        <v>112372</v>
      </c>
      <c r="I177" s="696" t="str">
        <f t="shared" ca="1" si="10"/>
        <v>OK</v>
      </c>
      <c r="K177" s="192">
        <f t="shared" ca="1" si="9"/>
        <v>0</v>
      </c>
    </row>
    <row r="178" spans="2:11">
      <c r="B178" s="1554"/>
      <c r="C178" t="s">
        <v>152</v>
      </c>
      <c r="D178" s="192">
        <f ca="1">'3. Estado de resultados'!G56</f>
        <v>1798962</v>
      </c>
      <c r="F178" t="s">
        <v>2737</v>
      </c>
      <c r="G178" t="s">
        <v>652</v>
      </c>
      <c r="H178" s="192">
        <f>'Nota 38'!G36</f>
        <v>1798962</v>
      </c>
      <c r="I178" s="696" t="str">
        <f t="shared" ca="1" si="10"/>
        <v>OK</v>
      </c>
      <c r="K178" s="192">
        <f t="shared" ca="1" si="9"/>
        <v>0</v>
      </c>
    </row>
    <row r="179" spans="2:11">
      <c r="B179" s="1554"/>
      <c r="C179" t="s">
        <v>153</v>
      </c>
      <c r="D179" s="192">
        <f ca="1">'3. Estado de resultados'!G57</f>
        <v>-1319920</v>
      </c>
      <c r="F179" t="s">
        <v>2737</v>
      </c>
      <c r="G179" t="s">
        <v>654</v>
      </c>
      <c r="H179" s="192">
        <f>'Nota 38'!G72</f>
        <v>-1319920</v>
      </c>
      <c r="I179" s="696" t="str">
        <f t="shared" ca="1" si="10"/>
        <v>OK</v>
      </c>
      <c r="K179" s="192">
        <f t="shared" ca="1" si="9"/>
        <v>0</v>
      </c>
    </row>
    <row r="180" spans="2:11">
      <c r="B180" s="1554"/>
      <c r="C180" t="s">
        <v>156</v>
      </c>
      <c r="D180" s="192">
        <f ca="1">'3. Estado de resultados'!G60</f>
        <v>1839176</v>
      </c>
      <c r="F180" t="s">
        <v>2738</v>
      </c>
      <c r="G180" t="s">
        <v>663</v>
      </c>
      <c r="H180" s="192">
        <f>'Nota 40'!E17</f>
        <v>1839176</v>
      </c>
      <c r="I180" s="696" t="str">
        <f t="shared" ca="1" si="10"/>
        <v>OK</v>
      </c>
      <c r="K180" s="192">
        <f t="shared" ca="1" si="9"/>
        <v>0</v>
      </c>
    </row>
    <row r="181" spans="2:11">
      <c r="B181" s="1554"/>
      <c r="C181" t="s">
        <v>157</v>
      </c>
      <c r="D181" s="192">
        <f ca="1">'3. Estado de resultados'!G61</f>
        <v>3197727</v>
      </c>
      <c r="F181" t="s">
        <v>835</v>
      </c>
      <c r="G181" t="s">
        <v>100</v>
      </c>
      <c r="H181" s="192">
        <f ca="1">'2. Estado de situación'!I100</f>
        <v>3197727</v>
      </c>
      <c r="I181" s="696" t="str">
        <f t="shared" ca="1" si="10"/>
        <v>OK</v>
      </c>
      <c r="K181" s="192">
        <f t="shared" ca="1" si="9"/>
        <v>0</v>
      </c>
    </row>
    <row r="182" spans="2:11">
      <c r="B182" s="1554"/>
      <c r="C182" t="s">
        <v>157</v>
      </c>
      <c r="D182" s="192">
        <f ca="1">'3. Estado de resultados'!G61</f>
        <v>3197727</v>
      </c>
      <c r="F182" t="s">
        <v>868</v>
      </c>
      <c r="G182" t="s">
        <v>856</v>
      </c>
      <c r="H182">
        <f>'6. Cambios en el patrimonio'!T12</f>
        <v>3197727</v>
      </c>
      <c r="I182" s="696" t="str">
        <f t="shared" ca="1" si="10"/>
        <v>OK</v>
      </c>
      <c r="K182" s="192">
        <f t="shared" ca="1" si="9"/>
        <v>0</v>
      </c>
    </row>
    <row r="183" spans="2:11">
      <c r="B183" s="1554"/>
      <c r="C183" t="s">
        <v>162</v>
      </c>
      <c r="D183" s="192">
        <f ca="1">'3. Estado de resultados'!G67</f>
        <v>0</v>
      </c>
      <c r="F183" t="s">
        <v>868</v>
      </c>
      <c r="G183" t="s">
        <v>858</v>
      </c>
      <c r="H183">
        <f>'6. Cambios en el patrimonio'!T14</f>
        <v>0</v>
      </c>
      <c r="I183" s="696" t="str">
        <f t="shared" ca="1" si="10"/>
        <v>OK</v>
      </c>
      <c r="K183" s="192">
        <f t="shared" ca="1" si="9"/>
        <v>0</v>
      </c>
    </row>
    <row r="184" spans="2:11">
      <c r="B184" s="1554" t="s">
        <v>849</v>
      </c>
      <c r="C184" t="s">
        <v>221</v>
      </c>
      <c r="D184" s="192">
        <f>'4. Estado de flujo'!F72</f>
        <v>46184</v>
      </c>
      <c r="F184" t="s">
        <v>2616</v>
      </c>
      <c r="G184" t="s">
        <v>221</v>
      </c>
      <c r="H184" s="192">
        <f>'Nota 7'!I8</f>
        <v>46184</v>
      </c>
      <c r="I184" s="696" t="str">
        <f t="shared" si="10"/>
        <v>OK</v>
      </c>
      <c r="K184" s="192">
        <f t="shared" si="9"/>
        <v>0</v>
      </c>
    </row>
    <row r="185" spans="2:11">
      <c r="B185" s="1554"/>
      <c r="C185" t="s">
        <v>221</v>
      </c>
      <c r="D185" s="192">
        <f>'4. Estado de flujo'!F72</f>
        <v>46184</v>
      </c>
      <c r="F185" t="s">
        <v>2691</v>
      </c>
      <c r="G185" t="s">
        <v>1968</v>
      </c>
      <c r="H185" s="192">
        <f>'Nota 48'!G129</f>
        <v>46184</v>
      </c>
      <c r="I185" s="696" t="str">
        <f t="shared" si="10"/>
        <v>OK</v>
      </c>
      <c r="K185" s="192">
        <f t="shared" si="9"/>
        <v>0</v>
      </c>
    </row>
    <row r="186" spans="2:11">
      <c r="B186" s="1554"/>
      <c r="C186" t="s">
        <v>222</v>
      </c>
      <c r="D186" s="192">
        <f>'4. Estado de flujo'!F73</f>
        <v>6462184</v>
      </c>
      <c r="F186" t="s">
        <v>2616</v>
      </c>
      <c r="G186" t="s">
        <v>222</v>
      </c>
      <c r="H186" s="192">
        <f>'Nota 7'!I9</f>
        <v>6462184</v>
      </c>
      <c r="I186" s="696" t="str">
        <f t="shared" si="10"/>
        <v>OK</v>
      </c>
      <c r="K186" s="192">
        <f t="shared" si="9"/>
        <v>0</v>
      </c>
    </row>
    <row r="187" spans="2:11">
      <c r="B187" s="1554"/>
      <c r="C187" t="s">
        <v>223</v>
      </c>
      <c r="D187" s="192">
        <f>'4. Estado de flujo'!F74</f>
        <v>0</v>
      </c>
      <c r="F187" t="s">
        <v>2616</v>
      </c>
      <c r="G187" t="s">
        <v>223</v>
      </c>
      <c r="H187" s="192">
        <f>'Nota 7'!I10</f>
        <v>0</v>
      </c>
      <c r="I187" s="696" t="str">
        <f t="shared" si="10"/>
        <v>OK</v>
      </c>
      <c r="K187" s="192">
        <f t="shared" si="9"/>
        <v>0</v>
      </c>
    </row>
    <row r="188" spans="2:11">
      <c r="B188" t="s">
        <v>868</v>
      </c>
      <c r="C188" t="s">
        <v>500</v>
      </c>
      <c r="D188" s="192">
        <f>'6. Cambios en el patrimonio'!I23</f>
        <v>-495498</v>
      </c>
      <c r="F188" t="s">
        <v>2701</v>
      </c>
      <c r="G188" t="s">
        <v>2766</v>
      </c>
      <c r="H188" s="192">
        <f>'Nota 25'!H73</f>
        <v>-495498</v>
      </c>
      <c r="I188" s="696" t="str">
        <f t="shared" si="10"/>
        <v>OK</v>
      </c>
      <c r="K188" s="192">
        <f t="shared" si="9"/>
        <v>0</v>
      </c>
    </row>
    <row r="189" spans="2:11">
      <c r="B189" s="747" t="s">
        <v>2691</v>
      </c>
      <c r="C189" t="s">
        <v>740</v>
      </c>
      <c r="D189" s="192">
        <f>'Nota 48'!E13</f>
        <v>6047590.8550000004</v>
      </c>
      <c r="F189" t="s">
        <v>2691</v>
      </c>
      <c r="G189" t="s">
        <v>2739</v>
      </c>
      <c r="H189" s="192">
        <f>'Nota 48'!H83</f>
        <v>6047590.8550000004</v>
      </c>
      <c r="I189" s="696" t="str">
        <f t="shared" si="10"/>
        <v>OK</v>
      </c>
      <c r="K189" s="192">
        <f t="shared" si="9"/>
        <v>0</v>
      </c>
    </row>
    <row r="190" spans="2:11">
      <c r="B190" s="747" t="s">
        <v>2691</v>
      </c>
      <c r="C190" t="s">
        <v>70</v>
      </c>
      <c r="D190" s="192">
        <f ca="1">'Nota 48'!E31</f>
        <v>34625496</v>
      </c>
      <c r="F190" t="s">
        <v>2720</v>
      </c>
      <c r="G190" t="s">
        <v>2471</v>
      </c>
      <c r="H190" s="192">
        <f>'602'!BO43</f>
        <v>34625496</v>
      </c>
      <c r="I190" s="696" t="str">
        <f t="shared" ca="1" si="10"/>
        <v>OK</v>
      </c>
      <c r="K190" s="192">
        <f t="shared" ca="1" si="9"/>
        <v>0</v>
      </c>
    </row>
    <row r="191" spans="2:11">
      <c r="B191" s="747" t="s">
        <v>2745</v>
      </c>
      <c r="C191" t="s">
        <v>2747</v>
      </c>
      <c r="D191" s="192" t="e">
        <f>#REF!</f>
        <v>#REF!</v>
      </c>
      <c r="F191" t="s">
        <v>835</v>
      </c>
      <c r="G191" t="s">
        <v>2746</v>
      </c>
      <c r="H191" s="192">
        <f ca="1">'2. Estado de situación'!I73-'2. Estado de situación'!I44</f>
        <v>16969376</v>
      </c>
      <c r="I191" s="696" t="e">
        <f t="shared" ca="1" si="10"/>
        <v>#REF!</v>
      </c>
      <c r="K191" s="192" t="e">
        <f t="shared" ca="1" si="9"/>
        <v>#REF!</v>
      </c>
    </row>
    <row r="192" spans="2:11">
      <c r="B192" s="747" t="s">
        <v>2748</v>
      </c>
      <c r="C192" t="s">
        <v>2529</v>
      </c>
      <c r="D192" s="192">
        <f>'604'!O6</f>
        <v>-19843</v>
      </c>
      <c r="F192" t="s">
        <v>2750</v>
      </c>
      <c r="G192" t="s">
        <v>2749</v>
      </c>
      <c r="H192" s="192">
        <f>'601'!BK22</f>
        <v>-19843</v>
      </c>
      <c r="I192" s="696" t="str">
        <f t="shared" si="10"/>
        <v>OK</v>
      </c>
      <c r="K192" s="192">
        <f t="shared" si="9"/>
        <v>0</v>
      </c>
    </row>
    <row r="193" spans="2:11">
      <c r="B193" s="747" t="s">
        <v>2694</v>
      </c>
      <c r="C193" t="s">
        <v>2755</v>
      </c>
      <c r="D193" s="192">
        <f>'Nota 16'!F8</f>
        <v>9509325</v>
      </c>
      <c r="F193" s="747" t="s">
        <v>2694</v>
      </c>
      <c r="G193" t="s">
        <v>2756</v>
      </c>
      <c r="H193" s="192">
        <f>'Nota 16'!F24</f>
        <v>9509325</v>
      </c>
      <c r="I193" s="696" t="str">
        <f t="shared" si="10"/>
        <v>OK</v>
      </c>
      <c r="K193" s="192">
        <f t="shared" si="9"/>
        <v>0</v>
      </c>
    </row>
    <row r="194" spans="2:11">
      <c r="B194" s="747" t="s">
        <v>2694</v>
      </c>
      <c r="C194" t="s">
        <v>1422</v>
      </c>
      <c r="D194" s="192">
        <f>'Nota 16'!F9</f>
        <v>47148059</v>
      </c>
      <c r="F194" s="747" t="s">
        <v>2694</v>
      </c>
      <c r="G194" t="s">
        <v>1460</v>
      </c>
      <c r="H194" s="192">
        <f>'Nota 16.1'!F42</f>
        <v>47148059</v>
      </c>
      <c r="I194" s="696" t="str">
        <f t="shared" si="10"/>
        <v>OK</v>
      </c>
      <c r="K194" s="192">
        <f t="shared" si="9"/>
        <v>0</v>
      </c>
    </row>
    <row r="195" spans="2:11">
      <c r="B195" s="747" t="s">
        <v>2689</v>
      </c>
      <c r="C195" t="s">
        <v>1283</v>
      </c>
      <c r="D195" s="192">
        <f>'Nota 12'!N28</f>
        <v>2934111</v>
      </c>
      <c r="F195" s="747" t="s">
        <v>2689</v>
      </c>
      <c r="G195" t="s">
        <v>2757</v>
      </c>
      <c r="H195" s="192">
        <f>'Nota 12'!E104</f>
        <v>2934111</v>
      </c>
      <c r="I195" s="696" t="str">
        <f t="shared" si="10"/>
        <v>OK</v>
      </c>
      <c r="K195" s="192">
        <f t="shared" si="9"/>
        <v>0</v>
      </c>
    </row>
    <row r="196" spans="2:11">
      <c r="B196" s="747" t="s">
        <v>2620</v>
      </c>
      <c r="C196" t="s">
        <v>2758</v>
      </c>
      <c r="D196" s="192">
        <f>'Nota 10'!F9</f>
        <v>464407</v>
      </c>
      <c r="F196" s="747" t="s">
        <v>2620</v>
      </c>
      <c r="G196" t="s">
        <v>1258</v>
      </c>
      <c r="H196" s="192">
        <f>'Nota 10'!E19</f>
        <v>464407</v>
      </c>
      <c r="I196" s="696" t="str">
        <f t="shared" si="10"/>
        <v>OK</v>
      </c>
      <c r="K196" s="192">
        <f t="shared" si="9"/>
        <v>0</v>
      </c>
    </row>
    <row r="197" spans="2:11">
      <c r="B197" s="747" t="s">
        <v>2619</v>
      </c>
      <c r="C197" t="s">
        <v>2759</v>
      </c>
      <c r="D197" s="192">
        <f>'Nota 9'!G22</f>
        <v>263502</v>
      </c>
      <c r="F197" s="747" t="s">
        <v>2619</v>
      </c>
      <c r="G197" t="s">
        <v>2760</v>
      </c>
      <c r="H197" s="192">
        <f>'Nota 9'!F32</f>
        <v>263502</v>
      </c>
      <c r="I197" s="696" t="str">
        <f t="shared" si="10"/>
        <v>OK</v>
      </c>
      <c r="K197" s="192">
        <f t="shared" si="9"/>
        <v>0</v>
      </c>
    </row>
    <row r="198" spans="2:11">
      <c r="B198" s="747" t="s">
        <v>2619</v>
      </c>
      <c r="C198" t="s">
        <v>1243</v>
      </c>
      <c r="D198" s="192">
        <f>'Nota 9'!F28</f>
        <v>38394</v>
      </c>
      <c r="F198" t="s">
        <v>2734</v>
      </c>
      <c r="G198" t="s">
        <v>1815</v>
      </c>
      <c r="H198" s="192">
        <f>'Nota 35'!G44</f>
        <v>38394</v>
      </c>
      <c r="I198" s="696" t="str">
        <f t="shared" si="10"/>
        <v>OK</v>
      </c>
      <c r="K198" s="192">
        <f t="shared" si="9"/>
        <v>0</v>
      </c>
    </row>
    <row r="199" spans="2:11">
      <c r="B199" s="768" t="s">
        <v>2619</v>
      </c>
      <c r="C199" t="s">
        <v>2769</v>
      </c>
      <c r="D199" s="192">
        <f>'Nota 9.1'!R79+'Nota 9.1'!R150+'Nota 9.1'!R221+'Nota 9.1'!R292</f>
        <v>0</v>
      </c>
      <c r="F199" s="768" t="s">
        <v>2761</v>
      </c>
      <c r="G199" t="s">
        <v>432</v>
      </c>
      <c r="H199" s="192">
        <f>'Nota 23'!N80</f>
        <v>0</v>
      </c>
      <c r="I199" s="696" t="str">
        <f t="shared" si="10"/>
        <v>OK</v>
      </c>
      <c r="K199" s="192">
        <f t="shared" si="9"/>
        <v>0</v>
      </c>
    </row>
    <row r="200" spans="2:11">
      <c r="B200" s="1482" t="s">
        <v>2728</v>
      </c>
      <c r="C200" t="s">
        <v>1791</v>
      </c>
      <c r="D200" s="786">
        <f>+'Nota 31'!E11</f>
        <v>-545288</v>
      </c>
      <c r="F200" s="1482">
        <v>601</v>
      </c>
      <c r="G200" t="s">
        <v>2423</v>
      </c>
      <c r="H200" s="786">
        <f>+'601'!BO16</f>
        <v>-545288</v>
      </c>
      <c r="I200" s="696" t="str">
        <f t="shared" si="10"/>
        <v>OK</v>
      </c>
    </row>
    <row r="201" spans="2:11">
      <c r="B201" s="1482" t="s">
        <v>838</v>
      </c>
      <c r="C201" t="s">
        <v>1791</v>
      </c>
      <c r="D201" s="786">
        <f ca="1">+'3. Estado de resultados'!G17</f>
        <v>-545288</v>
      </c>
      <c r="F201" s="1482">
        <v>601</v>
      </c>
      <c r="G201" t="s">
        <v>2423</v>
      </c>
      <c r="H201" s="786">
        <f>+'601'!BO16</f>
        <v>-545288</v>
      </c>
      <c r="I201" s="696" t="str">
        <f t="shared" ca="1" si="10"/>
        <v>OK</v>
      </c>
    </row>
    <row r="202" spans="2:11">
      <c r="B202" s="1482" t="s">
        <v>2728</v>
      </c>
      <c r="C202" t="s">
        <v>1592</v>
      </c>
      <c r="D202" s="786">
        <f>+'Nota 31'!E7</f>
        <v>709928</v>
      </c>
      <c r="F202" s="1482">
        <v>601</v>
      </c>
      <c r="G202" t="s">
        <v>1592</v>
      </c>
      <c r="H202" s="786">
        <f>+'601'!BO13</f>
        <v>709928</v>
      </c>
      <c r="I202" s="696" t="str">
        <f>IF(D202-H202=0,"OK","ERROR")</f>
        <v>OK</v>
      </c>
    </row>
    <row r="203" spans="2:11">
      <c r="B203" s="1482" t="s">
        <v>2728</v>
      </c>
      <c r="C203" t="s">
        <v>1863</v>
      </c>
      <c r="D203" s="786">
        <f>+'Nota 31'!E8</f>
        <v>-118576</v>
      </c>
      <c r="F203" s="1482">
        <v>601</v>
      </c>
      <c r="G203" t="s">
        <v>1863</v>
      </c>
      <c r="H203" s="786">
        <f>+'601'!BO14</f>
        <v>-118576</v>
      </c>
      <c r="I203" s="696" t="str">
        <f>IF(D203-H203=0,"OK","ERROR")</f>
        <v>OK</v>
      </c>
    </row>
    <row r="204" spans="2:11">
      <c r="B204" s="1482" t="s">
        <v>2730</v>
      </c>
      <c r="D204" s="786">
        <f>+'Nota 32'!E5</f>
        <v>73881734</v>
      </c>
      <c r="F204" s="1482">
        <v>601</v>
      </c>
      <c r="G204" t="s">
        <v>4144</v>
      </c>
      <c r="H204" s="786">
        <f>+'601'!BO19</f>
        <v>73881734</v>
      </c>
      <c r="I204" s="696" t="str">
        <f>IF(D204-H204=0,"OK","ERROR")</f>
        <v>OK</v>
      </c>
    </row>
    <row r="205" spans="2:11">
      <c r="B205" s="1482" t="s">
        <v>2730</v>
      </c>
      <c r="D205" s="786">
        <f>+'Nota 32'!E17</f>
        <v>57671229</v>
      </c>
      <c r="F205" s="1482">
        <v>601</v>
      </c>
      <c r="G205" t="s">
        <v>4144</v>
      </c>
      <c r="H205" s="786">
        <f>+'601'!BO18</f>
        <v>57671229</v>
      </c>
      <c r="I205" s="696" t="str">
        <f>IF(D205-H205=0,"OK","ERROR")</f>
        <v>OK</v>
      </c>
    </row>
    <row r="206" spans="2:11">
      <c r="B206" s="1482" t="s">
        <v>2730</v>
      </c>
      <c r="D206" s="786">
        <f>+'Nota 32'!E5</f>
        <v>73881734</v>
      </c>
      <c r="F206" t="s">
        <v>2702</v>
      </c>
      <c r="G206" t="s">
        <v>2482</v>
      </c>
      <c r="H206" s="786">
        <f>+'603'!BO9+'603'!BO13</f>
        <v>73881734</v>
      </c>
      <c r="I206" s="696" t="str">
        <f t="shared" ref="I206:I207" si="11">IF(D206-H206=0,"OK","ERROR")</f>
        <v>OK</v>
      </c>
    </row>
    <row r="207" spans="2:11">
      <c r="B207" s="1482" t="s">
        <v>2730</v>
      </c>
      <c r="D207" s="786">
        <f>+'Nota 32'!E17</f>
        <v>57671229</v>
      </c>
      <c r="F207" t="s">
        <v>2702</v>
      </c>
      <c r="G207" t="s">
        <v>2482</v>
      </c>
      <c r="H207" s="786">
        <f>'603'!BO11</f>
        <v>57671229</v>
      </c>
      <c r="I207" s="696" t="str">
        <f t="shared" si="11"/>
        <v>OK</v>
      </c>
    </row>
    <row r="214" spans="7:7">
      <c r="G214" s="1397"/>
    </row>
    <row r="215" spans="7:7">
      <c r="G215" s="1397"/>
    </row>
    <row r="216" spans="7:7">
      <c r="G216" s="1397"/>
    </row>
  </sheetData>
  <autoFilter ref="C3:I207"/>
  <mergeCells count="3">
    <mergeCell ref="B4:B104"/>
    <mergeCell ref="B105:B183"/>
    <mergeCell ref="B184:B187"/>
  </mergeCells>
  <conditionalFormatting sqref="E4:E9">
    <cfRule type="cellIs" dxfId="62" priority="27" operator="equal">
      <formula>"OK"</formula>
    </cfRule>
    <cfRule type="cellIs" dxfId="61" priority="28" operator="equal">
      <formula>"ERROR"</formula>
    </cfRule>
  </conditionalFormatting>
  <conditionalFormatting sqref="I4:I15">
    <cfRule type="cellIs" dxfId="60" priority="23" operator="equal">
      <formula>"OK"</formula>
    </cfRule>
    <cfRule type="cellIs" dxfId="59" priority="24" operator="equal">
      <formula>"ERROR"</formula>
    </cfRule>
  </conditionalFormatting>
  <conditionalFormatting sqref="I16:I32">
    <cfRule type="cellIs" dxfId="58" priority="21" operator="equal">
      <formula>"OK"</formula>
    </cfRule>
    <cfRule type="cellIs" dxfId="57" priority="22" operator="equal">
      <formula>"ERROR"</formula>
    </cfRule>
  </conditionalFormatting>
  <conditionalFormatting sqref="I33:I114 I116:I199">
    <cfRule type="cellIs" dxfId="56" priority="19" operator="equal">
      <formula>"OK"</formula>
    </cfRule>
    <cfRule type="cellIs" dxfId="55" priority="20" operator="equal">
      <formula>"ERROR"</formula>
    </cfRule>
  </conditionalFormatting>
  <conditionalFormatting sqref="I115">
    <cfRule type="cellIs" dxfId="54" priority="17" operator="equal">
      <formula>"OK"</formula>
    </cfRule>
    <cfRule type="cellIs" dxfId="53" priority="18" operator="equal">
      <formula>"ERROR"</formula>
    </cfRule>
  </conditionalFormatting>
  <conditionalFormatting sqref="I200">
    <cfRule type="cellIs" dxfId="52" priority="15" operator="equal">
      <formula>"OK"</formula>
    </cfRule>
    <cfRule type="cellIs" dxfId="51" priority="16" operator="equal">
      <formula>"ERROR"</formula>
    </cfRule>
  </conditionalFormatting>
  <conditionalFormatting sqref="I201">
    <cfRule type="cellIs" dxfId="50" priority="13" operator="equal">
      <formula>"OK"</formula>
    </cfRule>
    <cfRule type="cellIs" dxfId="49" priority="14" operator="equal">
      <formula>"ERROR"</formula>
    </cfRule>
  </conditionalFormatting>
  <conditionalFormatting sqref="I202">
    <cfRule type="cellIs" dxfId="48" priority="9" operator="equal">
      <formula>"OK"</formula>
    </cfRule>
    <cfRule type="cellIs" dxfId="47" priority="10" operator="equal">
      <formula>"ERROR"</formula>
    </cfRule>
  </conditionalFormatting>
  <conditionalFormatting sqref="I203">
    <cfRule type="cellIs" dxfId="46" priority="7" operator="equal">
      <formula>"OK"</formula>
    </cfRule>
    <cfRule type="cellIs" dxfId="45" priority="8" operator="equal">
      <formula>"ERROR"</formula>
    </cfRule>
  </conditionalFormatting>
  <conditionalFormatting sqref="I204">
    <cfRule type="cellIs" dxfId="44" priority="5" operator="equal">
      <formula>"OK"</formula>
    </cfRule>
    <cfRule type="cellIs" dxfId="43" priority="6" operator="equal">
      <formula>"ERROR"</formula>
    </cfRule>
  </conditionalFormatting>
  <conditionalFormatting sqref="I205">
    <cfRule type="cellIs" dxfId="42" priority="3" operator="equal">
      <formula>"OK"</formula>
    </cfRule>
    <cfRule type="cellIs" dxfId="41" priority="4" operator="equal">
      <formula>"ERROR"</formula>
    </cfRule>
  </conditionalFormatting>
  <conditionalFormatting sqref="I206:I207">
    <cfRule type="cellIs" dxfId="40" priority="1" operator="equal">
      <formula>"OK"</formula>
    </cfRule>
    <cfRule type="cellIs" dxfId="39" priority="2" operator="equal">
      <formula>"ERROR"</formula>
    </cfRule>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B1:C392"/>
  <sheetViews>
    <sheetView showGridLines="0" workbookViewId="0"/>
  </sheetViews>
  <sheetFormatPr baseColWidth="10" defaultColWidth="9.140625" defaultRowHeight="15"/>
  <cols>
    <col min="1" max="2" width="2.42578125" style="263" customWidth="1"/>
    <col min="3" max="3" width="120.42578125" style="263" customWidth="1"/>
    <col min="4" max="4" width="12.42578125" style="263" customWidth="1"/>
    <col min="5" max="10" width="10" style="263" customWidth="1"/>
    <col min="11" max="16384" width="9.140625" style="263"/>
  </cols>
  <sheetData>
    <row r="1" spans="3:3" ht="15" customHeight="1"/>
    <row r="2" spans="3:3" ht="15" customHeight="1">
      <c r="C2" s="772" t="s">
        <v>262</v>
      </c>
    </row>
    <row r="3" spans="3:3" ht="15" customHeight="1">
      <c r="C3" s="1593"/>
    </row>
    <row r="4" spans="3:3" ht="15" customHeight="1">
      <c r="C4" s="1593"/>
    </row>
    <row r="5" spans="3:3" ht="15" customHeight="1">
      <c r="C5" s="1593"/>
    </row>
    <row r="6" spans="3:3" ht="15" customHeight="1">
      <c r="C6" s="1593"/>
    </row>
    <row r="7" spans="3:3" ht="15" customHeight="1">
      <c r="C7" s="1593"/>
    </row>
    <row r="8" spans="3:3" ht="15" customHeight="1">
      <c r="C8" s="1594"/>
    </row>
    <row r="9" spans="3:3" ht="15" customHeight="1"/>
    <row r="10" spans="3:3" ht="15" customHeight="1">
      <c r="C10" s="772" t="s">
        <v>263</v>
      </c>
    </row>
    <row r="11" spans="3:3" ht="15" customHeight="1">
      <c r="C11" s="1593"/>
    </row>
    <row r="12" spans="3:3" ht="15" customHeight="1">
      <c r="C12" s="1593"/>
    </row>
    <row r="13" spans="3:3" ht="15" customHeight="1">
      <c r="C13" s="1593"/>
    </row>
    <row r="14" spans="3:3" ht="15" customHeight="1">
      <c r="C14" s="1593"/>
    </row>
    <row r="15" spans="3:3" ht="15" customHeight="1">
      <c r="C15" s="1593"/>
    </row>
    <row r="16" spans="3:3" ht="15" customHeight="1">
      <c r="C16" s="1594"/>
    </row>
    <row r="17" spans="3:3" ht="15" customHeight="1"/>
    <row r="18" spans="3:3" ht="15" customHeight="1">
      <c r="C18" s="772" t="s">
        <v>264</v>
      </c>
    </row>
    <row r="19" spans="3:3" ht="15" customHeight="1">
      <c r="C19" s="1593"/>
    </row>
    <row r="20" spans="3:3" ht="15" customHeight="1">
      <c r="C20" s="1593"/>
    </row>
    <row r="21" spans="3:3" ht="15" customHeight="1">
      <c r="C21" s="1593"/>
    </row>
    <row r="22" spans="3:3" ht="15" customHeight="1">
      <c r="C22" s="1593"/>
    </row>
    <row r="23" spans="3:3" ht="15" customHeight="1">
      <c r="C23" s="1593"/>
    </row>
    <row r="24" spans="3:3" ht="15" customHeight="1">
      <c r="C24" s="1594"/>
    </row>
    <row r="25" spans="3:3" ht="15" customHeight="1"/>
    <row r="26" spans="3:3" ht="15" customHeight="1">
      <c r="C26" s="772" t="s">
        <v>265</v>
      </c>
    </row>
    <row r="27" spans="3:3" ht="15" customHeight="1">
      <c r="C27" s="1593"/>
    </row>
    <row r="28" spans="3:3" ht="15" customHeight="1">
      <c r="C28" s="1593"/>
    </row>
    <row r="29" spans="3:3" ht="15" customHeight="1">
      <c r="C29" s="1593"/>
    </row>
    <row r="30" spans="3:3" ht="15" customHeight="1">
      <c r="C30" s="1593"/>
    </row>
    <row r="31" spans="3:3" ht="15" customHeight="1">
      <c r="C31" s="1593"/>
    </row>
    <row r="32" spans="3:3" ht="15" customHeight="1">
      <c r="C32" s="1594"/>
    </row>
    <row r="33" spans="3:3" ht="15" customHeight="1"/>
    <row r="34" spans="3:3" ht="15" customHeight="1">
      <c r="C34" s="772" t="s">
        <v>266</v>
      </c>
    </row>
    <row r="35" spans="3:3" ht="15" customHeight="1">
      <c r="C35" s="1593"/>
    </row>
    <row r="36" spans="3:3" ht="15" customHeight="1">
      <c r="C36" s="1593"/>
    </row>
    <row r="37" spans="3:3" ht="15" customHeight="1">
      <c r="C37" s="1593"/>
    </row>
    <row r="38" spans="3:3" ht="15" customHeight="1">
      <c r="C38" s="1593"/>
    </row>
    <row r="39" spans="3:3" ht="15" customHeight="1">
      <c r="C39" s="1593"/>
    </row>
    <row r="40" spans="3:3" ht="15" customHeight="1">
      <c r="C40" s="1594"/>
    </row>
    <row r="41" spans="3:3" ht="15" customHeight="1"/>
    <row r="42" spans="3:3" ht="15" customHeight="1">
      <c r="C42" s="772" t="s">
        <v>267</v>
      </c>
    </row>
    <row r="43" spans="3:3" ht="15" customHeight="1">
      <c r="C43" s="1593"/>
    </row>
    <row r="44" spans="3:3" ht="15" customHeight="1">
      <c r="C44" s="1593"/>
    </row>
    <row r="45" spans="3:3" ht="15" customHeight="1">
      <c r="C45" s="1593"/>
    </row>
    <row r="46" spans="3:3" ht="15" customHeight="1">
      <c r="C46" s="1593"/>
    </row>
    <row r="47" spans="3:3" ht="15" customHeight="1">
      <c r="C47" s="1593"/>
    </row>
    <row r="48" spans="3:3" ht="15" customHeight="1">
      <c r="C48" s="1594"/>
    </row>
    <row r="49" spans="2:3" s="774" customFormat="1" ht="15" customHeight="1">
      <c r="B49" s="773"/>
    </row>
    <row r="50" spans="2:3" ht="15" customHeight="1">
      <c r="C50" s="772" t="s">
        <v>268</v>
      </c>
    </row>
    <row r="51" spans="2:3" ht="15" customHeight="1">
      <c r="C51" s="1595"/>
    </row>
    <row r="52" spans="2:3" ht="15" customHeight="1">
      <c r="C52" s="1593"/>
    </row>
    <row r="53" spans="2:3" ht="15" customHeight="1">
      <c r="C53" s="1593"/>
    </row>
    <row r="54" spans="2:3" ht="15" customHeight="1">
      <c r="C54" s="1593"/>
    </row>
    <row r="55" spans="2:3" ht="15" customHeight="1">
      <c r="C55" s="1593"/>
    </row>
    <row r="56" spans="2:3" ht="15" customHeight="1">
      <c r="C56" s="1594"/>
    </row>
    <row r="57" spans="2:3" ht="15" customHeight="1"/>
    <row r="58" spans="2:3" ht="15" customHeight="1">
      <c r="C58" s="772" t="s">
        <v>269</v>
      </c>
    </row>
    <row r="59" spans="2:3" ht="15" customHeight="1">
      <c r="C59" s="1595"/>
    </row>
    <row r="60" spans="2:3" ht="15" customHeight="1">
      <c r="C60" s="1593"/>
    </row>
    <row r="61" spans="2:3" ht="15" customHeight="1">
      <c r="C61" s="1593"/>
    </row>
    <row r="62" spans="2:3" ht="15" customHeight="1">
      <c r="C62" s="1593"/>
    </row>
    <row r="63" spans="2:3" ht="15" customHeight="1">
      <c r="C63" s="1593"/>
    </row>
    <row r="64" spans="2:3" ht="15" customHeight="1">
      <c r="C64" s="1594"/>
    </row>
    <row r="65" spans="3:3" ht="15" customHeight="1">
      <c r="C65" s="775"/>
    </row>
    <row r="66" spans="3:3" ht="15" customHeight="1">
      <c r="C66" s="772" t="s">
        <v>270</v>
      </c>
    </row>
    <row r="67" spans="3:3" ht="15" customHeight="1">
      <c r="C67" s="1595"/>
    </row>
    <row r="68" spans="3:3" ht="15" customHeight="1">
      <c r="C68" s="1593"/>
    </row>
    <row r="69" spans="3:3" ht="15" customHeight="1">
      <c r="C69" s="1593"/>
    </row>
    <row r="70" spans="3:3" ht="15" customHeight="1">
      <c r="C70" s="1593"/>
    </row>
    <row r="71" spans="3:3" ht="15" customHeight="1">
      <c r="C71" s="1593"/>
    </row>
    <row r="72" spans="3:3" ht="15" customHeight="1">
      <c r="C72" s="1594"/>
    </row>
    <row r="73" spans="3:3" ht="15" customHeight="1">
      <c r="C73" s="775"/>
    </row>
    <row r="74" spans="3:3" ht="15" customHeight="1">
      <c r="C74" s="772" t="s">
        <v>271</v>
      </c>
    </row>
    <row r="75" spans="3:3" ht="15" customHeight="1">
      <c r="C75" s="1595"/>
    </row>
    <row r="76" spans="3:3" ht="15" customHeight="1">
      <c r="C76" s="1593"/>
    </row>
    <row r="77" spans="3:3" ht="15" customHeight="1">
      <c r="C77" s="1593"/>
    </row>
    <row r="78" spans="3:3" ht="15" customHeight="1">
      <c r="C78" s="1593"/>
    </row>
    <row r="79" spans="3:3" ht="15" customHeight="1">
      <c r="C79" s="1593"/>
    </row>
    <row r="80" spans="3:3" ht="15" customHeight="1">
      <c r="C80" s="1594"/>
    </row>
    <row r="82" spans="3:3" ht="15" customHeight="1">
      <c r="C82" s="772" t="s">
        <v>272</v>
      </c>
    </row>
    <row r="83" spans="3:3" ht="15" customHeight="1">
      <c r="C83" s="1595"/>
    </row>
    <row r="84" spans="3:3" ht="15" customHeight="1">
      <c r="C84" s="1593"/>
    </row>
    <row r="85" spans="3:3" ht="15" customHeight="1">
      <c r="C85" s="1593"/>
    </row>
    <row r="86" spans="3:3" ht="15" customHeight="1">
      <c r="C86" s="1593"/>
    </row>
    <row r="87" spans="3:3" ht="15" customHeight="1">
      <c r="C87" s="1593"/>
    </row>
    <row r="88" spans="3:3" ht="15" customHeight="1">
      <c r="C88" s="1594"/>
    </row>
    <row r="90" spans="3:3" ht="15" customHeight="1">
      <c r="C90" s="772" t="s">
        <v>273</v>
      </c>
    </row>
    <row r="91" spans="3:3" ht="15" customHeight="1">
      <c r="C91" s="1595"/>
    </row>
    <row r="92" spans="3:3" ht="15" customHeight="1">
      <c r="C92" s="1593"/>
    </row>
    <row r="93" spans="3:3" ht="15" customHeight="1">
      <c r="C93" s="1593"/>
    </row>
    <row r="94" spans="3:3" ht="15" customHeight="1">
      <c r="C94" s="1593"/>
    </row>
    <row r="95" spans="3:3" ht="15" customHeight="1">
      <c r="C95" s="1593"/>
    </row>
    <row r="96" spans="3:3" ht="15" customHeight="1">
      <c r="C96" s="1594"/>
    </row>
    <row r="98" spans="3:3" ht="15" customHeight="1">
      <c r="C98" s="772" t="s">
        <v>274</v>
      </c>
    </row>
    <row r="99" spans="3:3" ht="15" customHeight="1">
      <c r="C99" s="1595"/>
    </row>
    <row r="100" spans="3:3" ht="15" customHeight="1">
      <c r="C100" s="1593"/>
    </row>
    <row r="101" spans="3:3" ht="15" customHeight="1">
      <c r="C101" s="1593"/>
    </row>
    <row r="102" spans="3:3" ht="15" customHeight="1">
      <c r="C102" s="1593"/>
    </row>
    <row r="103" spans="3:3" ht="15" customHeight="1">
      <c r="C103" s="1593"/>
    </row>
    <row r="104" spans="3:3" ht="15" customHeight="1">
      <c r="C104" s="1594"/>
    </row>
    <row r="106" spans="3:3" ht="15" customHeight="1">
      <c r="C106" s="772" t="s">
        <v>275</v>
      </c>
    </row>
    <row r="107" spans="3:3" ht="15" customHeight="1">
      <c r="C107" s="1595"/>
    </row>
    <row r="108" spans="3:3" ht="15" customHeight="1">
      <c r="C108" s="1593"/>
    </row>
    <row r="109" spans="3:3" ht="15" customHeight="1">
      <c r="C109" s="1593"/>
    </row>
    <row r="110" spans="3:3" ht="15" customHeight="1">
      <c r="C110" s="1593"/>
    </row>
    <row r="111" spans="3:3" ht="15" customHeight="1">
      <c r="C111" s="1593"/>
    </row>
    <row r="112" spans="3:3" ht="15" customHeight="1">
      <c r="C112" s="1594"/>
    </row>
    <row r="114" spans="3:3" ht="15" customHeight="1">
      <c r="C114" s="772" t="s">
        <v>276</v>
      </c>
    </row>
    <row r="115" spans="3:3" ht="15" customHeight="1">
      <c r="C115" s="1595"/>
    </row>
    <row r="116" spans="3:3" ht="15" customHeight="1">
      <c r="C116" s="1593"/>
    </row>
    <row r="117" spans="3:3" ht="15" customHeight="1">
      <c r="C117" s="1593"/>
    </row>
    <row r="118" spans="3:3" ht="15" customHeight="1">
      <c r="C118" s="1593"/>
    </row>
    <row r="119" spans="3:3" ht="15" customHeight="1">
      <c r="C119" s="1593"/>
    </row>
    <row r="120" spans="3:3" ht="15" customHeight="1">
      <c r="C120" s="1594"/>
    </row>
    <row r="122" spans="3:3" ht="15" customHeight="1">
      <c r="C122" s="772" t="s">
        <v>277</v>
      </c>
    </row>
    <row r="123" spans="3:3" ht="15" customHeight="1">
      <c r="C123" s="1595"/>
    </row>
    <row r="124" spans="3:3" ht="15" customHeight="1">
      <c r="C124" s="1593"/>
    </row>
    <row r="125" spans="3:3" ht="15" customHeight="1">
      <c r="C125" s="1593"/>
    </row>
    <row r="126" spans="3:3" ht="15" customHeight="1">
      <c r="C126" s="1593"/>
    </row>
    <row r="127" spans="3:3" ht="15" customHeight="1">
      <c r="C127" s="1593"/>
    </row>
    <row r="128" spans="3:3" ht="15" customHeight="1">
      <c r="C128" s="1594"/>
    </row>
    <row r="130" spans="3:3" ht="15" customHeight="1">
      <c r="C130" s="772" t="s">
        <v>278</v>
      </c>
    </row>
    <row r="131" spans="3:3" ht="15" customHeight="1">
      <c r="C131" s="1595"/>
    </row>
    <row r="132" spans="3:3" ht="15" customHeight="1">
      <c r="C132" s="1593"/>
    </row>
    <row r="133" spans="3:3" ht="15" customHeight="1">
      <c r="C133" s="1593"/>
    </row>
    <row r="134" spans="3:3" ht="15" customHeight="1">
      <c r="C134" s="1593"/>
    </row>
    <row r="135" spans="3:3" ht="15" customHeight="1">
      <c r="C135" s="1593"/>
    </row>
    <row r="136" spans="3:3" ht="15" customHeight="1">
      <c r="C136" s="1594"/>
    </row>
    <row r="138" spans="3:3" ht="15" customHeight="1">
      <c r="C138" s="772" t="s">
        <v>279</v>
      </c>
    </row>
    <row r="139" spans="3:3" ht="15" customHeight="1">
      <c r="C139" s="1595"/>
    </row>
    <row r="140" spans="3:3" ht="15" customHeight="1">
      <c r="C140" s="1593"/>
    </row>
    <row r="141" spans="3:3" ht="15" customHeight="1">
      <c r="C141" s="1593"/>
    </row>
    <row r="142" spans="3:3" ht="15" customHeight="1">
      <c r="C142" s="1593"/>
    </row>
    <row r="143" spans="3:3" ht="15" customHeight="1">
      <c r="C143" s="1593"/>
    </row>
    <row r="144" spans="3:3" ht="15" customHeight="1">
      <c r="C144" s="1594"/>
    </row>
    <row r="146" spans="3:3" ht="15" customHeight="1">
      <c r="C146" s="772" t="s">
        <v>280</v>
      </c>
    </row>
    <row r="147" spans="3:3" ht="15" customHeight="1">
      <c r="C147" s="1595"/>
    </row>
    <row r="148" spans="3:3" ht="15" customHeight="1">
      <c r="C148" s="1593"/>
    </row>
    <row r="149" spans="3:3" ht="15" customHeight="1">
      <c r="C149" s="1593"/>
    </row>
    <row r="150" spans="3:3" ht="15" customHeight="1">
      <c r="C150" s="1593"/>
    </row>
    <row r="151" spans="3:3" ht="15" customHeight="1">
      <c r="C151" s="1593"/>
    </row>
    <row r="152" spans="3:3" ht="15" customHeight="1">
      <c r="C152" s="1594"/>
    </row>
    <row r="154" spans="3:3" ht="15" customHeight="1">
      <c r="C154" s="772" t="s">
        <v>281</v>
      </c>
    </row>
    <row r="155" spans="3:3" ht="15" customHeight="1">
      <c r="C155" s="1595"/>
    </row>
    <row r="156" spans="3:3" ht="15" customHeight="1">
      <c r="C156" s="1593"/>
    </row>
    <row r="157" spans="3:3" ht="15" customHeight="1">
      <c r="C157" s="1593"/>
    </row>
    <row r="158" spans="3:3" ht="15" customHeight="1">
      <c r="C158" s="1593"/>
    </row>
    <row r="159" spans="3:3" ht="15" customHeight="1">
      <c r="C159" s="1593"/>
    </row>
    <row r="160" spans="3:3" ht="15" customHeight="1">
      <c r="C160" s="1594"/>
    </row>
    <row r="162" spans="3:3" ht="15" customHeight="1">
      <c r="C162" s="772" t="s">
        <v>282</v>
      </c>
    </row>
    <row r="163" spans="3:3" ht="15" customHeight="1">
      <c r="C163" s="1595"/>
    </row>
    <row r="164" spans="3:3" ht="15" customHeight="1">
      <c r="C164" s="1593"/>
    </row>
    <row r="165" spans="3:3" ht="15" customHeight="1">
      <c r="C165" s="1593"/>
    </row>
    <row r="166" spans="3:3" ht="15" customHeight="1">
      <c r="C166" s="1593"/>
    </row>
    <row r="167" spans="3:3" ht="15" customHeight="1">
      <c r="C167" s="1593"/>
    </row>
    <row r="168" spans="3:3" ht="15" customHeight="1">
      <c r="C168" s="1594"/>
    </row>
    <row r="170" spans="3:3" ht="15" customHeight="1">
      <c r="C170" s="772" t="s">
        <v>283</v>
      </c>
    </row>
    <row r="171" spans="3:3" ht="15" customHeight="1">
      <c r="C171" s="1595"/>
    </row>
    <row r="172" spans="3:3" ht="15" customHeight="1">
      <c r="C172" s="1593"/>
    </row>
    <row r="173" spans="3:3" ht="15" customHeight="1">
      <c r="C173" s="1593"/>
    </row>
    <row r="174" spans="3:3" ht="15" customHeight="1">
      <c r="C174" s="1593"/>
    </row>
    <row r="175" spans="3:3" ht="15" customHeight="1">
      <c r="C175" s="1593"/>
    </row>
    <row r="176" spans="3:3" ht="15" customHeight="1">
      <c r="C176" s="1594"/>
    </row>
    <row r="178" spans="3:3" ht="15" customHeight="1">
      <c r="C178" s="772" t="s">
        <v>284</v>
      </c>
    </row>
    <row r="179" spans="3:3" ht="15" customHeight="1">
      <c r="C179" s="1595"/>
    </row>
    <row r="180" spans="3:3" ht="15" customHeight="1">
      <c r="C180" s="1593"/>
    </row>
    <row r="181" spans="3:3" ht="15" customHeight="1">
      <c r="C181" s="1593"/>
    </row>
    <row r="182" spans="3:3" ht="15" customHeight="1">
      <c r="C182" s="1593"/>
    </row>
    <row r="183" spans="3:3" ht="15" customHeight="1">
      <c r="C183" s="1593"/>
    </row>
    <row r="184" spans="3:3" ht="15" customHeight="1">
      <c r="C184" s="1594"/>
    </row>
    <row r="186" spans="3:3" ht="15" customHeight="1">
      <c r="C186" s="772" t="s">
        <v>285</v>
      </c>
    </row>
    <row r="187" spans="3:3" ht="15" customHeight="1">
      <c r="C187" s="1595"/>
    </row>
    <row r="188" spans="3:3" ht="15" customHeight="1">
      <c r="C188" s="1593"/>
    </row>
    <row r="189" spans="3:3" ht="15" customHeight="1">
      <c r="C189" s="1593"/>
    </row>
    <row r="190" spans="3:3" ht="15" customHeight="1">
      <c r="C190" s="1593"/>
    </row>
    <row r="191" spans="3:3" ht="15" customHeight="1">
      <c r="C191" s="1593"/>
    </row>
    <row r="192" spans="3:3" ht="15" customHeight="1">
      <c r="C192" s="1594"/>
    </row>
    <row r="194" spans="3:3" ht="15" customHeight="1">
      <c r="C194" s="772" t="s">
        <v>286</v>
      </c>
    </row>
    <row r="195" spans="3:3" ht="15" customHeight="1">
      <c r="C195" s="1595"/>
    </row>
    <row r="196" spans="3:3" ht="15" customHeight="1">
      <c r="C196" s="1593"/>
    </row>
    <row r="197" spans="3:3" ht="15" customHeight="1">
      <c r="C197" s="1593"/>
    </row>
    <row r="198" spans="3:3" ht="15" customHeight="1">
      <c r="C198" s="1593"/>
    </row>
    <row r="199" spans="3:3" ht="15" customHeight="1">
      <c r="C199" s="1593"/>
    </row>
    <row r="200" spans="3:3" ht="15" customHeight="1">
      <c r="C200" s="1594"/>
    </row>
    <row r="202" spans="3:3" ht="15" customHeight="1">
      <c r="C202" s="772" t="s">
        <v>287</v>
      </c>
    </row>
    <row r="203" spans="3:3" ht="15" customHeight="1">
      <c r="C203" s="1595"/>
    </row>
    <row r="204" spans="3:3" ht="15" customHeight="1">
      <c r="C204" s="1593"/>
    </row>
    <row r="205" spans="3:3" ht="15" customHeight="1">
      <c r="C205" s="1593"/>
    </row>
    <row r="206" spans="3:3" ht="15" customHeight="1">
      <c r="C206" s="1593"/>
    </row>
    <row r="207" spans="3:3" ht="15" customHeight="1">
      <c r="C207" s="1593"/>
    </row>
    <row r="208" spans="3:3" ht="15" customHeight="1">
      <c r="C208" s="1594"/>
    </row>
    <row r="210" spans="3:3" ht="15" customHeight="1">
      <c r="C210" s="772" t="s">
        <v>288</v>
      </c>
    </row>
    <row r="211" spans="3:3" ht="15" customHeight="1">
      <c r="C211" s="1595"/>
    </row>
    <row r="212" spans="3:3" ht="15" customHeight="1">
      <c r="C212" s="1593"/>
    </row>
    <row r="213" spans="3:3" ht="15" customHeight="1">
      <c r="C213" s="1593"/>
    </row>
    <row r="214" spans="3:3" ht="15" customHeight="1">
      <c r="C214" s="1593"/>
    </row>
    <row r="215" spans="3:3" ht="15" customHeight="1">
      <c r="C215" s="1593"/>
    </row>
    <row r="216" spans="3:3" ht="15" customHeight="1">
      <c r="C216" s="1594"/>
    </row>
    <row r="218" spans="3:3" ht="15" customHeight="1">
      <c r="C218" s="772" t="s">
        <v>289</v>
      </c>
    </row>
    <row r="219" spans="3:3" ht="15" customHeight="1">
      <c r="C219" s="1595"/>
    </row>
    <row r="220" spans="3:3" ht="15" customHeight="1">
      <c r="C220" s="1593"/>
    </row>
    <row r="221" spans="3:3" ht="15" customHeight="1">
      <c r="C221" s="1593"/>
    </row>
    <row r="222" spans="3:3" ht="15" customHeight="1">
      <c r="C222" s="1593"/>
    </row>
    <row r="223" spans="3:3" ht="15" customHeight="1">
      <c r="C223" s="1593"/>
    </row>
    <row r="224" spans="3:3" ht="15" customHeight="1">
      <c r="C224" s="1594"/>
    </row>
    <row r="226" spans="3:3" ht="15" customHeight="1">
      <c r="C226" s="772" t="s">
        <v>290</v>
      </c>
    </row>
    <row r="227" spans="3:3" ht="15" customHeight="1">
      <c r="C227" s="1595"/>
    </row>
    <row r="228" spans="3:3" ht="15" customHeight="1">
      <c r="C228" s="1593"/>
    </row>
    <row r="229" spans="3:3" ht="15" customHeight="1">
      <c r="C229" s="1593"/>
    </row>
    <row r="230" spans="3:3" ht="15" customHeight="1">
      <c r="C230" s="1593"/>
    </row>
    <row r="231" spans="3:3" ht="15" customHeight="1">
      <c r="C231" s="1593"/>
    </row>
    <row r="232" spans="3:3" ht="15" customHeight="1">
      <c r="C232" s="1594"/>
    </row>
    <row r="234" spans="3:3" ht="15" customHeight="1">
      <c r="C234" s="772" t="s">
        <v>291</v>
      </c>
    </row>
    <row r="235" spans="3:3" ht="15" customHeight="1">
      <c r="C235" s="1595"/>
    </row>
    <row r="236" spans="3:3" ht="15" customHeight="1">
      <c r="C236" s="1593"/>
    </row>
    <row r="237" spans="3:3" ht="15" customHeight="1">
      <c r="C237" s="1593"/>
    </row>
    <row r="238" spans="3:3" ht="15" customHeight="1">
      <c r="C238" s="1593"/>
    </row>
    <row r="239" spans="3:3" ht="15" customHeight="1">
      <c r="C239" s="1593"/>
    </row>
    <row r="240" spans="3:3" ht="15" customHeight="1">
      <c r="C240" s="1594"/>
    </row>
    <row r="242" spans="3:3" ht="15" customHeight="1">
      <c r="C242" s="772" t="s">
        <v>292</v>
      </c>
    </row>
    <row r="243" spans="3:3" ht="15" customHeight="1">
      <c r="C243" s="1595"/>
    </row>
    <row r="244" spans="3:3" ht="15" customHeight="1">
      <c r="C244" s="1593"/>
    </row>
    <row r="245" spans="3:3" ht="15" customHeight="1">
      <c r="C245" s="1593"/>
    </row>
    <row r="246" spans="3:3" ht="15" customHeight="1">
      <c r="C246" s="1593"/>
    </row>
    <row r="247" spans="3:3" ht="15" customHeight="1">
      <c r="C247" s="1593"/>
    </row>
    <row r="248" spans="3:3" ht="15" customHeight="1">
      <c r="C248" s="1594"/>
    </row>
    <row r="250" spans="3:3" ht="15" customHeight="1">
      <c r="C250" s="772" t="s">
        <v>293</v>
      </c>
    </row>
    <row r="251" spans="3:3" ht="15" customHeight="1">
      <c r="C251" s="1595"/>
    </row>
    <row r="252" spans="3:3" ht="15" customHeight="1">
      <c r="C252" s="1593"/>
    </row>
    <row r="253" spans="3:3" ht="15" customHeight="1">
      <c r="C253" s="1593"/>
    </row>
    <row r="254" spans="3:3" ht="15" customHeight="1">
      <c r="C254" s="1593"/>
    </row>
    <row r="255" spans="3:3" ht="15" customHeight="1">
      <c r="C255" s="1593"/>
    </row>
    <row r="256" spans="3:3" ht="15" customHeight="1">
      <c r="C256" s="1594"/>
    </row>
    <row r="258" spans="3:3" ht="15" customHeight="1">
      <c r="C258" s="772" t="s">
        <v>294</v>
      </c>
    </row>
    <row r="259" spans="3:3" ht="15" customHeight="1">
      <c r="C259" s="1595"/>
    </row>
    <row r="260" spans="3:3" ht="15" customHeight="1">
      <c r="C260" s="1593"/>
    </row>
    <row r="261" spans="3:3" ht="15" customHeight="1">
      <c r="C261" s="1593"/>
    </row>
    <row r="262" spans="3:3" ht="15" customHeight="1">
      <c r="C262" s="1593"/>
    </row>
    <row r="263" spans="3:3" ht="15" customHeight="1">
      <c r="C263" s="1593"/>
    </row>
    <row r="264" spans="3:3" ht="15" customHeight="1">
      <c r="C264" s="1594"/>
    </row>
    <row r="266" spans="3:3" ht="15" customHeight="1">
      <c r="C266" s="772" t="s">
        <v>295</v>
      </c>
    </row>
    <row r="267" spans="3:3" ht="15" customHeight="1">
      <c r="C267" s="1595"/>
    </row>
    <row r="268" spans="3:3" ht="15" customHeight="1">
      <c r="C268" s="1593"/>
    </row>
    <row r="269" spans="3:3" ht="15" customHeight="1">
      <c r="C269" s="1593"/>
    </row>
    <row r="270" spans="3:3" ht="15" customHeight="1">
      <c r="C270" s="1593"/>
    </row>
    <row r="271" spans="3:3" ht="15" customHeight="1">
      <c r="C271" s="1593"/>
    </row>
    <row r="272" spans="3:3" ht="15" customHeight="1">
      <c r="C272" s="1594"/>
    </row>
    <row r="274" spans="3:3" ht="15" customHeight="1">
      <c r="C274" s="772" t="s">
        <v>296</v>
      </c>
    </row>
    <row r="275" spans="3:3" ht="15" customHeight="1">
      <c r="C275" s="1595"/>
    </row>
    <row r="276" spans="3:3" ht="15" customHeight="1">
      <c r="C276" s="1593"/>
    </row>
    <row r="277" spans="3:3" ht="15" customHeight="1">
      <c r="C277" s="1593"/>
    </row>
    <row r="278" spans="3:3" ht="15" customHeight="1">
      <c r="C278" s="1593"/>
    </row>
    <row r="279" spans="3:3" ht="15" customHeight="1">
      <c r="C279" s="1593"/>
    </row>
    <row r="280" spans="3:3" ht="15" customHeight="1">
      <c r="C280" s="1594"/>
    </row>
    <row r="282" spans="3:3" ht="15" customHeight="1">
      <c r="C282" s="772" t="s">
        <v>297</v>
      </c>
    </row>
    <row r="283" spans="3:3" ht="15" customHeight="1">
      <c r="C283" s="1595"/>
    </row>
    <row r="284" spans="3:3" ht="15" customHeight="1">
      <c r="C284" s="1593"/>
    </row>
    <row r="285" spans="3:3" ht="15" customHeight="1">
      <c r="C285" s="1593"/>
    </row>
    <row r="286" spans="3:3" ht="15" customHeight="1">
      <c r="C286" s="1593"/>
    </row>
    <row r="287" spans="3:3" ht="15" customHeight="1">
      <c r="C287" s="1593"/>
    </row>
    <row r="288" spans="3:3" ht="15" customHeight="1">
      <c r="C288" s="1594"/>
    </row>
    <row r="290" spans="3:3" ht="15" customHeight="1">
      <c r="C290" s="772" t="s">
        <v>298</v>
      </c>
    </row>
    <row r="291" spans="3:3" ht="15" customHeight="1">
      <c r="C291" s="1595"/>
    </row>
    <row r="292" spans="3:3" ht="15" customHeight="1">
      <c r="C292" s="1593"/>
    </row>
    <row r="293" spans="3:3" ht="15" customHeight="1">
      <c r="C293" s="1593"/>
    </row>
    <row r="294" spans="3:3" ht="15" customHeight="1">
      <c r="C294" s="1593"/>
    </row>
    <row r="295" spans="3:3" ht="15" customHeight="1">
      <c r="C295" s="1593"/>
    </row>
    <row r="296" spans="3:3" ht="15" customHeight="1">
      <c r="C296" s="1594"/>
    </row>
    <row r="298" spans="3:3" ht="15" customHeight="1">
      <c r="C298" s="772" t="s">
        <v>299</v>
      </c>
    </row>
    <row r="299" spans="3:3" ht="15" customHeight="1">
      <c r="C299" s="1595"/>
    </row>
    <row r="300" spans="3:3" ht="15" customHeight="1">
      <c r="C300" s="1593"/>
    </row>
    <row r="301" spans="3:3" ht="15" customHeight="1">
      <c r="C301" s="1593"/>
    </row>
    <row r="302" spans="3:3" ht="15" customHeight="1">
      <c r="C302" s="1593"/>
    </row>
    <row r="303" spans="3:3" ht="15" customHeight="1">
      <c r="C303" s="1593"/>
    </row>
    <row r="304" spans="3:3" ht="15" customHeight="1">
      <c r="C304" s="1594"/>
    </row>
    <row r="306" spans="3:3" ht="15" customHeight="1">
      <c r="C306" s="772" t="s">
        <v>300</v>
      </c>
    </row>
    <row r="307" spans="3:3" ht="15" customHeight="1">
      <c r="C307" s="1595"/>
    </row>
    <row r="308" spans="3:3" ht="15" customHeight="1">
      <c r="C308" s="1593"/>
    </row>
    <row r="309" spans="3:3" ht="15" customHeight="1">
      <c r="C309" s="1593"/>
    </row>
    <row r="310" spans="3:3" ht="15" customHeight="1">
      <c r="C310" s="1593"/>
    </row>
    <row r="311" spans="3:3" ht="15" customHeight="1">
      <c r="C311" s="1593"/>
    </row>
    <row r="312" spans="3:3" ht="15" customHeight="1">
      <c r="C312" s="1594"/>
    </row>
    <row r="314" spans="3:3" ht="15" customHeight="1">
      <c r="C314" s="772" t="s">
        <v>301</v>
      </c>
    </row>
    <row r="315" spans="3:3" ht="15" customHeight="1">
      <c r="C315" s="1595"/>
    </row>
    <row r="316" spans="3:3" ht="15" customHeight="1">
      <c r="C316" s="1593"/>
    </row>
    <row r="317" spans="3:3" ht="15" customHeight="1">
      <c r="C317" s="1593"/>
    </row>
    <row r="318" spans="3:3" ht="15" customHeight="1">
      <c r="C318" s="1593"/>
    </row>
    <row r="319" spans="3:3" ht="15" customHeight="1">
      <c r="C319" s="1593"/>
    </row>
    <row r="320" spans="3:3" ht="15" customHeight="1">
      <c r="C320" s="1594"/>
    </row>
    <row r="322" spans="3:3" ht="15" customHeight="1">
      <c r="C322" s="772" t="s">
        <v>267</v>
      </c>
    </row>
    <row r="323" spans="3:3" ht="15" customHeight="1">
      <c r="C323" s="1595"/>
    </row>
    <row r="324" spans="3:3" ht="15" customHeight="1">
      <c r="C324" s="1593"/>
    </row>
    <row r="325" spans="3:3" ht="15" customHeight="1">
      <c r="C325" s="1593"/>
    </row>
    <row r="326" spans="3:3" ht="15" customHeight="1">
      <c r="C326" s="1593"/>
    </row>
    <row r="327" spans="3:3" ht="15" customHeight="1">
      <c r="C327" s="1593"/>
    </row>
    <row r="328" spans="3:3" ht="15" customHeight="1">
      <c r="C328" s="1594"/>
    </row>
    <row r="330" spans="3:3" ht="15" customHeight="1">
      <c r="C330" s="772" t="s">
        <v>268</v>
      </c>
    </row>
    <row r="331" spans="3:3" ht="15" customHeight="1">
      <c r="C331" s="1595"/>
    </row>
    <row r="332" spans="3:3" ht="15" customHeight="1">
      <c r="C332" s="1593"/>
    </row>
    <row r="333" spans="3:3" ht="15" customHeight="1">
      <c r="C333" s="1593"/>
    </row>
    <row r="334" spans="3:3" ht="15" customHeight="1">
      <c r="C334" s="1593"/>
    </row>
    <row r="335" spans="3:3" ht="15" customHeight="1">
      <c r="C335" s="1593"/>
    </row>
    <row r="336" spans="3:3" ht="15" customHeight="1">
      <c r="C336" s="1594"/>
    </row>
    <row r="338" spans="3:3" ht="15" customHeight="1">
      <c r="C338" s="772" t="s">
        <v>302</v>
      </c>
    </row>
    <row r="339" spans="3:3" ht="15" customHeight="1">
      <c r="C339" s="1595"/>
    </row>
    <row r="340" spans="3:3" ht="15" customHeight="1">
      <c r="C340" s="1593"/>
    </row>
    <row r="341" spans="3:3" ht="15" customHeight="1">
      <c r="C341" s="1593"/>
    </row>
    <row r="342" spans="3:3" ht="15" customHeight="1">
      <c r="C342" s="1593"/>
    </row>
    <row r="343" spans="3:3" ht="15" customHeight="1">
      <c r="C343" s="1593"/>
    </row>
    <row r="344" spans="3:3" ht="15" customHeight="1">
      <c r="C344" s="1594"/>
    </row>
    <row r="346" spans="3:3" ht="15" customHeight="1">
      <c r="C346" s="772" t="s">
        <v>303</v>
      </c>
    </row>
    <row r="347" spans="3:3" ht="15" customHeight="1">
      <c r="C347" s="1595"/>
    </row>
    <row r="348" spans="3:3" ht="15" customHeight="1">
      <c r="C348" s="1593"/>
    </row>
    <row r="349" spans="3:3" ht="15" customHeight="1">
      <c r="C349" s="1593"/>
    </row>
    <row r="350" spans="3:3" ht="15" customHeight="1">
      <c r="C350" s="1593"/>
    </row>
    <row r="351" spans="3:3" ht="15" customHeight="1">
      <c r="C351" s="1593"/>
    </row>
    <row r="352" spans="3:3" ht="15" customHeight="1">
      <c r="C352" s="1594"/>
    </row>
    <row r="354" spans="3:3" ht="15" customHeight="1">
      <c r="C354" s="772" t="s">
        <v>304</v>
      </c>
    </row>
    <row r="355" spans="3:3" ht="15" customHeight="1">
      <c r="C355" s="1595"/>
    </row>
    <row r="356" spans="3:3" ht="15" customHeight="1">
      <c r="C356" s="1593"/>
    </row>
    <row r="357" spans="3:3" ht="15" customHeight="1">
      <c r="C357" s="1593"/>
    </row>
    <row r="358" spans="3:3" ht="15" customHeight="1">
      <c r="C358" s="1593"/>
    </row>
    <row r="359" spans="3:3" ht="15" customHeight="1">
      <c r="C359" s="1593"/>
    </row>
    <row r="360" spans="3:3" ht="15" customHeight="1">
      <c r="C360" s="1594"/>
    </row>
    <row r="362" spans="3:3" ht="15" customHeight="1">
      <c r="C362" s="772" t="s">
        <v>305</v>
      </c>
    </row>
    <row r="363" spans="3:3" ht="15" customHeight="1">
      <c r="C363" s="1595"/>
    </row>
    <row r="364" spans="3:3" ht="15" customHeight="1">
      <c r="C364" s="1593"/>
    </row>
    <row r="365" spans="3:3" ht="15" customHeight="1">
      <c r="C365" s="1593"/>
    </row>
    <row r="366" spans="3:3" ht="15" customHeight="1">
      <c r="C366" s="1593"/>
    </row>
    <row r="367" spans="3:3" ht="15" customHeight="1">
      <c r="C367" s="1593"/>
    </row>
    <row r="368" spans="3:3" ht="15" customHeight="1">
      <c r="C368" s="1594"/>
    </row>
    <row r="369" spans="3:3" ht="15.75" customHeight="1"/>
    <row r="370" spans="3:3" ht="15" customHeight="1">
      <c r="C370" s="772" t="s">
        <v>306</v>
      </c>
    </row>
    <row r="371" spans="3:3" ht="15" customHeight="1">
      <c r="C371" s="1595"/>
    </row>
    <row r="372" spans="3:3" ht="15" customHeight="1">
      <c r="C372" s="1593"/>
    </row>
    <row r="373" spans="3:3" ht="15" customHeight="1">
      <c r="C373" s="1593"/>
    </row>
    <row r="374" spans="3:3" ht="15" customHeight="1">
      <c r="C374" s="1593"/>
    </row>
    <row r="375" spans="3:3" ht="15" customHeight="1">
      <c r="C375" s="1593"/>
    </row>
    <row r="376" spans="3:3" ht="15" customHeight="1">
      <c r="C376" s="1594"/>
    </row>
    <row r="378" spans="3:3" ht="15" customHeight="1">
      <c r="C378" s="772" t="s">
        <v>307</v>
      </c>
    </row>
    <row r="379" spans="3:3" ht="15" customHeight="1">
      <c r="C379" s="1595"/>
    </row>
    <row r="380" spans="3:3" ht="15" customHeight="1">
      <c r="C380" s="1593"/>
    </row>
    <row r="381" spans="3:3" ht="15" customHeight="1">
      <c r="C381" s="1593"/>
    </row>
    <row r="382" spans="3:3" ht="15" customHeight="1">
      <c r="C382" s="1593"/>
    </row>
    <row r="383" spans="3:3" ht="15" customHeight="1">
      <c r="C383" s="1593"/>
    </row>
    <row r="384" spans="3:3" ht="15" customHeight="1">
      <c r="C384" s="1594"/>
    </row>
    <row r="386" spans="3:3" ht="15" customHeight="1">
      <c r="C386" s="772" t="s">
        <v>308</v>
      </c>
    </row>
    <row r="387" spans="3:3" ht="15" customHeight="1">
      <c r="C387" s="1595"/>
    </row>
    <row r="388" spans="3:3" ht="15" customHeight="1">
      <c r="C388" s="1593"/>
    </row>
    <row r="389" spans="3:3" ht="15" customHeight="1">
      <c r="C389" s="1593"/>
    </row>
    <row r="390" spans="3:3" ht="15" customHeight="1">
      <c r="C390" s="1593"/>
    </row>
    <row r="391" spans="3:3" ht="15" customHeight="1">
      <c r="C391" s="1593"/>
    </row>
    <row r="392" spans="3:3" ht="15" customHeight="1">
      <c r="C392" s="1594"/>
    </row>
  </sheetData>
  <mergeCells count="49">
    <mergeCell ref="C387:C392"/>
    <mergeCell ref="C339:C344"/>
    <mergeCell ref="C347:C352"/>
    <mergeCell ref="C355:C360"/>
    <mergeCell ref="C363:C368"/>
    <mergeCell ref="C371:C376"/>
    <mergeCell ref="C379:C384"/>
    <mergeCell ref="C331:C336"/>
    <mergeCell ref="C243:C248"/>
    <mergeCell ref="C251:C256"/>
    <mergeCell ref="C259:C264"/>
    <mergeCell ref="C267:C272"/>
    <mergeCell ref="C275:C280"/>
    <mergeCell ref="C283:C288"/>
    <mergeCell ref="C291:C296"/>
    <mergeCell ref="C299:C304"/>
    <mergeCell ref="C307:C312"/>
    <mergeCell ref="C315:C320"/>
    <mergeCell ref="C323:C328"/>
    <mergeCell ref="C235:C240"/>
    <mergeCell ref="C147:C152"/>
    <mergeCell ref="C155:C160"/>
    <mergeCell ref="C163:C168"/>
    <mergeCell ref="C171:C176"/>
    <mergeCell ref="C179:C184"/>
    <mergeCell ref="C187:C192"/>
    <mergeCell ref="C195:C200"/>
    <mergeCell ref="C203:C208"/>
    <mergeCell ref="C211:C216"/>
    <mergeCell ref="C219:C224"/>
    <mergeCell ref="C227:C232"/>
    <mergeCell ref="C139:C144"/>
    <mergeCell ref="C51:C56"/>
    <mergeCell ref="C59:C64"/>
    <mergeCell ref="C67:C72"/>
    <mergeCell ref="C75:C80"/>
    <mergeCell ref="C83:C88"/>
    <mergeCell ref="C91:C96"/>
    <mergeCell ref="C99:C104"/>
    <mergeCell ref="C107:C112"/>
    <mergeCell ref="C115:C120"/>
    <mergeCell ref="C123:C128"/>
    <mergeCell ref="C131:C136"/>
    <mergeCell ref="C43:C48"/>
    <mergeCell ref="C3:C8"/>
    <mergeCell ref="C11:C16"/>
    <mergeCell ref="C19:C24"/>
    <mergeCell ref="C27:C32"/>
    <mergeCell ref="C35:C40"/>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C1:C48"/>
  <sheetViews>
    <sheetView showGridLines="0" workbookViewId="0"/>
  </sheetViews>
  <sheetFormatPr baseColWidth="10" defaultColWidth="9.140625" defaultRowHeight="15"/>
  <cols>
    <col min="1" max="2" width="2.42578125" style="263" customWidth="1"/>
    <col min="3" max="3" width="120.42578125" style="263" customWidth="1"/>
    <col min="4" max="4" width="12.42578125" style="263" customWidth="1"/>
    <col min="5" max="10" width="10" style="263" customWidth="1"/>
    <col min="11" max="16384" width="9.140625" style="263"/>
  </cols>
  <sheetData>
    <row r="1" spans="3:3" ht="15" customHeight="1"/>
    <row r="2" spans="3:3" ht="15" customHeight="1">
      <c r="C2" s="772" t="s">
        <v>309</v>
      </c>
    </row>
    <row r="3" spans="3:3" ht="15" customHeight="1">
      <c r="C3" s="1593"/>
    </row>
    <row r="4" spans="3:3" ht="15" customHeight="1">
      <c r="C4" s="1593"/>
    </row>
    <row r="5" spans="3:3" ht="15" customHeight="1">
      <c r="C5" s="1593"/>
    </row>
    <row r="6" spans="3:3" ht="15" customHeight="1">
      <c r="C6" s="1593"/>
    </row>
    <row r="7" spans="3:3" ht="15" customHeight="1">
      <c r="C7" s="1593"/>
    </row>
    <row r="8" spans="3:3" ht="15" customHeight="1">
      <c r="C8" s="1594"/>
    </row>
    <row r="9" spans="3:3" ht="15" customHeight="1"/>
    <row r="10" spans="3:3" ht="15" customHeight="1">
      <c r="C10" s="772" t="s">
        <v>310</v>
      </c>
    </row>
    <row r="11" spans="3:3" ht="15" customHeight="1">
      <c r="C11" s="1593"/>
    </row>
    <row r="12" spans="3:3" ht="15" customHeight="1">
      <c r="C12" s="1593"/>
    </row>
    <row r="13" spans="3:3" ht="15" customHeight="1">
      <c r="C13" s="1593"/>
    </row>
    <row r="14" spans="3:3" ht="15" customHeight="1">
      <c r="C14" s="1593"/>
    </row>
    <row r="15" spans="3:3" ht="15" customHeight="1">
      <c r="C15" s="1593"/>
    </row>
    <row r="16" spans="3:3" ht="15" customHeight="1">
      <c r="C16" s="1594"/>
    </row>
    <row r="17" spans="3:3" ht="15" customHeight="1"/>
    <row r="18" spans="3:3" ht="15" customHeight="1">
      <c r="C18" s="772" t="s">
        <v>311</v>
      </c>
    </row>
    <row r="19" spans="3:3" ht="15" customHeight="1">
      <c r="C19" s="1593"/>
    </row>
    <row r="20" spans="3:3" ht="15" customHeight="1">
      <c r="C20" s="1593"/>
    </row>
    <row r="21" spans="3:3" ht="15" customHeight="1">
      <c r="C21" s="1593"/>
    </row>
    <row r="22" spans="3:3" ht="15" customHeight="1">
      <c r="C22" s="1593"/>
    </row>
    <row r="23" spans="3:3" ht="15" customHeight="1">
      <c r="C23" s="1593"/>
    </row>
    <row r="24" spans="3:3" ht="15" customHeight="1">
      <c r="C24" s="1594"/>
    </row>
    <row r="25" spans="3:3" ht="15" customHeight="1"/>
    <row r="26" spans="3:3" ht="15" customHeight="1">
      <c r="C26" s="772" t="s">
        <v>312</v>
      </c>
    </row>
    <row r="27" spans="3:3" ht="15" customHeight="1">
      <c r="C27" s="1593"/>
    </row>
    <row r="28" spans="3:3" ht="15" customHeight="1">
      <c r="C28" s="1593"/>
    </row>
    <row r="29" spans="3:3" ht="15" customHeight="1">
      <c r="C29" s="1593"/>
    </row>
    <row r="30" spans="3:3" ht="15" customHeight="1">
      <c r="C30" s="1593"/>
    </row>
    <row r="31" spans="3:3" ht="15" customHeight="1">
      <c r="C31" s="1593"/>
    </row>
    <row r="32" spans="3:3" ht="15" customHeight="1">
      <c r="C32" s="1594"/>
    </row>
    <row r="33" spans="3:3" ht="15" customHeight="1"/>
    <row r="34" spans="3:3" ht="15" customHeight="1">
      <c r="C34" s="772" t="s">
        <v>2770</v>
      </c>
    </row>
    <row r="35" spans="3:3" ht="15" customHeight="1">
      <c r="C35" s="1593"/>
    </row>
    <row r="36" spans="3:3" ht="15" customHeight="1">
      <c r="C36" s="1593"/>
    </row>
    <row r="37" spans="3:3" ht="15" customHeight="1">
      <c r="C37" s="1593"/>
    </row>
    <row r="38" spans="3:3" ht="15" customHeight="1">
      <c r="C38" s="1593"/>
    </row>
    <row r="39" spans="3:3" ht="15" customHeight="1">
      <c r="C39" s="1593"/>
    </row>
    <row r="40" spans="3:3" ht="15" customHeight="1">
      <c r="C40" s="1594"/>
    </row>
    <row r="41" spans="3:3" ht="15" customHeight="1"/>
    <row r="42" spans="3:3" ht="15" customHeight="1">
      <c r="C42" s="772" t="s">
        <v>313</v>
      </c>
    </row>
    <row r="43" spans="3:3" ht="15" customHeight="1">
      <c r="C43" s="1593"/>
    </row>
    <row r="44" spans="3:3" ht="15" customHeight="1">
      <c r="C44" s="1593"/>
    </row>
    <row r="45" spans="3:3" ht="15" customHeight="1">
      <c r="C45" s="1593"/>
    </row>
    <row r="46" spans="3:3" ht="15" customHeight="1">
      <c r="C46" s="1593"/>
    </row>
    <row r="47" spans="3:3" ht="15" customHeight="1">
      <c r="C47" s="1593"/>
    </row>
    <row r="48" spans="3:3" ht="15" customHeight="1">
      <c r="C48" s="1594"/>
    </row>
  </sheetData>
  <mergeCells count="6">
    <mergeCell ref="C43:C48"/>
    <mergeCell ref="C3:C8"/>
    <mergeCell ref="C11:C16"/>
    <mergeCell ref="C19:C24"/>
    <mergeCell ref="C27:C32"/>
    <mergeCell ref="C35:C40"/>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heetPr>
  <dimension ref="B1:I11"/>
  <sheetViews>
    <sheetView showGridLines="0" workbookViewId="0">
      <selection activeCell="I20" sqref="I20"/>
    </sheetView>
  </sheetViews>
  <sheetFormatPr baseColWidth="10" defaultColWidth="9.140625" defaultRowHeight="15"/>
  <cols>
    <col min="1" max="3" width="2.42578125" customWidth="1"/>
    <col min="4" max="4" width="32.5703125" customWidth="1"/>
    <col min="5" max="9" width="15.7109375" customWidth="1"/>
    <col min="10" max="10" width="10" customWidth="1"/>
  </cols>
  <sheetData>
    <row r="1" spans="2:9" ht="15" customHeight="1"/>
    <row r="2" spans="2:9" s="1" customFormat="1" ht="15" customHeight="1">
      <c r="B2" s="1" t="s">
        <v>3776</v>
      </c>
    </row>
    <row r="3" spans="2:9" ht="15" customHeight="1"/>
    <row r="4" spans="2:9" ht="12.75" customHeight="1" thickBot="1">
      <c r="B4" s="1604"/>
      <c r="C4" s="1604"/>
      <c r="D4" s="1604"/>
      <c r="E4" s="1604"/>
      <c r="F4" s="1604"/>
      <c r="G4" s="1604"/>
      <c r="H4" s="1604"/>
      <c r="I4" s="1604"/>
    </row>
    <row r="5" spans="2:9" ht="12.75" customHeight="1">
      <c r="B5" s="2"/>
      <c r="C5" s="2"/>
      <c r="D5" s="2"/>
      <c r="E5" s="1605" t="s">
        <v>870</v>
      </c>
      <c r="F5" s="1607" t="s">
        <v>894</v>
      </c>
      <c r="G5" s="1607" t="s">
        <v>895</v>
      </c>
      <c r="H5" s="1607" t="s">
        <v>896</v>
      </c>
      <c r="I5" s="1602" t="s">
        <v>893</v>
      </c>
    </row>
    <row r="6" spans="2:9" ht="35.1" customHeight="1" thickBot="1">
      <c r="B6" s="35"/>
      <c r="C6" s="35"/>
      <c r="D6" s="35"/>
      <c r="E6" s="1606"/>
      <c r="F6" s="1608"/>
      <c r="G6" s="1608"/>
      <c r="H6" s="1608"/>
      <c r="I6" s="1603"/>
    </row>
    <row r="7" spans="2:9" ht="15" customHeight="1">
      <c r="B7" s="1591" t="s">
        <v>314</v>
      </c>
      <c r="C7" s="1592"/>
      <c r="D7" s="1592"/>
      <c r="E7" s="48"/>
      <c r="F7" s="48"/>
      <c r="G7" s="48"/>
      <c r="H7" s="48"/>
      <c r="I7" s="49"/>
    </row>
    <row r="8" spans="2:9" ht="15" customHeight="1">
      <c r="B8" s="1596" t="s">
        <v>221</v>
      </c>
      <c r="C8" s="1597"/>
      <c r="D8" s="1597"/>
      <c r="E8" s="43">
        <v>46184</v>
      </c>
      <c r="F8" s="43">
        <v>0</v>
      </c>
      <c r="G8" s="43"/>
      <c r="H8" s="43"/>
      <c r="I8" s="44">
        <f>SUM(E8:H8)</f>
        <v>46184</v>
      </c>
    </row>
    <row r="9" spans="2:9" ht="15" customHeight="1">
      <c r="B9" s="1596" t="s">
        <v>222</v>
      </c>
      <c r="C9" s="1597"/>
      <c r="D9" s="1597"/>
      <c r="E9" s="43">
        <v>6053379</v>
      </c>
      <c r="F9" s="43">
        <v>408729</v>
      </c>
      <c r="G9" s="43">
        <v>76</v>
      </c>
      <c r="H9" s="43"/>
      <c r="I9" s="44">
        <f>SUM(E9:H9)</f>
        <v>6462184</v>
      </c>
    </row>
    <row r="10" spans="2:9" ht="15" customHeight="1" thickBot="1">
      <c r="B10" s="1598" t="s">
        <v>223</v>
      </c>
      <c r="C10" s="1599"/>
      <c r="D10" s="1599"/>
      <c r="E10" s="45"/>
      <c r="F10" s="45"/>
      <c r="G10" s="45"/>
      <c r="H10" s="45"/>
      <c r="I10" s="44">
        <f t="shared" ref="I10" si="0">SUM(E10:H10)</f>
        <v>0</v>
      </c>
    </row>
    <row r="11" spans="2:9" ht="15" customHeight="1" thickBot="1">
      <c r="B11" s="1600" t="s">
        <v>897</v>
      </c>
      <c r="C11" s="1601"/>
      <c r="D11" s="1601"/>
      <c r="E11" s="47">
        <f>SUM(E8:E10)</f>
        <v>6099563</v>
      </c>
      <c r="F11" s="47">
        <f>SUM(F8:F10)</f>
        <v>408729</v>
      </c>
      <c r="G11" s="1544">
        <f>SUM(G8:G10)</f>
        <v>76</v>
      </c>
      <c r="H11" s="47"/>
      <c r="I11" s="47">
        <f>SUM(I8:I10)</f>
        <v>6508368</v>
      </c>
    </row>
  </sheetData>
  <mergeCells count="11">
    <mergeCell ref="I5:I6"/>
    <mergeCell ref="B4:I4"/>
    <mergeCell ref="E5:E6"/>
    <mergeCell ref="F5:F6"/>
    <mergeCell ref="G5:G6"/>
    <mergeCell ref="H5:H6"/>
    <mergeCell ref="B7:D7"/>
    <mergeCell ref="B8:D8"/>
    <mergeCell ref="B9:D9"/>
    <mergeCell ref="B10:D10"/>
    <mergeCell ref="B11:D1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heetPr>
  <dimension ref="B1:O56"/>
  <sheetViews>
    <sheetView showGridLines="0" topLeftCell="A37" zoomScaleNormal="100" workbookViewId="0">
      <selection activeCell="L16" sqref="L16"/>
    </sheetView>
  </sheetViews>
  <sheetFormatPr baseColWidth="10" defaultColWidth="9.140625" defaultRowHeight="15"/>
  <cols>
    <col min="1" max="5" width="2.42578125" customWidth="1"/>
    <col min="6" max="6" width="49.7109375" customWidth="1"/>
    <col min="7" max="16" width="15.7109375" customWidth="1"/>
  </cols>
  <sheetData>
    <row r="1" spans="2:13" ht="15" customHeight="1"/>
    <row r="2" spans="2:13" s="1" customFormat="1" ht="15" customHeight="1">
      <c r="B2" s="776" t="s">
        <v>898</v>
      </c>
    </row>
    <row r="3" spans="2:13" s="1" customFormat="1" ht="15" customHeight="1">
      <c r="B3" s="51" t="s">
        <v>3943</v>
      </c>
    </row>
    <row r="4" spans="2:13" ht="15" customHeight="1" thickBot="1">
      <c r="C4" s="72"/>
      <c r="D4" s="72"/>
      <c r="E4" s="72"/>
      <c r="F4" s="72"/>
      <c r="G4" s="72"/>
      <c r="H4" s="72"/>
      <c r="I4" s="72"/>
      <c r="J4" s="72"/>
      <c r="K4" s="72"/>
      <c r="L4" s="72"/>
      <c r="M4" s="72"/>
    </row>
    <row r="5" spans="2:13" ht="12.75" customHeight="1">
      <c r="B5" s="2"/>
      <c r="C5" s="2"/>
      <c r="D5" s="2"/>
      <c r="E5" s="2"/>
      <c r="F5" s="2"/>
      <c r="G5" s="1607" t="s">
        <v>904</v>
      </c>
      <c r="H5" s="1607" t="s">
        <v>905</v>
      </c>
      <c r="I5" s="1607" t="s">
        <v>906</v>
      </c>
      <c r="J5" s="1607" t="s">
        <v>432</v>
      </c>
      <c r="K5" s="1607" t="s">
        <v>907</v>
      </c>
      <c r="L5" s="1607" t="s">
        <v>908</v>
      </c>
      <c r="M5" s="1602" t="s">
        <v>334</v>
      </c>
    </row>
    <row r="6" spans="2:13" ht="54.95" customHeight="1" thickBot="1">
      <c r="B6" s="2"/>
      <c r="C6" s="35"/>
      <c r="D6" s="35"/>
      <c r="E6" s="35"/>
      <c r="F6" s="35"/>
      <c r="G6" s="1608"/>
      <c r="H6" s="1608"/>
      <c r="I6" s="1608"/>
      <c r="J6" s="1608"/>
      <c r="K6" s="1608"/>
      <c r="L6" s="1608"/>
      <c r="M6" s="1603"/>
    </row>
    <row r="7" spans="2:13" ht="15" customHeight="1">
      <c r="B7" s="12"/>
      <c r="C7" s="1557" t="s">
        <v>909</v>
      </c>
      <c r="D7" s="1557"/>
      <c r="E7" s="1557"/>
      <c r="F7" s="1557"/>
      <c r="G7" s="53"/>
      <c r="H7" s="48"/>
      <c r="I7" s="48"/>
      <c r="J7" s="57"/>
      <c r="K7" s="48"/>
      <c r="L7" s="48"/>
      <c r="M7" s="49"/>
    </row>
    <row r="8" spans="2:13" ht="15" customHeight="1">
      <c r="B8" s="12"/>
      <c r="C8" s="12"/>
      <c r="D8" s="1564" t="s">
        <v>899</v>
      </c>
      <c r="E8" s="1564"/>
      <c r="F8" s="1564"/>
      <c r="G8" s="61">
        <f>G9+G16</f>
        <v>37079793</v>
      </c>
      <c r="H8" s="61">
        <f t="shared" ref="H8:I8" si="0">H9+H16</f>
        <v>0</v>
      </c>
      <c r="I8" s="61">
        <f t="shared" si="0"/>
        <v>48155</v>
      </c>
      <c r="J8" s="61">
        <f>SUM(G8:I8)</f>
        <v>37127948</v>
      </c>
      <c r="K8" s="61">
        <f t="shared" ref="K8" si="1">K9+K16</f>
        <v>34492409</v>
      </c>
      <c r="L8" s="61">
        <f t="shared" ref="L8:M8" si="2">L9+L16</f>
        <v>-1172205</v>
      </c>
      <c r="M8" s="61">
        <f t="shared" si="2"/>
        <v>0</v>
      </c>
    </row>
    <row r="9" spans="2:13" ht="15" customHeight="1">
      <c r="B9" s="12"/>
      <c r="C9" s="12"/>
      <c r="D9" s="25"/>
      <c r="E9" s="1564" t="s">
        <v>900</v>
      </c>
      <c r="F9" s="1564"/>
      <c r="G9" s="61">
        <f>SUM(G10:G15)</f>
        <v>0</v>
      </c>
      <c r="H9" s="61">
        <f t="shared" ref="H9:K9" si="3">SUM(H10:H15)</f>
        <v>0</v>
      </c>
      <c r="I9" s="61">
        <f t="shared" si="3"/>
        <v>0</v>
      </c>
      <c r="J9" s="60">
        <f t="shared" ref="J9:J37" si="4">SUM(G9:I9)</f>
        <v>0</v>
      </c>
      <c r="K9" s="60">
        <f t="shared" si="3"/>
        <v>0</v>
      </c>
      <c r="L9" s="60">
        <f t="shared" ref="L9" si="5">SUM(L10:L15)</f>
        <v>0</v>
      </c>
      <c r="M9" s="60">
        <f t="shared" ref="M9" si="6">SUM(M10:M15)</f>
        <v>0</v>
      </c>
    </row>
    <row r="10" spans="2:13" ht="15" customHeight="1">
      <c r="B10" s="12"/>
      <c r="C10" s="12"/>
      <c r="D10" s="12"/>
      <c r="E10" s="12"/>
      <c r="F10" s="13" t="s">
        <v>394</v>
      </c>
      <c r="G10" s="54"/>
      <c r="H10" s="43"/>
      <c r="I10" s="43"/>
      <c r="J10" s="58">
        <f t="shared" si="4"/>
        <v>0</v>
      </c>
      <c r="K10" s="43"/>
      <c r="L10" s="43"/>
      <c r="M10" s="44"/>
    </row>
    <row r="11" spans="2:13" ht="15" customHeight="1">
      <c r="B11" s="12"/>
      <c r="C11" s="12"/>
      <c r="D11" s="12"/>
      <c r="E11" s="12"/>
      <c r="F11" s="13" t="s">
        <v>395</v>
      </c>
      <c r="G11" s="54"/>
      <c r="H11" s="43"/>
      <c r="I11" s="43"/>
      <c r="J11" s="58">
        <f t="shared" si="4"/>
        <v>0</v>
      </c>
      <c r="K11" s="43"/>
      <c r="L11" s="43"/>
      <c r="M11" s="44"/>
    </row>
    <row r="12" spans="2:13" ht="15" customHeight="1">
      <c r="B12" s="12"/>
      <c r="C12" s="12"/>
      <c r="D12" s="12"/>
      <c r="E12" s="12"/>
      <c r="F12" s="13" t="s">
        <v>396</v>
      </c>
      <c r="G12" s="54"/>
      <c r="H12" s="43"/>
      <c r="I12" s="43"/>
      <c r="J12" s="58">
        <f t="shared" si="4"/>
        <v>0</v>
      </c>
      <c r="K12" s="43"/>
      <c r="L12" s="43"/>
      <c r="M12" s="44"/>
    </row>
    <row r="13" spans="2:13" ht="15" customHeight="1">
      <c r="B13" s="12"/>
      <c r="C13" s="12"/>
      <c r="D13" s="12"/>
      <c r="E13" s="12"/>
      <c r="F13" s="13" t="s">
        <v>397</v>
      </c>
      <c r="G13" s="54"/>
      <c r="H13" s="43"/>
      <c r="I13" s="43"/>
      <c r="J13" s="58">
        <f t="shared" si="4"/>
        <v>0</v>
      </c>
      <c r="K13" s="43"/>
      <c r="L13" s="43"/>
      <c r="M13" s="44"/>
    </row>
    <row r="14" spans="2:13" ht="15" customHeight="1">
      <c r="B14" s="12"/>
      <c r="C14" s="12"/>
      <c r="D14" s="12"/>
      <c r="E14" s="12"/>
      <c r="F14" s="13" t="s">
        <v>901</v>
      </c>
      <c r="G14" s="54"/>
      <c r="H14" s="43"/>
      <c r="I14" s="43"/>
      <c r="J14" s="58">
        <f t="shared" si="4"/>
        <v>0</v>
      </c>
      <c r="K14" s="43"/>
      <c r="L14" s="43"/>
      <c r="M14" s="44"/>
    </row>
    <row r="15" spans="2:13" ht="15" customHeight="1">
      <c r="B15" s="12"/>
      <c r="C15" s="12"/>
      <c r="D15" s="12"/>
      <c r="E15" s="12"/>
      <c r="F15" s="13" t="s">
        <v>604</v>
      </c>
      <c r="G15" s="54"/>
      <c r="H15" s="43"/>
      <c r="I15" s="43"/>
      <c r="J15" s="58">
        <f t="shared" si="4"/>
        <v>0</v>
      </c>
      <c r="K15" s="43"/>
      <c r="L15" s="43"/>
      <c r="M15" s="44"/>
    </row>
    <row r="16" spans="2:13" ht="15" customHeight="1">
      <c r="B16" s="12"/>
      <c r="C16" s="12"/>
      <c r="D16" s="12"/>
      <c r="E16" s="1564" t="s">
        <v>902</v>
      </c>
      <c r="F16" s="1564"/>
      <c r="G16" s="61">
        <f>SUM(G17:G21)</f>
        <v>37079793</v>
      </c>
      <c r="H16" s="61">
        <f t="shared" ref="H16:I16" si="7">SUM(H17:H21)</f>
        <v>0</v>
      </c>
      <c r="I16" s="61">
        <f t="shared" si="7"/>
        <v>48155</v>
      </c>
      <c r="J16" s="60">
        <f>SUM(G16:I16)</f>
        <v>37127948</v>
      </c>
      <c r="K16" s="60">
        <f t="shared" ref="K16" si="8">SUM(K17:K21)</f>
        <v>34492409</v>
      </c>
      <c r="L16" s="60">
        <f t="shared" ref="L16" si="9">SUM(L17:L21)</f>
        <v>-1172205</v>
      </c>
      <c r="M16" s="62">
        <f t="shared" ref="M16" si="10">SUM(M17:M21)</f>
        <v>0</v>
      </c>
    </row>
    <row r="17" spans="2:13" ht="15" customHeight="1">
      <c r="B17" s="12"/>
      <c r="C17" s="12"/>
      <c r="D17" s="12"/>
      <c r="E17" s="12"/>
      <c r="F17" s="13" t="s">
        <v>319</v>
      </c>
      <c r="G17" s="54">
        <v>36998597</v>
      </c>
      <c r="H17" s="43"/>
      <c r="I17" s="43"/>
      <c r="J17" s="58">
        <f>SUM(G17:I17)</f>
        <v>36998597</v>
      </c>
      <c r="K17" s="43">
        <v>32426887</v>
      </c>
      <c r="L17" s="43">
        <v>-1076824</v>
      </c>
      <c r="M17" s="44"/>
    </row>
    <row r="18" spans="2:13" ht="15" customHeight="1">
      <c r="B18" s="12"/>
      <c r="C18" s="12"/>
      <c r="D18" s="12"/>
      <c r="E18" s="12"/>
      <c r="F18" s="13" t="s">
        <v>320</v>
      </c>
      <c r="G18" s="54">
        <v>0</v>
      </c>
      <c r="H18" s="43"/>
      <c r="I18" s="43">
        <v>48155</v>
      </c>
      <c r="J18" s="58">
        <f>SUM(G18:I18)</f>
        <v>48155</v>
      </c>
      <c r="K18" s="43">
        <v>195486</v>
      </c>
      <c r="L18" s="43">
        <v>88</v>
      </c>
      <c r="M18" s="44"/>
    </row>
    <row r="19" spans="2:13" ht="15" customHeight="1">
      <c r="B19" s="12"/>
      <c r="C19" s="12"/>
      <c r="D19" s="12"/>
      <c r="E19" s="12"/>
      <c r="F19" s="13" t="s">
        <v>321</v>
      </c>
      <c r="G19" s="54">
        <v>81196</v>
      </c>
      <c r="H19" s="43"/>
      <c r="I19" s="43"/>
      <c r="J19" s="58">
        <f>SUM(G19:I19)</f>
        <v>81196</v>
      </c>
      <c r="K19" s="43">
        <v>1870036</v>
      </c>
      <c r="L19" s="43">
        <v>-95469</v>
      </c>
      <c r="M19" s="44"/>
    </row>
    <row r="20" spans="2:13" ht="15" customHeight="1">
      <c r="B20" s="12"/>
      <c r="C20" s="12"/>
      <c r="D20" s="12"/>
      <c r="E20" s="12"/>
      <c r="F20" s="13" t="s">
        <v>322</v>
      </c>
      <c r="G20" s="54"/>
      <c r="H20" s="43"/>
      <c r="I20" s="43"/>
      <c r="J20" s="58">
        <f t="shared" si="4"/>
        <v>0</v>
      </c>
      <c r="K20" s="43"/>
      <c r="L20" s="43"/>
      <c r="M20" s="44"/>
    </row>
    <row r="21" spans="2:13" ht="15" customHeight="1">
      <c r="B21" s="12"/>
      <c r="C21" s="12"/>
      <c r="D21" s="12"/>
      <c r="E21" s="12"/>
      <c r="F21" s="13" t="s">
        <v>604</v>
      </c>
      <c r="G21" s="54"/>
      <c r="H21" s="43"/>
      <c r="I21" s="43"/>
      <c r="J21" s="58">
        <f t="shared" si="4"/>
        <v>0</v>
      </c>
      <c r="K21" s="43"/>
      <c r="L21" s="43"/>
      <c r="M21" s="44"/>
    </row>
    <row r="22" spans="2:13" ht="15" customHeight="1">
      <c r="B22" s="12"/>
      <c r="C22" s="12"/>
      <c r="D22" s="1564" t="s">
        <v>399</v>
      </c>
      <c r="E22" s="1564"/>
      <c r="F22" s="1564"/>
      <c r="G22" s="61">
        <f>G23+G27</f>
        <v>0</v>
      </c>
      <c r="H22" s="60">
        <f t="shared" ref="H22:I22" si="11">H23+H27</f>
        <v>0</v>
      </c>
      <c r="I22" s="60">
        <f t="shared" si="11"/>
        <v>0</v>
      </c>
      <c r="J22" s="60">
        <f t="shared" si="4"/>
        <v>0</v>
      </c>
      <c r="K22" s="60">
        <f t="shared" ref="K22:M22" si="12">K23+K27</f>
        <v>0</v>
      </c>
      <c r="L22" s="60">
        <f t="shared" si="12"/>
        <v>0</v>
      </c>
      <c r="M22" s="62">
        <f t="shared" si="12"/>
        <v>0</v>
      </c>
    </row>
    <row r="23" spans="2:13" ht="15" customHeight="1">
      <c r="B23" s="12"/>
      <c r="C23" s="12"/>
      <c r="D23" s="25"/>
      <c r="E23" s="1564" t="s">
        <v>900</v>
      </c>
      <c r="F23" s="1564"/>
      <c r="G23" s="61">
        <f>SUM(G24:G26)</f>
        <v>0</v>
      </c>
      <c r="H23" s="60">
        <f t="shared" ref="H23:I23" si="13">SUM(H24:H26)</f>
        <v>0</v>
      </c>
      <c r="I23" s="60">
        <f t="shared" si="13"/>
        <v>0</v>
      </c>
      <c r="J23" s="60">
        <f t="shared" si="4"/>
        <v>0</v>
      </c>
      <c r="K23" s="60">
        <f t="shared" ref="K23:M23" si="14">SUM(K24:K26)</f>
        <v>0</v>
      </c>
      <c r="L23" s="60">
        <f t="shared" si="14"/>
        <v>0</v>
      </c>
      <c r="M23" s="62">
        <f t="shared" si="14"/>
        <v>0</v>
      </c>
    </row>
    <row r="24" spans="2:13" ht="15" customHeight="1">
      <c r="B24" s="12"/>
      <c r="C24" s="12"/>
      <c r="D24" s="12"/>
      <c r="E24" s="12"/>
      <c r="F24" s="13" t="s">
        <v>400</v>
      </c>
      <c r="G24" s="54"/>
      <c r="H24" s="43"/>
      <c r="I24" s="43"/>
      <c r="J24" s="58">
        <f t="shared" si="4"/>
        <v>0</v>
      </c>
      <c r="K24" s="43"/>
      <c r="L24" s="43"/>
      <c r="M24" s="44"/>
    </row>
    <row r="25" spans="2:13" ht="15" customHeight="1">
      <c r="B25" s="12"/>
      <c r="C25" s="12"/>
      <c r="D25" s="12"/>
      <c r="E25" s="12"/>
      <c r="F25" s="13" t="s">
        <v>401</v>
      </c>
      <c r="G25" s="54"/>
      <c r="H25" s="43"/>
      <c r="I25" s="43"/>
      <c r="J25" s="58">
        <f t="shared" si="4"/>
        <v>0</v>
      </c>
      <c r="K25" s="43"/>
      <c r="L25" s="43"/>
      <c r="M25" s="44"/>
    </row>
    <row r="26" spans="2:13" ht="15" customHeight="1">
      <c r="B26" s="12"/>
      <c r="C26" s="12"/>
      <c r="D26" s="12"/>
      <c r="E26" s="12"/>
      <c r="F26" s="13" t="s">
        <v>402</v>
      </c>
      <c r="G26" s="54"/>
      <c r="H26" s="43"/>
      <c r="I26" s="43"/>
      <c r="J26" s="58">
        <f t="shared" si="4"/>
        <v>0</v>
      </c>
      <c r="K26" s="43"/>
      <c r="L26" s="43"/>
      <c r="M26" s="44"/>
    </row>
    <row r="27" spans="2:13" ht="15" customHeight="1">
      <c r="B27" s="12"/>
      <c r="C27" s="12"/>
      <c r="D27" s="12"/>
      <c r="E27" s="1564" t="s">
        <v>902</v>
      </c>
      <c r="F27" s="1564"/>
      <c r="G27" s="61">
        <f>SUM(G28:G33)</f>
        <v>0</v>
      </c>
      <c r="H27" s="60">
        <f t="shared" ref="H27:I27" si="15">SUM(H28:H33)</f>
        <v>0</v>
      </c>
      <c r="I27" s="60">
        <f t="shared" si="15"/>
        <v>0</v>
      </c>
      <c r="J27" s="60">
        <f t="shared" si="4"/>
        <v>0</v>
      </c>
      <c r="K27" s="60">
        <f t="shared" ref="K27:M27" si="16">SUM(K28:K33)</f>
        <v>0</v>
      </c>
      <c r="L27" s="60">
        <f t="shared" si="16"/>
        <v>0</v>
      </c>
      <c r="M27" s="62">
        <f t="shared" si="16"/>
        <v>0</v>
      </c>
    </row>
    <row r="28" spans="2:13" ht="15" customHeight="1">
      <c r="B28" s="12"/>
      <c r="C28" s="12"/>
      <c r="D28" s="12"/>
      <c r="E28" s="12"/>
      <c r="F28" s="6" t="s">
        <v>323</v>
      </c>
      <c r="G28" s="54"/>
      <c r="H28" s="43"/>
      <c r="I28" s="43"/>
      <c r="J28" s="58">
        <f t="shared" si="4"/>
        <v>0</v>
      </c>
      <c r="K28" s="43"/>
      <c r="L28" s="43"/>
      <c r="M28" s="44"/>
    </row>
    <row r="29" spans="2:13" ht="15" customHeight="1">
      <c r="B29" s="12"/>
      <c r="C29" s="12"/>
      <c r="D29" s="12"/>
      <c r="E29" s="12"/>
      <c r="F29" s="6" t="s">
        <v>324</v>
      </c>
      <c r="G29" s="54"/>
      <c r="H29" s="43"/>
      <c r="I29" s="43"/>
      <c r="J29" s="58">
        <f t="shared" si="4"/>
        <v>0</v>
      </c>
      <c r="K29" s="43"/>
      <c r="L29" s="43"/>
      <c r="M29" s="44"/>
    </row>
    <row r="30" spans="2:13" ht="15" customHeight="1">
      <c r="B30" s="12"/>
      <c r="C30" s="12"/>
      <c r="D30" s="12"/>
      <c r="E30" s="12"/>
      <c r="F30" s="6" t="s">
        <v>325</v>
      </c>
      <c r="G30" s="54"/>
      <c r="H30" s="43"/>
      <c r="I30" s="43"/>
      <c r="J30" s="58">
        <f t="shared" si="4"/>
        <v>0</v>
      </c>
      <c r="K30" s="43"/>
      <c r="L30" s="43"/>
      <c r="M30" s="44"/>
    </row>
    <row r="31" spans="2:13" ht="15" customHeight="1">
      <c r="B31" s="12"/>
      <c r="C31" s="12"/>
      <c r="D31" s="12"/>
      <c r="E31" s="12"/>
      <c r="F31" s="6" t="s">
        <v>326</v>
      </c>
      <c r="G31" s="54"/>
      <c r="H31" s="43"/>
      <c r="I31" s="43"/>
      <c r="J31" s="58">
        <f t="shared" si="4"/>
        <v>0</v>
      </c>
      <c r="K31" s="43"/>
      <c r="L31" s="43"/>
      <c r="M31" s="44"/>
    </row>
    <row r="32" spans="2:13" ht="15" customHeight="1">
      <c r="B32" s="12"/>
      <c r="C32" s="12"/>
      <c r="D32" s="12"/>
      <c r="E32" s="12"/>
      <c r="F32" s="6" t="s">
        <v>327</v>
      </c>
      <c r="G32" s="54"/>
      <c r="H32" s="43"/>
      <c r="I32" s="43"/>
      <c r="J32" s="58">
        <f t="shared" si="4"/>
        <v>0</v>
      </c>
      <c r="K32" s="43"/>
      <c r="L32" s="43"/>
      <c r="M32" s="44"/>
    </row>
    <row r="33" spans="2:15" ht="15" customHeight="1">
      <c r="B33" s="12"/>
      <c r="C33" s="12"/>
      <c r="D33" s="12"/>
      <c r="E33" s="12"/>
      <c r="F33" s="13" t="s">
        <v>604</v>
      </c>
      <c r="G33" s="54"/>
      <c r="H33" s="43"/>
      <c r="I33" s="43"/>
      <c r="J33" s="58">
        <f t="shared" si="4"/>
        <v>0</v>
      </c>
      <c r="K33" s="43"/>
      <c r="L33" s="43"/>
      <c r="M33" s="44"/>
    </row>
    <row r="34" spans="2:15" ht="15" customHeight="1">
      <c r="B34" s="12"/>
      <c r="C34" s="12"/>
      <c r="D34" s="1564" t="s">
        <v>328</v>
      </c>
      <c r="E34" s="1564"/>
      <c r="F34" s="1564"/>
      <c r="G34" s="61">
        <f>SUM(G35:G37)</f>
        <v>0</v>
      </c>
      <c r="H34" s="60">
        <f t="shared" ref="H34:I34" si="17">SUM(H35:H37)</f>
        <v>0</v>
      </c>
      <c r="I34" s="60">
        <f t="shared" si="17"/>
        <v>0</v>
      </c>
      <c r="J34" s="60">
        <f t="shared" si="4"/>
        <v>0</v>
      </c>
      <c r="K34" s="60">
        <f t="shared" ref="K34:M34" si="18">SUM(K35:K37)</f>
        <v>0</v>
      </c>
      <c r="L34" s="60">
        <f t="shared" si="18"/>
        <v>0</v>
      </c>
      <c r="M34" s="62">
        <f t="shared" si="18"/>
        <v>0</v>
      </c>
    </row>
    <row r="35" spans="2:15" ht="15" customHeight="1">
      <c r="B35" s="12"/>
      <c r="C35" s="12"/>
      <c r="D35" s="12"/>
      <c r="E35" s="1555" t="s">
        <v>329</v>
      </c>
      <c r="F35" s="1555"/>
      <c r="G35" s="54"/>
      <c r="H35" s="43"/>
      <c r="I35" s="43"/>
      <c r="J35" s="58">
        <f t="shared" si="4"/>
        <v>0</v>
      </c>
      <c r="K35" s="43"/>
      <c r="L35" s="43"/>
      <c r="M35" s="44"/>
    </row>
    <row r="36" spans="2:15" ht="15" customHeight="1">
      <c r="B36" s="12"/>
      <c r="C36" s="12"/>
      <c r="D36" s="12"/>
      <c r="E36" s="1555" t="s">
        <v>330</v>
      </c>
      <c r="F36" s="1555"/>
      <c r="G36" s="54"/>
      <c r="H36" s="43"/>
      <c r="I36" s="43"/>
      <c r="J36" s="58">
        <f t="shared" si="4"/>
        <v>0</v>
      </c>
      <c r="K36" s="43"/>
      <c r="L36" s="43"/>
      <c r="M36" s="44"/>
    </row>
    <row r="37" spans="2:15" ht="15" customHeight="1" thickBot="1">
      <c r="B37" s="12"/>
      <c r="C37" s="12"/>
      <c r="D37" s="52"/>
      <c r="E37" s="1618" t="s">
        <v>604</v>
      </c>
      <c r="F37" s="1618"/>
      <c r="G37" s="55"/>
      <c r="H37" s="45"/>
      <c r="I37" s="45"/>
      <c r="J37" s="59">
        <f t="shared" si="4"/>
        <v>0</v>
      </c>
      <c r="K37" s="45"/>
      <c r="L37" s="45"/>
      <c r="M37" s="46"/>
    </row>
    <row r="38" spans="2:15" ht="15" customHeight="1" thickBot="1">
      <c r="B38" s="12"/>
      <c r="C38" s="12"/>
      <c r="D38" s="1617" t="s">
        <v>903</v>
      </c>
      <c r="E38" s="1617"/>
      <c r="F38" s="1617"/>
      <c r="G38" s="56">
        <f>G8+G22+G34</f>
        <v>37079793</v>
      </c>
      <c r="H38" s="56">
        <f t="shared" ref="H38:M38" si="19">H8+H22+H34</f>
        <v>0</v>
      </c>
      <c r="I38" s="56">
        <f t="shared" si="19"/>
        <v>48155</v>
      </c>
      <c r="J38" s="56">
        <f t="shared" si="19"/>
        <v>37127948</v>
      </c>
      <c r="K38" s="56">
        <f t="shared" si="19"/>
        <v>34492409</v>
      </c>
      <c r="L38" s="56">
        <f t="shared" si="19"/>
        <v>-1172205</v>
      </c>
      <c r="M38" s="56">
        <f t="shared" si="19"/>
        <v>0</v>
      </c>
    </row>
    <row r="41" spans="2:15">
      <c r="B41" s="776" t="s">
        <v>910</v>
      </c>
    </row>
    <row r="43" spans="2:15">
      <c r="B43" s="776" t="s">
        <v>911</v>
      </c>
    </row>
    <row r="44" spans="2:15" ht="15.75" thickBot="1">
      <c r="D44" s="72"/>
      <c r="E44" s="72"/>
      <c r="F44" s="72"/>
      <c r="G44" s="72"/>
      <c r="H44" s="72"/>
      <c r="I44" s="72"/>
      <c r="J44" s="72"/>
      <c r="K44" s="72"/>
      <c r="L44" s="72"/>
      <c r="M44" s="72"/>
      <c r="N44" s="72"/>
      <c r="O44" s="72"/>
    </row>
    <row r="45" spans="2:15">
      <c r="D45" s="2"/>
      <c r="E45" s="2"/>
      <c r="F45" s="2"/>
      <c r="G45" s="1611" t="s">
        <v>912</v>
      </c>
      <c r="H45" s="1612"/>
      <c r="I45" s="1612"/>
      <c r="J45" s="1612"/>
      <c r="K45" s="1612"/>
      <c r="L45" s="1612"/>
      <c r="M45" s="1612"/>
      <c r="N45" s="1612"/>
      <c r="O45" s="1613"/>
    </row>
    <row r="46" spans="2:15">
      <c r="D46" s="2"/>
      <c r="E46" s="2"/>
      <c r="F46" s="2"/>
      <c r="G46" s="1614" t="s">
        <v>329</v>
      </c>
      <c r="H46" s="1609"/>
      <c r="I46" s="1609" t="s">
        <v>330</v>
      </c>
      <c r="J46" s="1609" t="s">
        <v>331</v>
      </c>
      <c r="K46" s="1609" t="s">
        <v>922</v>
      </c>
      <c r="L46" s="1609" t="s">
        <v>332</v>
      </c>
      <c r="M46" s="1609" t="s">
        <v>333</v>
      </c>
      <c r="N46" s="1609" t="s">
        <v>334</v>
      </c>
      <c r="O46" s="1615" t="s">
        <v>335</v>
      </c>
    </row>
    <row r="47" spans="2:15" ht="35.1" customHeight="1" thickBot="1">
      <c r="D47" s="35"/>
      <c r="E47" s="35"/>
      <c r="F47" s="35"/>
      <c r="G47" s="137" t="s">
        <v>336</v>
      </c>
      <c r="H47" s="138" t="s">
        <v>337</v>
      </c>
      <c r="I47" s="1610"/>
      <c r="J47" s="1610"/>
      <c r="K47" s="1610"/>
      <c r="L47" s="1610"/>
      <c r="M47" s="1610"/>
      <c r="N47" s="1610"/>
      <c r="O47" s="1616"/>
    </row>
    <row r="48" spans="2:15" ht="15" customHeight="1">
      <c r="D48" s="4"/>
      <c r="E48" s="4"/>
      <c r="F48" s="6" t="s">
        <v>913</v>
      </c>
      <c r="G48" s="64"/>
      <c r="H48" s="65"/>
      <c r="I48" s="65"/>
      <c r="J48" s="65"/>
      <c r="K48" s="70">
        <f>G48+H48+I48+J48</f>
        <v>0</v>
      </c>
      <c r="L48" s="67"/>
      <c r="M48" s="65"/>
      <c r="N48" s="65"/>
      <c r="O48" s="66"/>
    </row>
    <row r="49" spans="4:15" ht="15" customHeight="1">
      <c r="D49" s="4"/>
      <c r="E49" s="4"/>
      <c r="F49" s="6" t="s">
        <v>914</v>
      </c>
      <c r="G49" s="54"/>
      <c r="H49" s="43"/>
      <c r="I49" s="43"/>
      <c r="J49" s="43"/>
      <c r="K49" s="58">
        <f t="shared" ref="K49:K56" si="20">G49+H49+I49+J49</f>
        <v>0</v>
      </c>
      <c r="L49" s="68"/>
      <c r="M49" s="43"/>
      <c r="N49" s="43"/>
      <c r="O49" s="44"/>
    </row>
    <row r="50" spans="4:15" ht="15" customHeight="1">
      <c r="D50" s="4"/>
      <c r="E50" s="1565" t="s">
        <v>915</v>
      </c>
      <c r="F50" s="1565"/>
      <c r="G50" s="61">
        <f>G48+G49</f>
        <v>0</v>
      </c>
      <c r="H50" s="61">
        <f t="shared" ref="H50:O50" si="21">H48+H49</f>
        <v>0</v>
      </c>
      <c r="I50" s="61">
        <f t="shared" si="21"/>
        <v>0</v>
      </c>
      <c r="J50" s="61">
        <f t="shared" si="21"/>
        <v>0</v>
      </c>
      <c r="K50" s="61">
        <f t="shared" si="20"/>
        <v>0</v>
      </c>
      <c r="L50" s="61">
        <f t="shared" si="21"/>
        <v>0</v>
      </c>
      <c r="M50" s="61">
        <f t="shared" si="21"/>
        <v>0</v>
      </c>
      <c r="N50" s="61">
        <f t="shared" si="21"/>
        <v>0</v>
      </c>
      <c r="O50" s="61">
        <f t="shared" si="21"/>
        <v>0</v>
      </c>
    </row>
    <row r="51" spans="4:15" ht="15" customHeight="1">
      <c r="D51" s="4"/>
      <c r="E51" s="4"/>
      <c r="F51" s="6" t="s">
        <v>916</v>
      </c>
      <c r="G51" s="54"/>
      <c r="H51" s="43"/>
      <c r="I51" s="43"/>
      <c r="J51" s="43"/>
      <c r="K51" s="58">
        <f t="shared" si="20"/>
        <v>0</v>
      </c>
      <c r="L51" s="68"/>
      <c r="M51" s="43"/>
      <c r="N51" s="43"/>
      <c r="O51" s="44"/>
    </row>
    <row r="52" spans="4:15" ht="15" customHeight="1">
      <c r="D52" s="4"/>
      <c r="E52" s="4"/>
      <c r="F52" s="6" t="s">
        <v>917</v>
      </c>
      <c r="G52" s="54"/>
      <c r="H52" s="43"/>
      <c r="I52" s="43"/>
      <c r="J52" s="43"/>
      <c r="K52" s="58">
        <f t="shared" si="20"/>
        <v>0</v>
      </c>
      <c r="L52" s="68"/>
      <c r="M52" s="43"/>
      <c r="N52" s="43"/>
      <c r="O52" s="44"/>
    </row>
    <row r="53" spans="4:15" ht="15" customHeight="1">
      <c r="D53" s="4"/>
      <c r="E53" s="1565" t="s">
        <v>918</v>
      </c>
      <c r="F53" s="1565"/>
      <c r="G53" s="61">
        <f>G51+G52</f>
        <v>0</v>
      </c>
      <c r="H53" s="61">
        <f t="shared" ref="H53:O53" si="22">H51+H52</f>
        <v>0</v>
      </c>
      <c r="I53" s="61">
        <f t="shared" si="22"/>
        <v>0</v>
      </c>
      <c r="J53" s="61">
        <f t="shared" si="22"/>
        <v>0</v>
      </c>
      <c r="K53" s="61">
        <f t="shared" si="20"/>
        <v>0</v>
      </c>
      <c r="L53" s="61">
        <f t="shared" si="22"/>
        <v>0</v>
      </c>
      <c r="M53" s="61">
        <f t="shared" si="22"/>
        <v>0</v>
      </c>
      <c r="N53" s="61">
        <f t="shared" si="22"/>
        <v>0</v>
      </c>
      <c r="O53" s="61">
        <f t="shared" si="22"/>
        <v>0</v>
      </c>
    </row>
    <row r="54" spans="4:15" ht="15" customHeight="1">
      <c r="D54" s="4"/>
      <c r="E54" s="1566" t="s">
        <v>919</v>
      </c>
      <c r="F54" s="1566"/>
      <c r="G54" s="54"/>
      <c r="H54" s="43">
        <v>12249435</v>
      </c>
      <c r="I54" s="43"/>
      <c r="J54" s="43"/>
      <c r="K54" s="58">
        <f t="shared" si="20"/>
        <v>12249435</v>
      </c>
      <c r="L54" s="68">
        <v>28</v>
      </c>
      <c r="M54" s="43"/>
      <c r="N54" s="43"/>
      <c r="O54" s="44"/>
    </row>
    <row r="55" spans="4:15" ht="15" customHeight="1" thickBot="1">
      <c r="D55" s="63"/>
      <c r="E55" s="1581" t="s">
        <v>920</v>
      </c>
      <c r="F55" s="1581"/>
      <c r="G55" s="55"/>
      <c r="H55" s="45"/>
      <c r="I55" s="45"/>
      <c r="J55" s="45"/>
      <c r="K55" s="59">
        <f t="shared" si="20"/>
        <v>0</v>
      </c>
      <c r="L55" s="69"/>
      <c r="M55" s="45"/>
      <c r="N55" s="45"/>
      <c r="O55" s="46"/>
    </row>
    <row r="56" spans="4:15" ht="15" customHeight="1" thickBot="1">
      <c r="D56" s="1581" t="s">
        <v>921</v>
      </c>
      <c r="E56" s="1581"/>
      <c r="F56" s="1581"/>
      <c r="G56" s="56">
        <f>G50+G53+G54+G55</f>
        <v>0</v>
      </c>
      <c r="H56" s="56">
        <f t="shared" ref="H56:O56" si="23">H50+H53+H54+H55</f>
        <v>12249435</v>
      </c>
      <c r="I56" s="56">
        <f t="shared" si="23"/>
        <v>0</v>
      </c>
      <c r="J56" s="56">
        <f t="shared" si="23"/>
        <v>0</v>
      </c>
      <c r="K56" s="56">
        <f t="shared" si="20"/>
        <v>12249435</v>
      </c>
      <c r="L56" s="56">
        <f t="shared" si="23"/>
        <v>28</v>
      </c>
      <c r="M56" s="56">
        <f t="shared" si="23"/>
        <v>0</v>
      </c>
      <c r="N56" s="56">
        <f t="shared" si="23"/>
        <v>0</v>
      </c>
      <c r="O56" s="56">
        <f t="shared" si="23"/>
        <v>0</v>
      </c>
    </row>
  </sheetData>
  <mergeCells count="33">
    <mergeCell ref="J5:J6"/>
    <mergeCell ref="K5:K6"/>
    <mergeCell ref="L5:L6"/>
    <mergeCell ref="M5:M6"/>
    <mergeCell ref="E36:F36"/>
    <mergeCell ref="G5:G6"/>
    <mergeCell ref="H5:H6"/>
    <mergeCell ref="I5:I6"/>
    <mergeCell ref="E37:F37"/>
    <mergeCell ref="C7:F7"/>
    <mergeCell ref="D8:F8"/>
    <mergeCell ref="E9:F9"/>
    <mergeCell ref="E16:F16"/>
    <mergeCell ref="D22:F22"/>
    <mergeCell ref="E23:F23"/>
    <mergeCell ref="E27:F27"/>
    <mergeCell ref="D34:F34"/>
    <mergeCell ref="E35:F35"/>
    <mergeCell ref="N46:N47"/>
    <mergeCell ref="G45:O45"/>
    <mergeCell ref="G46:H46"/>
    <mergeCell ref="O46:O47"/>
    <mergeCell ref="D38:F38"/>
    <mergeCell ref="J46:J47"/>
    <mergeCell ref="K46:K47"/>
    <mergeCell ref="L46:L47"/>
    <mergeCell ref="M46:M47"/>
    <mergeCell ref="I46:I47"/>
    <mergeCell ref="E50:F50"/>
    <mergeCell ref="E53:F53"/>
    <mergeCell ref="E54:F54"/>
    <mergeCell ref="E55:F55"/>
    <mergeCell ref="D56:F56"/>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B1:T206"/>
  <sheetViews>
    <sheetView showGridLines="0" workbookViewId="0">
      <pane ySplit="5" topLeftCell="A6" activePane="bottomLeft" state="frozen"/>
      <selection pane="bottomLeft" activeCell="A6" sqref="A6"/>
    </sheetView>
  </sheetViews>
  <sheetFormatPr baseColWidth="10" defaultRowHeight="15"/>
  <cols>
    <col min="1" max="2" width="2.42578125" customWidth="1"/>
    <col min="3" max="3" width="20.7109375" customWidth="1"/>
    <col min="4" max="5" width="15.7109375" customWidth="1"/>
    <col min="6" max="6" width="35.7109375" customWidth="1"/>
    <col min="7" max="20" width="15.7109375" customWidth="1"/>
  </cols>
  <sheetData>
    <row r="1" spans="2:20" ht="15" customHeight="1"/>
    <row r="2" spans="2:20" s="1" customFormat="1" ht="15" customHeight="1">
      <c r="B2" s="776" t="s">
        <v>923</v>
      </c>
    </row>
    <row r="3" spans="2:20" ht="15" customHeight="1" thickBot="1">
      <c r="C3" s="72"/>
      <c r="D3" s="72"/>
      <c r="E3" s="72"/>
      <c r="F3" s="72"/>
      <c r="G3" s="72"/>
      <c r="H3" s="72"/>
      <c r="I3" s="72"/>
      <c r="J3" s="72"/>
      <c r="K3" s="72"/>
      <c r="L3" s="72"/>
      <c r="M3" s="72"/>
      <c r="N3" s="72"/>
      <c r="O3" s="72"/>
      <c r="P3" s="72"/>
      <c r="Q3" s="72"/>
      <c r="R3" s="72"/>
      <c r="S3" s="72"/>
      <c r="T3" s="72"/>
    </row>
    <row r="4" spans="2:20" s="17" customFormat="1" ht="20.100000000000001" customHeight="1" thickBot="1">
      <c r="B4" s="71"/>
      <c r="C4" s="1619" t="s">
        <v>927</v>
      </c>
      <c r="D4" s="1619" t="s">
        <v>338</v>
      </c>
      <c r="E4" s="1619" t="s">
        <v>339</v>
      </c>
      <c r="F4" s="1619" t="s">
        <v>924</v>
      </c>
      <c r="G4" s="1619"/>
      <c r="H4" s="1619"/>
      <c r="I4" s="1619" t="s">
        <v>925</v>
      </c>
      <c r="J4" s="1619"/>
      <c r="K4" s="1619"/>
      <c r="L4" s="1619"/>
      <c r="M4" s="1619"/>
      <c r="N4" s="1619"/>
      <c r="O4" s="1619" t="s">
        <v>926</v>
      </c>
      <c r="P4" s="1619"/>
      <c r="Q4" s="1619"/>
      <c r="R4" s="1619"/>
      <c r="S4" s="1619"/>
      <c r="T4" s="1619"/>
    </row>
    <row r="5" spans="2:20" s="17" customFormat="1" ht="93" customHeight="1" thickBot="1">
      <c r="B5" s="71"/>
      <c r="C5" s="1619"/>
      <c r="D5" s="1619"/>
      <c r="E5" s="1619"/>
      <c r="F5" s="769" t="s">
        <v>340</v>
      </c>
      <c r="G5" s="769" t="s">
        <v>341</v>
      </c>
      <c r="H5" s="769" t="s">
        <v>342</v>
      </c>
      <c r="I5" s="769" t="s">
        <v>343</v>
      </c>
      <c r="J5" s="769" t="s">
        <v>344</v>
      </c>
      <c r="K5" s="769" t="s">
        <v>347</v>
      </c>
      <c r="L5" s="769" t="s">
        <v>348</v>
      </c>
      <c r="M5" s="769" t="s">
        <v>345</v>
      </c>
      <c r="N5" s="769" t="s">
        <v>346</v>
      </c>
      <c r="O5" s="769" t="s">
        <v>349</v>
      </c>
      <c r="P5" s="769" t="s">
        <v>350</v>
      </c>
      <c r="Q5" s="769" t="s">
        <v>351</v>
      </c>
      <c r="R5" s="769" t="s">
        <v>352</v>
      </c>
      <c r="S5" s="769" t="s">
        <v>353</v>
      </c>
      <c r="T5" s="769" t="s">
        <v>354</v>
      </c>
    </row>
    <row r="6" spans="2:20" ht="12" customHeight="1">
      <c r="B6" s="4"/>
      <c r="C6" s="88" t="s">
        <v>928</v>
      </c>
      <c r="D6" s="89"/>
      <c r="E6" s="89"/>
      <c r="F6" s="90"/>
      <c r="G6" s="67"/>
      <c r="H6" s="67"/>
      <c r="I6" s="67"/>
      <c r="J6" s="65"/>
      <c r="K6" s="37"/>
      <c r="L6" s="91"/>
      <c r="M6" s="907"/>
      <c r="N6" s="907"/>
      <c r="O6" s="65"/>
      <c r="P6" s="65"/>
      <c r="Q6" s="65"/>
      <c r="R6" s="93"/>
      <c r="S6" s="65"/>
      <c r="T6" s="94"/>
    </row>
    <row r="7" spans="2:20" ht="12" customHeight="1">
      <c r="B7" s="4"/>
      <c r="C7" s="41" t="s">
        <v>929</v>
      </c>
      <c r="D7" s="95"/>
      <c r="E7" s="95"/>
      <c r="F7" s="96"/>
      <c r="G7" s="68"/>
      <c r="H7" s="68"/>
      <c r="I7" s="68"/>
      <c r="J7" s="43"/>
      <c r="K7" s="38"/>
      <c r="L7" s="97"/>
      <c r="M7" s="907"/>
      <c r="N7" s="907"/>
      <c r="O7" s="43"/>
      <c r="P7" s="43"/>
      <c r="Q7" s="43"/>
      <c r="R7" s="99"/>
      <c r="S7" s="43"/>
      <c r="T7" s="100"/>
    </row>
    <row r="8" spans="2:20" ht="12" customHeight="1">
      <c r="B8" s="4"/>
      <c r="C8" s="41" t="s">
        <v>930</v>
      </c>
      <c r="D8" s="95"/>
      <c r="E8" s="95"/>
      <c r="F8" s="96"/>
      <c r="G8" s="68"/>
      <c r="H8" s="68"/>
      <c r="I8" s="68"/>
      <c r="J8" s="43"/>
      <c r="K8" s="38"/>
      <c r="L8" s="97"/>
      <c r="M8" s="907"/>
      <c r="N8" s="907"/>
      <c r="O8" s="43"/>
      <c r="P8" s="43"/>
      <c r="Q8" s="43"/>
      <c r="R8" s="99"/>
      <c r="S8" s="43"/>
      <c r="T8" s="100"/>
    </row>
    <row r="9" spans="2:20" ht="12" customHeight="1">
      <c r="B9" s="4"/>
      <c r="C9" s="41" t="s">
        <v>931</v>
      </c>
      <c r="D9" s="95"/>
      <c r="E9" s="95"/>
      <c r="F9" s="96"/>
      <c r="G9" s="68"/>
      <c r="H9" s="68"/>
      <c r="I9" s="68"/>
      <c r="J9" s="43"/>
      <c r="K9" s="38"/>
      <c r="L9" s="97"/>
      <c r="M9" s="907"/>
      <c r="N9" s="907"/>
      <c r="O9" s="43"/>
      <c r="P9" s="43"/>
      <c r="Q9" s="43"/>
      <c r="R9" s="99"/>
      <c r="S9" s="43"/>
      <c r="T9" s="100"/>
    </row>
    <row r="10" spans="2:20" ht="12" customHeight="1">
      <c r="B10" s="4"/>
      <c r="C10" s="41" t="s">
        <v>932</v>
      </c>
      <c r="D10" s="95"/>
      <c r="E10" s="95"/>
      <c r="F10" s="96"/>
      <c r="G10" s="68"/>
      <c r="H10" s="68"/>
      <c r="I10" s="68"/>
      <c r="J10" s="43"/>
      <c r="K10" s="38"/>
      <c r="L10" s="97"/>
      <c r="M10" s="907"/>
      <c r="N10" s="907"/>
      <c r="O10" s="43"/>
      <c r="P10" s="43"/>
      <c r="Q10" s="43"/>
      <c r="R10" s="99"/>
      <c r="S10" s="43"/>
      <c r="T10" s="100"/>
    </row>
    <row r="11" spans="2:20" ht="12" customHeight="1">
      <c r="B11" s="4"/>
      <c r="C11" s="41" t="s">
        <v>933</v>
      </c>
      <c r="D11" s="95"/>
      <c r="E11" s="95"/>
      <c r="F11" s="96"/>
      <c r="G11" s="68"/>
      <c r="H11" s="68"/>
      <c r="I11" s="68"/>
      <c r="J11" s="43"/>
      <c r="K11" s="38"/>
      <c r="L11" s="97"/>
      <c r="M11" s="907"/>
      <c r="N11" s="907"/>
      <c r="O11" s="43"/>
      <c r="P11" s="43"/>
      <c r="Q11" s="43"/>
      <c r="R11" s="99"/>
      <c r="S11" s="43"/>
      <c r="T11" s="100"/>
    </row>
    <row r="12" spans="2:20" ht="12" customHeight="1">
      <c r="B12" s="4"/>
      <c r="C12" s="41" t="s">
        <v>934</v>
      </c>
      <c r="D12" s="95"/>
      <c r="E12" s="95"/>
      <c r="F12" s="96"/>
      <c r="G12" s="68"/>
      <c r="H12" s="68"/>
      <c r="I12" s="68"/>
      <c r="J12" s="43"/>
      <c r="K12" s="38"/>
      <c r="L12" s="97"/>
      <c r="M12" s="907"/>
      <c r="N12" s="907"/>
      <c r="O12" s="43"/>
      <c r="P12" s="43"/>
      <c r="Q12" s="43"/>
      <c r="R12" s="99"/>
      <c r="S12" s="43"/>
      <c r="T12" s="100"/>
    </row>
    <row r="13" spans="2:20" ht="12" customHeight="1">
      <c r="B13" s="4"/>
      <c r="C13" s="41" t="s">
        <v>935</v>
      </c>
      <c r="D13" s="95"/>
      <c r="E13" s="95"/>
      <c r="F13" s="96"/>
      <c r="G13" s="68"/>
      <c r="H13" s="68"/>
      <c r="I13" s="68"/>
      <c r="J13" s="43"/>
      <c r="K13" s="38"/>
      <c r="L13" s="97"/>
      <c r="M13" s="907"/>
      <c r="N13" s="907"/>
      <c r="O13" s="43"/>
      <c r="P13" s="43"/>
      <c r="Q13" s="43"/>
      <c r="R13" s="99"/>
      <c r="S13" s="43"/>
      <c r="T13" s="100"/>
    </row>
    <row r="14" spans="2:20" ht="12" customHeight="1">
      <c r="B14" s="4"/>
      <c r="C14" s="41" t="s">
        <v>936</v>
      </c>
      <c r="D14" s="95"/>
      <c r="E14" s="95"/>
      <c r="F14" s="96"/>
      <c r="G14" s="68"/>
      <c r="H14" s="68"/>
      <c r="I14" s="68"/>
      <c r="J14" s="43"/>
      <c r="K14" s="38"/>
      <c r="L14" s="97"/>
      <c r="M14" s="907"/>
      <c r="N14" s="907"/>
      <c r="O14" s="43"/>
      <c r="P14" s="43"/>
      <c r="Q14" s="43"/>
      <c r="R14" s="99"/>
      <c r="S14" s="43"/>
      <c r="T14" s="100"/>
    </row>
    <row r="15" spans="2:20" ht="12" customHeight="1">
      <c r="B15" s="4"/>
      <c r="C15" s="41" t="s">
        <v>937</v>
      </c>
      <c r="D15" s="95"/>
      <c r="E15" s="95"/>
      <c r="F15" s="96"/>
      <c r="G15" s="68"/>
      <c r="H15" s="68"/>
      <c r="I15" s="68"/>
      <c r="J15" s="43"/>
      <c r="K15" s="38"/>
      <c r="L15" s="97"/>
      <c r="M15" s="907"/>
      <c r="N15" s="907"/>
      <c r="O15" s="43"/>
      <c r="P15" s="43"/>
      <c r="Q15" s="43"/>
      <c r="R15" s="99"/>
      <c r="S15" s="43"/>
      <c r="T15" s="100"/>
    </row>
    <row r="16" spans="2:20" ht="12" customHeight="1">
      <c r="B16" s="4"/>
      <c r="C16" s="41" t="s">
        <v>938</v>
      </c>
      <c r="D16" s="95"/>
      <c r="E16" s="95"/>
      <c r="F16" s="96"/>
      <c r="G16" s="68"/>
      <c r="H16" s="68"/>
      <c r="I16" s="68"/>
      <c r="J16" s="43"/>
      <c r="K16" s="38"/>
      <c r="L16" s="97"/>
      <c r="M16" s="907"/>
      <c r="N16" s="907"/>
      <c r="O16" s="43"/>
      <c r="P16" s="43"/>
      <c r="Q16" s="43"/>
      <c r="R16" s="99"/>
      <c r="S16" s="43"/>
      <c r="T16" s="100"/>
    </row>
    <row r="17" spans="2:20" ht="12" customHeight="1">
      <c r="B17" s="4"/>
      <c r="C17" s="41" t="s">
        <v>939</v>
      </c>
      <c r="D17" s="95"/>
      <c r="E17" s="95"/>
      <c r="F17" s="96"/>
      <c r="G17" s="68"/>
      <c r="H17" s="68"/>
      <c r="I17" s="68"/>
      <c r="J17" s="43"/>
      <c r="K17" s="38"/>
      <c r="L17" s="97"/>
      <c r="M17" s="907"/>
      <c r="N17" s="907"/>
      <c r="O17" s="43"/>
      <c r="P17" s="43"/>
      <c r="Q17" s="43"/>
      <c r="R17" s="99"/>
      <c r="S17" s="43"/>
      <c r="T17" s="100"/>
    </row>
    <row r="18" spans="2:20" ht="12" customHeight="1">
      <c r="B18" s="4"/>
      <c r="C18" s="41" t="s">
        <v>940</v>
      </c>
      <c r="D18" s="95"/>
      <c r="E18" s="95"/>
      <c r="F18" s="96"/>
      <c r="G18" s="68"/>
      <c r="H18" s="68"/>
      <c r="I18" s="68"/>
      <c r="J18" s="43"/>
      <c r="K18" s="38"/>
      <c r="L18" s="97"/>
      <c r="M18" s="907"/>
      <c r="N18" s="907"/>
      <c r="O18" s="43"/>
      <c r="P18" s="43"/>
      <c r="Q18" s="43"/>
      <c r="R18" s="99"/>
      <c r="S18" s="43"/>
      <c r="T18" s="100"/>
    </row>
    <row r="19" spans="2:20" ht="12" customHeight="1">
      <c r="B19" s="4"/>
      <c r="C19" s="41" t="s">
        <v>941</v>
      </c>
      <c r="D19" s="95"/>
      <c r="E19" s="95"/>
      <c r="F19" s="96"/>
      <c r="G19" s="68"/>
      <c r="H19" s="68"/>
      <c r="I19" s="68"/>
      <c r="J19" s="43"/>
      <c r="K19" s="38"/>
      <c r="L19" s="97"/>
      <c r="M19" s="907"/>
      <c r="N19" s="907"/>
      <c r="O19" s="43"/>
      <c r="P19" s="43"/>
      <c r="Q19" s="43"/>
      <c r="R19" s="99"/>
      <c r="S19" s="43"/>
      <c r="T19" s="100"/>
    </row>
    <row r="20" spans="2:20" ht="12" customHeight="1">
      <c r="B20" s="4"/>
      <c r="C20" s="41" t="s">
        <v>942</v>
      </c>
      <c r="D20" s="95"/>
      <c r="E20" s="95"/>
      <c r="F20" s="96"/>
      <c r="G20" s="68"/>
      <c r="H20" s="68"/>
      <c r="I20" s="68"/>
      <c r="J20" s="43"/>
      <c r="K20" s="38"/>
      <c r="L20" s="97"/>
      <c r="M20" s="907"/>
      <c r="N20" s="907"/>
      <c r="O20" s="43"/>
      <c r="P20" s="43"/>
      <c r="Q20" s="43"/>
      <c r="R20" s="99"/>
      <c r="S20" s="43"/>
      <c r="T20" s="100"/>
    </row>
    <row r="21" spans="2:20" ht="12" customHeight="1">
      <c r="B21" s="4"/>
      <c r="C21" s="41" t="s">
        <v>943</v>
      </c>
      <c r="D21" s="95"/>
      <c r="E21" s="95"/>
      <c r="F21" s="96"/>
      <c r="G21" s="68"/>
      <c r="H21" s="68"/>
      <c r="I21" s="68"/>
      <c r="J21" s="43"/>
      <c r="K21" s="38"/>
      <c r="L21" s="97"/>
      <c r="M21" s="907"/>
      <c r="N21" s="907"/>
      <c r="O21" s="43"/>
      <c r="P21" s="43"/>
      <c r="Q21" s="43"/>
      <c r="R21" s="99"/>
      <c r="S21" s="43"/>
      <c r="T21" s="100"/>
    </row>
    <row r="22" spans="2:20" ht="12" customHeight="1">
      <c r="B22" s="4"/>
      <c r="C22" s="41" t="s">
        <v>944</v>
      </c>
      <c r="D22" s="95"/>
      <c r="E22" s="95"/>
      <c r="F22" s="96"/>
      <c r="G22" s="68"/>
      <c r="H22" s="68"/>
      <c r="I22" s="68"/>
      <c r="J22" s="43"/>
      <c r="K22" s="38"/>
      <c r="L22" s="97"/>
      <c r="M22" s="907"/>
      <c r="N22" s="907"/>
      <c r="O22" s="43"/>
      <c r="P22" s="43"/>
      <c r="Q22" s="43"/>
      <c r="R22" s="99"/>
      <c r="S22" s="43"/>
      <c r="T22" s="100"/>
    </row>
    <row r="23" spans="2:20" ht="12" customHeight="1">
      <c r="B23" s="4"/>
      <c r="C23" s="41" t="s">
        <v>945</v>
      </c>
      <c r="D23" s="95"/>
      <c r="E23" s="95"/>
      <c r="F23" s="96"/>
      <c r="G23" s="68"/>
      <c r="H23" s="68"/>
      <c r="I23" s="68"/>
      <c r="J23" s="43"/>
      <c r="K23" s="38"/>
      <c r="L23" s="97"/>
      <c r="M23" s="907"/>
      <c r="N23" s="907"/>
      <c r="O23" s="43"/>
      <c r="P23" s="43"/>
      <c r="Q23" s="43"/>
      <c r="R23" s="99"/>
      <c r="S23" s="43"/>
      <c r="T23" s="100"/>
    </row>
    <row r="24" spans="2:20" ht="12" customHeight="1">
      <c r="B24" s="4"/>
      <c r="C24" s="41" t="s">
        <v>946</v>
      </c>
      <c r="D24" s="95"/>
      <c r="E24" s="95"/>
      <c r="F24" s="96"/>
      <c r="G24" s="68"/>
      <c r="H24" s="68"/>
      <c r="I24" s="68"/>
      <c r="J24" s="43"/>
      <c r="K24" s="38"/>
      <c r="L24" s="97"/>
      <c r="M24" s="907"/>
      <c r="N24" s="907"/>
      <c r="O24" s="43"/>
      <c r="P24" s="43"/>
      <c r="Q24" s="43"/>
      <c r="R24" s="99"/>
      <c r="S24" s="43"/>
      <c r="T24" s="100"/>
    </row>
    <row r="25" spans="2:20" ht="12" customHeight="1">
      <c r="B25" s="4"/>
      <c r="C25" s="41" t="s">
        <v>947</v>
      </c>
      <c r="D25" s="95"/>
      <c r="E25" s="95"/>
      <c r="F25" s="96"/>
      <c r="G25" s="68"/>
      <c r="H25" s="68"/>
      <c r="I25" s="68"/>
      <c r="J25" s="43"/>
      <c r="K25" s="38"/>
      <c r="L25" s="97"/>
      <c r="M25" s="907"/>
      <c r="N25" s="907"/>
      <c r="O25" s="43"/>
      <c r="P25" s="43"/>
      <c r="Q25" s="43"/>
      <c r="R25" s="99"/>
      <c r="S25" s="43"/>
      <c r="T25" s="100"/>
    </row>
    <row r="26" spans="2:20" ht="12" customHeight="1">
      <c r="B26" s="4"/>
      <c r="C26" s="41" t="s">
        <v>948</v>
      </c>
      <c r="D26" s="95"/>
      <c r="E26" s="95"/>
      <c r="F26" s="96"/>
      <c r="G26" s="68"/>
      <c r="H26" s="68"/>
      <c r="I26" s="68"/>
      <c r="J26" s="43"/>
      <c r="K26" s="38"/>
      <c r="L26" s="97"/>
      <c r="M26" s="907"/>
      <c r="N26" s="907"/>
      <c r="O26" s="43"/>
      <c r="P26" s="43"/>
      <c r="Q26" s="43"/>
      <c r="R26" s="99"/>
      <c r="S26" s="43"/>
      <c r="T26" s="100"/>
    </row>
    <row r="27" spans="2:20" ht="12" customHeight="1">
      <c r="B27" s="4"/>
      <c r="C27" s="41" t="s">
        <v>949</v>
      </c>
      <c r="D27" s="95"/>
      <c r="E27" s="95"/>
      <c r="F27" s="96"/>
      <c r="G27" s="68"/>
      <c r="H27" s="68"/>
      <c r="I27" s="68"/>
      <c r="J27" s="43"/>
      <c r="K27" s="38"/>
      <c r="L27" s="97"/>
      <c r="M27" s="907"/>
      <c r="N27" s="907"/>
      <c r="O27" s="43"/>
      <c r="P27" s="43"/>
      <c r="Q27" s="43"/>
      <c r="R27" s="99"/>
      <c r="S27" s="43"/>
      <c r="T27" s="100"/>
    </row>
    <row r="28" spans="2:20" ht="12" customHeight="1">
      <c r="B28" s="4"/>
      <c r="C28" s="41" t="s">
        <v>950</v>
      </c>
      <c r="D28" s="95"/>
      <c r="E28" s="95"/>
      <c r="F28" s="96"/>
      <c r="G28" s="68"/>
      <c r="H28" s="68"/>
      <c r="I28" s="68"/>
      <c r="J28" s="43"/>
      <c r="K28" s="38"/>
      <c r="L28" s="97"/>
      <c r="M28" s="907"/>
      <c r="N28" s="907"/>
      <c r="O28" s="43"/>
      <c r="P28" s="43"/>
      <c r="Q28" s="43"/>
      <c r="R28" s="99"/>
      <c r="S28" s="43"/>
      <c r="T28" s="100"/>
    </row>
    <row r="29" spans="2:20" ht="12" customHeight="1">
      <c r="B29" s="4"/>
      <c r="C29" s="41" t="s">
        <v>951</v>
      </c>
      <c r="D29" s="95"/>
      <c r="E29" s="95"/>
      <c r="F29" s="96"/>
      <c r="G29" s="68"/>
      <c r="H29" s="68"/>
      <c r="I29" s="68"/>
      <c r="J29" s="43"/>
      <c r="K29" s="38"/>
      <c r="L29" s="97"/>
      <c r="M29" s="907"/>
      <c r="N29" s="907"/>
      <c r="O29" s="43"/>
      <c r="P29" s="43"/>
      <c r="Q29" s="43"/>
      <c r="R29" s="99"/>
      <c r="S29" s="43"/>
      <c r="T29" s="100"/>
    </row>
    <row r="30" spans="2:20" ht="12" customHeight="1">
      <c r="B30" s="4"/>
      <c r="C30" s="41" t="s">
        <v>952</v>
      </c>
      <c r="D30" s="95"/>
      <c r="E30" s="95"/>
      <c r="F30" s="96"/>
      <c r="G30" s="68"/>
      <c r="H30" s="68"/>
      <c r="I30" s="68"/>
      <c r="J30" s="43"/>
      <c r="K30" s="38"/>
      <c r="L30" s="97"/>
      <c r="M30" s="907"/>
      <c r="N30" s="907"/>
      <c r="O30" s="43"/>
      <c r="P30" s="43"/>
      <c r="Q30" s="43"/>
      <c r="R30" s="99"/>
      <c r="S30" s="43"/>
      <c r="T30" s="100"/>
    </row>
    <row r="31" spans="2:20" ht="12" customHeight="1">
      <c r="B31" s="4"/>
      <c r="C31" s="41" t="s">
        <v>953</v>
      </c>
      <c r="D31" s="95"/>
      <c r="E31" s="95"/>
      <c r="F31" s="96"/>
      <c r="G31" s="68"/>
      <c r="H31" s="68"/>
      <c r="I31" s="68"/>
      <c r="J31" s="43"/>
      <c r="K31" s="38"/>
      <c r="L31" s="97"/>
      <c r="M31" s="907"/>
      <c r="N31" s="907"/>
      <c r="O31" s="43"/>
      <c r="P31" s="43"/>
      <c r="Q31" s="43"/>
      <c r="R31" s="99"/>
      <c r="S31" s="43"/>
      <c r="T31" s="100"/>
    </row>
    <row r="32" spans="2:20" ht="12" customHeight="1">
      <c r="B32" s="4"/>
      <c r="C32" s="41" t="s">
        <v>954</v>
      </c>
      <c r="D32" s="95"/>
      <c r="E32" s="95"/>
      <c r="F32" s="96"/>
      <c r="G32" s="68"/>
      <c r="H32" s="68"/>
      <c r="I32" s="68"/>
      <c r="J32" s="43"/>
      <c r="K32" s="38"/>
      <c r="L32" s="97"/>
      <c r="M32" s="907"/>
      <c r="N32" s="907"/>
      <c r="O32" s="43"/>
      <c r="P32" s="43"/>
      <c r="Q32" s="43"/>
      <c r="R32" s="99"/>
      <c r="S32" s="43"/>
      <c r="T32" s="100"/>
    </row>
    <row r="33" spans="2:20" ht="12" customHeight="1">
      <c r="B33" s="4"/>
      <c r="C33" s="41" t="s">
        <v>955</v>
      </c>
      <c r="D33" s="95"/>
      <c r="E33" s="95"/>
      <c r="F33" s="96"/>
      <c r="G33" s="68"/>
      <c r="H33" s="68"/>
      <c r="I33" s="68"/>
      <c r="J33" s="43"/>
      <c r="K33" s="38"/>
      <c r="L33" s="97"/>
      <c r="M33" s="907"/>
      <c r="N33" s="907"/>
      <c r="O33" s="43"/>
      <c r="P33" s="43"/>
      <c r="Q33" s="43"/>
      <c r="R33" s="99"/>
      <c r="S33" s="43"/>
      <c r="T33" s="100"/>
    </row>
    <row r="34" spans="2:20" ht="12" customHeight="1">
      <c r="B34" s="4"/>
      <c r="C34" s="41" t="s">
        <v>956</v>
      </c>
      <c r="D34" s="95"/>
      <c r="E34" s="95"/>
      <c r="F34" s="96"/>
      <c r="G34" s="68"/>
      <c r="H34" s="68"/>
      <c r="I34" s="68"/>
      <c r="J34" s="43"/>
      <c r="K34" s="38"/>
      <c r="L34" s="97"/>
      <c r="M34" s="98"/>
      <c r="N34" s="98"/>
      <c r="O34" s="43"/>
      <c r="P34" s="43"/>
      <c r="Q34" s="43"/>
      <c r="R34" s="99"/>
      <c r="S34" s="43"/>
      <c r="T34" s="100"/>
    </row>
    <row r="35" spans="2:20" ht="12" customHeight="1">
      <c r="B35" s="4"/>
      <c r="C35" s="41" t="s">
        <v>957</v>
      </c>
      <c r="D35" s="95"/>
      <c r="E35" s="95"/>
      <c r="F35" s="96"/>
      <c r="G35" s="68"/>
      <c r="H35" s="68"/>
      <c r="I35" s="68"/>
      <c r="J35" s="43"/>
      <c r="K35" s="38"/>
      <c r="L35" s="97"/>
      <c r="M35" s="98"/>
      <c r="N35" s="98"/>
      <c r="O35" s="43"/>
      <c r="P35" s="43"/>
      <c r="Q35" s="43"/>
      <c r="R35" s="99"/>
      <c r="S35" s="43"/>
      <c r="T35" s="100"/>
    </row>
    <row r="36" spans="2:20" ht="12" customHeight="1">
      <c r="B36" s="4"/>
      <c r="C36" s="41" t="s">
        <v>958</v>
      </c>
      <c r="D36" s="95"/>
      <c r="E36" s="95"/>
      <c r="F36" s="96"/>
      <c r="G36" s="68"/>
      <c r="H36" s="68"/>
      <c r="I36" s="68"/>
      <c r="J36" s="43"/>
      <c r="K36" s="38"/>
      <c r="L36" s="97"/>
      <c r="M36" s="98"/>
      <c r="N36" s="98"/>
      <c r="O36" s="43"/>
      <c r="P36" s="43"/>
      <c r="Q36" s="43"/>
      <c r="R36" s="99"/>
      <c r="S36" s="43"/>
      <c r="T36" s="100"/>
    </row>
    <row r="37" spans="2:20" ht="12" customHeight="1">
      <c r="B37" s="4"/>
      <c r="C37" s="41" t="s">
        <v>959</v>
      </c>
      <c r="D37" s="95"/>
      <c r="E37" s="95"/>
      <c r="F37" s="96"/>
      <c r="G37" s="68"/>
      <c r="H37" s="68"/>
      <c r="I37" s="68"/>
      <c r="J37" s="43"/>
      <c r="K37" s="38"/>
      <c r="L37" s="97"/>
      <c r="M37" s="98"/>
      <c r="N37" s="98"/>
      <c r="O37" s="43"/>
      <c r="P37" s="43"/>
      <c r="Q37" s="43"/>
      <c r="R37" s="99"/>
      <c r="S37" s="43"/>
      <c r="T37" s="100"/>
    </row>
    <row r="38" spans="2:20" ht="12" customHeight="1">
      <c r="B38" s="4"/>
      <c r="C38" s="41" t="s">
        <v>960</v>
      </c>
      <c r="D38" s="95"/>
      <c r="E38" s="95"/>
      <c r="F38" s="96"/>
      <c r="G38" s="68"/>
      <c r="H38" s="68"/>
      <c r="I38" s="68"/>
      <c r="J38" s="43"/>
      <c r="K38" s="38"/>
      <c r="L38" s="97"/>
      <c r="M38" s="98"/>
      <c r="N38" s="98"/>
      <c r="O38" s="43"/>
      <c r="P38" s="43"/>
      <c r="Q38" s="43"/>
      <c r="R38" s="99"/>
      <c r="S38" s="43"/>
      <c r="T38" s="100"/>
    </row>
    <row r="39" spans="2:20" ht="12" customHeight="1">
      <c r="B39" s="4"/>
      <c r="C39" s="41" t="s">
        <v>961</v>
      </c>
      <c r="D39" s="95"/>
      <c r="E39" s="95"/>
      <c r="F39" s="96"/>
      <c r="G39" s="68"/>
      <c r="H39" s="68"/>
      <c r="I39" s="68"/>
      <c r="J39" s="43"/>
      <c r="K39" s="38"/>
      <c r="L39" s="97"/>
      <c r="M39" s="98"/>
      <c r="N39" s="98"/>
      <c r="O39" s="43"/>
      <c r="P39" s="43"/>
      <c r="Q39" s="43"/>
      <c r="R39" s="99"/>
      <c r="S39" s="43"/>
      <c r="T39" s="100"/>
    </row>
    <row r="40" spans="2:20" ht="12" customHeight="1">
      <c r="B40" s="4"/>
      <c r="C40" s="41" t="s">
        <v>962</v>
      </c>
      <c r="D40" s="95"/>
      <c r="E40" s="95"/>
      <c r="F40" s="96"/>
      <c r="G40" s="68"/>
      <c r="H40" s="68"/>
      <c r="I40" s="68"/>
      <c r="J40" s="43"/>
      <c r="K40" s="38"/>
      <c r="L40" s="97"/>
      <c r="M40" s="98"/>
      <c r="N40" s="98"/>
      <c r="O40" s="43"/>
      <c r="P40" s="43"/>
      <c r="Q40" s="43"/>
      <c r="R40" s="99"/>
      <c r="S40" s="43"/>
      <c r="T40" s="100"/>
    </row>
    <row r="41" spans="2:20" ht="12" customHeight="1">
      <c r="B41" s="4"/>
      <c r="C41" s="41" t="s">
        <v>963</v>
      </c>
      <c r="D41" s="95"/>
      <c r="E41" s="95"/>
      <c r="F41" s="96"/>
      <c r="G41" s="68"/>
      <c r="H41" s="68"/>
      <c r="I41" s="68"/>
      <c r="J41" s="43"/>
      <c r="K41" s="38"/>
      <c r="L41" s="97"/>
      <c r="M41" s="98"/>
      <c r="N41" s="98"/>
      <c r="O41" s="43"/>
      <c r="P41" s="43"/>
      <c r="Q41" s="43"/>
      <c r="R41" s="99"/>
      <c r="S41" s="43"/>
      <c r="T41" s="100"/>
    </row>
    <row r="42" spans="2:20" ht="12" customHeight="1">
      <c r="B42" s="4"/>
      <c r="C42" s="41" t="s">
        <v>964</v>
      </c>
      <c r="D42" s="95"/>
      <c r="E42" s="95"/>
      <c r="F42" s="96"/>
      <c r="G42" s="68"/>
      <c r="H42" s="68"/>
      <c r="I42" s="68"/>
      <c r="J42" s="43"/>
      <c r="K42" s="38"/>
      <c r="L42" s="97"/>
      <c r="M42" s="98"/>
      <c r="N42" s="98"/>
      <c r="O42" s="43"/>
      <c r="P42" s="43"/>
      <c r="Q42" s="43"/>
      <c r="R42" s="99"/>
      <c r="S42" s="43"/>
      <c r="T42" s="100"/>
    </row>
    <row r="43" spans="2:20" ht="12" customHeight="1">
      <c r="B43" s="4"/>
      <c r="C43" s="41" t="s">
        <v>965</v>
      </c>
      <c r="D43" s="95"/>
      <c r="E43" s="95"/>
      <c r="F43" s="96"/>
      <c r="G43" s="68"/>
      <c r="H43" s="68"/>
      <c r="I43" s="68"/>
      <c r="J43" s="43"/>
      <c r="K43" s="38"/>
      <c r="L43" s="97"/>
      <c r="M43" s="98"/>
      <c r="N43" s="98"/>
      <c r="O43" s="43"/>
      <c r="P43" s="43"/>
      <c r="Q43" s="43"/>
      <c r="R43" s="99"/>
      <c r="S43" s="43"/>
      <c r="T43" s="100"/>
    </row>
    <row r="44" spans="2:20" ht="12" customHeight="1">
      <c r="B44" s="4"/>
      <c r="C44" s="41" t="s">
        <v>966</v>
      </c>
      <c r="D44" s="95"/>
      <c r="E44" s="95"/>
      <c r="F44" s="96"/>
      <c r="G44" s="68"/>
      <c r="H44" s="68"/>
      <c r="I44" s="68"/>
      <c r="J44" s="43"/>
      <c r="K44" s="38"/>
      <c r="L44" s="97"/>
      <c r="M44" s="98"/>
      <c r="N44" s="98"/>
      <c r="O44" s="43"/>
      <c r="P44" s="43"/>
      <c r="Q44" s="43"/>
      <c r="R44" s="99"/>
      <c r="S44" s="43"/>
      <c r="T44" s="100"/>
    </row>
    <row r="45" spans="2:20" ht="12" customHeight="1">
      <c r="B45" s="4"/>
      <c r="C45" s="41" t="s">
        <v>967</v>
      </c>
      <c r="D45" s="95"/>
      <c r="E45" s="95"/>
      <c r="F45" s="96"/>
      <c r="G45" s="68"/>
      <c r="H45" s="68"/>
      <c r="I45" s="68"/>
      <c r="J45" s="43"/>
      <c r="K45" s="38"/>
      <c r="L45" s="97"/>
      <c r="M45" s="98"/>
      <c r="N45" s="98"/>
      <c r="O45" s="43"/>
      <c r="P45" s="43"/>
      <c r="Q45" s="43"/>
      <c r="R45" s="99"/>
      <c r="S45" s="43"/>
      <c r="T45" s="100"/>
    </row>
    <row r="46" spans="2:20" ht="12" customHeight="1">
      <c r="B46" s="4"/>
      <c r="C46" s="41" t="s">
        <v>968</v>
      </c>
      <c r="D46" s="95"/>
      <c r="E46" s="95"/>
      <c r="F46" s="96"/>
      <c r="G46" s="68"/>
      <c r="H46" s="68"/>
      <c r="I46" s="68"/>
      <c r="J46" s="43"/>
      <c r="K46" s="38"/>
      <c r="L46" s="97"/>
      <c r="M46" s="98"/>
      <c r="N46" s="98"/>
      <c r="O46" s="43"/>
      <c r="P46" s="43"/>
      <c r="Q46" s="43"/>
      <c r="R46" s="99"/>
      <c r="S46" s="43"/>
      <c r="T46" s="100"/>
    </row>
    <row r="47" spans="2:20" ht="12" customHeight="1">
      <c r="B47" s="4"/>
      <c r="C47" s="41" t="s">
        <v>969</v>
      </c>
      <c r="D47" s="95"/>
      <c r="E47" s="95"/>
      <c r="F47" s="96"/>
      <c r="G47" s="68"/>
      <c r="H47" s="68"/>
      <c r="I47" s="68"/>
      <c r="J47" s="43"/>
      <c r="K47" s="38"/>
      <c r="L47" s="97"/>
      <c r="M47" s="98"/>
      <c r="N47" s="98"/>
      <c r="O47" s="43"/>
      <c r="P47" s="43"/>
      <c r="Q47" s="43"/>
      <c r="R47" s="99"/>
      <c r="S47" s="43"/>
      <c r="T47" s="100"/>
    </row>
    <row r="48" spans="2:20" ht="12" customHeight="1">
      <c r="B48" s="4"/>
      <c r="C48" s="41" t="s">
        <v>970</v>
      </c>
      <c r="D48" s="95"/>
      <c r="E48" s="95"/>
      <c r="F48" s="96"/>
      <c r="G48" s="68"/>
      <c r="H48" s="68"/>
      <c r="I48" s="68"/>
      <c r="J48" s="43"/>
      <c r="K48" s="38"/>
      <c r="L48" s="97"/>
      <c r="M48" s="98"/>
      <c r="N48" s="98"/>
      <c r="O48" s="43"/>
      <c r="P48" s="43"/>
      <c r="Q48" s="43"/>
      <c r="R48" s="99"/>
      <c r="S48" s="43"/>
      <c r="T48" s="100"/>
    </row>
    <row r="49" spans="2:20" ht="12" customHeight="1">
      <c r="B49" s="4"/>
      <c r="C49" s="41" t="s">
        <v>971</v>
      </c>
      <c r="D49" s="95"/>
      <c r="E49" s="95"/>
      <c r="F49" s="96"/>
      <c r="G49" s="68"/>
      <c r="H49" s="68"/>
      <c r="I49" s="68"/>
      <c r="J49" s="43"/>
      <c r="K49" s="38"/>
      <c r="L49" s="97"/>
      <c r="M49" s="98"/>
      <c r="N49" s="98"/>
      <c r="O49" s="43"/>
      <c r="P49" s="43"/>
      <c r="Q49" s="43"/>
      <c r="R49" s="99"/>
      <c r="S49" s="43"/>
      <c r="T49" s="100"/>
    </row>
    <row r="50" spans="2:20" ht="12" customHeight="1">
      <c r="B50" s="4"/>
      <c r="C50" s="41" t="s">
        <v>972</v>
      </c>
      <c r="D50" s="95"/>
      <c r="E50" s="95"/>
      <c r="F50" s="96"/>
      <c r="G50" s="68"/>
      <c r="H50" s="68"/>
      <c r="I50" s="68"/>
      <c r="J50" s="43"/>
      <c r="K50" s="38"/>
      <c r="L50" s="97"/>
      <c r="M50" s="98"/>
      <c r="N50" s="98"/>
      <c r="O50" s="43"/>
      <c r="P50" s="43"/>
      <c r="Q50" s="43"/>
      <c r="R50" s="99"/>
      <c r="S50" s="43"/>
      <c r="T50" s="100"/>
    </row>
    <row r="51" spans="2:20" ht="12" customHeight="1">
      <c r="B51" s="4"/>
      <c r="C51" s="41" t="s">
        <v>973</v>
      </c>
      <c r="D51" s="95"/>
      <c r="E51" s="95"/>
      <c r="F51" s="96"/>
      <c r="G51" s="68"/>
      <c r="H51" s="68"/>
      <c r="I51" s="68"/>
      <c r="J51" s="43"/>
      <c r="K51" s="38"/>
      <c r="L51" s="97"/>
      <c r="M51" s="98"/>
      <c r="N51" s="98"/>
      <c r="O51" s="43"/>
      <c r="P51" s="43"/>
      <c r="Q51" s="43"/>
      <c r="R51" s="99"/>
      <c r="S51" s="43"/>
      <c r="T51" s="100"/>
    </row>
    <row r="52" spans="2:20" ht="12" customHeight="1">
      <c r="B52" s="4"/>
      <c r="C52" s="41" t="s">
        <v>974</v>
      </c>
      <c r="D52" s="95"/>
      <c r="E52" s="95"/>
      <c r="F52" s="96"/>
      <c r="G52" s="68"/>
      <c r="H52" s="68"/>
      <c r="I52" s="68"/>
      <c r="J52" s="43"/>
      <c r="K52" s="38"/>
      <c r="L52" s="97"/>
      <c r="M52" s="98"/>
      <c r="N52" s="98"/>
      <c r="O52" s="43"/>
      <c r="P52" s="43"/>
      <c r="Q52" s="43"/>
      <c r="R52" s="99"/>
      <c r="S52" s="43"/>
      <c r="T52" s="100"/>
    </row>
    <row r="53" spans="2:20" ht="12" customHeight="1">
      <c r="B53" s="4"/>
      <c r="C53" s="41" t="s">
        <v>975</v>
      </c>
      <c r="D53" s="95"/>
      <c r="E53" s="95"/>
      <c r="F53" s="96"/>
      <c r="G53" s="68"/>
      <c r="H53" s="68"/>
      <c r="I53" s="68"/>
      <c r="J53" s="43"/>
      <c r="K53" s="38"/>
      <c r="L53" s="97"/>
      <c r="M53" s="98"/>
      <c r="N53" s="98"/>
      <c r="O53" s="43"/>
      <c r="P53" s="43"/>
      <c r="Q53" s="43"/>
      <c r="R53" s="99"/>
      <c r="S53" s="43"/>
      <c r="T53" s="100"/>
    </row>
    <row r="54" spans="2:20" ht="12" customHeight="1">
      <c r="B54" s="4"/>
      <c r="C54" s="41" t="s">
        <v>976</v>
      </c>
      <c r="D54" s="95"/>
      <c r="E54" s="95"/>
      <c r="F54" s="96"/>
      <c r="G54" s="68"/>
      <c r="H54" s="68"/>
      <c r="I54" s="68"/>
      <c r="J54" s="43"/>
      <c r="K54" s="38"/>
      <c r="L54" s="97"/>
      <c r="M54" s="98"/>
      <c r="N54" s="98"/>
      <c r="O54" s="43"/>
      <c r="P54" s="43"/>
      <c r="Q54" s="43"/>
      <c r="R54" s="99"/>
      <c r="S54" s="43"/>
      <c r="T54" s="100"/>
    </row>
    <row r="55" spans="2:20" ht="12" customHeight="1">
      <c r="B55" s="4"/>
      <c r="C55" s="41" t="s">
        <v>977</v>
      </c>
      <c r="D55" s="95"/>
      <c r="E55" s="95"/>
      <c r="F55" s="96"/>
      <c r="G55" s="68"/>
      <c r="H55" s="68"/>
      <c r="I55" s="68"/>
      <c r="J55" s="43"/>
      <c r="K55" s="38"/>
      <c r="L55" s="97"/>
      <c r="M55" s="98"/>
      <c r="N55" s="98"/>
      <c r="O55" s="43"/>
      <c r="P55" s="43"/>
      <c r="Q55" s="43"/>
      <c r="R55" s="99"/>
      <c r="S55" s="43"/>
      <c r="T55" s="100"/>
    </row>
    <row r="56" spans="2:20" ht="12" customHeight="1">
      <c r="B56" s="4"/>
      <c r="C56" s="41" t="s">
        <v>978</v>
      </c>
      <c r="D56" s="95"/>
      <c r="E56" s="95"/>
      <c r="F56" s="96"/>
      <c r="G56" s="68"/>
      <c r="H56" s="68"/>
      <c r="I56" s="68"/>
      <c r="J56" s="43"/>
      <c r="K56" s="38"/>
      <c r="L56" s="97"/>
      <c r="M56" s="98"/>
      <c r="N56" s="98"/>
      <c r="O56" s="43"/>
      <c r="P56" s="43"/>
      <c r="Q56" s="43"/>
      <c r="R56" s="99"/>
      <c r="S56" s="43"/>
      <c r="T56" s="100"/>
    </row>
    <row r="57" spans="2:20" ht="12" customHeight="1">
      <c r="B57" s="4"/>
      <c r="C57" s="41" t="s">
        <v>979</v>
      </c>
      <c r="D57" s="95"/>
      <c r="E57" s="95"/>
      <c r="F57" s="96"/>
      <c r="G57" s="68"/>
      <c r="H57" s="68"/>
      <c r="I57" s="68"/>
      <c r="J57" s="43"/>
      <c r="K57" s="38"/>
      <c r="L57" s="97"/>
      <c r="M57" s="98"/>
      <c r="N57" s="98"/>
      <c r="O57" s="43"/>
      <c r="P57" s="43"/>
      <c r="Q57" s="43"/>
      <c r="R57" s="99"/>
      <c r="S57" s="43"/>
      <c r="T57" s="100"/>
    </row>
    <row r="58" spans="2:20" ht="12" customHeight="1">
      <c r="B58" s="4"/>
      <c r="C58" s="41" t="s">
        <v>980</v>
      </c>
      <c r="D58" s="95"/>
      <c r="E58" s="95"/>
      <c r="F58" s="96"/>
      <c r="G58" s="68"/>
      <c r="H58" s="68"/>
      <c r="I58" s="68"/>
      <c r="J58" s="43"/>
      <c r="K58" s="38"/>
      <c r="L58" s="97"/>
      <c r="M58" s="98"/>
      <c r="N58" s="98"/>
      <c r="O58" s="43"/>
      <c r="P58" s="43"/>
      <c r="Q58" s="43"/>
      <c r="R58" s="99"/>
      <c r="S58" s="43"/>
      <c r="T58" s="100"/>
    </row>
    <row r="59" spans="2:20" ht="12" customHeight="1">
      <c r="B59" s="4"/>
      <c r="C59" s="41" t="s">
        <v>981</v>
      </c>
      <c r="D59" s="95"/>
      <c r="E59" s="95"/>
      <c r="F59" s="96"/>
      <c r="G59" s="68"/>
      <c r="H59" s="68"/>
      <c r="I59" s="68"/>
      <c r="J59" s="43"/>
      <c r="K59" s="38"/>
      <c r="L59" s="97"/>
      <c r="M59" s="98"/>
      <c r="N59" s="98"/>
      <c r="O59" s="43"/>
      <c r="P59" s="43"/>
      <c r="Q59" s="43"/>
      <c r="R59" s="99"/>
      <c r="S59" s="43"/>
      <c r="T59" s="100"/>
    </row>
    <row r="60" spans="2:20" ht="12" customHeight="1">
      <c r="B60" s="4"/>
      <c r="C60" s="41" t="s">
        <v>982</v>
      </c>
      <c r="D60" s="95"/>
      <c r="E60" s="95"/>
      <c r="F60" s="96"/>
      <c r="G60" s="68"/>
      <c r="H60" s="68"/>
      <c r="I60" s="68"/>
      <c r="J60" s="43"/>
      <c r="K60" s="38"/>
      <c r="L60" s="97"/>
      <c r="M60" s="98"/>
      <c r="N60" s="98"/>
      <c r="O60" s="43"/>
      <c r="P60" s="43"/>
      <c r="Q60" s="43"/>
      <c r="R60" s="99"/>
      <c r="S60" s="43"/>
      <c r="T60" s="100"/>
    </row>
    <row r="61" spans="2:20" ht="12" customHeight="1">
      <c r="B61" s="4"/>
      <c r="C61" s="41" t="s">
        <v>983</v>
      </c>
      <c r="D61" s="95"/>
      <c r="E61" s="95"/>
      <c r="F61" s="96"/>
      <c r="G61" s="68"/>
      <c r="H61" s="68"/>
      <c r="I61" s="68"/>
      <c r="J61" s="43"/>
      <c r="K61" s="38"/>
      <c r="L61" s="97"/>
      <c r="M61" s="98"/>
      <c r="N61" s="98"/>
      <c r="O61" s="43"/>
      <c r="P61" s="43"/>
      <c r="Q61" s="43"/>
      <c r="R61" s="99"/>
      <c r="S61" s="43"/>
      <c r="T61" s="100"/>
    </row>
    <row r="62" spans="2:20" ht="12" customHeight="1">
      <c r="B62" s="4"/>
      <c r="C62" s="41" t="s">
        <v>984</v>
      </c>
      <c r="D62" s="95"/>
      <c r="E62" s="95"/>
      <c r="F62" s="96"/>
      <c r="G62" s="68"/>
      <c r="H62" s="68"/>
      <c r="I62" s="68"/>
      <c r="J62" s="43"/>
      <c r="K62" s="38"/>
      <c r="L62" s="97"/>
      <c r="M62" s="98"/>
      <c r="N62" s="98"/>
      <c r="O62" s="43"/>
      <c r="P62" s="43"/>
      <c r="Q62" s="43"/>
      <c r="R62" s="99"/>
      <c r="S62" s="43"/>
      <c r="T62" s="100"/>
    </row>
    <row r="63" spans="2:20" ht="12" customHeight="1">
      <c r="B63" s="4"/>
      <c r="C63" s="41" t="s">
        <v>985</v>
      </c>
      <c r="D63" s="95"/>
      <c r="E63" s="95"/>
      <c r="F63" s="96"/>
      <c r="G63" s="68"/>
      <c r="H63" s="68"/>
      <c r="I63" s="68"/>
      <c r="J63" s="43"/>
      <c r="K63" s="38"/>
      <c r="L63" s="97"/>
      <c r="M63" s="98"/>
      <c r="N63" s="98"/>
      <c r="O63" s="43"/>
      <c r="P63" s="43"/>
      <c r="Q63" s="43"/>
      <c r="R63" s="99"/>
      <c r="S63" s="43"/>
      <c r="T63" s="100"/>
    </row>
    <row r="64" spans="2:20" ht="12" customHeight="1">
      <c r="B64" s="4"/>
      <c r="C64" s="41" t="s">
        <v>986</v>
      </c>
      <c r="D64" s="95"/>
      <c r="E64" s="95"/>
      <c r="F64" s="96"/>
      <c r="G64" s="68"/>
      <c r="H64" s="68"/>
      <c r="I64" s="68"/>
      <c r="J64" s="43"/>
      <c r="K64" s="38"/>
      <c r="L64" s="97"/>
      <c r="M64" s="98"/>
      <c r="N64" s="98"/>
      <c r="O64" s="43"/>
      <c r="P64" s="43"/>
      <c r="Q64" s="43"/>
      <c r="R64" s="99"/>
      <c r="S64" s="43"/>
      <c r="T64" s="100"/>
    </row>
    <row r="65" spans="2:20" ht="12" customHeight="1">
      <c r="B65" s="4"/>
      <c r="C65" s="41" t="s">
        <v>987</v>
      </c>
      <c r="D65" s="95"/>
      <c r="E65" s="95"/>
      <c r="F65" s="96"/>
      <c r="G65" s="68"/>
      <c r="H65" s="68"/>
      <c r="I65" s="68"/>
      <c r="J65" s="43"/>
      <c r="K65" s="38"/>
      <c r="L65" s="97"/>
      <c r="M65" s="98"/>
      <c r="N65" s="98"/>
      <c r="O65" s="43"/>
      <c r="P65" s="43"/>
      <c r="Q65" s="43"/>
      <c r="R65" s="99"/>
      <c r="S65" s="43"/>
      <c r="T65" s="100"/>
    </row>
    <row r="66" spans="2:20" ht="12" customHeight="1">
      <c r="B66" s="4"/>
      <c r="C66" s="41" t="s">
        <v>988</v>
      </c>
      <c r="D66" s="95"/>
      <c r="E66" s="95"/>
      <c r="F66" s="96"/>
      <c r="G66" s="68"/>
      <c r="H66" s="68"/>
      <c r="I66" s="68"/>
      <c r="J66" s="43"/>
      <c r="K66" s="38"/>
      <c r="L66" s="97"/>
      <c r="M66" s="98"/>
      <c r="N66" s="98"/>
      <c r="O66" s="43"/>
      <c r="P66" s="43"/>
      <c r="Q66" s="43"/>
      <c r="R66" s="99"/>
      <c r="S66" s="43"/>
      <c r="T66" s="100"/>
    </row>
    <row r="67" spans="2:20" ht="12" customHeight="1">
      <c r="B67" s="4"/>
      <c r="C67" s="41" t="s">
        <v>989</v>
      </c>
      <c r="D67" s="95"/>
      <c r="E67" s="95"/>
      <c r="F67" s="96"/>
      <c r="G67" s="68"/>
      <c r="H67" s="68"/>
      <c r="I67" s="68"/>
      <c r="J67" s="43"/>
      <c r="K67" s="38"/>
      <c r="L67" s="97"/>
      <c r="M67" s="98"/>
      <c r="N67" s="98"/>
      <c r="O67" s="43"/>
      <c r="P67" s="43"/>
      <c r="Q67" s="43"/>
      <c r="R67" s="99"/>
      <c r="S67" s="43"/>
      <c r="T67" s="100"/>
    </row>
    <row r="68" spans="2:20" ht="12" customHeight="1">
      <c r="B68" s="4"/>
      <c r="C68" s="41" t="s">
        <v>990</v>
      </c>
      <c r="D68" s="95"/>
      <c r="E68" s="95"/>
      <c r="F68" s="96"/>
      <c r="G68" s="68"/>
      <c r="H68" s="68"/>
      <c r="I68" s="68"/>
      <c r="J68" s="43"/>
      <c r="K68" s="38"/>
      <c r="L68" s="97"/>
      <c r="M68" s="98"/>
      <c r="N68" s="98"/>
      <c r="O68" s="43"/>
      <c r="P68" s="43"/>
      <c r="Q68" s="43"/>
      <c r="R68" s="99"/>
      <c r="S68" s="43"/>
      <c r="T68" s="100"/>
    </row>
    <row r="69" spans="2:20" ht="12" customHeight="1">
      <c r="B69" s="4"/>
      <c r="C69" s="41" t="s">
        <v>991</v>
      </c>
      <c r="D69" s="95"/>
      <c r="E69" s="95"/>
      <c r="F69" s="96"/>
      <c r="G69" s="68"/>
      <c r="H69" s="68"/>
      <c r="I69" s="68"/>
      <c r="J69" s="43"/>
      <c r="K69" s="38"/>
      <c r="L69" s="97"/>
      <c r="M69" s="98"/>
      <c r="N69" s="98"/>
      <c r="O69" s="43"/>
      <c r="P69" s="43"/>
      <c r="Q69" s="43"/>
      <c r="R69" s="99"/>
      <c r="S69" s="43"/>
      <c r="T69" s="100"/>
    </row>
    <row r="70" spans="2:20" ht="12" customHeight="1">
      <c r="B70" s="4"/>
      <c r="C70" s="41" t="s">
        <v>992</v>
      </c>
      <c r="D70" s="95"/>
      <c r="E70" s="95"/>
      <c r="F70" s="96"/>
      <c r="G70" s="68"/>
      <c r="H70" s="68"/>
      <c r="I70" s="68"/>
      <c r="J70" s="43"/>
      <c r="K70" s="38"/>
      <c r="L70" s="97"/>
      <c r="M70" s="98"/>
      <c r="N70" s="98"/>
      <c r="O70" s="43"/>
      <c r="P70" s="43"/>
      <c r="Q70" s="43"/>
      <c r="R70" s="99"/>
      <c r="S70" s="43"/>
      <c r="T70" s="100"/>
    </row>
    <row r="71" spans="2:20" ht="12" customHeight="1">
      <c r="B71" s="4"/>
      <c r="C71" s="41" t="s">
        <v>993</v>
      </c>
      <c r="D71" s="95"/>
      <c r="E71" s="95"/>
      <c r="F71" s="96"/>
      <c r="G71" s="68"/>
      <c r="H71" s="68"/>
      <c r="I71" s="68"/>
      <c r="J71" s="43"/>
      <c r="K71" s="38"/>
      <c r="L71" s="97"/>
      <c r="M71" s="98"/>
      <c r="N71" s="98"/>
      <c r="O71" s="43"/>
      <c r="P71" s="43"/>
      <c r="Q71" s="43"/>
      <c r="R71" s="99"/>
      <c r="S71" s="43"/>
      <c r="T71" s="100"/>
    </row>
    <row r="72" spans="2:20" ht="12" customHeight="1">
      <c r="B72" s="4"/>
      <c r="C72" s="41" t="s">
        <v>994</v>
      </c>
      <c r="D72" s="95"/>
      <c r="E72" s="95"/>
      <c r="F72" s="96"/>
      <c r="G72" s="68"/>
      <c r="H72" s="68"/>
      <c r="I72" s="68"/>
      <c r="J72" s="43"/>
      <c r="K72" s="38"/>
      <c r="L72" s="97"/>
      <c r="M72" s="98"/>
      <c r="N72" s="98"/>
      <c r="O72" s="43"/>
      <c r="P72" s="43"/>
      <c r="Q72" s="43"/>
      <c r="R72" s="99"/>
      <c r="S72" s="43"/>
      <c r="T72" s="100"/>
    </row>
    <row r="73" spans="2:20" ht="12" customHeight="1">
      <c r="B73" s="4"/>
      <c r="C73" s="41" t="s">
        <v>995</v>
      </c>
      <c r="D73" s="95"/>
      <c r="E73" s="95"/>
      <c r="F73" s="96"/>
      <c r="G73" s="68"/>
      <c r="H73" s="68"/>
      <c r="I73" s="68"/>
      <c r="J73" s="43"/>
      <c r="K73" s="38"/>
      <c r="L73" s="97"/>
      <c r="M73" s="98"/>
      <c r="N73" s="98"/>
      <c r="O73" s="43"/>
      <c r="P73" s="43"/>
      <c r="Q73" s="43"/>
      <c r="R73" s="99"/>
      <c r="S73" s="43"/>
      <c r="T73" s="100"/>
    </row>
    <row r="74" spans="2:20" ht="12" customHeight="1">
      <c r="B74" s="4"/>
      <c r="C74" s="41" t="s">
        <v>996</v>
      </c>
      <c r="D74" s="95"/>
      <c r="E74" s="95"/>
      <c r="F74" s="96"/>
      <c r="G74" s="68"/>
      <c r="H74" s="68"/>
      <c r="I74" s="68"/>
      <c r="J74" s="43"/>
      <c r="K74" s="38"/>
      <c r="L74" s="97"/>
      <c r="M74" s="98"/>
      <c r="N74" s="98"/>
      <c r="O74" s="43"/>
      <c r="P74" s="43"/>
      <c r="Q74" s="43"/>
      <c r="R74" s="99"/>
      <c r="S74" s="43"/>
      <c r="T74" s="100"/>
    </row>
    <row r="75" spans="2:20" ht="12" customHeight="1">
      <c r="B75" s="4"/>
      <c r="C75" s="41" t="s">
        <v>997</v>
      </c>
      <c r="D75" s="95"/>
      <c r="E75" s="95"/>
      <c r="F75" s="96"/>
      <c r="G75" s="68"/>
      <c r="H75" s="68"/>
      <c r="I75" s="68"/>
      <c r="J75" s="43"/>
      <c r="K75" s="38"/>
      <c r="L75" s="97"/>
      <c r="M75" s="98"/>
      <c r="N75" s="98"/>
      <c r="O75" s="43"/>
      <c r="P75" s="43"/>
      <c r="Q75" s="43"/>
      <c r="R75" s="99"/>
      <c r="S75" s="43"/>
      <c r="T75" s="100"/>
    </row>
    <row r="76" spans="2:20" ht="12" customHeight="1">
      <c r="B76" s="4"/>
      <c r="C76" s="41" t="s">
        <v>998</v>
      </c>
      <c r="D76" s="95"/>
      <c r="E76" s="95"/>
      <c r="F76" s="96"/>
      <c r="G76" s="68"/>
      <c r="H76" s="68"/>
      <c r="I76" s="68"/>
      <c r="J76" s="43"/>
      <c r="K76" s="38"/>
      <c r="L76" s="97"/>
      <c r="M76" s="98"/>
      <c r="N76" s="98"/>
      <c r="O76" s="43"/>
      <c r="P76" s="43"/>
      <c r="Q76" s="43"/>
      <c r="R76" s="99"/>
      <c r="S76" s="43"/>
      <c r="T76" s="100"/>
    </row>
    <row r="77" spans="2:20" ht="12" customHeight="1">
      <c r="B77" s="4"/>
      <c r="C77" s="41" t="s">
        <v>999</v>
      </c>
      <c r="D77" s="95"/>
      <c r="E77" s="95"/>
      <c r="F77" s="96"/>
      <c r="G77" s="68"/>
      <c r="H77" s="68"/>
      <c r="I77" s="68"/>
      <c r="J77" s="43"/>
      <c r="K77" s="38"/>
      <c r="L77" s="97"/>
      <c r="M77" s="98"/>
      <c r="N77" s="98"/>
      <c r="O77" s="43"/>
      <c r="P77" s="43"/>
      <c r="Q77" s="43"/>
      <c r="R77" s="99"/>
      <c r="S77" s="43"/>
      <c r="T77" s="100"/>
    </row>
    <row r="78" spans="2:20" ht="12" customHeight="1">
      <c r="B78" s="4"/>
      <c r="C78" s="41" t="s">
        <v>1000</v>
      </c>
      <c r="D78" s="95"/>
      <c r="E78" s="95"/>
      <c r="F78" s="96"/>
      <c r="G78" s="68"/>
      <c r="H78" s="68"/>
      <c r="I78" s="68"/>
      <c r="J78" s="43"/>
      <c r="K78" s="38"/>
      <c r="L78" s="97"/>
      <c r="M78" s="98"/>
      <c r="N78" s="98"/>
      <c r="O78" s="43"/>
      <c r="P78" s="43"/>
      <c r="Q78" s="43"/>
      <c r="R78" s="99"/>
      <c r="S78" s="43"/>
      <c r="T78" s="100"/>
    </row>
    <row r="79" spans="2:20" ht="12" customHeight="1">
      <c r="B79" s="4"/>
      <c r="C79" s="41" t="s">
        <v>1001</v>
      </c>
      <c r="D79" s="95"/>
      <c r="E79" s="95"/>
      <c r="F79" s="96"/>
      <c r="G79" s="68"/>
      <c r="H79" s="68"/>
      <c r="I79" s="68"/>
      <c r="J79" s="43"/>
      <c r="K79" s="38"/>
      <c r="L79" s="97"/>
      <c r="M79" s="98"/>
      <c r="N79" s="98"/>
      <c r="O79" s="43"/>
      <c r="P79" s="43"/>
      <c r="Q79" s="43"/>
      <c r="R79" s="99"/>
      <c r="S79" s="43"/>
      <c r="T79" s="100"/>
    </row>
    <row r="80" spans="2:20" ht="12" customHeight="1">
      <c r="B80" s="4"/>
      <c r="C80" s="41" t="s">
        <v>1002</v>
      </c>
      <c r="D80" s="95"/>
      <c r="E80" s="95"/>
      <c r="F80" s="96"/>
      <c r="G80" s="68"/>
      <c r="H80" s="68"/>
      <c r="I80" s="68"/>
      <c r="J80" s="43"/>
      <c r="K80" s="38"/>
      <c r="L80" s="97"/>
      <c r="M80" s="98"/>
      <c r="N80" s="98"/>
      <c r="O80" s="43"/>
      <c r="P80" s="43"/>
      <c r="Q80" s="43"/>
      <c r="R80" s="99"/>
      <c r="S80" s="43"/>
      <c r="T80" s="100"/>
    </row>
    <row r="81" spans="2:20" ht="12" customHeight="1">
      <c r="B81" s="4"/>
      <c r="C81" s="41" t="s">
        <v>1003</v>
      </c>
      <c r="D81" s="95"/>
      <c r="E81" s="95"/>
      <c r="F81" s="96"/>
      <c r="G81" s="68"/>
      <c r="H81" s="68"/>
      <c r="I81" s="68"/>
      <c r="J81" s="43"/>
      <c r="K81" s="38"/>
      <c r="L81" s="97"/>
      <c r="M81" s="98"/>
      <c r="N81" s="98"/>
      <c r="O81" s="43"/>
      <c r="P81" s="43"/>
      <c r="Q81" s="43"/>
      <c r="R81" s="99"/>
      <c r="S81" s="43"/>
      <c r="T81" s="100"/>
    </row>
    <row r="82" spans="2:20" ht="12" customHeight="1">
      <c r="B82" s="4"/>
      <c r="C82" s="41" t="s">
        <v>1004</v>
      </c>
      <c r="D82" s="95"/>
      <c r="E82" s="95"/>
      <c r="F82" s="96"/>
      <c r="G82" s="68"/>
      <c r="H82" s="68"/>
      <c r="I82" s="68"/>
      <c r="J82" s="43"/>
      <c r="K82" s="38"/>
      <c r="L82" s="97"/>
      <c r="M82" s="98"/>
      <c r="N82" s="98"/>
      <c r="O82" s="43"/>
      <c r="P82" s="43"/>
      <c r="Q82" s="43"/>
      <c r="R82" s="99"/>
      <c r="S82" s="43"/>
      <c r="T82" s="100"/>
    </row>
    <row r="83" spans="2:20" ht="12" customHeight="1">
      <c r="B83" s="4"/>
      <c r="C83" s="41" t="s">
        <v>1005</v>
      </c>
      <c r="D83" s="95"/>
      <c r="E83" s="95"/>
      <c r="F83" s="96"/>
      <c r="G83" s="68"/>
      <c r="H83" s="68"/>
      <c r="I83" s="68"/>
      <c r="J83" s="43"/>
      <c r="K83" s="38"/>
      <c r="L83" s="97"/>
      <c r="M83" s="98"/>
      <c r="N83" s="98"/>
      <c r="O83" s="43"/>
      <c r="P83" s="43"/>
      <c r="Q83" s="43"/>
      <c r="R83" s="99"/>
      <c r="S83" s="43"/>
      <c r="T83" s="100"/>
    </row>
    <row r="84" spans="2:20" ht="12" customHeight="1">
      <c r="B84" s="4"/>
      <c r="C84" s="41" t="s">
        <v>1006</v>
      </c>
      <c r="D84" s="95"/>
      <c r="E84" s="95"/>
      <c r="F84" s="96"/>
      <c r="G84" s="68"/>
      <c r="H84" s="68"/>
      <c r="I84" s="68"/>
      <c r="J84" s="43"/>
      <c r="K84" s="38"/>
      <c r="L84" s="97"/>
      <c r="M84" s="98"/>
      <c r="N84" s="98"/>
      <c r="O84" s="43"/>
      <c r="P84" s="43"/>
      <c r="Q84" s="43"/>
      <c r="R84" s="99"/>
      <c r="S84" s="43"/>
      <c r="T84" s="100"/>
    </row>
    <row r="85" spans="2:20" ht="12" customHeight="1">
      <c r="B85" s="4"/>
      <c r="C85" s="41" t="s">
        <v>1007</v>
      </c>
      <c r="D85" s="95"/>
      <c r="E85" s="95"/>
      <c r="F85" s="96"/>
      <c r="G85" s="68"/>
      <c r="H85" s="68"/>
      <c r="I85" s="68"/>
      <c r="J85" s="43"/>
      <c r="K85" s="38"/>
      <c r="L85" s="97"/>
      <c r="M85" s="98"/>
      <c r="N85" s="98"/>
      <c r="O85" s="43"/>
      <c r="P85" s="43"/>
      <c r="Q85" s="43"/>
      <c r="R85" s="99"/>
      <c r="S85" s="43"/>
      <c r="T85" s="100"/>
    </row>
    <row r="86" spans="2:20" ht="12" customHeight="1">
      <c r="B86" s="4"/>
      <c r="C86" s="41" t="s">
        <v>1008</v>
      </c>
      <c r="D86" s="95"/>
      <c r="E86" s="95"/>
      <c r="F86" s="96"/>
      <c r="G86" s="68"/>
      <c r="H86" s="68"/>
      <c r="I86" s="68"/>
      <c r="J86" s="43"/>
      <c r="K86" s="38"/>
      <c r="L86" s="97"/>
      <c r="M86" s="98"/>
      <c r="N86" s="98"/>
      <c r="O86" s="43"/>
      <c r="P86" s="43"/>
      <c r="Q86" s="43"/>
      <c r="R86" s="99"/>
      <c r="S86" s="43"/>
      <c r="T86" s="100"/>
    </row>
    <row r="87" spans="2:20" ht="12" customHeight="1">
      <c r="B87" s="4"/>
      <c r="C87" s="41" t="s">
        <v>1009</v>
      </c>
      <c r="D87" s="95"/>
      <c r="E87" s="95"/>
      <c r="F87" s="96"/>
      <c r="G87" s="68"/>
      <c r="H87" s="68"/>
      <c r="I87" s="68"/>
      <c r="J87" s="43"/>
      <c r="K87" s="38"/>
      <c r="L87" s="97"/>
      <c r="M87" s="98"/>
      <c r="N87" s="98"/>
      <c r="O87" s="43"/>
      <c r="P87" s="43"/>
      <c r="Q87" s="43"/>
      <c r="R87" s="99"/>
      <c r="S87" s="43"/>
      <c r="T87" s="100"/>
    </row>
    <row r="88" spans="2:20" ht="12" customHeight="1">
      <c r="B88" s="4"/>
      <c r="C88" s="41" t="s">
        <v>1010</v>
      </c>
      <c r="D88" s="95"/>
      <c r="E88" s="95"/>
      <c r="F88" s="96"/>
      <c r="G88" s="68"/>
      <c r="H88" s="68"/>
      <c r="I88" s="68"/>
      <c r="J88" s="43"/>
      <c r="K88" s="38"/>
      <c r="L88" s="97"/>
      <c r="M88" s="98"/>
      <c r="N88" s="98"/>
      <c r="O88" s="43"/>
      <c r="P88" s="43"/>
      <c r="Q88" s="43"/>
      <c r="R88" s="99"/>
      <c r="S88" s="43"/>
      <c r="T88" s="100"/>
    </row>
    <row r="89" spans="2:20" ht="12" customHeight="1">
      <c r="B89" s="4"/>
      <c r="C89" s="41" t="s">
        <v>1011</v>
      </c>
      <c r="D89" s="95"/>
      <c r="E89" s="95"/>
      <c r="F89" s="96"/>
      <c r="G89" s="68"/>
      <c r="H89" s="68"/>
      <c r="I89" s="68"/>
      <c r="J89" s="43"/>
      <c r="K89" s="38"/>
      <c r="L89" s="97"/>
      <c r="M89" s="98"/>
      <c r="N89" s="98"/>
      <c r="O89" s="43"/>
      <c r="P89" s="43"/>
      <c r="Q89" s="43"/>
      <c r="R89" s="99"/>
      <c r="S89" s="43"/>
      <c r="T89" s="100"/>
    </row>
    <row r="90" spans="2:20" ht="12" customHeight="1">
      <c r="B90" s="4"/>
      <c r="C90" s="41" t="s">
        <v>1012</v>
      </c>
      <c r="D90" s="95"/>
      <c r="E90" s="95"/>
      <c r="F90" s="96"/>
      <c r="G90" s="68"/>
      <c r="H90" s="68"/>
      <c r="I90" s="68"/>
      <c r="J90" s="43"/>
      <c r="K90" s="38"/>
      <c r="L90" s="97"/>
      <c r="M90" s="98"/>
      <c r="N90" s="98"/>
      <c r="O90" s="43"/>
      <c r="P90" s="43"/>
      <c r="Q90" s="43"/>
      <c r="R90" s="99"/>
      <c r="S90" s="43"/>
      <c r="T90" s="100"/>
    </row>
    <row r="91" spans="2:20" ht="12" customHeight="1">
      <c r="B91" s="4"/>
      <c r="C91" s="41" t="s">
        <v>1013</v>
      </c>
      <c r="D91" s="95"/>
      <c r="E91" s="95"/>
      <c r="F91" s="96"/>
      <c r="G91" s="68"/>
      <c r="H91" s="68"/>
      <c r="I91" s="68"/>
      <c r="J91" s="43"/>
      <c r="K91" s="38"/>
      <c r="L91" s="97"/>
      <c r="M91" s="98"/>
      <c r="N91" s="98"/>
      <c r="O91" s="43"/>
      <c r="P91" s="43"/>
      <c r="Q91" s="43"/>
      <c r="R91" s="99"/>
      <c r="S91" s="43"/>
      <c r="T91" s="100"/>
    </row>
    <row r="92" spans="2:20" ht="12" customHeight="1">
      <c r="B92" s="4"/>
      <c r="C92" s="41" t="s">
        <v>1014</v>
      </c>
      <c r="D92" s="95"/>
      <c r="E92" s="95"/>
      <c r="F92" s="96"/>
      <c r="G92" s="68"/>
      <c r="H92" s="68"/>
      <c r="I92" s="68"/>
      <c r="J92" s="43"/>
      <c r="K92" s="38"/>
      <c r="L92" s="97"/>
      <c r="M92" s="98"/>
      <c r="N92" s="98"/>
      <c r="O92" s="43"/>
      <c r="P92" s="43"/>
      <c r="Q92" s="43"/>
      <c r="R92" s="99"/>
      <c r="S92" s="43"/>
      <c r="T92" s="100"/>
    </row>
    <row r="93" spans="2:20" ht="12" customHeight="1">
      <c r="B93" s="4"/>
      <c r="C93" s="41" t="s">
        <v>1015</v>
      </c>
      <c r="D93" s="95"/>
      <c r="E93" s="95"/>
      <c r="F93" s="96"/>
      <c r="G93" s="68"/>
      <c r="H93" s="68"/>
      <c r="I93" s="68"/>
      <c r="J93" s="43"/>
      <c r="K93" s="38"/>
      <c r="L93" s="97"/>
      <c r="M93" s="98"/>
      <c r="N93" s="98"/>
      <c r="O93" s="43"/>
      <c r="P93" s="43"/>
      <c r="Q93" s="43"/>
      <c r="R93" s="99"/>
      <c r="S93" s="43"/>
      <c r="T93" s="100"/>
    </row>
    <row r="94" spans="2:20" ht="12" customHeight="1">
      <c r="B94" s="4"/>
      <c r="C94" s="41" t="s">
        <v>1016</v>
      </c>
      <c r="D94" s="95"/>
      <c r="E94" s="95"/>
      <c r="F94" s="96"/>
      <c r="G94" s="68"/>
      <c r="H94" s="68"/>
      <c r="I94" s="68"/>
      <c r="J94" s="43"/>
      <c r="K94" s="38"/>
      <c r="L94" s="97"/>
      <c r="M94" s="98"/>
      <c r="N94" s="98"/>
      <c r="O94" s="43"/>
      <c r="P94" s="43"/>
      <c r="Q94" s="43"/>
      <c r="R94" s="99"/>
      <c r="S94" s="43"/>
      <c r="T94" s="100"/>
    </row>
    <row r="95" spans="2:20" ht="12" customHeight="1">
      <c r="B95" s="4"/>
      <c r="C95" s="41" t="s">
        <v>1017</v>
      </c>
      <c r="D95" s="95"/>
      <c r="E95" s="95"/>
      <c r="F95" s="96"/>
      <c r="G95" s="68"/>
      <c r="H95" s="68"/>
      <c r="I95" s="68"/>
      <c r="J95" s="43"/>
      <c r="K95" s="38"/>
      <c r="L95" s="97"/>
      <c r="M95" s="98"/>
      <c r="N95" s="98"/>
      <c r="O95" s="43"/>
      <c r="P95" s="43"/>
      <c r="Q95" s="43"/>
      <c r="R95" s="99"/>
      <c r="S95" s="43"/>
      <c r="T95" s="100"/>
    </row>
    <row r="96" spans="2:20" ht="12" customHeight="1">
      <c r="B96" s="4"/>
      <c r="C96" s="41" t="s">
        <v>1018</v>
      </c>
      <c r="D96" s="95"/>
      <c r="E96" s="95"/>
      <c r="F96" s="96"/>
      <c r="G96" s="68"/>
      <c r="H96" s="68"/>
      <c r="I96" s="68"/>
      <c r="J96" s="43"/>
      <c r="K96" s="38"/>
      <c r="L96" s="97"/>
      <c r="M96" s="98"/>
      <c r="N96" s="98"/>
      <c r="O96" s="43"/>
      <c r="P96" s="43"/>
      <c r="Q96" s="43"/>
      <c r="R96" s="99"/>
      <c r="S96" s="43"/>
      <c r="T96" s="100"/>
    </row>
    <row r="97" spans="2:20" ht="12" customHeight="1">
      <c r="B97" s="4"/>
      <c r="C97" s="41" t="s">
        <v>1019</v>
      </c>
      <c r="D97" s="95"/>
      <c r="E97" s="95"/>
      <c r="F97" s="96"/>
      <c r="G97" s="68"/>
      <c r="H97" s="68"/>
      <c r="I97" s="68"/>
      <c r="J97" s="43"/>
      <c r="K97" s="38"/>
      <c r="L97" s="97"/>
      <c r="M97" s="98"/>
      <c r="N97" s="98"/>
      <c r="O97" s="43"/>
      <c r="P97" s="43"/>
      <c r="Q97" s="43"/>
      <c r="R97" s="99"/>
      <c r="S97" s="43"/>
      <c r="T97" s="100"/>
    </row>
    <row r="98" spans="2:20" ht="12" customHeight="1">
      <c r="B98" s="4"/>
      <c r="C98" s="41" t="s">
        <v>1020</v>
      </c>
      <c r="D98" s="95"/>
      <c r="E98" s="95"/>
      <c r="F98" s="96"/>
      <c r="G98" s="68"/>
      <c r="H98" s="68"/>
      <c r="I98" s="68"/>
      <c r="J98" s="43"/>
      <c r="K98" s="38"/>
      <c r="L98" s="97"/>
      <c r="M98" s="98"/>
      <c r="N98" s="98"/>
      <c r="O98" s="43"/>
      <c r="P98" s="43"/>
      <c r="Q98" s="43"/>
      <c r="R98" s="99"/>
      <c r="S98" s="43"/>
      <c r="T98" s="100"/>
    </row>
    <row r="99" spans="2:20" ht="12" customHeight="1">
      <c r="B99" s="4"/>
      <c r="C99" s="41" t="s">
        <v>1021</v>
      </c>
      <c r="D99" s="95"/>
      <c r="E99" s="95"/>
      <c r="F99" s="96"/>
      <c r="G99" s="68"/>
      <c r="H99" s="68"/>
      <c r="I99" s="68"/>
      <c r="J99" s="43"/>
      <c r="K99" s="38"/>
      <c r="L99" s="97"/>
      <c r="M99" s="98"/>
      <c r="N99" s="98"/>
      <c r="O99" s="43"/>
      <c r="P99" s="43"/>
      <c r="Q99" s="43"/>
      <c r="R99" s="99"/>
      <c r="S99" s="43"/>
      <c r="T99" s="100"/>
    </row>
    <row r="100" spans="2:20" ht="12" customHeight="1">
      <c r="B100" s="4"/>
      <c r="C100" s="41" t="s">
        <v>1022</v>
      </c>
      <c r="D100" s="95"/>
      <c r="E100" s="95"/>
      <c r="F100" s="96"/>
      <c r="G100" s="68"/>
      <c r="H100" s="68"/>
      <c r="I100" s="68"/>
      <c r="J100" s="43"/>
      <c r="K100" s="38"/>
      <c r="L100" s="97"/>
      <c r="M100" s="98"/>
      <c r="N100" s="98"/>
      <c r="O100" s="43"/>
      <c r="P100" s="43"/>
      <c r="Q100" s="43"/>
      <c r="R100" s="99"/>
      <c r="S100" s="43"/>
      <c r="T100" s="100"/>
    </row>
    <row r="101" spans="2:20" ht="12" customHeight="1">
      <c r="B101" s="4"/>
      <c r="C101" s="41" t="s">
        <v>1023</v>
      </c>
      <c r="D101" s="95"/>
      <c r="E101" s="95"/>
      <c r="F101" s="96"/>
      <c r="G101" s="68"/>
      <c r="H101" s="68"/>
      <c r="I101" s="68"/>
      <c r="J101" s="43"/>
      <c r="K101" s="38"/>
      <c r="L101" s="97"/>
      <c r="M101" s="98"/>
      <c r="N101" s="98"/>
      <c r="O101" s="43"/>
      <c r="P101" s="43"/>
      <c r="Q101" s="43"/>
      <c r="R101" s="99"/>
      <c r="S101" s="43"/>
      <c r="T101" s="100"/>
    </row>
    <row r="102" spans="2:20" ht="12" customHeight="1">
      <c r="B102" s="4"/>
      <c r="C102" s="41" t="s">
        <v>1024</v>
      </c>
      <c r="D102" s="95"/>
      <c r="E102" s="95"/>
      <c r="F102" s="96"/>
      <c r="G102" s="68"/>
      <c r="H102" s="68"/>
      <c r="I102" s="68"/>
      <c r="J102" s="43"/>
      <c r="K102" s="38"/>
      <c r="L102" s="97"/>
      <c r="M102" s="98"/>
      <c r="N102" s="98"/>
      <c r="O102" s="43"/>
      <c r="P102" s="43"/>
      <c r="Q102" s="43"/>
      <c r="R102" s="99"/>
      <c r="S102" s="43"/>
      <c r="T102" s="100"/>
    </row>
    <row r="103" spans="2:20" ht="12" customHeight="1">
      <c r="B103" s="4"/>
      <c r="C103" s="41" t="s">
        <v>1025</v>
      </c>
      <c r="D103" s="95"/>
      <c r="E103" s="95"/>
      <c r="F103" s="96"/>
      <c r="G103" s="68"/>
      <c r="H103" s="68"/>
      <c r="I103" s="68"/>
      <c r="J103" s="43"/>
      <c r="K103" s="38"/>
      <c r="L103" s="97"/>
      <c r="M103" s="98"/>
      <c r="N103" s="98"/>
      <c r="O103" s="43"/>
      <c r="P103" s="43"/>
      <c r="Q103" s="43"/>
      <c r="R103" s="99"/>
      <c r="S103" s="43"/>
      <c r="T103" s="100"/>
    </row>
    <row r="104" spans="2:20" ht="12" customHeight="1">
      <c r="B104" s="4"/>
      <c r="C104" s="41" t="s">
        <v>1026</v>
      </c>
      <c r="D104" s="95"/>
      <c r="E104" s="95"/>
      <c r="F104" s="96"/>
      <c r="G104" s="68"/>
      <c r="H104" s="68"/>
      <c r="I104" s="68"/>
      <c r="J104" s="43"/>
      <c r="K104" s="38"/>
      <c r="L104" s="97"/>
      <c r="M104" s="98"/>
      <c r="N104" s="98"/>
      <c r="O104" s="43"/>
      <c r="P104" s="43"/>
      <c r="Q104" s="43"/>
      <c r="R104" s="99"/>
      <c r="S104" s="43"/>
      <c r="T104" s="100"/>
    </row>
    <row r="105" spans="2:20" ht="12" customHeight="1">
      <c r="B105" s="4"/>
      <c r="C105" s="41" t="s">
        <v>1027</v>
      </c>
      <c r="D105" s="95"/>
      <c r="E105" s="95"/>
      <c r="F105" s="96"/>
      <c r="G105" s="68"/>
      <c r="H105" s="68"/>
      <c r="I105" s="68"/>
      <c r="J105" s="43"/>
      <c r="K105" s="38"/>
      <c r="L105" s="97"/>
      <c r="M105" s="98"/>
      <c r="N105" s="98"/>
      <c r="O105" s="43"/>
      <c r="P105" s="43"/>
      <c r="Q105" s="43"/>
      <c r="R105" s="99"/>
      <c r="S105" s="43"/>
      <c r="T105" s="100"/>
    </row>
    <row r="106" spans="2:20" ht="12" customHeight="1">
      <c r="B106" s="4"/>
      <c r="C106" s="41" t="s">
        <v>1028</v>
      </c>
      <c r="D106" s="95"/>
      <c r="E106" s="95"/>
      <c r="F106" s="96"/>
      <c r="G106" s="68"/>
      <c r="H106" s="68"/>
      <c r="I106" s="68"/>
      <c r="J106" s="43"/>
      <c r="K106" s="38"/>
      <c r="L106" s="97"/>
      <c r="M106" s="98"/>
      <c r="N106" s="98"/>
      <c r="O106" s="43"/>
      <c r="P106" s="43"/>
      <c r="Q106" s="43"/>
      <c r="R106" s="99"/>
      <c r="S106" s="43"/>
      <c r="T106" s="100"/>
    </row>
    <row r="107" spans="2:20" ht="12" customHeight="1">
      <c r="B107" s="4"/>
      <c r="C107" s="41" t="s">
        <v>1029</v>
      </c>
      <c r="D107" s="95"/>
      <c r="E107" s="95"/>
      <c r="F107" s="96"/>
      <c r="G107" s="68"/>
      <c r="H107" s="68"/>
      <c r="I107" s="68"/>
      <c r="J107" s="43"/>
      <c r="K107" s="38"/>
      <c r="L107" s="97"/>
      <c r="M107" s="98"/>
      <c r="N107" s="98"/>
      <c r="O107" s="43"/>
      <c r="P107" s="43"/>
      <c r="Q107" s="43"/>
      <c r="R107" s="99"/>
      <c r="S107" s="43"/>
      <c r="T107" s="100"/>
    </row>
    <row r="108" spans="2:20" ht="12" customHeight="1">
      <c r="B108" s="4"/>
      <c r="C108" s="41" t="s">
        <v>1030</v>
      </c>
      <c r="D108" s="95"/>
      <c r="E108" s="95"/>
      <c r="F108" s="96"/>
      <c r="G108" s="68"/>
      <c r="H108" s="68"/>
      <c r="I108" s="68"/>
      <c r="J108" s="43"/>
      <c r="K108" s="38"/>
      <c r="L108" s="97"/>
      <c r="M108" s="98"/>
      <c r="N108" s="98"/>
      <c r="O108" s="43"/>
      <c r="P108" s="43"/>
      <c r="Q108" s="43"/>
      <c r="R108" s="99"/>
      <c r="S108" s="43"/>
      <c r="T108" s="100"/>
    </row>
    <row r="109" spans="2:20" ht="12" customHeight="1">
      <c r="B109" s="4"/>
      <c r="C109" s="41" t="s">
        <v>1031</v>
      </c>
      <c r="D109" s="95"/>
      <c r="E109" s="95"/>
      <c r="F109" s="96"/>
      <c r="G109" s="68"/>
      <c r="H109" s="68"/>
      <c r="I109" s="68"/>
      <c r="J109" s="43"/>
      <c r="K109" s="38"/>
      <c r="L109" s="97"/>
      <c r="M109" s="98"/>
      <c r="N109" s="98"/>
      <c r="O109" s="43"/>
      <c r="P109" s="43"/>
      <c r="Q109" s="43"/>
      <c r="R109" s="99"/>
      <c r="S109" s="43"/>
      <c r="T109" s="100"/>
    </row>
    <row r="110" spans="2:20" ht="12" customHeight="1">
      <c r="B110" s="4"/>
      <c r="C110" s="41" t="s">
        <v>1032</v>
      </c>
      <c r="D110" s="95"/>
      <c r="E110" s="95"/>
      <c r="F110" s="96"/>
      <c r="G110" s="68"/>
      <c r="H110" s="68"/>
      <c r="I110" s="68"/>
      <c r="J110" s="43"/>
      <c r="K110" s="38"/>
      <c r="L110" s="97"/>
      <c r="M110" s="98"/>
      <c r="N110" s="98"/>
      <c r="O110" s="43"/>
      <c r="P110" s="43"/>
      <c r="Q110" s="43"/>
      <c r="R110" s="99"/>
      <c r="S110" s="43"/>
      <c r="T110" s="100"/>
    </row>
    <row r="111" spans="2:20" ht="12" customHeight="1">
      <c r="B111" s="4"/>
      <c r="C111" s="41" t="s">
        <v>1033</v>
      </c>
      <c r="D111" s="95"/>
      <c r="E111" s="95"/>
      <c r="F111" s="96"/>
      <c r="G111" s="68"/>
      <c r="H111" s="68"/>
      <c r="I111" s="68"/>
      <c r="J111" s="43"/>
      <c r="K111" s="38"/>
      <c r="L111" s="97"/>
      <c r="M111" s="98"/>
      <c r="N111" s="98"/>
      <c r="O111" s="43"/>
      <c r="P111" s="43"/>
      <c r="Q111" s="43"/>
      <c r="R111" s="99"/>
      <c r="S111" s="43"/>
      <c r="T111" s="100"/>
    </row>
    <row r="112" spans="2:20" ht="12" customHeight="1">
      <c r="B112" s="4"/>
      <c r="C112" s="41" t="s">
        <v>1034</v>
      </c>
      <c r="D112" s="95"/>
      <c r="E112" s="95"/>
      <c r="F112" s="96"/>
      <c r="G112" s="68"/>
      <c r="H112" s="68"/>
      <c r="I112" s="68"/>
      <c r="J112" s="43"/>
      <c r="K112" s="38"/>
      <c r="L112" s="97"/>
      <c r="M112" s="98"/>
      <c r="N112" s="98"/>
      <c r="O112" s="43"/>
      <c r="P112" s="43"/>
      <c r="Q112" s="43"/>
      <c r="R112" s="99"/>
      <c r="S112" s="43"/>
      <c r="T112" s="100"/>
    </row>
    <row r="113" spans="2:20" ht="12" customHeight="1">
      <c r="B113" s="4"/>
      <c r="C113" s="41" t="s">
        <v>1035</v>
      </c>
      <c r="D113" s="95"/>
      <c r="E113" s="95"/>
      <c r="F113" s="96"/>
      <c r="G113" s="68"/>
      <c r="H113" s="68"/>
      <c r="I113" s="68"/>
      <c r="J113" s="43"/>
      <c r="K113" s="38"/>
      <c r="L113" s="97"/>
      <c r="M113" s="98"/>
      <c r="N113" s="98"/>
      <c r="O113" s="43"/>
      <c r="P113" s="43"/>
      <c r="Q113" s="43"/>
      <c r="R113" s="99"/>
      <c r="S113" s="43"/>
      <c r="T113" s="100"/>
    </row>
    <row r="114" spans="2:20" ht="12" customHeight="1">
      <c r="B114" s="4"/>
      <c r="C114" s="41" t="s">
        <v>1036</v>
      </c>
      <c r="D114" s="95"/>
      <c r="E114" s="95"/>
      <c r="F114" s="96"/>
      <c r="G114" s="68"/>
      <c r="H114" s="68"/>
      <c r="I114" s="68"/>
      <c r="J114" s="43"/>
      <c r="K114" s="38"/>
      <c r="L114" s="97"/>
      <c r="M114" s="98"/>
      <c r="N114" s="98"/>
      <c r="O114" s="43"/>
      <c r="P114" s="43"/>
      <c r="Q114" s="43"/>
      <c r="R114" s="99"/>
      <c r="S114" s="43"/>
      <c r="T114" s="100"/>
    </row>
    <row r="115" spans="2:20" ht="12" customHeight="1">
      <c r="B115" s="4"/>
      <c r="C115" s="41" t="s">
        <v>1037</v>
      </c>
      <c r="D115" s="95"/>
      <c r="E115" s="95"/>
      <c r="F115" s="96"/>
      <c r="G115" s="68"/>
      <c r="H115" s="68"/>
      <c r="I115" s="68"/>
      <c r="J115" s="43"/>
      <c r="K115" s="38"/>
      <c r="L115" s="97"/>
      <c r="M115" s="98"/>
      <c r="N115" s="98"/>
      <c r="O115" s="43"/>
      <c r="P115" s="43"/>
      <c r="Q115" s="43"/>
      <c r="R115" s="99"/>
      <c r="S115" s="43"/>
      <c r="T115" s="100"/>
    </row>
    <row r="116" spans="2:20" ht="12" customHeight="1">
      <c r="B116" s="4"/>
      <c r="C116" s="41" t="s">
        <v>1038</v>
      </c>
      <c r="D116" s="95"/>
      <c r="E116" s="95"/>
      <c r="F116" s="96"/>
      <c r="G116" s="68"/>
      <c r="H116" s="68"/>
      <c r="I116" s="68"/>
      <c r="J116" s="43"/>
      <c r="K116" s="38"/>
      <c r="L116" s="97"/>
      <c r="M116" s="98"/>
      <c r="N116" s="98"/>
      <c r="O116" s="43"/>
      <c r="P116" s="43"/>
      <c r="Q116" s="43"/>
      <c r="R116" s="99"/>
      <c r="S116" s="43"/>
      <c r="T116" s="100"/>
    </row>
    <row r="117" spans="2:20" ht="12" customHeight="1">
      <c r="B117" s="4"/>
      <c r="C117" s="41" t="s">
        <v>1039</v>
      </c>
      <c r="D117" s="95"/>
      <c r="E117" s="95"/>
      <c r="F117" s="96"/>
      <c r="G117" s="68"/>
      <c r="H117" s="68"/>
      <c r="I117" s="68"/>
      <c r="J117" s="43"/>
      <c r="K117" s="38"/>
      <c r="L117" s="97"/>
      <c r="M117" s="98"/>
      <c r="N117" s="98"/>
      <c r="O117" s="43"/>
      <c r="P117" s="43"/>
      <c r="Q117" s="43"/>
      <c r="R117" s="99"/>
      <c r="S117" s="43"/>
      <c r="T117" s="100"/>
    </row>
    <row r="118" spans="2:20" ht="12" customHeight="1">
      <c r="B118" s="4"/>
      <c r="C118" s="41" t="s">
        <v>1040</v>
      </c>
      <c r="D118" s="95"/>
      <c r="E118" s="95"/>
      <c r="F118" s="96"/>
      <c r="G118" s="68"/>
      <c r="H118" s="68"/>
      <c r="I118" s="68"/>
      <c r="J118" s="43"/>
      <c r="K118" s="38"/>
      <c r="L118" s="97"/>
      <c r="M118" s="98"/>
      <c r="N118" s="98"/>
      <c r="O118" s="43"/>
      <c r="P118" s="43"/>
      <c r="Q118" s="43"/>
      <c r="R118" s="99"/>
      <c r="S118" s="43"/>
      <c r="T118" s="100"/>
    </row>
    <row r="119" spans="2:20" ht="12" customHeight="1">
      <c r="B119" s="4"/>
      <c r="C119" s="41" t="s">
        <v>1041</v>
      </c>
      <c r="D119" s="95"/>
      <c r="E119" s="95"/>
      <c r="F119" s="96"/>
      <c r="G119" s="68"/>
      <c r="H119" s="68"/>
      <c r="I119" s="68"/>
      <c r="J119" s="43"/>
      <c r="K119" s="38"/>
      <c r="L119" s="97"/>
      <c r="M119" s="98"/>
      <c r="N119" s="98"/>
      <c r="O119" s="43"/>
      <c r="P119" s="43"/>
      <c r="Q119" s="43"/>
      <c r="R119" s="99"/>
      <c r="S119" s="43"/>
      <c r="T119" s="100"/>
    </row>
    <row r="120" spans="2:20" ht="12" customHeight="1">
      <c r="B120" s="4"/>
      <c r="C120" s="41" t="s">
        <v>1042</v>
      </c>
      <c r="D120" s="95"/>
      <c r="E120" s="95"/>
      <c r="F120" s="96"/>
      <c r="G120" s="68"/>
      <c r="H120" s="68"/>
      <c r="I120" s="68"/>
      <c r="J120" s="43"/>
      <c r="K120" s="38"/>
      <c r="L120" s="97"/>
      <c r="M120" s="98"/>
      <c r="N120" s="98"/>
      <c r="O120" s="43"/>
      <c r="P120" s="43"/>
      <c r="Q120" s="43"/>
      <c r="R120" s="99"/>
      <c r="S120" s="43"/>
      <c r="T120" s="100"/>
    </row>
    <row r="121" spans="2:20" ht="12" customHeight="1">
      <c r="B121" s="4"/>
      <c r="C121" s="41" t="s">
        <v>1043</v>
      </c>
      <c r="D121" s="95"/>
      <c r="E121" s="95"/>
      <c r="F121" s="96"/>
      <c r="G121" s="68"/>
      <c r="H121" s="68"/>
      <c r="I121" s="68"/>
      <c r="J121" s="43"/>
      <c r="K121" s="38"/>
      <c r="L121" s="97"/>
      <c r="M121" s="98"/>
      <c r="N121" s="98"/>
      <c r="O121" s="43"/>
      <c r="P121" s="43"/>
      <c r="Q121" s="43"/>
      <c r="R121" s="99"/>
      <c r="S121" s="43"/>
      <c r="T121" s="100"/>
    </row>
    <row r="122" spans="2:20" ht="12" customHeight="1">
      <c r="B122" s="4"/>
      <c r="C122" s="41" t="s">
        <v>1044</v>
      </c>
      <c r="D122" s="95"/>
      <c r="E122" s="95"/>
      <c r="F122" s="96"/>
      <c r="G122" s="68"/>
      <c r="H122" s="68"/>
      <c r="I122" s="68"/>
      <c r="J122" s="43"/>
      <c r="K122" s="38"/>
      <c r="L122" s="97"/>
      <c r="M122" s="98"/>
      <c r="N122" s="98"/>
      <c r="O122" s="43"/>
      <c r="P122" s="43"/>
      <c r="Q122" s="43"/>
      <c r="R122" s="99"/>
      <c r="S122" s="43"/>
      <c r="T122" s="100"/>
    </row>
    <row r="123" spans="2:20" ht="12" customHeight="1">
      <c r="B123" s="4"/>
      <c r="C123" s="41" t="s">
        <v>1045</v>
      </c>
      <c r="D123" s="95"/>
      <c r="E123" s="95"/>
      <c r="F123" s="96"/>
      <c r="G123" s="68"/>
      <c r="H123" s="68"/>
      <c r="I123" s="68"/>
      <c r="J123" s="43"/>
      <c r="K123" s="38"/>
      <c r="L123" s="97"/>
      <c r="M123" s="98"/>
      <c r="N123" s="98"/>
      <c r="O123" s="43"/>
      <c r="P123" s="43"/>
      <c r="Q123" s="43"/>
      <c r="R123" s="99"/>
      <c r="S123" s="43"/>
      <c r="T123" s="100"/>
    </row>
    <row r="124" spans="2:20" ht="12" customHeight="1">
      <c r="B124" s="4"/>
      <c r="C124" s="41" t="s">
        <v>1046</v>
      </c>
      <c r="D124" s="95"/>
      <c r="E124" s="95"/>
      <c r="F124" s="96"/>
      <c r="G124" s="68"/>
      <c r="H124" s="68"/>
      <c r="I124" s="68"/>
      <c r="J124" s="43"/>
      <c r="K124" s="38"/>
      <c r="L124" s="97"/>
      <c r="M124" s="98"/>
      <c r="N124" s="98"/>
      <c r="O124" s="43"/>
      <c r="P124" s="43"/>
      <c r="Q124" s="43"/>
      <c r="R124" s="99"/>
      <c r="S124" s="43"/>
      <c r="T124" s="100"/>
    </row>
    <row r="125" spans="2:20" ht="12" customHeight="1">
      <c r="B125" s="4"/>
      <c r="C125" s="41" t="s">
        <v>1047</v>
      </c>
      <c r="D125" s="95"/>
      <c r="E125" s="95"/>
      <c r="F125" s="96"/>
      <c r="G125" s="68"/>
      <c r="H125" s="68"/>
      <c r="I125" s="68"/>
      <c r="J125" s="43"/>
      <c r="K125" s="38"/>
      <c r="L125" s="97"/>
      <c r="M125" s="98"/>
      <c r="N125" s="98"/>
      <c r="O125" s="43"/>
      <c r="P125" s="43"/>
      <c r="Q125" s="43"/>
      <c r="R125" s="99"/>
      <c r="S125" s="43"/>
      <c r="T125" s="100"/>
    </row>
    <row r="126" spans="2:20" ht="12" customHeight="1">
      <c r="B126" s="4"/>
      <c r="C126" s="41" t="s">
        <v>1048</v>
      </c>
      <c r="D126" s="95"/>
      <c r="E126" s="95"/>
      <c r="F126" s="96"/>
      <c r="G126" s="68"/>
      <c r="H126" s="68"/>
      <c r="I126" s="68"/>
      <c r="J126" s="43"/>
      <c r="K126" s="38"/>
      <c r="L126" s="97"/>
      <c r="M126" s="98"/>
      <c r="N126" s="98"/>
      <c r="O126" s="43"/>
      <c r="P126" s="43"/>
      <c r="Q126" s="43"/>
      <c r="R126" s="99"/>
      <c r="S126" s="43"/>
      <c r="T126" s="100"/>
    </row>
    <row r="127" spans="2:20" ht="12" customHeight="1">
      <c r="B127" s="4"/>
      <c r="C127" s="41" t="s">
        <v>1049</v>
      </c>
      <c r="D127" s="95"/>
      <c r="E127" s="95"/>
      <c r="F127" s="96"/>
      <c r="G127" s="68"/>
      <c r="H127" s="68"/>
      <c r="I127" s="68"/>
      <c r="J127" s="43"/>
      <c r="K127" s="38"/>
      <c r="L127" s="97"/>
      <c r="M127" s="98"/>
      <c r="N127" s="98"/>
      <c r="O127" s="43"/>
      <c r="P127" s="43"/>
      <c r="Q127" s="43"/>
      <c r="R127" s="99"/>
      <c r="S127" s="43"/>
      <c r="T127" s="100"/>
    </row>
    <row r="128" spans="2:20" ht="12" customHeight="1">
      <c r="B128" s="4"/>
      <c r="C128" s="41" t="s">
        <v>1050</v>
      </c>
      <c r="D128" s="95"/>
      <c r="E128" s="95"/>
      <c r="F128" s="96"/>
      <c r="G128" s="68"/>
      <c r="H128" s="68"/>
      <c r="I128" s="68"/>
      <c r="J128" s="43"/>
      <c r="K128" s="38"/>
      <c r="L128" s="97"/>
      <c r="M128" s="98"/>
      <c r="N128" s="98"/>
      <c r="O128" s="43"/>
      <c r="P128" s="43"/>
      <c r="Q128" s="43"/>
      <c r="R128" s="99"/>
      <c r="S128" s="43"/>
      <c r="T128" s="100"/>
    </row>
    <row r="129" spans="2:20" ht="12" customHeight="1">
      <c r="B129" s="4"/>
      <c r="C129" s="41" t="s">
        <v>1051</v>
      </c>
      <c r="D129" s="95"/>
      <c r="E129" s="95"/>
      <c r="F129" s="96"/>
      <c r="G129" s="68"/>
      <c r="H129" s="68"/>
      <c r="I129" s="68"/>
      <c r="J129" s="43"/>
      <c r="K129" s="38"/>
      <c r="L129" s="97"/>
      <c r="M129" s="98"/>
      <c r="N129" s="98"/>
      <c r="O129" s="43"/>
      <c r="P129" s="43"/>
      <c r="Q129" s="43"/>
      <c r="R129" s="99"/>
      <c r="S129" s="43"/>
      <c r="T129" s="100"/>
    </row>
    <row r="130" spans="2:20" ht="12" customHeight="1">
      <c r="B130" s="4"/>
      <c r="C130" s="41" t="s">
        <v>1052</v>
      </c>
      <c r="D130" s="95"/>
      <c r="E130" s="95"/>
      <c r="F130" s="96"/>
      <c r="G130" s="68"/>
      <c r="H130" s="68"/>
      <c r="I130" s="68"/>
      <c r="J130" s="43"/>
      <c r="K130" s="38"/>
      <c r="L130" s="97"/>
      <c r="M130" s="98"/>
      <c r="N130" s="98"/>
      <c r="O130" s="43"/>
      <c r="P130" s="43"/>
      <c r="Q130" s="43"/>
      <c r="R130" s="99"/>
      <c r="S130" s="43"/>
      <c r="T130" s="100"/>
    </row>
    <row r="131" spans="2:20" ht="12" customHeight="1">
      <c r="B131" s="4"/>
      <c r="C131" s="41" t="s">
        <v>1053</v>
      </c>
      <c r="D131" s="95"/>
      <c r="E131" s="95"/>
      <c r="F131" s="96"/>
      <c r="G131" s="68"/>
      <c r="H131" s="68"/>
      <c r="I131" s="68"/>
      <c r="J131" s="43"/>
      <c r="K131" s="38"/>
      <c r="L131" s="97"/>
      <c r="M131" s="98"/>
      <c r="N131" s="98"/>
      <c r="O131" s="43"/>
      <c r="P131" s="43"/>
      <c r="Q131" s="43"/>
      <c r="R131" s="99"/>
      <c r="S131" s="43"/>
      <c r="T131" s="100"/>
    </row>
    <row r="132" spans="2:20" ht="12" customHeight="1">
      <c r="B132" s="4"/>
      <c r="C132" s="41" t="s">
        <v>1054</v>
      </c>
      <c r="D132" s="95"/>
      <c r="E132" s="95"/>
      <c r="F132" s="96"/>
      <c r="G132" s="68"/>
      <c r="H132" s="68"/>
      <c r="I132" s="68"/>
      <c r="J132" s="43"/>
      <c r="K132" s="38"/>
      <c r="L132" s="97"/>
      <c r="M132" s="98"/>
      <c r="N132" s="98"/>
      <c r="O132" s="43"/>
      <c r="P132" s="43"/>
      <c r="Q132" s="43"/>
      <c r="R132" s="99"/>
      <c r="S132" s="43"/>
      <c r="T132" s="100"/>
    </row>
    <row r="133" spans="2:20" ht="12" customHeight="1">
      <c r="B133" s="4"/>
      <c r="C133" s="41" t="s">
        <v>1055</v>
      </c>
      <c r="D133" s="95"/>
      <c r="E133" s="95"/>
      <c r="F133" s="96"/>
      <c r="G133" s="68"/>
      <c r="H133" s="68"/>
      <c r="I133" s="68"/>
      <c r="J133" s="43"/>
      <c r="K133" s="38"/>
      <c r="L133" s="97"/>
      <c r="M133" s="98"/>
      <c r="N133" s="98"/>
      <c r="O133" s="43"/>
      <c r="P133" s="43"/>
      <c r="Q133" s="43"/>
      <c r="R133" s="99"/>
      <c r="S133" s="43"/>
      <c r="T133" s="100"/>
    </row>
    <row r="134" spans="2:20" ht="12" customHeight="1">
      <c r="B134" s="4"/>
      <c r="C134" s="41" t="s">
        <v>1056</v>
      </c>
      <c r="D134" s="95"/>
      <c r="E134" s="95"/>
      <c r="F134" s="96"/>
      <c r="G134" s="68"/>
      <c r="H134" s="68"/>
      <c r="I134" s="68"/>
      <c r="J134" s="43"/>
      <c r="K134" s="38"/>
      <c r="L134" s="97"/>
      <c r="M134" s="98"/>
      <c r="N134" s="98"/>
      <c r="O134" s="43"/>
      <c r="P134" s="43"/>
      <c r="Q134" s="43"/>
      <c r="R134" s="99"/>
      <c r="S134" s="43"/>
      <c r="T134" s="100"/>
    </row>
    <row r="135" spans="2:20" ht="12" customHeight="1">
      <c r="B135" s="4"/>
      <c r="C135" s="41" t="s">
        <v>1057</v>
      </c>
      <c r="D135" s="95"/>
      <c r="E135" s="95"/>
      <c r="F135" s="96"/>
      <c r="G135" s="68"/>
      <c r="H135" s="68"/>
      <c r="I135" s="68"/>
      <c r="J135" s="43"/>
      <c r="K135" s="38"/>
      <c r="L135" s="97"/>
      <c r="M135" s="98"/>
      <c r="N135" s="98"/>
      <c r="O135" s="43"/>
      <c r="P135" s="43"/>
      <c r="Q135" s="43"/>
      <c r="R135" s="99"/>
      <c r="S135" s="43"/>
      <c r="T135" s="100"/>
    </row>
    <row r="136" spans="2:20" ht="12" customHeight="1">
      <c r="B136" s="4"/>
      <c r="C136" s="41" t="s">
        <v>1058</v>
      </c>
      <c r="D136" s="95"/>
      <c r="E136" s="95"/>
      <c r="F136" s="96"/>
      <c r="G136" s="68"/>
      <c r="H136" s="68"/>
      <c r="I136" s="68"/>
      <c r="J136" s="43"/>
      <c r="K136" s="38"/>
      <c r="L136" s="97"/>
      <c r="M136" s="98"/>
      <c r="N136" s="98"/>
      <c r="O136" s="43"/>
      <c r="P136" s="43"/>
      <c r="Q136" s="43"/>
      <c r="R136" s="99"/>
      <c r="S136" s="43"/>
      <c r="T136" s="100"/>
    </row>
    <row r="137" spans="2:20" ht="12" customHeight="1">
      <c r="B137" s="4"/>
      <c r="C137" s="41" t="s">
        <v>1059</v>
      </c>
      <c r="D137" s="95"/>
      <c r="E137" s="95"/>
      <c r="F137" s="96"/>
      <c r="G137" s="68"/>
      <c r="H137" s="68"/>
      <c r="I137" s="68"/>
      <c r="J137" s="43"/>
      <c r="K137" s="38"/>
      <c r="L137" s="97"/>
      <c r="M137" s="98"/>
      <c r="N137" s="98"/>
      <c r="O137" s="43"/>
      <c r="P137" s="43"/>
      <c r="Q137" s="43"/>
      <c r="R137" s="99"/>
      <c r="S137" s="43"/>
      <c r="T137" s="100"/>
    </row>
    <row r="138" spans="2:20" ht="12" customHeight="1">
      <c r="B138" s="4"/>
      <c r="C138" s="41" t="s">
        <v>1060</v>
      </c>
      <c r="D138" s="95"/>
      <c r="E138" s="95"/>
      <c r="F138" s="96"/>
      <c r="G138" s="68"/>
      <c r="H138" s="68"/>
      <c r="I138" s="68"/>
      <c r="J138" s="43"/>
      <c r="K138" s="38"/>
      <c r="L138" s="97"/>
      <c r="M138" s="98"/>
      <c r="N138" s="98"/>
      <c r="O138" s="43"/>
      <c r="P138" s="43"/>
      <c r="Q138" s="43"/>
      <c r="R138" s="99"/>
      <c r="S138" s="43"/>
      <c r="T138" s="100"/>
    </row>
    <row r="139" spans="2:20" ht="12" customHeight="1">
      <c r="B139" s="4"/>
      <c r="C139" s="41" t="s">
        <v>1061</v>
      </c>
      <c r="D139" s="95"/>
      <c r="E139" s="95"/>
      <c r="F139" s="96"/>
      <c r="G139" s="68"/>
      <c r="H139" s="68"/>
      <c r="I139" s="68"/>
      <c r="J139" s="43"/>
      <c r="K139" s="38"/>
      <c r="L139" s="97"/>
      <c r="M139" s="98"/>
      <c r="N139" s="98"/>
      <c r="O139" s="43"/>
      <c r="P139" s="43"/>
      <c r="Q139" s="43"/>
      <c r="R139" s="99"/>
      <c r="S139" s="43"/>
      <c r="T139" s="100"/>
    </row>
    <row r="140" spans="2:20" ht="12" customHeight="1">
      <c r="B140" s="4"/>
      <c r="C140" s="41" t="s">
        <v>1062</v>
      </c>
      <c r="D140" s="95"/>
      <c r="E140" s="95"/>
      <c r="F140" s="96"/>
      <c r="G140" s="68"/>
      <c r="H140" s="68"/>
      <c r="I140" s="68"/>
      <c r="J140" s="43"/>
      <c r="K140" s="38"/>
      <c r="L140" s="97"/>
      <c r="M140" s="98"/>
      <c r="N140" s="98"/>
      <c r="O140" s="43"/>
      <c r="P140" s="43"/>
      <c r="Q140" s="43"/>
      <c r="R140" s="99"/>
      <c r="S140" s="43"/>
      <c r="T140" s="100"/>
    </row>
    <row r="141" spans="2:20" ht="12" customHeight="1">
      <c r="B141" s="4"/>
      <c r="C141" s="41" t="s">
        <v>1063</v>
      </c>
      <c r="D141" s="95"/>
      <c r="E141" s="95"/>
      <c r="F141" s="96"/>
      <c r="G141" s="68"/>
      <c r="H141" s="68"/>
      <c r="I141" s="68"/>
      <c r="J141" s="43"/>
      <c r="K141" s="38"/>
      <c r="L141" s="97"/>
      <c r="M141" s="98"/>
      <c r="N141" s="98"/>
      <c r="O141" s="43"/>
      <c r="P141" s="43"/>
      <c r="Q141" s="43"/>
      <c r="R141" s="99"/>
      <c r="S141" s="43"/>
      <c r="T141" s="100"/>
    </row>
    <row r="142" spans="2:20" ht="12" customHeight="1">
      <c r="B142" s="4"/>
      <c r="C142" s="41" t="s">
        <v>1064</v>
      </c>
      <c r="D142" s="95"/>
      <c r="E142" s="95"/>
      <c r="F142" s="96"/>
      <c r="G142" s="68"/>
      <c r="H142" s="68"/>
      <c r="I142" s="68"/>
      <c r="J142" s="43"/>
      <c r="K142" s="38"/>
      <c r="L142" s="97"/>
      <c r="M142" s="98"/>
      <c r="N142" s="98"/>
      <c r="O142" s="43"/>
      <c r="P142" s="43"/>
      <c r="Q142" s="43"/>
      <c r="R142" s="99"/>
      <c r="S142" s="43"/>
      <c r="T142" s="100"/>
    </row>
    <row r="143" spans="2:20" ht="12" customHeight="1">
      <c r="B143" s="4"/>
      <c r="C143" s="41" t="s">
        <v>1065</v>
      </c>
      <c r="D143" s="95"/>
      <c r="E143" s="95"/>
      <c r="F143" s="96"/>
      <c r="G143" s="68"/>
      <c r="H143" s="68"/>
      <c r="I143" s="68"/>
      <c r="J143" s="43"/>
      <c r="K143" s="38"/>
      <c r="L143" s="97"/>
      <c r="M143" s="98"/>
      <c r="N143" s="98"/>
      <c r="O143" s="43"/>
      <c r="P143" s="43"/>
      <c r="Q143" s="43"/>
      <c r="R143" s="99"/>
      <c r="S143" s="43"/>
      <c r="T143" s="100"/>
    </row>
    <row r="144" spans="2:20" ht="12" customHeight="1">
      <c r="B144" s="4"/>
      <c r="C144" s="41" t="s">
        <v>1066</v>
      </c>
      <c r="D144" s="95"/>
      <c r="E144" s="95"/>
      <c r="F144" s="96"/>
      <c r="G144" s="68"/>
      <c r="H144" s="68"/>
      <c r="I144" s="68"/>
      <c r="J144" s="43"/>
      <c r="K144" s="38"/>
      <c r="L144" s="97"/>
      <c r="M144" s="98"/>
      <c r="N144" s="98"/>
      <c r="O144" s="43"/>
      <c r="P144" s="43"/>
      <c r="Q144" s="43"/>
      <c r="R144" s="99"/>
      <c r="S144" s="43"/>
      <c r="T144" s="100"/>
    </row>
    <row r="145" spans="2:20" ht="12" customHeight="1">
      <c r="B145" s="4"/>
      <c r="C145" s="41" t="s">
        <v>1067</v>
      </c>
      <c r="D145" s="95"/>
      <c r="E145" s="95"/>
      <c r="F145" s="96"/>
      <c r="G145" s="68"/>
      <c r="H145" s="68"/>
      <c r="I145" s="68"/>
      <c r="J145" s="43"/>
      <c r="K145" s="38"/>
      <c r="L145" s="97"/>
      <c r="M145" s="98"/>
      <c r="N145" s="98"/>
      <c r="O145" s="43"/>
      <c r="P145" s="43"/>
      <c r="Q145" s="43"/>
      <c r="R145" s="99"/>
      <c r="S145" s="43"/>
      <c r="T145" s="100"/>
    </row>
    <row r="146" spans="2:20" ht="12" customHeight="1">
      <c r="B146" s="4"/>
      <c r="C146" s="41" t="s">
        <v>1068</v>
      </c>
      <c r="D146" s="95"/>
      <c r="E146" s="95"/>
      <c r="F146" s="96"/>
      <c r="G146" s="68"/>
      <c r="H146" s="68"/>
      <c r="I146" s="68"/>
      <c r="J146" s="43"/>
      <c r="K146" s="38"/>
      <c r="L146" s="97"/>
      <c r="M146" s="98"/>
      <c r="N146" s="98"/>
      <c r="O146" s="43"/>
      <c r="P146" s="43"/>
      <c r="Q146" s="43"/>
      <c r="R146" s="99"/>
      <c r="S146" s="43"/>
      <c r="T146" s="100"/>
    </row>
    <row r="147" spans="2:20" ht="12" customHeight="1">
      <c r="B147" s="4"/>
      <c r="C147" s="41" t="s">
        <v>1069</v>
      </c>
      <c r="D147" s="95"/>
      <c r="E147" s="95"/>
      <c r="F147" s="96"/>
      <c r="G147" s="68"/>
      <c r="H147" s="68"/>
      <c r="I147" s="68"/>
      <c r="J147" s="43"/>
      <c r="K147" s="38"/>
      <c r="L147" s="97"/>
      <c r="M147" s="98"/>
      <c r="N147" s="98"/>
      <c r="O147" s="43"/>
      <c r="P147" s="43"/>
      <c r="Q147" s="43"/>
      <c r="R147" s="99"/>
      <c r="S147" s="43"/>
      <c r="T147" s="100"/>
    </row>
    <row r="148" spans="2:20" ht="12" customHeight="1">
      <c r="B148" s="4"/>
      <c r="C148" s="41" t="s">
        <v>1070</v>
      </c>
      <c r="D148" s="95"/>
      <c r="E148" s="95"/>
      <c r="F148" s="96"/>
      <c r="G148" s="68"/>
      <c r="H148" s="68"/>
      <c r="I148" s="68"/>
      <c r="J148" s="43"/>
      <c r="K148" s="38"/>
      <c r="L148" s="97"/>
      <c r="M148" s="98"/>
      <c r="N148" s="98"/>
      <c r="O148" s="43"/>
      <c r="P148" s="43"/>
      <c r="Q148" s="43"/>
      <c r="R148" s="99"/>
      <c r="S148" s="43"/>
      <c r="T148" s="100"/>
    </row>
    <row r="149" spans="2:20" ht="12" customHeight="1">
      <c r="B149" s="4"/>
      <c r="C149" s="41" t="s">
        <v>1071</v>
      </c>
      <c r="D149" s="95"/>
      <c r="E149" s="95"/>
      <c r="F149" s="96"/>
      <c r="G149" s="68"/>
      <c r="H149" s="68"/>
      <c r="I149" s="68"/>
      <c r="J149" s="43"/>
      <c r="K149" s="38"/>
      <c r="L149" s="97"/>
      <c r="M149" s="98"/>
      <c r="N149" s="98"/>
      <c r="O149" s="43"/>
      <c r="P149" s="43"/>
      <c r="Q149" s="43"/>
      <c r="R149" s="99"/>
      <c r="S149" s="43"/>
      <c r="T149" s="100"/>
    </row>
    <row r="150" spans="2:20" ht="12" customHeight="1">
      <c r="B150" s="4"/>
      <c r="C150" s="41" t="s">
        <v>1072</v>
      </c>
      <c r="D150" s="95"/>
      <c r="E150" s="95"/>
      <c r="F150" s="96"/>
      <c r="G150" s="68"/>
      <c r="H150" s="68"/>
      <c r="I150" s="68"/>
      <c r="J150" s="43"/>
      <c r="K150" s="38"/>
      <c r="L150" s="97"/>
      <c r="M150" s="98"/>
      <c r="N150" s="98"/>
      <c r="O150" s="43"/>
      <c r="P150" s="43"/>
      <c r="Q150" s="43"/>
      <c r="R150" s="99"/>
      <c r="S150" s="43"/>
      <c r="T150" s="100"/>
    </row>
    <row r="151" spans="2:20" ht="12" customHeight="1">
      <c r="B151" s="4"/>
      <c r="C151" s="41" t="s">
        <v>1073</v>
      </c>
      <c r="D151" s="95"/>
      <c r="E151" s="95"/>
      <c r="F151" s="96"/>
      <c r="G151" s="68"/>
      <c r="H151" s="68"/>
      <c r="I151" s="68"/>
      <c r="J151" s="43"/>
      <c r="K151" s="38"/>
      <c r="L151" s="97"/>
      <c r="M151" s="98"/>
      <c r="N151" s="98"/>
      <c r="O151" s="43"/>
      <c r="P151" s="43"/>
      <c r="Q151" s="43"/>
      <c r="R151" s="99"/>
      <c r="S151" s="43"/>
      <c r="T151" s="100"/>
    </row>
    <row r="152" spans="2:20" ht="12" customHeight="1">
      <c r="B152" s="4"/>
      <c r="C152" s="41" t="s">
        <v>1074</v>
      </c>
      <c r="D152" s="95"/>
      <c r="E152" s="95"/>
      <c r="F152" s="96"/>
      <c r="G152" s="68"/>
      <c r="H152" s="68"/>
      <c r="I152" s="68"/>
      <c r="J152" s="43"/>
      <c r="K152" s="38"/>
      <c r="L152" s="97"/>
      <c r="M152" s="98"/>
      <c r="N152" s="98"/>
      <c r="O152" s="43"/>
      <c r="P152" s="43"/>
      <c r="Q152" s="43"/>
      <c r="R152" s="99"/>
      <c r="S152" s="43"/>
      <c r="T152" s="100"/>
    </row>
    <row r="153" spans="2:20" ht="12" customHeight="1">
      <c r="B153" s="4"/>
      <c r="C153" s="41" t="s">
        <v>1075</v>
      </c>
      <c r="D153" s="95"/>
      <c r="E153" s="95"/>
      <c r="F153" s="96"/>
      <c r="G153" s="68"/>
      <c r="H153" s="68"/>
      <c r="I153" s="68"/>
      <c r="J153" s="43"/>
      <c r="K153" s="38"/>
      <c r="L153" s="97"/>
      <c r="M153" s="98"/>
      <c r="N153" s="98"/>
      <c r="O153" s="43"/>
      <c r="P153" s="43"/>
      <c r="Q153" s="43"/>
      <c r="R153" s="99"/>
      <c r="S153" s="43"/>
      <c r="T153" s="100"/>
    </row>
    <row r="154" spans="2:20" ht="12" customHeight="1">
      <c r="B154" s="4"/>
      <c r="C154" s="41" t="s">
        <v>1076</v>
      </c>
      <c r="D154" s="95"/>
      <c r="E154" s="95"/>
      <c r="F154" s="96"/>
      <c r="G154" s="68"/>
      <c r="H154" s="68"/>
      <c r="I154" s="68"/>
      <c r="J154" s="43"/>
      <c r="K154" s="38"/>
      <c r="L154" s="97"/>
      <c r="M154" s="98"/>
      <c r="N154" s="98"/>
      <c r="O154" s="43"/>
      <c r="P154" s="43"/>
      <c r="Q154" s="43"/>
      <c r="R154" s="99"/>
      <c r="S154" s="43"/>
      <c r="T154" s="100"/>
    </row>
    <row r="155" spans="2:20" ht="12" customHeight="1">
      <c r="B155" s="4"/>
      <c r="C155" s="41" t="s">
        <v>1077</v>
      </c>
      <c r="D155" s="95"/>
      <c r="E155" s="95"/>
      <c r="F155" s="96"/>
      <c r="G155" s="68"/>
      <c r="H155" s="68"/>
      <c r="I155" s="68"/>
      <c r="J155" s="43"/>
      <c r="K155" s="38"/>
      <c r="L155" s="97"/>
      <c r="M155" s="98"/>
      <c r="N155" s="98"/>
      <c r="O155" s="43"/>
      <c r="P155" s="43"/>
      <c r="Q155" s="43"/>
      <c r="R155" s="99"/>
      <c r="S155" s="43"/>
      <c r="T155" s="100"/>
    </row>
    <row r="156" spans="2:20" ht="12" customHeight="1">
      <c r="B156" s="4"/>
      <c r="C156" s="41" t="s">
        <v>1078</v>
      </c>
      <c r="D156" s="95"/>
      <c r="E156" s="95"/>
      <c r="F156" s="96"/>
      <c r="G156" s="68"/>
      <c r="H156" s="68"/>
      <c r="I156" s="68"/>
      <c r="J156" s="43"/>
      <c r="K156" s="38"/>
      <c r="L156" s="97"/>
      <c r="M156" s="98"/>
      <c r="N156" s="98"/>
      <c r="O156" s="43"/>
      <c r="P156" s="43"/>
      <c r="Q156" s="43"/>
      <c r="R156" s="99"/>
      <c r="S156" s="43"/>
      <c r="T156" s="100"/>
    </row>
    <row r="157" spans="2:20" ht="12" customHeight="1">
      <c r="B157" s="4"/>
      <c r="C157" s="41" t="s">
        <v>1079</v>
      </c>
      <c r="D157" s="95"/>
      <c r="E157" s="95"/>
      <c r="F157" s="96"/>
      <c r="G157" s="68"/>
      <c r="H157" s="68"/>
      <c r="I157" s="68"/>
      <c r="J157" s="43"/>
      <c r="K157" s="38"/>
      <c r="L157" s="97"/>
      <c r="M157" s="98"/>
      <c r="N157" s="98"/>
      <c r="O157" s="43"/>
      <c r="P157" s="43"/>
      <c r="Q157" s="43"/>
      <c r="R157" s="99"/>
      <c r="S157" s="43"/>
      <c r="T157" s="100"/>
    </row>
    <row r="158" spans="2:20" ht="12" customHeight="1">
      <c r="B158" s="4"/>
      <c r="C158" s="41" t="s">
        <v>1080</v>
      </c>
      <c r="D158" s="95"/>
      <c r="E158" s="95"/>
      <c r="F158" s="96"/>
      <c r="G158" s="68"/>
      <c r="H158" s="68"/>
      <c r="I158" s="68"/>
      <c r="J158" s="43"/>
      <c r="K158" s="38"/>
      <c r="L158" s="97"/>
      <c r="M158" s="98"/>
      <c r="N158" s="98"/>
      <c r="O158" s="43"/>
      <c r="P158" s="43"/>
      <c r="Q158" s="43"/>
      <c r="R158" s="99"/>
      <c r="S158" s="43"/>
      <c r="T158" s="100"/>
    </row>
    <row r="159" spans="2:20" ht="12" customHeight="1">
      <c r="B159" s="4"/>
      <c r="C159" s="41" t="s">
        <v>1081</v>
      </c>
      <c r="D159" s="95"/>
      <c r="E159" s="95"/>
      <c r="F159" s="96"/>
      <c r="G159" s="68"/>
      <c r="H159" s="68"/>
      <c r="I159" s="68"/>
      <c r="J159" s="43"/>
      <c r="K159" s="38"/>
      <c r="L159" s="97"/>
      <c r="M159" s="98"/>
      <c r="N159" s="98"/>
      <c r="O159" s="43"/>
      <c r="P159" s="43"/>
      <c r="Q159" s="43"/>
      <c r="R159" s="99"/>
      <c r="S159" s="43"/>
      <c r="T159" s="100"/>
    </row>
    <row r="160" spans="2:20" ht="12" customHeight="1">
      <c r="B160" s="4"/>
      <c r="C160" s="41" t="s">
        <v>1082</v>
      </c>
      <c r="D160" s="95"/>
      <c r="E160" s="95"/>
      <c r="F160" s="96"/>
      <c r="G160" s="68"/>
      <c r="H160" s="68"/>
      <c r="I160" s="68"/>
      <c r="J160" s="43"/>
      <c r="K160" s="38"/>
      <c r="L160" s="97"/>
      <c r="M160" s="98"/>
      <c r="N160" s="98"/>
      <c r="O160" s="43"/>
      <c r="P160" s="43"/>
      <c r="Q160" s="43"/>
      <c r="R160" s="99"/>
      <c r="S160" s="43"/>
      <c r="T160" s="100"/>
    </row>
    <row r="161" spans="2:20" ht="12" customHeight="1">
      <c r="B161" s="4"/>
      <c r="C161" s="41" t="s">
        <v>1083</v>
      </c>
      <c r="D161" s="95"/>
      <c r="E161" s="95"/>
      <c r="F161" s="96"/>
      <c r="G161" s="68"/>
      <c r="H161" s="68"/>
      <c r="I161" s="68"/>
      <c r="J161" s="43"/>
      <c r="K161" s="38"/>
      <c r="L161" s="97"/>
      <c r="M161" s="98"/>
      <c r="N161" s="98"/>
      <c r="O161" s="43"/>
      <c r="P161" s="43"/>
      <c r="Q161" s="43"/>
      <c r="R161" s="99"/>
      <c r="S161" s="43"/>
      <c r="T161" s="100"/>
    </row>
    <row r="162" spans="2:20" ht="12" customHeight="1">
      <c r="B162" s="4"/>
      <c r="C162" s="41" t="s">
        <v>1084</v>
      </c>
      <c r="D162" s="95"/>
      <c r="E162" s="95"/>
      <c r="F162" s="96"/>
      <c r="G162" s="68"/>
      <c r="H162" s="68"/>
      <c r="I162" s="68"/>
      <c r="J162" s="43"/>
      <c r="K162" s="38"/>
      <c r="L162" s="97"/>
      <c r="M162" s="98"/>
      <c r="N162" s="98"/>
      <c r="O162" s="43"/>
      <c r="P162" s="43"/>
      <c r="Q162" s="43"/>
      <c r="R162" s="99"/>
      <c r="S162" s="43"/>
      <c r="T162" s="100"/>
    </row>
    <row r="163" spans="2:20" ht="12" customHeight="1">
      <c r="B163" s="4"/>
      <c r="C163" s="41" t="s">
        <v>1085</v>
      </c>
      <c r="D163" s="95"/>
      <c r="E163" s="95"/>
      <c r="F163" s="96"/>
      <c r="G163" s="68"/>
      <c r="H163" s="68"/>
      <c r="I163" s="68"/>
      <c r="J163" s="43"/>
      <c r="K163" s="38"/>
      <c r="L163" s="97"/>
      <c r="M163" s="98"/>
      <c r="N163" s="98"/>
      <c r="O163" s="43"/>
      <c r="P163" s="43"/>
      <c r="Q163" s="43"/>
      <c r="R163" s="99"/>
      <c r="S163" s="43"/>
      <c r="T163" s="100"/>
    </row>
    <row r="164" spans="2:20" ht="12" customHeight="1">
      <c r="B164" s="4"/>
      <c r="C164" s="41" t="s">
        <v>1086</v>
      </c>
      <c r="D164" s="95"/>
      <c r="E164" s="95"/>
      <c r="F164" s="96"/>
      <c r="G164" s="68"/>
      <c r="H164" s="68"/>
      <c r="I164" s="68"/>
      <c r="J164" s="43"/>
      <c r="K164" s="38"/>
      <c r="L164" s="97"/>
      <c r="M164" s="98"/>
      <c r="N164" s="98"/>
      <c r="O164" s="43"/>
      <c r="P164" s="43"/>
      <c r="Q164" s="43"/>
      <c r="R164" s="99"/>
      <c r="S164" s="43"/>
      <c r="T164" s="100"/>
    </row>
    <row r="165" spans="2:20" ht="12" customHeight="1">
      <c r="B165" s="4"/>
      <c r="C165" s="41" t="s">
        <v>1087</v>
      </c>
      <c r="D165" s="95"/>
      <c r="E165" s="95"/>
      <c r="F165" s="96"/>
      <c r="G165" s="68"/>
      <c r="H165" s="68"/>
      <c r="I165" s="68"/>
      <c r="J165" s="43"/>
      <c r="K165" s="38"/>
      <c r="L165" s="97"/>
      <c r="M165" s="98"/>
      <c r="N165" s="98"/>
      <c r="O165" s="43"/>
      <c r="P165" s="43"/>
      <c r="Q165" s="43"/>
      <c r="R165" s="99"/>
      <c r="S165" s="43"/>
      <c r="T165" s="100"/>
    </row>
    <row r="166" spans="2:20" ht="12" customHeight="1">
      <c r="B166" s="4"/>
      <c r="C166" s="41" t="s">
        <v>1088</v>
      </c>
      <c r="D166" s="95"/>
      <c r="E166" s="95"/>
      <c r="F166" s="96"/>
      <c r="G166" s="68"/>
      <c r="H166" s="68"/>
      <c r="I166" s="68"/>
      <c r="J166" s="43"/>
      <c r="K166" s="38"/>
      <c r="L166" s="97"/>
      <c r="M166" s="98"/>
      <c r="N166" s="98"/>
      <c r="O166" s="43"/>
      <c r="P166" s="43"/>
      <c r="Q166" s="43"/>
      <c r="R166" s="99"/>
      <c r="S166" s="43"/>
      <c r="T166" s="100"/>
    </row>
    <row r="167" spans="2:20" ht="12" customHeight="1">
      <c r="B167" s="4"/>
      <c r="C167" s="41" t="s">
        <v>1089</v>
      </c>
      <c r="D167" s="95"/>
      <c r="E167" s="95"/>
      <c r="F167" s="96"/>
      <c r="G167" s="68"/>
      <c r="H167" s="68"/>
      <c r="I167" s="68"/>
      <c r="J167" s="43"/>
      <c r="K167" s="38"/>
      <c r="L167" s="97"/>
      <c r="M167" s="98"/>
      <c r="N167" s="98"/>
      <c r="O167" s="43"/>
      <c r="P167" s="43"/>
      <c r="Q167" s="43"/>
      <c r="R167" s="99"/>
      <c r="S167" s="43"/>
      <c r="T167" s="100"/>
    </row>
    <row r="168" spans="2:20" ht="12" customHeight="1">
      <c r="B168" s="4"/>
      <c r="C168" s="41" t="s">
        <v>1090</v>
      </c>
      <c r="D168" s="95"/>
      <c r="E168" s="95"/>
      <c r="F168" s="96"/>
      <c r="G168" s="68"/>
      <c r="H168" s="68"/>
      <c r="I168" s="68"/>
      <c r="J168" s="43"/>
      <c r="K168" s="38"/>
      <c r="L168" s="97"/>
      <c r="M168" s="98"/>
      <c r="N168" s="98"/>
      <c r="O168" s="43"/>
      <c r="P168" s="43"/>
      <c r="Q168" s="43"/>
      <c r="R168" s="99"/>
      <c r="S168" s="43"/>
      <c r="T168" s="100"/>
    </row>
    <row r="169" spans="2:20" ht="12" customHeight="1">
      <c r="B169" s="4"/>
      <c r="C169" s="41" t="s">
        <v>1091</v>
      </c>
      <c r="D169" s="95"/>
      <c r="E169" s="95"/>
      <c r="F169" s="96"/>
      <c r="G169" s="68"/>
      <c r="H169" s="68"/>
      <c r="I169" s="68"/>
      <c r="J169" s="43"/>
      <c r="K169" s="38"/>
      <c r="L169" s="97"/>
      <c r="M169" s="98"/>
      <c r="N169" s="98"/>
      <c r="O169" s="43"/>
      <c r="P169" s="43"/>
      <c r="Q169" s="43"/>
      <c r="R169" s="99"/>
      <c r="S169" s="43"/>
      <c r="T169" s="100"/>
    </row>
    <row r="170" spans="2:20" ht="12" customHeight="1">
      <c r="B170" s="4"/>
      <c r="C170" s="41" t="s">
        <v>1092</v>
      </c>
      <c r="D170" s="95"/>
      <c r="E170" s="95"/>
      <c r="F170" s="96"/>
      <c r="G170" s="68"/>
      <c r="H170" s="68"/>
      <c r="I170" s="68"/>
      <c r="J170" s="43"/>
      <c r="K170" s="38"/>
      <c r="L170" s="97"/>
      <c r="M170" s="98"/>
      <c r="N170" s="98"/>
      <c r="O170" s="43"/>
      <c r="P170" s="43"/>
      <c r="Q170" s="43"/>
      <c r="R170" s="99"/>
      <c r="S170" s="43"/>
      <c r="T170" s="100"/>
    </row>
    <row r="171" spans="2:20" ht="12" customHeight="1">
      <c r="B171" s="4"/>
      <c r="C171" s="41" t="s">
        <v>1093</v>
      </c>
      <c r="D171" s="95"/>
      <c r="E171" s="95"/>
      <c r="F171" s="96"/>
      <c r="G171" s="68"/>
      <c r="H171" s="68"/>
      <c r="I171" s="68"/>
      <c r="J171" s="43"/>
      <c r="K171" s="38"/>
      <c r="L171" s="97"/>
      <c r="M171" s="98"/>
      <c r="N171" s="98"/>
      <c r="O171" s="43"/>
      <c r="P171" s="43"/>
      <c r="Q171" s="43"/>
      <c r="R171" s="99"/>
      <c r="S171" s="43"/>
      <c r="T171" s="100"/>
    </row>
    <row r="172" spans="2:20" ht="12" customHeight="1">
      <c r="B172" s="4"/>
      <c r="C172" s="41" t="s">
        <v>1094</v>
      </c>
      <c r="D172" s="95"/>
      <c r="E172" s="95"/>
      <c r="F172" s="96"/>
      <c r="G172" s="68"/>
      <c r="H172" s="68"/>
      <c r="I172" s="68"/>
      <c r="J172" s="43"/>
      <c r="K172" s="38"/>
      <c r="L172" s="97"/>
      <c r="M172" s="98"/>
      <c r="N172" s="98"/>
      <c r="O172" s="43"/>
      <c r="P172" s="43"/>
      <c r="Q172" s="43"/>
      <c r="R172" s="99"/>
      <c r="S172" s="43"/>
      <c r="T172" s="100"/>
    </row>
    <row r="173" spans="2:20" ht="12" customHeight="1">
      <c r="B173" s="4"/>
      <c r="C173" s="41" t="s">
        <v>1095</v>
      </c>
      <c r="D173" s="95"/>
      <c r="E173" s="95"/>
      <c r="F173" s="96"/>
      <c r="G173" s="68"/>
      <c r="H173" s="68"/>
      <c r="I173" s="68"/>
      <c r="J173" s="43"/>
      <c r="K173" s="38"/>
      <c r="L173" s="97"/>
      <c r="M173" s="98"/>
      <c r="N173" s="98"/>
      <c r="O173" s="43"/>
      <c r="P173" s="43"/>
      <c r="Q173" s="43"/>
      <c r="R173" s="99"/>
      <c r="S173" s="43"/>
      <c r="T173" s="100"/>
    </row>
    <row r="174" spans="2:20" ht="12" customHeight="1">
      <c r="B174" s="4"/>
      <c r="C174" s="41" t="s">
        <v>1096</v>
      </c>
      <c r="D174" s="95"/>
      <c r="E174" s="95"/>
      <c r="F174" s="96"/>
      <c r="G174" s="68"/>
      <c r="H174" s="68"/>
      <c r="I174" s="68"/>
      <c r="J174" s="43"/>
      <c r="K174" s="38"/>
      <c r="L174" s="97"/>
      <c r="M174" s="98"/>
      <c r="N174" s="98"/>
      <c r="O174" s="43"/>
      <c r="P174" s="43"/>
      <c r="Q174" s="43"/>
      <c r="R174" s="99"/>
      <c r="S174" s="43"/>
      <c r="T174" s="100"/>
    </row>
    <row r="175" spans="2:20" ht="12" customHeight="1">
      <c r="B175" s="4"/>
      <c r="C175" s="41" t="s">
        <v>1097</v>
      </c>
      <c r="D175" s="95"/>
      <c r="E175" s="95"/>
      <c r="F175" s="96"/>
      <c r="G175" s="68"/>
      <c r="H175" s="68"/>
      <c r="I175" s="68"/>
      <c r="J175" s="43"/>
      <c r="K175" s="38"/>
      <c r="L175" s="97"/>
      <c r="M175" s="98"/>
      <c r="N175" s="98"/>
      <c r="O175" s="43"/>
      <c r="P175" s="43"/>
      <c r="Q175" s="43"/>
      <c r="R175" s="99"/>
      <c r="S175" s="43"/>
      <c r="T175" s="100"/>
    </row>
    <row r="176" spans="2:20" ht="12" customHeight="1">
      <c r="B176" s="4"/>
      <c r="C176" s="41" t="s">
        <v>1098</v>
      </c>
      <c r="D176" s="95"/>
      <c r="E176" s="95"/>
      <c r="F176" s="96"/>
      <c r="G176" s="68"/>
      <c r="H176" s="68"/>
      <c r="I176" s="68"/>
      <c r="J176" s="43"/>
      <c r="K176" s="38"/>
      <c r="L176" s="97"/>
      <c r="M176" s="98"/>
      <c r="N176" s="98"/>
      <c r="O176" s="43"/>
      <c r="P176" s="43"/>
      <c r="Q176" s="43"/>
      <c r="R176" s="99"/>
      <c r="S176" s="43"/>
      <c r="T176" s="100"/>
    </row>
    <row r="177" spans="2:20" ht="12" customHeight="1">
      <c r="B177" s="4"/>
      <c r="C177" s="41" t="s">
        <v>1099</v>
      </c>
      <c r="D177" s="95"/>
      <c r="E177" s="95"/>
      <c r="F177" s="96"/>
      <c r="G177" s="68"/>
      <c r="H177" s="68"/>
      <c r="I177" s="68"/>
      <c r="J177" s="43"/>
      <c r="K177" s="38"/>
      <c r="L177" s="97"/>
      <c r="M177" s="98"/>
      <c r="N177" s="98"/>
      <c r="O177" s="43"/>
      <c r="P177" s="43"/>
      <c r="Q177" s="43"/>
      <c r="R177" s="99"/>
      <c r="S177" s="43"/>
      <c r="T177" s="100"/>
    </row>
    <row r="178" spans="2:20" ht="12" customHeight="1">
      <c r="B178" s="4"/>
      <c r="C178" s="41" t="s">
        <v>1100</v>
      </c>
      <c r="D178" s="95"/>
      <c r="E178" s="95"/>
      <c r="F178" s="96"/>
      <c r="G178" s="68"/>
      <c r="H178" s="68"/>
      <c r="I178" s="68"/>
      <c r="J178" s="43"/>
      <c r="K178" s="38"/>
      <c r="L178" s="97"/>
      <c r="M178" s="98"/>
      <c r="N178" s="98"/>
      <c r="O178" s="43"/>
      <c r="P178" s="43"/>
      <c r="Q178" s="43"/>
      <c r="R178" s="99"/>
      <c r="S178" s="43"/>
      <c r="T178" s="100"/>
    </row>
    <row r="179" spans="2:20" ht="12" customHeight="1">
      <c r="B179" s="4"/>
      <c r="C179" s="41" t="s">
        <v>1101</v>
      </c>
      <c r="D179" s="95"/>
      <c r="E179" s="95"/>
      <c r="F179" s="96"/>
      <c r="G179" s="68"/>
      <c r="H179" s="68"/>
      <c r="I179" s="68"/>
      <c r="J179" s="43"/>
      <c r="K179" s="38"/>
      <c r="L179" s="97"/>
      <c r="M179" s="98"/>
      <c r="N179" s="98"/>
      <c r="O179" s="43"/>
      <c r="P179" s="43"/>
      <c r="Q179" s="43"/>
      <c r="R179" s="99"/>
      <c r="S179" s="43"/>
      <c r="T179" s="100"/>
    </row>
    <row r="180" spans="2:20" ht="12" customHeight="1">
      <c r="B180" s="4"/>
      <c r="C180" s="41" t="s">
        <v>1102</v>
      </c>
      <c r="D180" s="95"/>
      <c r="E180" s="95"/>
      <c r="F180" s="96"/>
      <c r="G180" s="68"/>
      <c r="H180" s="68"/>
      <c r="I180" s="68"/>
      <c r="J180" s="43"/>
      <c r="K180" s="38"/>
      <c r="L180" s="97"/>
      <c r="M180" s="98"/>
      <c r="N180" s="98"/>
      <c r="O180" s="43"/>
      <c r="P180" s="43"/>
      <c r="Q180" s="43"/>
      <c r="R180" s="99"/>
      <c r="S180" s="43"/>
      <c r="T180" s="100"/>
    </row>
    <row r="181" spans="2:20" ht="12" customHeight="1">
      <c r="B181" s="4"/>
      <c r="C181" s="41" t="s">
        <v>1103</v>
      </c>
      <c r="D181" s="95"/>
      <c r="E181" s="95"/>
      <c r="F181" s="96"/>
      <c r="G181" s="68"/>
      <c r="H181" s="68"/>
      <c r="I181" s="68"/>
      <c r="J181" s="43"/>
      <c r="K181" s="38"/>
      <c r="L181" s="97"/>
      <c r="M181" s="98"/>
      <c r="N181" s="98"/>
      <c r="O181" s="43"/>
      <c r="P181" s="43"/>
      <c r="Q181" s="43"/>
      <c r="R181" s="99"/>
      <c r="S181" s="43"/>
      <c r="T181" s="100"/>
    </row>
    <row r="182" spans="2:20" ht="12" customHeight="1">
      <c r="B182" s="4"/>
      <c r="C182" s="41" t="s">
        <v>1104</v>
      </c>
      <c r="D182" s="95"/>
      <c r="E182" s="95"/>
      <c r="F182" s="96"/>
      <c r="G182" s="68"/>
      <c r="H182" s="68"/>
      <c r="I182" s="68"/>
      <c r="J182" s="43"/>
      <c r="K182" s="38"/>
      <c r="L182" s="97"/>
      <c r="M182" s="98"/>
      <c r="N182" s="98"/>
      <c r="O182" s="43"/>
      <c r="P182" s="43"/>
      <c r="Q182" s="43"/>
      <c r="R182" s="99"/>
      <c r="S182" s="43"/>
      <c r="T182" s="100"/>
    </row>
    <row r="183" spans="2:20" ht="12" customHeight="1">
      <c r="B183" s="4"/>
      <c r="C183" s="41" t="s">
        <v>1105</v>
      </c>
      <c r="D183" s="95"/>
      <c r="E183" s="95"/>
      <c r="F183" s="96"/>
      <c r="G183" s="68"/>
      <c r="H183" s="68"/>
      <c r="I183" s="68"/>
      <c r="J183" s="43"/>
      <c r="K183" s="38"/>
      <c r="L183" s="97"/>
      <c r="M183" s="98"/>
      <c r="N183" s="98"/>
      <c r="O183" s="43"/>
      <c r="P183" s="43"/>
      <c r="Q183" s="43"/>
      <c r="R183" s="99"/>
      <c r="S183" s="43"/>
      <c r="T183" s="100"/>
    </row>
    <row r="184" spans="2:20" ht="12" customHeight="1">
      <c r="B184" s="4"/>
      <c r="C184" s="41" t="s">
        <v>1106</v>
      </c>
      <c r="D184" s="95"/>
      <c r="E184" s="95"/>
      <c r="F184" s="96"/>
      <c r="G184" s="68"/>
      <c r="H184" s="68"/>
      <c r="I184" s="68"/>
      <c r="J184" s="43"/>
      <c r="K184" s="38"/>
      <c r="L184" s="97"/>
      <c r="M184" s="98"/>
      <c r="N184" s="98"/>
      <c r="O184" s="43"/>
      <c r="P184" s="43"/>
      <c r="Q184" s="43"/>
      <c r="R184" s="99"/>
      <c r="S184" s="43"/>
      <c r="T184" s="100"/>
    </row>
    <row r="185" spans="2:20" ht="12" customHeight="1">
      <c r="B185" s="4"/>
      <c r="C185" s="41" t="s">
        <v>1107</v>
      </c>
      <c r="D185" s="95"/>
      <c r="E185" s="95"/>
      <c r="F185" s="96"/>
      <c r="G185" s="68"/>
      <c r="H185" s="68"/>
      <c r="I185" s="68"/>
      <c r="J185" s="43"/>
      <c r="K185" s="38"/>
      <c r="L185" s="97"/>
      <c r="M185" s="98"/>
      <c r="N185" s="98"/>
      <c r="O185" s="43"/>
      <c r="P185" s="43"/>
      <c r="Q185" s="43"/>
      <c r="R185" s="99"/>
      <c r="S185" s="43"/>
      <c r="T185" s="100"/>
    </row>
    <row r="186" spans="2:20" ht="12" customHeight="1">
      <c r="B186" s="4"/>
      <c r="C186" s="41" t="s">
        <v>1108</v>
      </c>
      <c r="D186" s="95"/>
      <c r="E186" s="95"/>
      <c r="F186" s="96"/>
      <c r="G186" s="68"/>
      <c r="H186" s="68"/>
      <c r="I186" s="68"/>
      <c r="J186" s="43"/>
      <c r="K186" s="38"/>
      <c r="L186" s="97"/>
      <c r="M186" s="98"/>
      <c r="N186" s="98"/>
      <c r="O186" s="43"/>
      <c r="P186" s="43"/>
      <c r="Q186" s="43"/>
      <c r="R186" s="99"/>
      <c r="S186" s="43"/>
      <c r="T186" s="100"/>
    </row>
    <row r="187" spans="2:20" ht="12" customHeight="1">
      <c r="B187" s="4"/>
      <c r="C187" s="41" t="s">
        <v>1109</v>
      </c>
      <c r="D187" s="95"/>
      <c r="E187" s="95"/>
      <c r="F187" s="96"/>
      <c r="G187" s="68"/>
      <c r="H187" s="68"/>
      <c r="I187" s="68"/>
      <c r="J187" s="43"/>
      <c r="K187" s="38"/>
      <c r="L187" s="97"/>
      <c r="M187" s="98"/>
      <c r="N187" s="98"/>
      <c r="O187" s="43"/>
      <c r="P187" s="43"/>
      <c r="Q187" s="43"/>
      <c r="R187" s="99"/>
      <c r="S187" s="43"/>
      <c r="T187" s="100"/>
    </row>
    <row r="188" spans="2:20" ht="12" customHeight="1">
      <c r="B188" s="4"/>
      <c r="C188" s="41" t="s">
        <v>1110</v>
      </c>
      <c r="D188" s="95"/>
      <c r="E188" s="95"/>
      <c r="F188" s="96"/>
      <c r="G188" s="68"/>
      <c r="H188" s="68"/>
      <c r="I188" s="68"/>
      <c r="J188" s="43"/>
      <c r="K188" s="38"/>
      <c r="L188" s="97"/>
      <c r="M188" s="98"/>
      <c r="N188" s="98"/>
      <c r="O188" s="43"/>
      <c r="P188" s="43"/>
      <c r="Q188" s="43"/>
      <c r="R188" s="99"/>
      <c r="S188" s="43"/>
      <c r="T188" s="100"/>
    </row>
    <row r="189" spans="2:20" ht="12" customHeight="1">
      <c r="B189" s="4"/>
      <c r="C189" s="41" t="s">
        <v>1111</v>
      </c>
      <c r="D189" s="95"/>
      <c r="E189" s="95"/>
      <c r="F189" s="96"/>
      <c r="G189" s="68"/>
      <c r="H189" s="68"/>
      <c r="I189" s="68"/>
      <c r="J189" s="43"/>
      <c r="K189" s="38"/>
      <c r="L189" s="97"/>
      <c r="M189" s="98"/>
      <c r="N189" s="98"/>
      <c r="O189" s="43"/>
      <c r="P189" s="43"/>
      <c r="Q189" s="43"/>
      <c r="R189" s="99"/>
      <c r="S189" s="43"/>
      <c r="T189" s="100"/>
    </row>
    <row r="190" spans="2:20" ht="12" customHeight="1">
      <c r="B190" s="4"/>
      <c r="C190" s="41" t="s">
        <v>1112</v>
      </c>
      <c r="D190" s="95"/>
      <c r="E190" s="95"/>
      <c r="F190" s="96"/>
      <c r="G190" s="68"/>
      <c r="H190" s="68"/>
      <c r="I190" s="68"/>
      <c r="J190" s="43"/>
      <c r="K190" s="38"/>
      <c r="L190" s="97"/>
      <c r="M190" s="98"/>
      <c r="N190" s="98"/>
      <c r="O190" s="43"/>
      <c r="P190" s="43"/>
      <c r="Q190" s="43"/>
      <c r="R190" s="99"/>
      <c r="S190" s="43"/>
      <c r="T190" s="100"/>
    </row>
    <row r="191" spans="2:20" ht="12" customHeight="1">
      <c r="B191" s="4"/>
      <c r="C191" s="41" t="s">
        <v>1113</v>
      </c>
      <c r="D191" s="95"/>
      <c r="E191" s="95"/>
      <c r="F191" s="96"/>
      <c r="G191" s="68"/>
      <c r="H191" s="68"/>
      <c r="I191" s="68"/>
      <c r="J191" s="43"/>
      <c r="K191" s="38"/>
      <c r="L191" s="97"/>
      <c r="M191" s="98"/>
      <c r="N191" s="98"/>
      <c r="O191" s="43"/>
      <c r="P191" s="43"/>
      <c r="Q191" s="43"/>
      <c r="R191" s="99"/>
      <c r="S191" s="43"/>
      <c r="T191" s="100"/>
    </row>
    <row r="192" spans="2:20" ht="12" customHeight="1">
      <c r="B192" s="4"/>
      <c r="C192" s="41" t="s">
        <v>1114</v>
      </c>
      <c r="D192" s="95"/>
      <c r="E192" s="95"/>
      <c r="F192" s="96"/>
      <c r="G192" s="68"/>
      <c r="H192" s="68"/>
      <c r="I192" s="68"/>
      <c r="J192" s="43"/>
      <c r="K192" s="38"/>
      <c r="L192" s="97"/>
      <c r="M192" s="98"/>
      <c r="N192" s="98"/>
      <c r="O192" s="43"/>
      <c r="P192" s="43"/>
      <c r="Q192" s="43"/>
      <c r="R192" s="99"/>
      <c r="S192" s="43"/>
      <c r="T192" s="100"/>
    </row>
    <row r="193" spans="2:20" ht="12" customHeight="1">
      <c r="B193" s="4"/>
      <c r="C193" s="41" t="s">
        <v>1115</v>
      </c>
      <c r="D193" s="95"/>
      <c r="E193" s="95"/>
      <c r="F193" s="96"/>
      <c r="G193" s="68"/>
      <c r="H193" s="68"/>
      <c r="I193" s="68"/>
      <c r="J193" s="43"/>
      <c r="K193" s="38"/>
      <c r="L193" s="97"/>
      <c r="M193" s="98"/>
      <c r="N193" s="98"/>
      <c r="O193" s="43"/>
      <c r="P193" s="43"/>
      <c r="Q193" s="43"/>
      <c r="R193" s="99"/>
      <c r="S193" s="43"/>
      <c r="T193" s="100"/>
    </row>
    <row r="194" spans="2:20" ht="12" customHeight="1">
      <c r="B194" s="4"/>
      <c r="C194" s="41" t="s">
        <v>1116</v>
      </c>
      <c r="D194" s="95"/>
      <c r="E194" s="95"/>
      <c r="F194" s="96"/>
      <c r="G194" s="68"/>
      <c r="H194" s="68"/>
      <c r="I194" s="68"/>
      <c r="J194" s="43"/>
      <c r="K194" s="38"/>
      <c r="L194" s="97"/>
      <c r="M194" s="98"/>
      <c r="N194" s="98"/>
      <c r="O194" s="43"/>
      <c r="P194" s="43"/>
      <c r="Q194" s="43"/>
      <c r="R194" s="99"/>
      <c r="S194" s="43"/>
      <c r="T194" s="100"/>
    </row>
    <row r="195" spans="2:20" ht="12" customHeight="1">
      <c r="B195" s="4"/>
      <c r="C195" s="41" t="s">
        <v>1117</v>
      </c>
      <c r="D195" s="95"/>
      <c r="E195" s="95"/>
      <c r="F195" s="96"/>
      <c r="G195" s="68"/>
      <c r="H195" s="68"/>
      <c r="I195" s="68"/>
      <c r="J195" s="43"/>
      <c r="K195" s="38"/>
      <c r="L195" s="97"/>
      <c r="M195" s="98"/>
      <c r="N195" s="98"/>
      <c r="O195" s="43"/>
      <c r="P195" s="43"/>
      <c r="Q195" s="43"/>
      <c r="R195" s="99"/>
      <c r="S195" s="43"/>
      <c r="T195" s="100"/>
    </row>
    <row r="196" spans="2:20" ht="12" customHeight="1">
      <c r="B196" s="4"/>
      <c r="C196" s="41" t="s">
        <v>1118</v>
      </c>
      <c r="D196" s="95"/>
      <c r="E196" s="95"/>
      <c r="F196" s="96"/>
      <c r="G196" s="68"/>
      <c r="H196" s="68"/>
      <c r="I196" s="68"/>
      <c r="J196" s="43"/>
      <c r="K196" s="38"/>
      <c r="L196" s="97"/>
      <c r="M196" s="98"/>
      <c r="N196" s="98"/>
      <c r="O196" s="43"/>
      <c r="P196" s="43"/>
      <c r="Q196" s="43"/>
      <c r="R196" s="99"/>
      <c r="S196" s="43"/>
      <c r="T196" s="100"/>
    </row>
    <row r="197" spans="2:20" ht="12" customHeight="1">
      <c r="B197" s="4"/>
      <c r="C197" s="41" t="s">
        <v>1119</v>
      </c>
      <c r="D197" s="95"/>
      <c r="E197" s="95"/>
      <c r="F197" s="96"/>
      <c r="G197" s="68"/>
      <c r="H197" s="68"/>
      <c r="I197" s="68"/>
      <c r="J197" s="43"/>
      <c r="K197" s="38"/>
      <c r="L197" s="97"/>
      <c r="M197" s="98"/>
      <c r="N197" s="98"/>
      <c r="O197" s="43"/>
      <c r="P197" s="43"/>
      <c r="Q197" s="43"/>
      <c r="R197" s="99"/>
      <c r="S197" s="43"/>
      <c r="T197" s="100"/>
    </row>
    <row r="198" spans="2:20" ht="12" customHeight="1">
      <c r="B198" s="4"/>
      <c r="C198" s="41" t="s">
        <v>1120</v>
      </c>
      <c r="D198" s="95"/>
      <c r="E198" s="95"/>
      <c r="F198" s="96"/>
      <c r="G198" s="68"/>
      <c r="H198" s="68"/>
      <c r="I198" s="68"/>
      <c r="J198" s="43"/>
      <c r="K198" s="38"/>
      <c r="L198" s="97"/>
      <c r="M198" s="98"/>
      <c r="N198" s="98"/>
      <c r="O198" s="43"/>
      <c r="P198" s="43"/>
      <c r="Q198" s="43"/>
      <c r="R198" s="99"/>
      <c r="S198" s="43"/>
      <c r="T198" s="100"/>
    </row>
    <row r="199" spans="2:20" ht="12" customHeight="1">
      <c r="B199" s="4"/>
      <c r="C199" s="41" t="s">
        <v>1121</v>
      </c>
      <c r="D199" s="95"/>
      <c r="E199" s="95"/>
      <c r="F199" s="96"/>
      <c r="G199" s="68"/>
      <c r="H199" s="68"/>
      <c r="I199" s="68"/>
      <c r="J199" s="43"/>
      <c r="K199" s="38"/>
      <c r="L199" s="97"/>
      <c r="M199" s="98"/>
      <c r="N199" s="98"/>
      <c r="O199" s="43"/>
      <c r="P199" s="43"/>
      <c r="Q199" s="43"/>
      <c r="R199" s="99"/>
      <c r="S199" s="43"/>
      <c r="T199" s="100"/>
    </row>
    <row r="200" spans="2:20" ht="12" customHeight="1">
      <c r="B200" s="4"/>
      <c r="C200" s="41" t="s">
        <v>1122</v>
      </c>
      <c r="D200" s="95"/>
      <c r="E200" s="95"/>
      <c r="F200" s="96"/>
      <c r="G200" s="68"/>
      <c r="H200" s="68"/>
      <c r="I200" s="68"/>
      <c r="J200" s="43"/>
      <c r="K200" s="38"/>
      <c r="L200" s="97"/>
      <c r="M200" s="98"/>
      <c r="N200" s="98"/>
      <c r="O200" s="43"/>
      <c r="P200" s="43"/>
      <c r="Q200" s="43"/>
      <c r="R200" s="99"/>
      <c r="S200" s="43"/>
      <c r="T200" s="100"/>
    </row>
    <row r="201" spans="2:20" ht="12" customHeight="1">
      <c r="B201" s="4"/>
      <c r="C201" s="41" t="s">
        <v>1123</v>
      </c>
      <c r="D201" s="95"/>
      <c r="E201" s="95"/>
      <c r="F201" s="96"/>
      <c r="G201" s="68"/>
      <c r="H201" s="68"/>
      <c r="I201" s="68"/>
      <c r="J201" s="43"/>
      <c r="K201" s="38"/>
      <c r="L201" s="97"/>
      <c r="M201" s="98"/>
      <c r="N201" s="98"/>
      <c r="O201" s="43"/>
      <c r="P201" s="43"/>
      <c r="Q201" s="43"/>
      <c r="R201" s="99"/>
      <c r="S201" s="43"/>
      <c r="T201" s="100"/>
    </row>
    <row r="202" spans="2:20" ht="12" customHeight="1">
      <c r="B202" s="4"/>
      <c r="C202" s="41" t="s">
        <v>1124</v>
      </c>
      <c r="D202" s="95"/>
      <c r="E202" s="95"/>
      <c r="F202" s="96"/>
      <c r="G202" s="68"/>
      <c r="H202" s="68"/>
      <c r="I202" s="68"/>
      <c r="J202" s="43"/>
      <c r="K202" s="38"/>
      <c r="L202" s="97"/>
      <c r="M202" s="98"/>
      <c r="N202" s="98"/>
      <c r="O202" s="43"/>
      <c r="P202" s="43"/>
      <c r="Q202" s="43"/>
      <c r="R202" s="99"/>
      <c r="S202" s="43"/>
      <c r="T202" s="100"/>
    </row>
    <row r="203" spans="2:20" ht="12" customHeight="1">
      <c r="B203" s="4"/>
      <c r="C203" s="41" t="s">
        <v>1125</v>
      </c>
      <c r="D203" s="95"/>
      <c r="E203" s="95"/>
      <c r="F203" s="96"/>
      <c r="G203" s="68"/>
      <c r="H203" s="68"/>
      <c r="I203" s="68"/>
      <c r="J203" s="43"/>
      <c r="K203" s="38"/>
      <c r="L203" s="97"/>
      <c r="M203" s="98"/>
      <c r="N203" s="98"/>
      <c r="O203" s="43"/>
      <c r="P203" s="43"/>
      <c r="Q203" s="43"/>
      <c r="R203" s="99"/>
      <c r="S203" s="43"/>
      <c r="T203" s="100"/>
    </row>
    <row r="204" spans="2:20" ht="12" customHeight="1">
      <c r="B204" s="4"/>
      <c r="C204" s="41" t="s">
        <v>1126</v>
      </c>
      <c r="D204" s="95"/>
      <c r="E204" s="95"/>
      <c r="F204" s="96"/>
      <c r="G204" s="68"/>
      <c r="H204" s="68"/>
      <c r="I204" s="68"/>
      <c r="J204" s="43"/>
      <c r="K204" s="38"/>
      <c r="L204" s="97"/>
      <c r="M204" s="98"/>
      <c r="N204" s="98"/>
      <c r="O204" s="43"/>
      <c r="P204" s="43"/>
      <c r="Q204" s="43"/>
      <c r="R204" s="99"/>
      <c r="S204" s="43"/>
      <c r="T204" s="100"/>
    </row>
    <row r="205" spans="2:20" ht="12" customHeight="1" thickBot="1">
      <c r="B205" s="63"/>
      <c r="C205" s="42" t="s">
        <v>1127</v>
      </c>
      <c r="D205" s="101"/>
      <c r="E205" s="101"/>
      <c r="F205" s="102"/>
      <c r="G205" s="69"/>
      <c r="H205" s="69"/>
      <c r="I205" s="69"/>
      <c r="J205" s="45"/>
      <c r="K205" s="103"/>
      <c r="L205" s="104"/>
      <c r="M205" s="105"/>
      <c r="N205" s="105"/>
      <c r="O205" s="45"/>
      <c r="P205" s="45"/>
      <c r="Q205" s="45"/>
      <c r="R205" s="106"/>
      <c r="S205" s="45"/>
      <c r="T205" s="107"/>
    </row>
    <row r="206" spans="2:20" ht="12" customHeight="1" thickBot="1">
      <c r="B206" s="1620" t="s">
        <v>432</v>
      </c>
      <c r="C206" s="1620"/>
      <c r="D206" s="73"/>
      <c r="E206" s="73"/>
      <c r="F206" s="74"/>
      <c r="G206" s="75"/>
      <c r="H206" s="75"/>
      <c r="I206" s="75"/>
      <c r="J206" s="111">
        <f>SUM(J6:J205)</f>
        <v>0</v>
      </c>
      <c r="K206" s="77"/>
      <c r="L206" s="78"/>
      <c r="M206" s="79"/>
      <c r="N206" s="79"/>
      <c r="O206" s="111">
        <f>SUM(O6:O205)</f>
        <v>0</v>
      </c>
      <c r="P206" s="76"/>
      <c r="Q206" s="76"/>
      <c r="R206" s="80"/>
      <c r="S206" s="111">
        <f>SUM(S6:S205)</f>
        <v>0</v>
      </c>
      <c r="T206" s="81"/>
    </row>
  </sheetData>
  <mergeCells count="7">
    <mergeCell ref="E4:E5"/>
    <mergeCell ref="F4:H4"/>
    <mergeCell ref="I4:N4"/>
    <mergeCell ref="O4:T4"/>
    <mergeCell ref="B206:C206"/>
    <mergeCell ref="C4:C5"/>
    <mergeCell ref="D4:D5"/>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heetPr>
  <dimension ref="B1:Y306"/>
  <sheetViews>
    <sheetView showGridLines="0" workbookViewId="0">
      <pane xSplit="1" ySplit="5" topLeftCell="B6" activePane="bottomRight" state="frozen"/>
      <selection pane="topRight" activeCell="B1" sqref="B1"/>
      <selection pane="bottomLeft" activeCell="A6" sqref="A6"/>
      <selection pane="bottomRight" activeCell="B6" sqref="B6"/>
    </sheetView>
  </sheetViews>
  <sheetFormatPr baseColWidth="10" defaultColWidth="9.140625" defaultRowHeight="15"/>
  <cols>
    <col min="1" max="2" width="2.42578125" customWidth="1"/>
    <col min="3" max="3" width="20.7109375" customWidth="1"/>
    <col min="4" max="5" width="15.7109375" customWidth="1"/>
    <col min="6" max="6" width="35.7109375" customWidth="1"/>
    <col min="7" max="25" width="15.7109375" customWidth="1"/>
  </cols>
  <sheetData>
    <row r="1" spans="2:25" ht="15" customHeight="1"/>
    <row r="2" spans="2:25" s="1" customFormat="1" ht="15" customHeight="1">
      <c r="B2" s="776" t="s">
        <v>1128</v>
      </c>
    </row>
    <row r="3" spans="2:25" ht="15" customHeight="1" thickBot="1">
      <c r="B3" s="72"/>
      <c r="C3" s="72"/>
      <c r="D3" s="72"/>
      <c r="E3" s="72"/>
      <c r="F3" s="72"/>
      <c r="G3" s="72"/>
      <c r="H3" s="72"/>
      <c r="I3" s="72"/>
      <c r="J3" s="72"/>
      <c r="K3" s="72"/>
      <c r="L3" s="72"/>
      <c r="M3" s="72"/>
      <c r="N3" s="72"/>
      <c r="O3" s="72"/>
      <c r="P3" s="72"/>
      <c r="Q3" s="72"/>
      <c r="R3" s="72"/>
      <c r="S3" s="72"/>
      <c r="T3" s="72"/>
      <c r="U3" s="72"/>
      <c r="V3" s="72"/>
      <c r="W3" s="72"/>
      <c r="X3" s="72"/>
      <c r="Y3" s="72"/>
    </row>
    <row r="4" spans="2:25" ht="12.75" customHeight="1" thickBot="1">
      <c r="B4" s="1622" t="s">
        <v>927</v>
      </c>
      <c r="C4" s="1623"/>
      <c r="D4" s="1619" t="s">
        <v>338</v>
      </c>
      <c r="E4" s="1619" t="s">
        <v>339</v>
      </c>
      <c r="F4" s="1619" t="s">
        <v>1229</v>
      </c>
      <c r="G4" s="1619"/>
      <c r="H4" s="1619"/>
      <c r="I4" s="1619" t="s">
        <v>1230</v>
      </c>
      <c r="J4" s="1619"/>
      <c r="K4" s="1619"/>
      <c r="L4" s="1619"/>
      <c r="M4" s="1619"/>
      <c r="N4" s="1619"/>
      <c r="O4" s="1619"/>
      <c r="P4" s="1619"/>
      <c r="Q4" s="1619" t="s">
        <v>1231</v>
      </c>
      <c r="R4" s="1619"/>
      <c r="S4" s="1619"/>
      <c r="T4" s="1619"/>
      <c r="U4" s="1619"/>
      <c r="V4" s="1619"/>
      <c r="W4" s="1619"/>
      <c r="X4" s="1619"/>
      <c r="Y4" s="1619"/>
    </row>
    <row r="5" spans="2:25" ht="93" customHeight="1" thickBot="1">
      <c r="B5" s="1624"/>
      <c r="C5" s="1625"/>
      <c r="D5" s="1619"/>
      <c r="E5" s="1619"/>
      <c r="F5" s="769" t="s">
        <v>340</v>
      </c>
      <c r="G5" s="769" t="s">
        <v>341</v>
      </c>
      <c r="H5" s="769" t="s">
        <v>342</v>
      </c>
      <c r="I5" s="769" t="s">
        <v>355</v>
      </c>
      <c r="J5" s="769" t="s">
        <v>356</v>
      </c>
      <c r="K5" s="769" t="s">
        <v>357</v>
      </c>
      <c r="L5" s="769" t="s">
        <v>358</v>
      </c>
      <c r="M5" s="769" t="s">
        <v>359</v>
      </c>
      <c r="N5" s="769" t="s">
        <v>360</v>
      </c>
      <c r="O5" s="769" t="s">
        <v>361</v>
      </c>
      <c r="P5" s="769" t="s">
        <v>345</v>
      </c>
      <c r="Q5" s="769" t="s">
        <v>346</v>
      </c>
      <c r="R5" s="769" t="s">
        <v>349</v>
      </c>
      <c r="S5" s="769" t="s">
        <v>362</v>
      </c>
      <c r="T5" s="769" t="s">
        <v>363</v>
      </c>
      <c r="U5" s="769" t="s">
        <v>364</v>
      </c>
      <c r="V5" s="769" t="s">
        <v>365</v>
      </c>
      <c r="W5" s="769" t="s">
        <v>366</v>
      </c>
      <c r="X5" s="769" t="s">
        <v>367</v>
      </c>
      <c r="Y5" s="769" t="s">
        <v>368</v>
      </c>
    </row>
    <row r="6" spans="2:25" ht="12" customHeight="1">
      <c r="B6" s="4"/>
      <c r="C6" s="1208" t="s">
        <v>3811</v>
      </c>
      <c r="D6" s="37">
        <v>46662</v>
      </c>
      <c r="E6" s="37">
        <v>1</v>
      </c>
      <c r="F6" s="90" t="s">
        <v>3812</v>
      </c>
      <c r="G6" s="90" t="s">
        <v>3728</v>
      </c>
      <c r="H6" s="121" t="s">
        <v>3887</v>
      </c>
      <c r="I6" s="1209">
        <v>143531.85</v>
      </c>
      <c r="J6" s="65">
        <v>5500000</v>
      </c>
      <c r="K6" s="121" t="s">
        <v>2797</v>
      </c>
      <c r="L6" s="121" t="s">
        <v>3816</v>
      </c>
      <c r="M6" s="1215">
        <v>38.32</v>
      </c>
      <c r="N6" s="1217">
        <v>3.8800000000000001E-2</v>
      </c>
      <c r="O6" s="1217">
        <v>4.7500000000000001E-2</v>
      </c>
      <c r="P6" s="92">
        <v>42466</v>
      </c>
      <c r="Q6" s="92">
        <v>46235</v>
      </c>
      <c r="R6" s="65">
        <v>245808</v>
      </c>
      <c r="S6" s="1209">
        <v>44.69</v>
      </c>
      <c r="T6" s="1217">
        <v>4.4000000000000004E-2</v>
      </c>
      <c r="U6" s="1217">
        <v>5.3399999999999996E-2</v>
      </c>
      <c r="V6" s="65">
        <v>3773790</v>
      </c>
      <c r="W6" s="65">
        <v>3235196</v>
      </c>
      <c r="X6" s="65">
        <v>538594</v>
      </c>
      <c r="Y6" s="1219" t="s">
        <v>3812</v>
      </c>
    </row>
    <row r="7" spans="2:25" ht="12" customHeight="1">
      <c r="B7" s="4"/>
      <c r="C7" s="1207" t="s">
        <v>3811</v>
      </c>
      <c r="D7" s="38">
        <v>46670</v>
      </c>
      <c r="E7" s="38">
        <v>1</v>
      </c>
      <c r="F7" s="96" t="s">
        <v>3812</v>
      </c>
      <c r="G7" s="96" t="s">
        <v>3728</v>
      </c>
      <c r="H7" s="124" t="s">
        <v>3887</v>
      </c>
      <c r="I7" s="1210">
        <v>52706.14</v>
      </c>
      <c r="J7" s="43">
        <v>2000000</v>
      </c>
      <c r="K7" s="124" t="s">
        <v>2797</v>
      </c>
      <c r="L7" s="124" t="s">
        <v>3816</v>
      </c>
      <c r="M7" s="1216">
        <v>37.950000000000003</v>
      </c>
      <c r="N7" s="1218">
        <v>4.24E-2</v>
      </c>
      <c r="O7" s="1218">
        <v>4.8799999999999996E-2</v>
      </c>
      <c r="P7" s="98">
        <v>42471</v>
      </c>
      <c r="Q7" s="98">
        <v>45399</v>
      </c>
      <c r="R7" s="43">
        <v>89385</v>
      </c>
      <c r="S7" s="1210">
        <v>44.69</v>
      </c>
      <c r="T7" s="1218">
        <v>4.0500000000000001E-2</v>
      </c>
      <c r="U7" s="1218">
        <v>4.7300000000000002E-2</v>
      </c>
      <c r="V7" s="43">
        <v>1466363</v>
      </c>
      <c r="W7" s="43">
        <v>1245662</v>
      </c>
      <c r="X7" s="43">
        <v>220701</v>
      </c>
      <c r="Y7" s="1220" t="s">
        <v>3812</v>
      </c>
    </row>
    <row r="8" spans="2:25" ht="12" customHeight="1">
      <c r="B8" s="4"/>
      <c r="C8" s="1207" t="s">
        <v>3811</v>
      </c>
      <c r="D8" s="38">
        <v>47270</v>
      </c>
      <c r="E8" s="38">
        <v>1</v>
      </c>
      <c r="F8" s="96" t="s">
        <v>3812</v>
      </c>
      <c r="G8" s="96" t="s">
        <v>3728</v>
      </c>
      <c r="H8" s="124" t="s">
        <v>3887</v>
      </c>
      <c r="I8" s="1210">
        <v>101397.75999999999</v>
      </c>
      <c r="J8" s="43">
        <v>4000000</v>
      </c>
      <c r="K8" s="124" t="s">
        <v>2797</v>
      </c>
      <c r="L8" s="124" t="s">
        <v>3816</v>
      </c>
      <c r="M8" s="1216">
        <v>39.450000000000003</v>
      </c>
      <c r="N8" s="1218">
        <v>3.15E-2</v>
      </c>
      <c r="O8" s="1218">
        <v>4.3499999999999997E-2</v>
      </c>
      <c r="P8" s="98">
        <v>42662</v>
      </c>
      <c r="Q8" s="98">
        <v>46294</v>
      </c>
      <c r="R8" s="43">
        <v>178769</v>
      </c>
      <c r="S8" s="1210">
        <v>44.69</v>
      </c>
      <c r="T8" s="1218">
        <v>3.4000000000000002E-2</v>
      </c>
      <c r="U8" s="1218">
        <v>4.6500000000000007E-2</v>
      </c>
      <c r="V8" s="43">
        <v>2689884</v>
      </c>
      <c r="W8" s="43">
        <v>2372650</v>
      </c>
      <c r="X8" s="43">
        <v>317234</v>
      </c>
      <c r="Y8" s="1220" t="s">
        <v>3812</v>
      </c>
    </row>
    <row r="9" spans="2:25" ht="12" customHeight="1">
      <c r="B9" s="4"/>
      <c r="C9" s="1207" t="s">
        <v>3811</v>
      </c>
      <c r="D9" s="38">
        <v>45649</v>
      </c>
      <c r="E9" s="38">
        <v>1</v>
      </c>
      <c r="F9" s="96" t="s">
        <v>3812</v>
      </c>
      <c r="G9" s="96" t="s">
        <v>3728</v>
      </c>
      <c r="H9" s="124" t="s">
        <v>3887</v>
      </c>
      <c r="I9" s="1210">
        <v>135538.71</v>
      </c>
      <c r="J9" s="43">
        <v>5000000</v>
      </c>
      <c r="K9" s="124" t="s">
        <v>2797</v>
      </c>
      <c r="L9" s="124" t="s">
        <v>3816</v>
      </c>
      <c r="M9" s="1216">
        <v>36.89</v>
      </c>
      <c r="N9" s="1218">
        <v>4.24E-2</v>
      </c>
      <c r="O9" s="1218">
        <v>5.3800000000000001E-2</v>
      </c>
      <c r="P9" s="98">
        <v>42310</v>
      </c>
      <c r="Q9" s="98">
        <v>46199</v>
      </c>
      <c r="R9" s="43">
        <v>223462</v>
      </c>
      <c r="S9" s="1210">
        <v>44.69</v>
      </c>
      <c r="T9" s="1218">
        <v>4.9400000000000006E-2</v>
      </c>
      <c r="U9" s="1218">
        <v>6.2E-2</v>
      </c>
      <c r="V9" s="43">
        <v>3537082</v>
      </c>
      <c r="W9" s="43">
        <v>2916998</v>
      </c>
      <c r="X9" s="43">
        <v>620084</v>
      </c>
      <c r="Y9" s="1220" t="s">
        <v>3812</v>
      </c>
    </row>
    <row r="10" spans="2:25" ht="12" customHeight="1">
      <c r="B10" s="4"/>
      <c r="C10" s="1207" t="s">
        <v>3811</v>
      </c>
      <c r="D10" s="38">
        <v>48027</v>
      </c>
      <c r="E10" s="38">
        <v>1</v>
      </c>
      <c r="F10" s="96" t="s">
        <v>3812</v>
      </c>
      <c r="G10" s="96" t="s">
        <v>3728</v>
      </c>
      <c r="H10" s="124" t="s">
        <v>3887</v>
      </c>
      <c r="I10" s="1210">
        <v>51310.82</v>
      </c>
      <c r="J10" s="43">
        <v>2000000</v>
      </c>
      <c r="K10" s="124" t="s">
        <v>2797</v>
      </c>
      <c r="L10" s="124" t="s">
        <v>3816</v>
      </c>
      <c r="M10" s="1216">
        <v>38.979999999999997</v>
      </c>
      <c r="N10" s="1218">
        <v>4.4999999999999998E-2</v>
      </c>
      <c r="O10" s="1218">
        <v>4.4999999999999998E-2</v>
      </c>
      <c r="P10" s="98">
        <v>42825</v>
      </c>
      <c r="Q10" s="98">
        <v>44885</v>
      </c>
      <c r="R10" s="43">
        <v>89385</v>
      </c>
      <c r="S10" s="1210">
        <v>44.69</v>
      </c>
      <c r="T10" s="1218">
        <v>3.7000000000000005E-2</v>
      </c>
      <c r="U10" s="1218">
        <v>4.6399999999999997E-2</v>
      </c>
      <c r="V10" s="43">
        <v>1396663</v>
      </c>
      <c r="W10" s="43">
        <v>1222127</v>
      </c>
      <c r="X10" s="43">
        <v>174536</v>
      </c>
      <c r="Y10" s="1220" t="s">
        <v>3812</v>
      </c>
    </row>
    <row r="11" spans="2:25" ht="12" customHeight="1">
      <c r="B11" s="4"/>
      <c r="C11" s="1207" t="s">
        <v>3811</v>
      </c>
      <c r="D11" s="38">
        <v>47736</v>
      </c>
      <c r="E11" s="38">
        <v>1</v>
      </c>
      <c r="F11" s="96" t="s">
        <v>3812</v>
      </c>
      <c r="G11" s="96" t="s">
        <v>3728</v>
      </c>
      <c r="H11" s="124" t="s">
        <v>3887</v>
      </c>
      <c r="I11" s="1210">
        <v>59499.14</v>
      </c>
      <c r="J11" s="43">
        <v>2400000</v>
      </c>
      <c r="K11" s="124" t="s">
        <v>2797</v>
      </c>
      <c r="L11" s="124" t="s">
        <v>3816</v>
      </c>
      <c r="M11" s="1216">
        <v>40.340000000000003</v>
      </c>
      <c r="N11" s="1218">
        <v>3.6900000000000002E-2</v>
      </c>
      <c r="O11" s="1218">
        <v>5.5E-2</v>
      </c>
      <c r="P11" s="98">
        <v>42758</v>
      </c>
      <c r="Q11" s="98">
        <v>46404</v>
      </c>
      <c r="R11" s="43">
        <v>107262</v>
      </c>
      <c r="S11" s="1210">
        <v>44.69</v>
      </c>
      <c r="T11" s="1218">
        <v>3.7900000000000003E-2</v>
      </c>
      <c r="U11" s="1218">
        <v>5.6500000000000002E-2</v>
      </c>
      <c r="V11" s="43">
        <v>1608890</v>
      </c>
      <c r="W11" s="43">
        <v>1456885</v>
      </c>
      <c r="X11" s="43">
        <v>152005</v>
      </c>
      <c r="Y11" s="1220" t="s">
        <v>3812</v>
      </c>
    </row>
    <row r="12" spans="2:25" ht="12" customHeight="1">
      <c r="B12" s="4"/>
      <c r="C12" s="1207" t="s">
        <v>3811</v>
      </c>
      <c r="D12" s="38">
        <v>47977</v>
      </c>
      <c r="E12" s="38">
        <v>1</v>
      </c>
      <c r="F12" s="96" t="s">
        <v>3812</v>
      </c>
      <c r="G12" s="96" t="s">
        <v>3728</v>
      </c>
      <c r="H12" s="124" t="s">
        <v>3887</v>
      </c>
      <c r="I12" s="1210">
        <v>82947.199999999997</v>
      </c>
      <c r="J12" s="43">
        <v>3300000</v>
      </c>
      <c r="K12" s="124" t="s">
        <v>2797</v>
      </c>
      <c r="L12" s="124" t="s">
        <v>3816</v>
      </c>
      <c r="M12" s="1216">
        <v>39.78</v>
      </c>
      <c r="N12" s="1218">
        <v>3.6499999999999998E-2</v>
      </c>
      <c r="O12" s="1218">
        <v>5.5E-2</v>
      </c>
      <c r="P12" s="98">
        <v>42816</v>
      </c>
      <c r="Q12" s="98">
        <v>46404</v>
      </c>
      <c r="R12" s="43">
        <v>147485</v>
      </c>
      <c r="S12" s="1210">
        <v>44.69</v>
      </c>
      <c r="T12" s="1218">
        <v>3.6799999999999999E-2</v>
      </c>
      <c r="U12" s="1218">
        <v>5.62E-2</v>
      </c>
      <c r="V12" s="43">
        <v>2253279</v>
      </c>
      <c r="W12" s="43">
        <v>2007175</v>
      </c>
      <c r="X12" s="43">
        <v>246104</v>
      </c>
      <c r="Y12" s="1220" t="s">
        <v>3812</v>
      </c>
    </row>
    <row r="13" spans="2:25" ht="12" customHeight="1">
      <c r="B13" s="4"/>
      <c r="C13" s="1207" t="s">
        <v>3811</v>
      </c>
      <c r="D13" s="38">
        <v>49342</v>
      </c>
      <c r="E13" s="38">
        <v>1</v>
      </c>
      <c r="F13" s="96" t="s">
        <v>3812</v>
      </c>
      <c r="G13" s="96" t="s">
        <v>3728</v>
      </c>
      <c r="H13" s="124" t="s">
        <v>3887</v>
      </c>
      <c r="I13" s="1210">
        <v>21902.29</v>
      </c>
      <c r="J13" s="43">
        <v>900000</v>
      </c>
      <c r="K13" s="124" t="s">
        <v>2797</v>
      </c>
      <c r="L13" s="124" t="s">
        <v>3816</v>
      </c>
      <c r="M13" s="1216">
        <v>41.09</v>
      </c>
      <c r="N13" s="1218">
        <v>4.3099999999999999E-2</v>
      </c>
      <c r="O13" s="1218">
        <v>5.7500000000000002E-2</v>
      </c>
      <c r="P13" s="98">
        <v>43088</v>
      </c>
      <c r="Q13" s="98">
        <v>46217</v>
      </c>
      <c r="R13" s="43">
        <v>40223</v>
      </c>
      <c r="S13" s="1210">
        <v>44.69</v>
      </c>
      <c r="T13" s="1218">
        <v>3.3799999999999997E-2</v>
      </c>
      <c r="U13" s="1218">
        <v>4.8000000000000001E-2</v>
      </c>
      <c r="V13" s="43">
        <v>636656</v>
      </c>
      <c r="W13" s="43">
        <v>586594</v>
      </c>
      <c r="X13" s="43">
        <v>50062</v>
      </c>
      <c r="Y13" s="1220" t="s">
        <v>3812</v>
      </c>
    </row>
    <row r="14" spans="2:25" ht="12" customHeight="1">
      <c r="B14" s="4"/>
      <c r="C14" s="1207" t="s">
        <v>3811</v>
      </c>
      <c r="D14" s="38">
        <v>49309</v>
      </c>
      <c r="E14" s="38">
        <v>1</v>
      </c>
      <c r="F14" s="96" t="s">
        <v>3812</v>
      </c>
      <c r="G14" s="96" t="s">
        <v>3728</v>
      </c>
      <c r="H14" s="124" t="s">
        <v>3887</v>
      </c>
      <c r="I14" s="1210">
        <v>24130.58</v>
      </c>
      <c r="J14" s="43">
        <v>1000000</v>
      </c>
      <c r="K14" s="124" t="s">
        <v>2797</v>
      </c>
      <c r="L14" s="124" t="s">
        <v>3816</v>
      </c>
      <c r="M14" s="1216">
        <v>41.44</v>
      </c>
      <c r="N14" s="1218">
        <v>4.4000000000000004E-2</v>
      </c>
      <c r="O14" s="1218">
        <v>5.7500000000000002E-2</v>
      </c>
      <c r="P14" s="98">
        <v>43066</v>
      </c>
      <c r="Q14" s="98">
        <v>46217</v>
      </c>
      <c r="R14" s="43">
        <v>44692</v>
      </c>
      <c r="S14" s="1210">
        <v>44.69</v>
      </c>
      <c r="T14" s="1218">
        <v>3.3700000000000001E-2</v>
      </c>
      <c r="U14" s="1218">
        <v>4.7100000000000003E-2</v>
      </c>
      <c r="V14" s="43">
        <v>706143</v>
      </c>
      <c r="W14" s="43">
        <v>655830</v>
      </c>
      <c r="X14" s="43">
        <v>50313</v>
      </c>
      <c r="Y14" s="1220" t="s">
        <v>3812</v>
      </c>
    </row>
    <row r="15" spans="2:25" ht="12" customHeight="1">
      <c r="B15" s="4"/>
      <c r="C15" s="1207" t="s">
        <v>3811</v>
      </c>
      <c r="D15" s="38">
        <v>49342</v>
      </c>
      <c r="E15" s="38">
        <v>2</v>
      </c>
      <c r="F15" s="96" t="s">
        <v>3812</v>
      </c>
      <c r="G15" s="96" t="s">
        <v>3728</v>
      </c>
      <c r="H15" s="124" t="s">
        <v>3887</v>
      </c>
      <c r="I15" s="1210">
        <v>69774.28</v>
      </c>
      <c r="J15" s="43">
        <v>3000000</v>
      </c>
      <c r="K15" s="124" t="s">
        <v>2797</v>
      </c>
      <c r="L15" s="124" t="s">
        <v>3816</v>
      </c>
      <c r="M15" s="1216">
        <v>43</v>
      </c>
      <c r="N15" s="1218">
        <v>4.3499999999999997E-2</v>
      </c>
      <c r="O15" s="1218">
        <v>5.7500000000000002E-2</v>
      </c>
      <c r="P15" s="98">
        <v>43088</v>
      </c>
      <c r="Q15" s="98">
        <v>46217</v>
      </c>
      <c r="R15" s="43">
        <v>134077</v>
      </c>
      <c r="S15" s="1210">
        <v>44.69</v>
      </c>
      <c r="T15" s="1218">
        <v>3.2799999999999996E-2</v>
      </c>
      <c r="U15" s="1218">
        <v>4.6699999999999998E-2</v>
      </c>
      <c r="V15" s="43">
        <v>2047688</v>
      </c>
      <c r="W15" s="43">
        <v>1972306</v>
      </c>
      <c r="X15" s="43">
        <v>75382</v>
      </c>
      <c r="Y15" s="1220" t="s">
        <v>3812</v>
      </c>
    </row>
    <row r="16" spans="2:25" ht="12" customHeight="1">
      <c r="B16" s="4"/>
      <c r="C16" s="1207" t="s">
        <v>3811</v>
      </c>
      <c r="D16" s="38">
        <v>45667</v>
      </c>
      <c r="E16" s="38">
        <v>1</v>
      </c>
      <c r="F16" s="96" t="s">
        <v>3812</v>
      </c>
      <c r="G16" s="96" t="s">
        <v>3728</v>
      </c>
      <c r="H16" s="124" t="s">
        <v>3887</v>
      </c>
      <c r="I16" s="1210">
        <v>137287</v>
      </c>
      <c r="J16" s="43">
        <v>5000000</v>
      </c>
      <c r="K16" s="124" t="s">
        <v>2797</v>
      </c>
      <c r="L16" s="124" t="s">
        <v>3816</v>
      </c>
      <c r="M16" s="1216">
        <v>36.42</v>
      </c>
      <c r="N16" s="1218">
        <v>4.9000000000000002E-2</v>
      </c>
      <c r="O16" s="1218">
        <v>5.7000000000000002E-2</v>
      </c>
      <c r="P16" s="98">
        <v>42318</v>
      </c>
      <c r="Q16" s="98">
        <v>45185</v>
      </c>
      <c r="R16" s="43">
        <v>223462</v>
      </c>
      <c r="S16" s="1210">
        <v>44.69</v>
      </c>
      <c r="T16" s="1218">
        <v>4.6100000000000002E-2</v>
      </c>
      <c r="U16" s="1218">
        <v>5.4400000000000004E-2</v>
      </c>
      <c r="V16" s="43">
        <v>3769378</v>
      </c>
      <c r="W16" s="43">
        <v>3070392</v>
      </c>
      <c r="X16" s="43">
        <v>698986</v>
      </c>
      <c r="Y16" s="1220" t="s">
        <v>3812</v>
      </c>
    </row>
    <row r="17" spans="2:25" ht="12" customHeight="1">
      <c r="B17" s="4"/>
      <c r="C17" s="1207" t="s">
        <v>3811</v>
      </c>
      <c r="D17" s="38">
        <v>45670</v>
      </c>
      <c r="E17" s="38">
        <v>1</v>
      </c>
      <c r="F17" s="96" t="s">
        <v>3812</v>
      </c>
      <c r="G17" s="96" t="s">
        <v>3728</v>
      </c>
      <c r="H17" s="124" t="s">
        <v>3887</v>
      </c>
      <c r="I17" s="1210">
        <v>205344</v>
      </c>
      <c r="J17" s="43">
        <v>7500000</v>
      </c>
      <c r="K17" s="124" t="s">
        <v>2797</v>
      </c>
      <c r="L17" s="124" t="s">
        <v>3816</v>
      </c>
      <c r="M17" s="1216">
        <v>36.520000000000003</v>
      </c>
      <c r="N17" s="1218">
        <v>3.9599999999999996E-2</v>
      </c>
      <c r="O17" s="1218">
        <v>4.7500000000000001E-2</v>
      </c>
      <c r="P17" s="98">
        <v>42318</v>
      </c>
      <c r="Q17" s="98">
        <v>45434</v>
      </c>
      <c r="R17" s="43">
        <v>335192</v>
      </c>
      <c r="S17" s="1210">
        <v>44.69</v>
      </c>
      <c r="T17" s="1218">
        <v>4.3200000000000002E-2</v>
      </c>
      <c r="U17" s="1218">
        <v>5.2000000000000005E-2</v>
      </c>
      <c r="V17" s="43">
        <v>5521052</v>
      </c>
      <c r="W17" s="43">
        <v>4511257</v>
      </c>
      <c r="X17" s="43">
        <v>1009795</v>
      </c>
      <c r="Y17" s="1220" t="s">
        <v>3812</v>
      </c>
    </row>
    <row r="18" spans="2:25" ht="12" customHeight="1">
      <c r="B18" s="4"/>
      <c r="C18" s="1207" t="s">
        <v>3811</v>
      </c>
      <c r="D18" s="38">
        <v>46237</v>
      </c>
      <c r="E18" s="38">
        <v>1</v>
      </c>
      <c r="F18" s="96" t="s">
        <v>3812</v>
      </c>
      <c r="G18" s="96" t="s">
        <v>3728</v>
      </c>
      <c r="H18" s="124" t="s">
        <v>3887</v>
      </c>
      <c r="I18" s="1210">
        <v>82365.990000000005</v>
      </c>
      <c r="J18" s="43">
        <v>3000000</v>
      </c>
      <c r="K18" s="124" t="s">
        <v>2797</v>
      </c>
      <c r="L18" s="124" t="s">
        <v>3816</v>
      </c>
      <c r="M18" s="1216">
        <v>36.42</v>
      </c>
      <c r="N18" s="1218">
        <v>3.6000000000000004E-2</v>
      </c>
      <c r="O18" s="1218">
        <v>4.4999999999999998E-2</v>
      </c>
      <c r="P18" s="98">
        <v>42340</v>
      </c>
      <c r="Q18" s="98">
        <v>45916</v>
      </c>
      <c r="R18" s="43">
        <v>134077</v>
      </c>
      <c r="S18" s="1210">
        <v>44.69</v>
      </c>
      <c r="T18" s="1218">
        <v>4.0099999999999997E-2</v>
      </c>
      <c r="U18" s="1218">
        <v>4.9699999999999994E-2</v>
      </c>
      <c r="V18" s="43">
        <v>2171325</v>
      </c>
      <c r="W18" s="43">
        <v>1767045</v>
      </c>
      <c r="X18" s="43">
        <v>404280</v>
      </c>
      <c r="Y18" s="1220" t="s">
        <v>3812</v>
      </c>
    </row>
    <row r="19" spans="2:25" ht="12" customHeight="1">
      <c r="B19" s="4"/>
      <c r="C19" s="1207" t="s">
        <v>3811</v>
      </c>
      <c r="D19" s="38">
        <v>46246</v>
      </c>
      <c r="E19" s="38">
        <v>1</v>
      </c>
      <c r="F19" s="96" t="s">
        <v>3812</v>
      </c>
      <c r="G19" s="96" t="s">
        <v>3728</v>
      </c>
      <c r="H19" s="124" t="s">
        <v>3887</v>
      </c>
      <c r="I19" s="1210">
        <v>82230.78</v>
      </c>
      <c r="J19" s="43">
        <v>3000000</v>
      </c>
      <c r="K19" s="124" t="s">
        <v>2797</v>
      </c>
      <c r="L19" s="124" t="s">
        <v>3816</v>
      </c>
      <c r="M19" s="1216">
        <v>36.479999999999997</v>
      </c>
      <c r="N19" s="1218">
        <v>3.5000000000000003E-2</v>
      </c>
      <c r="O19" s="1218">
        <v>4.4999999999999998E-2</v>
      </c>
      <c r="P19" s="98">
        <v>42347</v>
      </c>
      <c r="Q19" s="98">
        <v>45916</v>
      </c>
      <c r="R19" s="43">
        <v>134077</v>
      </c>
      <c r="S19" s="1210">
        <v>44.69</v>
      </c>
      <c r="T19" s="1218">
        <v>4.0999999999999995E-2</v>
      </c>
      <c r="U19" s="1218">
        <v>5.1799999999999999E-2</v>
      </c>
      <c r="V19" s="43">
        <v>2141727</v>
      </c>
      <c r="W19" s="43">
        <v>1744999</v>
      </c>
      <c r="X19" s="43">
        <v>396728</v>
      </c>
      <c r="Y19" s="1220" t="s">
        <v>3812</v>
      </c>
    </row>
    <row r="20" spans="2:25" ht="12" customHeight="1">
      <c r="B20" s="4"/>
      <c r="C20" s="1207" t="s">
        <v>3811</v>
      </c>
      <c r="D20" s="38">
        <v>45613</v>
      </c>
      <c r="E20" s="38">
        <v>1</v>
      </c>
      <c r="F20" s="96" t="s">
        <v>3813</v>
      </c>
      <c r="G20" s="96" t="s">
        <v>3728</v>
      </c>
      <c r="H20" s="124" t="s">
        <v>3888</v>
      </c>
      <c r="I20" s="1210">
        <v>134794.54999999999</v>
      </c>
      <c r="J20" s="43">
        <v>5000000</v>
      </c>
      <c r="K20" s="124" t="s">
        <v>2797</v>
      </c>
      <c r="L20" s="124" t="s">
        <v>3816</v>
      </c>
      <c r="M20" s="1216">
        <v>37.090000000000003</v>
      </c>
      <c r="N20" s="1218">
        <v>4.0399999999999998E-2</v>
      </c>
      <c r="O20" s="1218">
        <v>5.3800000000000001E-2</v>
      </c>
      <c r="P20" s="98">
        <v>42300</v>
      </c>
      <c r="Q20" s="98">
        <v>46199</v>
      </c>
      <c r="R20" s="43">
        <v>223462</v>
      </c>
      <c r="S20" s="1210">
        <v>44.69</v>
      </c>
      <c r="T20" s="1218">
        <v>4.6900000000000004E-2</v>
      </c>
      <c r="U20" s="1218">
        <v>6.1600000000000002E-2</v>
      </c>
      <c r="V20" s="43">
        <v>3525790</v>
      </c>
      <c r="W20" s="43">
        <v>2924271</v>
      </c>
      <c r="X20" s="43">
        <v>601519</v>
      </c>
      <c r="Y20" s="1220" t="s">
        <v>3813</v>
      </c>
    </row>
    <row r="21" spans="2:25" ht="12" customHeight="1">
      <c r="B21" s="4"/>
      <c r="C21" s="1207" t="s">
        <v>3811</v>
      </c>
      <c r="D21" s="38">
        <v>49342</v>
      </c>
      <c r="E21" s="38">
        <v>3</v>
      </c>
      <c r="F21" s="96" t="s">
        <v>3813</v>
      </c>
      <c r="G21" s="96" t="s">
        <v>3728</v>
      </c>
      <c r="H21" s="124" t="s">
        <v>3888</v>
      </c>
      <c r="I21" s="1210">
        <v>51386.89</v>
      </c>
      <c r="J21" s="43">
        <v>2000000</v>
      </c>
      <c r="K21" s="124" t="s">
        <v>2797</v>
      </c>
      <c r="L21" s="124" t="s">
        <v>3816</v>
      </c>
      <c r="M21" s="1216">
        <v>38.92</v>
      </c>
      <c r="N21" s="1218">
        <v>3.7400000000000003E-2</v>
      </c>
      <c r="O21" s="1218">
        <v>4.8799999999999996E-2</v>
      </c>
      <c r="P21" s="98">
        <v>43088</v>
      </c>
      <c r="Q21" s="98">
        <v>46166</v>
      </c>
      <c r="R21" s="43">
        <v>89385</v>
      </c>
      <c r="S21" s="1210">
        <v>44.69</v>
      </c>
      <c r="T21" s="1218">
        <v>3.4000000000000002E-2</v>
      </c>
      <c r="U21" s="1218">
        <v>4.6100000000000002E-2</v>
      </c>
      <c r="V21" s="43">
        <v>1440074</v>
      </c>
      <c r="W21" s="43">
        <v>1253290</v>
      </c>
      <c r="X21" s="43">
        <v>186784</v>
      </c>
      <c r="Y21" s="1220" t="s">
        <v>3813</v>
      </c>
    </row>
    <row r="22" spans="2:25" ht="12" customHeight="1">
      <c r="B22" s="4"/>
      <c r="C22" s="1207" t="s">
        <v>3811</v>
      </c>
      <c r="D22" s="38">
        <v>49342</v>
      </c>
      <c r="E22" s="38">
        <v>4</v>
      </c>
      <c r="F22" s="96" t="s">
        <v>3813</v>
      </c>
      <c r="G22" s="96" t="s">
        <v>3728</v>
      </c>
      <c r="H22" s="124" t="s">
        <v>3888</v>
      </c>
      <c r="I22" s="1210">
        <v>9707.1299999999992</v>
      </c>
      <c r="J22" s="43">
        <v>400000</v>
      </c>
      <c r="K22" s="124" t="s">
        <v>2797</v>
      </c>
      <c r="L22" s="124" t="s">
        <v>3816</v>
      </c>
      <c r="M22" s="1216">
        <v>41.21</v>
      </c>
      <c r="N22" s="1218">
        <v>4.2800000000000005E-2</v>
      </c>
      <c r="O22" s="1218">
        <v>5.7500000000000002E-2</v>
      </c>
      <c r="P22" s="98">
        <v>43088</v>
      </c>
      <c r="Q22" s="98">
        <v>46217</v>
      </c>
      <c r="R22" s="43">
        <v>17877</v>
      </c>
      <c r="S22" s="1210">
        <v>44.69</v>
      </c>
      <c r="T22" s="1218">
        <v>3.32E-2</v>
      </c>
      <c r="U22" s="1218">
        <v>4.7699999999999992E-2</v>
      </c>
      <c r="V22" s="43">
        <v>282781</v>
      </c>
      <c r="W22" s="43">
        <v>261242</v>
      </c>
      <c r="X22" s="43">
        <v>21539</v>
      </c>
      <c r="Y22" s="1220" t="s">
        <v>3813</v>
      </c>
    </row>
    <row r="23" spans="2:25" ht="12" customHeight="1">
      <c r="B23" s="4"/>
      <c r="C23" s="1207" t="s">
        <v>3811</v>
      </c>
      <c r="D23" s="38">
        <v>46243</v>
      </c>
      <c r="E23" s="38">
        <v>1</v>
      </c>
      <c r="F23" s="96" t="s">
        <v>3813</v>
      </c>
      <c r="G23" s="96" t="s">
        <v>3728</v>
      </c>
      <c r="H23" s="124" t="s">
        <v>3888</v>
      </c>
      <c r="I23" s="1210">
        <v>191680.63</v>
      </c>
      <c r="J23" s="43">
        <v>7000000</v>
      </c>
      <c r="K23" s="124" t="s">
        <v>2797</v>
      </c>
      <c r="L23" s="124" t="s">
        <v>3816</v>
      </c>
      <c r="M23" s="1216">
        <v>36.520000000000003</v>
      </c>
      <c r="N23" s="1218">
        <v>3.49E-2</v>
      </c>
      <c r="O23" s="1218">
        <v>4.4999999999999998E-2</v>
      </c>
      <c r="P23" s="98">
        <v>42347</v>
      </c>
      <c r="Q23" s="98">
        <v>45916</v>
      </c>
      <c r="R23" s="43">
        <v>312846</v>
      </c>
      <c r="S23" s="1210">
        <v>44.69</v>
      </c>
      <c r="T23" s="1218">
        <v>4.0399999999999998E-2</v>
      </c>
      <c r="U23" s="1218">
        <v>5.1299999999999998E-2</v>
      </c>
      <c r="V23" s="43">
        <v>5006989</v>
      </c>
      <c r="W23" s="43">
        <v>4083648</v>
      </c>
      <c r="X23" s="43">
        <v>923341</v>
      </c>
      <c r="Y23" s="1220" t="s">
        <v>3813</v>
      </c>
    </row>
    <row r="24" spans="2:25" ht="12" customHeight="1">
      <c r="B24" s="4"/>
      <c r="C24" s="1207" t="s">
        <v>3811</v>
      </c>
      <c r="D24" s="38">
        <v>48384</v>
      </c>
      <c r="E24" s="38">
        <v>1</v>
      </c>
      <c r="F24" s="96" t="s">
        <v>3814</v>
      </c>
      <c r="G24" s="96" t="s">
        <v>3728</v>
      </c>
      <c r="H24" s="124" t="s">
        <v>3887</v>
      </c>
      <c r="I24" s="1210">
        <v>100995.16</v>
      </c>
      <c r="J24" s="43">
        <v>4000000</v>
      </c>
      <c r="K24" s="124" t="s">
        <v>2797</v>
      </c>
      <c r="L24" s="124" t="s">
        <v>3816</v>
      </c>
      <c r="M24" s="1216">
        <v>39.61</v>
      </c>
      <c r="N24" s="1218">
        <v>5.0199999999999995E-2</v>
      </c>
      <c r="O24" s="1218">
        <v>6.4500000000000002E-2</v>
      </c>
      <c r="P24" s="98">
        <v>42886</v>
      </c>
      <c r="Q24" s="98">
        <v>45325</v>
      </c>
      <c r="R24" s="43">
        <v>178769</v>
      </c>
      <c r="S24" s="1210">
        <v>44.69</v>
      </c>
      <c r="T24" s="1218">
        <v>3.6200000000000003E-2</v>
      </c>
      <c r="U24" s="1218">
        <v>5.0900000000000001E-2</v>
      </c>
      <c r="V24" s="43">
        <v>2948965</v>
      </c>
      <c r="W24" s="43">
        <v>2609761</v>
      </c>
      <c r="X24" s="43">
        <v>339204</v>
      </c>
      <c r="Y24" s="1220" t="s">
        <v>3814</v>
      </c>
    </row>
    <row r="25" spans="2:25" ht="12" customHeight="1">
      <c r="B25" s="4"/>
      <c r="C25" s="1207" t="s">
        <v>3811</v>
      </c>
      <c r="D25" s="38">
        <v>46443</v>
      </c>
      <c r="E25" s="38">
        <v>1</v>
      </c>
      <c r="F25" s="96" t="s">
        <v>3815</v>
      </c>
      <c r="G25" s="96" t="s">
        <v>3728</v>
      </c>
      <c r="H25" s="124" t="s">
        <v>3888</v>
      </c>
      <c r="I25" s="1210">
        <v>279696.33</v>
      </c>
      <c r="J25" s="43">
        <v>10075000</v>
      </c>
      <c r="K25" s="124" t="s">
        <v>2797</v>
      </c>
      <c r="L25" s="124" t="s">
        <v>3816</v>
      </c>
      <c r="M25" s="1216">
        <v>36.020000000000003</v>
      </c>
      <c r="N25" s="1218">
        <v>4.1599999999999998E-2</v>
      </c>
      <c r="O25" s="1218">
        <v>4.8799999999999996E-2</v>
      </c>
      <c r="P25" s="98">
        <v>42401</v>
      </c>
      <c r="Q25" s="98">
        <v>45399</v>
      </c>
      <c r="R25" s="43">
        <v>450275</v>
      </c>
      <c r="S25" s="1210">
        <v>44.69</v>
      </c>
      <c r="T25" s="1218">
        <v>4.4000000000000004E-2</v>
      </c>
      <c r="U25" s="1218">
        <v>5.1699999999999996E-2</v>
      </c>
      <c r="V25" s="43">
        <v>7609135</v>
      </c>
      <c r="W25" s="43">
        <v>6142410</v>
      </c>
      <c r="X25" s="43">
        <v>1466725</v>
      </c>
      <c r="Y25" s="1220" t="s">
        <v>3815</v>
      </c>
    </row>
    <row r="26" spans="2:25" ht="12" customHeight="1">
      <c r="B26" s="4"/>
      <c r="C26" s="1207" t="s">
        <v>3811</v>
      </c>
      <c r="D26" s="38">
        <v>46667</v>
      </c>
      <c r="E26" s="38">
        <v>1</v>
      </c>
      <c r="F26" s="96" t="s">
        <v>3815</v>
      </c>
      <c r="G26" s="96" t="s">
        <v>3728</v>
      </c>
      <c r="H26" s="124" t="s">
        <v>3888</v>
      </c>
      <c r="I26" s="1210">
        <v>52880.11</v>
      </c>
      <c r="J26" s="43">
        <v>2000000</v>
      </c>
      <c r="K26" s="124" t="s">
        <v>2797</v>
      </c>
      <c r="L26" s="124" t="s">
        <v>3816</v>
      </c>
      <c r="M26" s="1216">
        <v>37.82</v>
      </c>
      <c r="N26" s="1218">
        <v>4.24E-2</v>
      </c>
      <c r="O26" s="1218">
        <v>4.8799999999999996E-2</v>
      </c>
      <c r="P26" s="98">
        <v>42468</v>
      </c>
      <c r="Q26" s="98">
        <v>45399</v>
      </c>
      <c r="R26" s="43">
        <v>89385</v>
      </c>
      <c r="S26" s="1210">
        <v>44.69</v>
      </c>
      <c r="T26" s="1218">
        <v>4.0800000000000003E-2</v>
      </c>
      <c r="U26" s="1218">
        <v>4.7699999999999992E-2</v>
      </c>
      <c r="V26" s="43">
        <v>1468649</v>
      </c>
      <c r="W26" s="43">
        <v>1243542</v>
      </c>
      <c r="X26" s="43">
        <v>225107</v>
      </c>
      <c r="Y26" s="1220" t="s">
        <v>3815</v>
      </c>
    </row>
    <row r="27" spans="2:25" ht="12" customHeight="1">
      <c r="B27" s="4"/>
      <c r="C27" s="1207" t="s">
        <v>3811</v>
      </c>
      <c r="D27" s="38">
        <v>46772</v>
      </c>
      <c r="E27" s="38">
        <v>1</v>
      </c>
      <c r="F27" s="96" t="s">
        <v>3815</v>
      </c>
      <c r="G27" s="96" t="s">
        <v>3728</v>
      </c>
      <c r="H27" s="124" t="s">
        <v>3888</v>
      </c>
      <c r="I27" s="1210">
        <v>13344.67</v>
      </c>
      <c r="J27" s="43">
        <v>500000</v>
      </c>
      <c r="K27" s="124" t="s">
        <v>2797</v>
      </c>
      <c r="L27" s="124" t="s">
        <v>3816</v>
      </c>
      <c r="M27" s="1216">
        <v>37.47</v>
      </c>
      <c r="N27" s="1218">
        <v>3.9300000000000002E-2</v>
      </c>
      <c r="O27" s="1218">
        <v>4.8799999999999996E-2</v>
      </c>
      <c r="P27" s="98">
        <v>42510</v>
      </c>
      <c r="Q27" s="98">
        <v>46166</v>
      </c>
      <c r="R27" s="43">
        <v>22346</v>
      </c>
      <c r="S27" s="1210">
        <v>44.69</v>
      </c>
      <c r="T27" s="1218">
        <v>4.0599999999999997E-2</v>
      </c>
      <c r="U27" s="1218">
        <v>5.0199999999999995E-2</v>
      </c>
      <c r="V27" s="43">
        <v>362679</v>
      </c>
      <c r="W27" s="43">
        <v>305059</v>
      </c>
      <c r="X27" s="43">
        <v>57620</v>
      </c>
      <c r="Y27" s="1220" t="s">
        <v>3815</v>
      </c>
    </row>
    <row r="28" spans="2:25" ht="12" customHeight="1">
      <c r="B28" s="4"/>
      <c r="C28" s="1207" t="s">
        <v>3811</v>
      </c>
      <c r="D28" s="38">
        <v>48015</v>
      </c>
      <c r="E28" s="38">
        <v>1</v>
      </c>
      <c r="F28" s="96" t="s">
        <v>3815</v>
      </c>
      <c r="G28" s="96" t="s">
        <v>3728</v>
      </c>
      <c r="H28" s="124" t="s">
        <v>3888</v>
      </c>
      <c r="I28" s="1210">
        <v>77023.289999999994</v>
      </c>
      <c r="J28" s="43">
        <v>3000000</v>
      </c>
      <c r="K28" s="124" t="s">
        <v>2797</v>
      </c>
      <c r="L28" s="124" t="s">
        <v>3816</v>
      </c>
      <c r="M28" s="1216">
        <v>38.950000000000003</v>
      </c>
      <c r="N28" s="1218">
        <v>3.9E-2</v>
      </c>
      <c r="O28" s="1218">
        <v>0.05</v>
      </c>
      <c r="P28" s="98">
        <v>42825</v>
      </c>
      <c r="Q28" s="98">
        <v>45852</v>
      </c>
      <c r="R28" s="43">
        <v>134077</v>
      </c>
      <c r="S28" s="1210">
        <v>44.69</v>
      </c>
      <c r="T28" s="1218">
        <v>3.8900000000000004E-2</v>
      </c>
      <c r="U28" s="1218">
        <v>5.0700000000000002E-2</v>
      </c>
      <c r="V28" s="43">
        <v>2099893</v>
      </c>
      <c r="W28" s="43">
        <v>1828372</v>
      </c>
      <c r="X28" s="43">
        <v>271521</v>
      </c>
      <c r="Y28" s="1220" t="s">
        <v>3815</v>
      </c>
    </row>
    <row r="29" spans="2:25" ht="12" customHeight="1">
      <c r="B29" s="4"/>
      <c r="C29" s="1207" t="s">
        <v>3811</v>
      </c>
      <c r="D29" s="38">
        <v>48021</v>
      </c>
      <c r="E29" s="38">
        <v>1</v>
      </c>
      <c r="F29" s="96" t="s">
        <v>3815</v>
      </c>
      <c r="G29" s="96" t="s">
        <v>3728</v>
      </c>
      <c r="H29" s="124" t="s">
        <v>3888</v>
      </c>
      <c r="I29" s="1210">
        <v>25674.43</v>
      </c>
      <c r="J29" s="43">
        <v>1000000</v>
      </c>
      <c r="K29" s="124" t="s">
        <v>2797</v>
      </c>
      <c r="L29" s="124" t="s">
        <v>3816</v>
      </c>
      <c r="M29" s="1216">
        <v>38.950000000000003</v>
      </c>
      <c r="N29" s="1218">
        <v>4.4800000000000006E-2</v>
      </c>
      <c r="O29" s="1218">
        <v>5.3800000000000001E-2</v>
      </c>
      <c r="P29" s="98">
        <v>42825</v>
      </c>
      <c r="Q29" s="98">
        <v>44683</v>
      </c>
      <c r="R29" s="43">
        <v>44692</v>
      </c>
      <c r="S29" s="1210">
        <v>44.69</v>
      </c>
      <c r="T29" s="1218">
        <v>4.3499999999999997E-2</v>
      </c>
      <c r="U29" s="1218">
        <v>5.2699999999999997E-2</v>
      </c>
      <c r="V29" s="43">
        <v>709695</v>
      </c>
      <c r="W29" s="43">
        <v>620561</v>
      </c>
      <c r="X29" s="43">
        <v>89134</v>
      </c>
      <c r="Y29" s="1220" t="s">
        <v>3815</v>
      </c>
    </row>
    <row r="30" spans="2:25" ht="12" customHeight="1">
      <c r="B30" s="4"/>
      <c r="C30" s="1207" t="s">
        <v>3811</v>
      </c>
      <c r="D30" s="38">
        <v>49309</v>
      </c>
      <c r="E30" s="38">
        <v>2</v>
      </c>
      <c r="F30" s="96" t="s">
        <v>3815</v>
      </c>
      <c r="G30" s="96" t="s">
        <v>3728</v>
      </c>
      <c r="H30" s="124" t="s">
        <v>3888</v>
      </c>
      <c r="I30" s="1210">
        <v>191533.66</v>
      </c>
      <c r="J30" s="43">
        <v>7697000</v>
      </c>
      <c r="K30" s="124" t="s">
        <v>2797</v>
      </c>
      <c r="L30" s="124" t="s">
        <v>3816</v>
      </c>
      <c r="M30" s="1216">
        <v>40.19</v>
      </c>
      <c r="N30" s="1218">
        <v>3.7100000000000001E-2</v>
      </c>
      <c r="O30" s="1218">
        <v>5.5E-2</v>
      </c>
      <c r="P30" s="98">
        <v>43066</v>
      </c>
      <c r="Q30" s="98">
        <v>46404</v>
      </c>
      <c r="R30" s="43">
        <v>343997</v>
      </c>
      <c r="S30" s="1210">
        <v>44.69</v>
      </c>
      <c r="T30" s="1218">
        <v>3.7900000000000003E-2</v>
      </c>
      <c r="U30" s="1218">
        <v>5.6299999999999996E-2</v>
      </c>
      <c r="V30" s="43">
        <v>5184684</v>
      </c>
      <c r="W30" s="43">
        <v>4678406</v>
      </c>
      <c r="X30" s="43">
        <v>506278</v>
      </c>
      <c r="Y30" s="1220" t="s">
        <v>3815</v>
      </c>
    </row>
    <row r="31" spans="2:25" ht="12" customHeight="1">
      <c r="B31" s="4"/>
      <c r="C31" s="1207" t="s">
        <v>3811</v>
      </c>
      <c r="D31" s="38">
        <v>45652</v>
      </c>
      <c r="E31" s="38">
        <v>1</v>
      </c>
      <c r="F31" s="96" t="s">
        <v>3815</v>
      </c>
      <c r="G31" s="96" t="s">
        <v>3728</v>
      </c>
      <c r="H31" s="124" t="s">
        <v>3888</v>
      </c>
      <c r="I31" s="1210">
        <v>212750</v>
      </c>
      <c r="J31" s="43">
        <v>7750000</v>
      </c>
      <c r="K31" s="124" t="s">
        <v>2797</v>
      </c>
      <c r="L31" s="124" t="s">
        <v>3816</v>
      </c>
      <c r="M31" s="1216">
        <v>36.43</v>
      </c>
      <c r="N31" s="1218">
        <v>3.0800000000000001E-2</v>
      </c>
      <c r="O31" s="1218">
        <v>3.7499999999999999E-2</v>
      </c>
      <c r="P31" s="98">
        <v>42318</v>
      </c>
      <c r="Q31" s="98">
        <v>44881</v>
      </c>
      <c r="R31" s="43">
        <v>346365</v>
      </c>
      <c r="S31" s="1210">
        <v>44.69</v>
      </c>
      <c r="T31" s="1218">
        <v>4.8899999999999999E-2</v>
      </c>
      <c r="U31" s="1218">
        <v>5.62E-2</v>
      </c>
      <c r="V31" s="43">
        <v>5390287</v>
      </c>
      <c r="W31" s="43">
        <v>4402935</v>
      </c>
      <c r="X31" s="43">
        <v>987352</v>
      </c>
      <c r="Y31" s="1220" t="s">
        <v>3815</v>
      </c>
    </row>
    <row r="32" spans="2:25" ht="12" customHeight="1">
      <c r="B32" s="4"/>
      <c r="C32" s="1207" t="s">
        <v>3811</v>
      </c>
      <c r="D32" s="38">
        <v>49342</v>
      </c>
      <c r="E32" s="38">
        <v>5</v>
      </c>
      <c r="F32" s="96" t="s">
        <v>3815</v>
      </c>
      <c r="G32" s="96" t="s">
        <v>3728</v>
      </c>
      <c r="H32" s="124" t="s">
        <v>3888</v>
      </c>
      <c r="I32" s="1210">
        <v>162391.21</v>
      </c>
      <c r="J32" s="43">
        <v>7000000</v>
      </c>
      <c r="K32" s="124" t="s">
        <v>2797</v>
      </c>
      <c r="L32" s="124" t="s">
        <v>3816</v>
      </c>
      <c r="M32" s="1216">
        <v>43.11</v>
      </c>
      <c r="N32" s="1218">
        <v>4.2900000000000001E-2</v>
      </c>
      <c r="O32" s="1218">
        <v>5.7500000000000002E-2</v>
      </c>
      <c r="P32" s="98">
        <v>43088</v>
      </c>
      <c r="Q32" s="98">
        <v>46217</v>
      </c>
      <c r="R32" s="43">
        <v>312846</v>
      </c>
      <c r="S32" s="1210">
        <v>44.69</v>
      </c>
      <c r="T32" s="1218">
        <v>3.1800000000000002E-2</v>
      </c>
      <c r="U32" s="1218">
        <v>4.6199999999999998E-2</v>
      </c>
      <c r="V32" s="43">
        <v>4780015</v>
      </c>
      <c r="W32" s="43">
        <v>4615749</v>
      </c>
      <c r="X32" s="43">
        <v>164266</v>
      </c>
      <c r="Y32" s="1220" t="s">
        <v>3815</v>
      </c>
    </row>
    <row r="33" spans="2:25" ht="12" customHeight="1">
      <c r="B33" s="4"/>
      <c r="C33" s="1207" t="s">
        <v>3811</v>
      </c>
      <c r="D33" s="38">
        <v>46468</v>
      </c>
      <c r="E33" s="38">
        <v>1</v>
      </c>
      <c r="F33" s="96" t="s">
        <v>3815</v>
      </c>
      <c r="G33" s="96" t="s">
        <v>3728</v>
      </c>
      <c r="H33" s="124" t="s">
        <v>3888</v>
      </c>
      <c r="I33" s="1210">
        <v>278667.71999999997</v>
      </c>
      <c r="J33" s="43">
        <v>10000000</v>
      </c>
      <c r="K33" s="124" t="s">
        <v>2797</v>
      </c>
      <c r="L33" s="124" t="s">
        <v>3816</v>
      </c>
      <c r="M33" s="1216">
        <v>35.89</v>
      </c>
      <c r="N33" s="1218">
        <v>3.73E-2</v>
      </c>
      <c r="O33" s="1218">
        <v>4.4999999999999998E-2</v>
      </c>
      <c r="P33" s="98">
        <v>42401</v>
      </c>
      <c r="Q33" s="98">
        <v>45916</v>
      </c>
      <c r="R33" s="43">
        <v>446923</v>
      </c>
      <c r="S33" s="1210">
        <v>44.69</v>
      </c>
      <c r="T33" s="1218">
        <v>4.2199999999999994E-2</v>
      </c>
      <c r="U33" s="1218">
        <v>5.0700000000000002E-2</v>
      </c>
      <c r="V33" s="43">
        <v>7310190</v>
      </c>
      <c r="W33" s="43">
        <v>5855949</v>
      </c>
      <c r="X33" s="43">
        <v>1454241</v>
      </c>
      <c r="Y33" s="1220" t="s">
        <v>3815</v>
      </c>
    </row>
    <row r="34" spans="2:25" ht="12" customHeight="1">
      <c r="B34" s="4"/>
      <c r="C34" s="41" t="s">
        <v>956</v>
      </c>
      <c r="D34" s="38"/>
      <c r="E34" s="38"/>
      <c r="F34" s="96"/>
      <c r="G34" s="124"/>
      <c r="H34" s="124"/>
      <c r="I34" s="43"/>
      <c r="J34" s="43"/>
      <c r="K34" s="124"/>
      <c r="L34" s="124"/>
      <c r="M34" s="125"/>
      <c r="N34" s="126"/>
      <c r="O34" s="126"/>
      <c r="P34" s="98"/>
      <c r="Q34" s="98"/>
      <c r="R34" s="43"/>
      <c r="S34" s="43"/>
      <c r="T34" s="126"/>
      <c r="U34" s="126"/>
      <c r="V34" s="43"/>
      <c r="W34" s="43"/>
      <c r="X34" s="43"/>
      <c r="Y34" s="100"/>
    </row>
    <row r="35" spans="2:25" ht="12" customHeight="1">
      <c r="B35" s="4"/>
      <c r="C35" s="41" t="s">
        <v>957</v>
      </c>
      <c r="D35" s="38"/>
      <c r="E35" s="38"/>
      <c r="F35" s="96"/>
      <c r="G35" s="124"/>
      <c r="H35" s="124"/>
      <c r="I35" s="43"/>
      <c r="J35" s="43"/>
      <c r="K35" s="124"/>
      <c r="L35" s="124"/>
      <c r="M35" s="125"/>
      <c r="N35" s="126"/>
      <c r="O35" s="126"/>
      <c r="P35" s="98"/>
      <c r="Q35" s="98"/>
      <c r="R35" s="43"/>
      <c r="S35" s="43"/>
      <c r="T35" s="126"/>
      <c r="U35" s="126"/>
      <c r="V35" s="43"/>
      <c r="W35" s="43"/>
      <c r="X35" s="43"/>
      <c r="Y35" s="100"/>
    </row>
    <row r="36" spans="2:25" ht="12" customHeight="1">
      <c r="B36" s="4"/>
      <c r="C36" s="41" t="s">
        <v>958</v>
      </c>
      <c r="D36" s="38"/>
      <c r="E36" s="38"/>
      <c r="F36" s="96"/>
      <c r="G36" s="124"/>
      <c r="H36" s="124"/>
      <c r="I36" s="43"/>
      <c r="J36" s="43"/>
      <c r="K36" s="124"/>
      <c r="L36" s="124"/>
      <c r="M36" s="125"/>
      <c r="N36" s="126"/>
      <c r="O36" s="126"/>
      <c r="P36" s="98"/>
      <c r="Q36" s="98"/>
      <c r="R36" s="43"/>
      <c r="S36" s="43"/>
      <c r="T36" s="126"/>
      <c r="U36" s="126"/>
      <c r="V36" s="43"/>
      <c r="W36" s="43"/>
      <c r="X36" s="43"/>
      <c r="Y36" s="100"/>
    </row>
    <row r="37" spans="2:25" ht="12" customHeight="1">
      <c r="B37" s="4"/>
      <c r="C37" s="41" t="s">
        <v>959</v>
      </c>
      <c r="D37" s="38"/>
      <c r="E37" s="38"/>
      <c r="F37" s="96"/>
      <c r="G37" s="124"/>
      <c r="H37" s="124"/>
      <c r="I37" s="43"/>
      <c r="J37" s="43"/>
      <c r="K37" s="124"/>
      <c r="L37" s="124"/>
      <c r="M37" s="125"/>
      <c r="N37" s="126"/>
      <c r="O37" s="126"/>
      <c r="P37" s="98"/>
      <c r="Q37" s="98"/>
      <c r="R37" s="43"/>
      <c r="S37" s="43"/>
      <c r="T37" s="126"/>
      <c r="U37" s="126"/>
      <c r="V37" s="43"/>
      <c r="W37" s="43"/>
      <c r="X37" s="43"/>
      <c r="Y37" s="100"/>
    </row>
    <row r="38" spans="2:25" ht="12" customHeight="1">
      <c r="B38" s="4"/>
      <c r="C38" s="41" t="s">
        <v>960</v>
      </c>
      <c r="D38" s="38"/>
      <c r="E38" s="38"/>
      <c r="F38" s="96"/>
      <c r="G38" s="124"/>
      <c r="H38" s="124"/>
      <c r="I38" s="43"/>
      <c r="J38" s="43"/>
      <c r="K38" s="124"/>
      <c r="L38" s="124"/>
      <c r="M38" s="125"/>
      <c r="N38" s="126"/>
      <c r="O38" s="126"/>
      <c r="P38" s="98"/>
      <c r="Q38" s="98"/>
      <c r="R38" s="43"/>
      <c r="S38" s="43"/>
      <c r="T38" s="126"/>
      <c r="U38" s="126"/>
      <c r="V38" s="43"/>
      <c r="W38" s="43"/>
      <c r="X38" s="43"/>
      <c r="Y38" s="100"/>
    </row>
    <row r="39" spans="2:25" ht="12" customHeight="1">
      <c r="B39" s="4"/>
      <c r="C39" s="41" t="s">
        <v>961</v>
      </c>
      <c r="D39" s="38"/>
      <c r="E39" s="38"/>
      <c r="F39" s="96"/>
      <c r="G39" s="124"/>
      <c r="H39" s="124"/>
      <c r="I39" s="43"/>
      <c r="J39" s="43"/>
      <c r="K39" s="124"/>
      <c r="L39" s="124"/>
      <c r="M39" s="125"/>
      <c r="N39" s="126"/>
      <c r="O39" s="126"/>
      <c r="P39" s="98"/>
      <c r="Q39" s="98"/>
      <c r="R39" s="43"/>
      <c r="S39" s="43"/>
      <c r="T39" s="126"/>
      <c r="U39" s="126"/>
      <c r="V39" s="43"/>
      <c r="W39" s="43"/>
      <c r="X39" s="43"/>
      <c r="Y39" s="100"/>
    </row>
    <row r="40" spans="2:25" ht="12" customHeight="1">
      <c r="B40" s="4"/>
      <c r="C40" s="41" t="s">
        <v>962</v>
      </c>
      <c r="D40" s="38"/>
      <c r="E40" s="38"/>
      <c r="F40" s="96"/>
      <c r="G40" s="124"/>
      <c r="H40" s="124"/>
      <c r="I40" s="43"/>
      <c r="J40" s="43"/>
      <c r="K40" s="124"/>
      <c r="L40" s="124"/>
      <c r="M40" s="125"/>
      <c r="N40" s="126"/>
      <c r="O40" s="126"/>
      <c r="P40" s="98"/>
      <c r="Q40" s="98"/>
      <c r="R40" s="43"/>
      <c r="S40" s="43"/>
      <c r="T40" s="126"/>
      <c r="U40" s="126"/>
      <c r="V40" s="43"/>
      <c r="W40" s="43"/>
      <c r="X40" s="43"/>
      <c r="Y40" s="100"/>
    </row>
    <row r="41" spans="2:25" ht="12" customHeight="1">
      <c r="B41" s="4"/>
      <c r="C41" s="41" t="s">
        <v>963</v>
      </c>
      <c r="D41" s="38"/>
      <c r="E41" s="38"/>
      <c r="F41" s="96"/>
      <c r="G41" s="124"/>
      <c r="H41" s="124"/>
      <c r="I41" s="43"/>
      <c r="J41" s="43"/>
      <c r="K41" s="124"/>
      <c r="L41" s="124"/>
      <c r="M41" s="125"/>
      <c r="N41" s="126"/>
      <c r="O41" s="126"/>
      <c r="P41" s="98"/>
      <c r="Q41" s="98"/>
      <c r="R41" s="43"/>
      <c r="S41" s="43"/>
      <c r="T41" s="126"/>
      <c r="U41" s="126"/>
      <c r="V41" s="43"/>
      <c r="W41" s="43"/>
      <c r="X41" s="43"/>
      <c r="Y41" s="100"/>
    </row>
    <row r="42" spans="2:25" ht="12" customHeight="1">
      <c r="B42" s="4"/>
      <c r="C42" s="41" t="s">
        <v>964</v>
      </c>
      <c r="D42" s="38"/>
      <c r="E42" s="38"/>
      <c r="F42" s="96"/>
      <c r="G42" s="124"/>
      <c r="H42" s="124"/>
      <c r="I42" s="43"/>
      <c r="J42" s="43"/>
      <c r="K42" s="124"/>
      <c r="L42" s="124"/>
      <c r="M42" s="125"/>
      <c r="N42" s="126"/>
      <c r="O42" s="126"/>
      <c r="P42" s="98"/>
      <c r="Q42" s="98"/>
      <c r="R42" s="43"/>
      <c r="S42" s="43"/>
      <c r="T42" s="126"/>
      <c r="U42" s="126"/>
      <c r="V42" s="43"/>
      <c r="W42" s="43"/>
      <c r="X42" s="43"/>
      <c r="Y42" s="100"/>
    </row>
    <row r="43" spans="2:25" ht="12" customHeight="1">
      <c r="B43" s="4"/>
      <c r="C43" s="41" t="s">
        <v>965</v>
      </c>
      <c r="D43" s="38"/>
      <c r="E43" s="38"/>
      <c r="F43" s="96"/>
      <c r="G43" s="124"/>
      <c r="H43" s="124"/>
      <c r="I43" s="43"/>
      <c r="J43" s="43"/>
      <c r="K43" s="124"/>
      <c r="L43" s="124"/>
      <c r="M43" s="125"/>
      <c r="N43" s="126"/>
      <c r="O43" s="126"/>
      <c r="P43" s="98"/>
      <c r="Q43" s="98"/>
      <c r="R43" s="43"/>
      <c r="S43" s="43"/>
      <c r="T43" s="126"/>
      <c r="U43" s="126"/>
      <c r="V43" s="43"/>
      <c r="W43" s="43"/>
      <c r="X43" s="43"/>
      <c r="Y43" s="100"/>
    </row>
    <row r="44" spans="2:25" ht="12" customHeight="1">
      <c r="B44" s="4"/>
      <c r="C44" s="41" t="s">
        <v>966</v>
      </c>
      <c r="D44" s="38"/>
      <c r="E44" s="38"/>
      <c r="F44" s="96"/>
      <c r="G44" s="124"/>
      <c r="H44" s="124"/>
      <c r="I44" s="43"/>
      <c r="J44" s="43"/>
      <c r="K44" s="124"/>
      <c r="L44" s="124"/>
      <c r="M44" s="125"/>
      <c r="N44" s="126"/>
      <c r="O44" s="126"/>
      <c r="P44" s="98"/>
      <c r="Q44" s="98"/>
      <c r="R44" s="43"/>
      <c r="S44" s="43"/>
      <c r="T44" s="126"/>
      <c r="U44" s="126"/>
      <c r="V44" s="43"/>
      <c r="W44" s="43"/>
      <c r="X44" s="43"/>
      <c r="Y44" s="100"/>
    </row>
    <row r="45" spans="2:25" ht="12" customHeight="1">
      <c r="B45" s="4"/>
      <c r="C45" s="41" t="s">
        <v>967</v>
      </c>
      <c r="D45" s="38"/>
      <c r="E45" s="38"/>
      <c r="F45" s="96"/>
      <c r="G45" s="124"/>
      <c r="H45" s="124"/>
      <c r="I45" s="43"/>
      <c r="J45" s="43"/>
      <c r="K45" s="124"/>
      <c r="L45" s="124"/>
      <c r="M45" s="125"/>
      <c r="N45" s="126"/>
      <c r="O45" s="126"/>
      <c r="P45" s="98"/>
      <c r="Q45" s="98"/>
      <c r="R45" s="43"/>
      <c r="S45" s="43"/>
      <c r="T45" s="126"/>
      <c r="U45" s="126"/>
      <c r="V45" s="43"/>
      <c r="W45" s="43"/>
      <c r="X45" s="43"/>
      <c r="Y45" s="100"/>
    </row>
    <row r="46" spans="2:25" ht="12" customHeight="1">
      <c r="B46" s="4"/>
      <c r="C46" s="41" t="s">
        <v>968</v>
      </c>
      <c r="D46" s="38"/>
      <c r="E46" s="38"/>
      <c r="F46" s="96"/>
      <c r="G46" s="124"/>
      <c r="H46" s="124"/>
      <c r="I46" s="43"/>
      <c r="J46" s="43"/>
      <c r="K46" s="124"/>
      <c r="L46" s="124"/>
      <c r="M46" s="125"/>
      <c r="N46" s="126"/>
      <c r="O46" s="126"/>
      <c r="P46" s="98"/>
      <c r="Q46" s="98"/>
      <c r="R46" s="43"/>
      <c r="S46" s="43"/>
      <c r="T46" s="126"/>
      <c r="U46" s="126"/>
      <c r="V46" s="43"/>
      <c r="W46" s="43"/>
      <c r="X46" s="43"/>
      <c r="Y46" s="100"/>
    </row>
    <row r="47" spans="2:25" ht="12" customHeight="1">
      <c r="B47" s="4"/>
      <c r="C47" s="41" t="s">
        <v>969</v>
      </c>
      <c r="D47" s="38"/>
      <c r="E47" s="38"/>
      <c r="F47" s="96"/>
      <c r="G47" s="124"/>
      <c r="H47" s="124"/>
      <c r="I47" s="43"/>
      <c r="J47" s="43"/>
      <c r="K47" s="124"/>
      <c r="L47" s="124"/>
      <c r="M47" s="125"/>
      <c r="N47" s="126"/>
      <c r="O47" s="126"/>
      <c r="P47" s="98"/>
      <c r="Q47" s="98"/>
      <c r="R47" s="43"/>
      <c r="S47" s="43"/>
      <c r="T47" s="126"/>
      <c r="U47" s="126"/>
      <c r="V47" s="43"/>
      <c r="W47" s="43"/>
      <c r="X47" s="43"/>
      <c r="Y47" s="100"/>
    </row>
    <row r="48" spans="2:25" ht="12" customHeight="1">
      <c r="B48" s="4"/>
      <c r="C48" s="41" t="s">
        <v>970</v>
      </c>
      <c r="D48" s="38"/>
      <c r="E48" s="38"/>
      <c r="F48" s="96"/>
      <c r="G48" s="124"/>
      <c r="H48" s="124"/>
      <c r="I48" s="43"/>
      <c r="J48" s="43"/>
      <c r="K48" s="124"/>
      <c r="L48" s="124"/>
      <c r="M48" s="125"/>
      <c r="N48" s="126"/>
      <c r="O48" s="126"/>
      <c r="P48" s="98"/>
      <c r="Q48" s="98"/>
      <c r="R48" s="43"/>
      <c r="S48" s="43"/>
      <c r="T48" s="126"/>
      <c r="U48" s="126"/>
      <c r="V48" s="43"/>
      <c r="W48" s="43"/>
      <c r="X48" s="43"/>
      <c r="Y48" s="100"/>
    </row>
    <row r="49" spans="2:25" ht="12" customHeight="1">
      <c r="B49" s="4"/>
      <c r="C49" s="41" t="s">
        <v>971</v>
      </c>
      <c r="D49" s="38"/>
      <c r="E49" s="38"/>
      <c r="F49" s="96"/>
      <c r="G49" s="124"/>
      <c r="H49" s="124"/>
      <c r="I49" s="43"/>
      <c r="J49" s="43"/>
      <c r="K49" s="124"/>
      <c r="L49" s="124"/>
      <c r="M49" s="125"/>
      <c r="N49" s="126"/>
      <c r="O49" s="126"/>
      <c r="P49" s="98"/>
      <c r="Q49" s="98"/>
      <c r="R49" s="43"/>
      <c r="S49" s="43"/>
      <c r="T49" s="126"/>
      <c r="U49" s="126"/>
      <c r="V49" s="43"/>
      <c r="W49" s="43"/>
      <c r="X49" s="43"/>
      <c r="Y49" s="100"/>
    </row>
    <row r="50" spans="2:25" ht="12" customHeight="1">
      <c r="B50" s="4"/>
      <c r="C50" s="41" t="s">
        <v>972</v>
      </c>
      <c r="D50" s="38"/>
      <c r="E50" s="38"/>
      <c r="F50" s="96"/>
      <c r="G50" s="124"/>
      <c r="H50" s="124"/>
      <c r="I50" s="43"/>
      <c r="J50" s="43"/>
      <c r="K50" s="124"/>
      <c r="L50" s="124"/>
      <c r="M50" s="125"/>
      <c r="N50" s="126"/>
      <c r="O50" s="126"/>
      <c r="P50" s="98"/>
      <c r="Q50" s="98"/>
      <c r="R50" s="43"/>
      <c r="S50" s="43"/>
      <c r="T50" s="126"/>
      <c r="U50" s="126"/>
      <c r="V50" s="43"/>
      <c r="W50" s="43"/>
      <c r="X50" s="43"/>
      <c r="Y50" s="100"/>
    </row>
    <row r="51" spans="2:25" ht="12" customHeight="1">
      <c r="B51" s="4"/>
      <c r="C51" s="41" t="s">
        <v>973</v>
      </c>
      <c r="D51" s="38"/>
      <c r="E51" s="38"/>
      <c r="F51" s="96"/>
      <c r="G51" s="124"/>
      <c r="H51" s="124"/>
      <c r="I51" s="43"/>
      <c r="J51" s="43"/>
      <c r="K51" s="124"/>
      <c r="L51" s="124"/>
      <c r="M51" s="125"/>
      <c r="N51" s="126"/>
      <c r="O51" s="126"/>
      <c r="P51" s="98"/>
      <c r="Q51" s="98"/>
      <c r="R51" s="43"/>
      <c r="S51" s="43"/>
      <c r="T51" s="126"/>
      <c r="U51" s="126"/>
      <c r="V51" s="43"/>
      <c r="W51" s="43"/>
      <c r="X51" s="43"/>
      <c r="Y51" s="100"/>
    </row>
    <row r="52" spans="2:25" ht="12" customHeight="1">
      <c r="B52" s="4"/>
      <c r="C52" s="41" t="s">
        <v>974</v>
      </c>
      <c r="D52" s="38"/>
      <c r="E52" s="38"/>
      <c r="F52" s="96"/>
      <c r="G52" s="124"/>
      <c r="H52" s="124"/>
      <c r="I52" s="43"/>
      <c r="J52" s="43"/>
      <c r="K52" s="124"/>
      <c r="L52" s="124"/>
      <c r="M52" s="125"/>
      <c r="N52" s="126"/>
      <c r="O52" s="126"/>
      <c r="P52" s="98"/>
      <c r="Q52" s="98"/>
      <c r="R52" s="43"/>
      <c r="S52" s="43"/>
      <c r="T52" s="126"/>
      <c r="U52" s="126"/>
      <c r="V52" s="43"/>
      <c r="W52" s="43"/>
      <c r="X52" s="43"/>
      <c r="Y52" s="100"/>
    </row>
    <row r="53" spans="2:25" ht="12" customHeight="1">
      <c r="B53" s="4"/>
      <c r="C53" s="41" t="s">
        <v>975</v>
      </c>
      <c r="D53" s="38"/>
      <c r="E53" s="38"/>
      <c r="F53" s="96"/>
      <c r="G53" s="124"/>
      <c r="H53" s="124"/>
      <c r="I53" s="43"/>
      <c r="J53" s="43"/>
      <c r="K53" s="124"/>
      <c r="L53" s="124"/>
      <c r="M53" s="125"/>
      <c r="N53" s="126"/>
      <c r="O53" s="126"/>
      <c r="P53" s="98"/>
      <c r="Q53" s="98"/>
      <c r="R53" s="43"/>
      <c r="S53" s="43"/>
      <c r="T53" s="126"/>
      <c r="U53" s="126"/>
      <c r="V53" s="43"/>
      <c r="W53" s="43"/>
      <c r="X53" s="43"/>
      <c r="Y53" s="100"/>
    </row>
    <row r="54" spans="2:25" ht="12" customHeight="1">
      <c r="B54" s="4"/>
      <c r="C54" s="41" t="s">
        <v>976</v>
      </c>
      <c r="D54" s="38"/>
      <c r="E54" s="38"/>
      <c r="F54" s="96"/>
      <c r="G54" s="124"/>
      <c r="H54" s="124"/>
      <c r="I54" s="43"/>
      <c r="J54" s="43"/>
      <c r="K54" s="124"/>
      <c r="L54" s="124"/>
      <c r="M54" s="125"/>
      <c r="N54" s="126"/>
      <c r="O54" s="126"/>
      <c r="P54" s="98"/>
      <c r="Q54" s="98"/>
      <c r="R54" s="43"/>
      <c r="S54" s="43"/>
      <c r="T54" s="126"/>
      <c r="U54" s="126"/>
      <c r="V54" s="43"/>
      <c r="W54" s="43"/>
      <c r="X54" s="43"/>
      <c r="Y54" s="100"/>
    </row>
    <row r="55" spans="2:25" ht="12" customHeight="1">
      <c r="B55" s="4"/>
      <c r="C55" s="41" t="s">
        <v>977</v>
      </c>
      <c r="D55" s="38"/>
      <c r="E55" s="38"/>
      <c r="F55" s="96"/>
      <c r="G55" s="124"/>
      <c r="H55" s="124"/>
      <c r="I55" s="43"/>
      <c r="J55" s="43"/>
      <c r="K55" s="124"/>
      <c r="L55" s="124"/>
      <c r="M55" s="125"/>
      <c r="N55" s="126"/>
      <c r="O55" s="126"/>
      <c r="P55" s="98"/>
      <c r="Q55" s="98"/>
      <c r="R55" s="43"/>
      <c r="S55" s="43"/>
      <c r="T55" s="126"/>
      <c r="U55" s="126"/>
      <c r="V55" s="43"/>
      <c r="W55" s="43"/>
      <c r="X55" s="43"/>
      <c r="Y55" s="100"/>
    </row>
    <row r="56" spans="2:25" ht="12" customHeight="1">
      <c r="B56" s="4"/>
      <c r="C56" s="41" t="s">
        <v>978</v>
      </c>
      <c r="D56" s="38"/>
      <c r="E56" s="38"/>
      <c r="F56" s="96"/>
      <c r="G56" s="124"/>
      <c r="H56" s="124"/>
      <c r="I56" s="43"/>
      <c r="J56" s="43"/>
      <c r="K56" s="124"/>
      <c r="L56" s="124"/>
      <c r="M56" s="125"/>
      <c r="N56" s="126"/>
      <c r="O56" s="126"/>
      <c r="P56" s="98"/>
      <c r="Q56" s="98"/>
      <c r="R56" s="43"/>
      <c r="S56" s="43"/>
      <c r="T56" s="126"/>
      <c r="U56" s="126"/>
      <c r="V56" s="43"/>
      <c r="W56" s="43"/>
      <c r="X56" s="43"/>
      <c r="Y56" s="100"/>
    </row>
    <row r="57" spans="2:25" ht="12" customHeight="1">
      <c r="B57" s="4"/>
      <c r="C57" s="41" t="s">
        <v>979</v>
      </c>
      <c r="D57" s="38"/>
      <c r="E57" s="38"/>
      <c r="F57" s="96"/>
      <c r="G57" s="124"/>
      <c r="H57" s="124"/>
      <c r="I57" s="43"/>
      <c r="J57" s="43"/>
      <c r="K57" s="124"/>
      <c r="L57" s="124"/>
      <c r="M57" s="125"/>
      <c r="N57" s="126"/>
      <c r="O57" s="126"/>
      <c r="P57" s="98"/>
      <c r="Q57" s="98"/>
      <c r="R57" s="43"/>
      <c r="S57" s="43"/>
      <c r="T57" s="126"/>
      <c r="U57" s="126"/>
      <c r="V57" s="43"/>
      <c r="W57" s="43"/>
      <c r="X57" s="43"/>
      <c r="Y57" s="100"/>
    </row>
    <row r="58" spans="2:25" ht="12" customHeight="1">
      <c r="B58" s="4"/>
      <c r="C58" s="41" t="s">
        <v>980</v>
      </c>
      <c r="D58" s="38"/>
      <c r="E58" s="38"/>
      <c r="F58" s="96"/>
      <c r="G58" s="124"/>
      <c r="H58" s="124"/>
      <c r="I58" s="43"/>
      <c r="J58" s="43"/>
      <c r="K58" s="124"/>
      <c r="L58" s="124"/>
      <c r="M58" s="125"/>
      <c r="N58" s="126"/>
      <c r="O58" s="126"/>
      <c r="P58" s="98"/>
      <c r="Q58" s="98"/>
      <c r="R58" s="43"/>
      <c r="S58" s="43"/>
      <c r="T58" s="126"/>
      <c r="U58" s="126"/>
      <c r="V58" s="43"/>
      <c r="W58" s="43"/>
      <c r="X58" s="43"/>
      <c r="Y58" s="100"/>
    </row>
    <row r="59" spans="2:25" ht="12" customHeight="1">
      <c r="B59" s="4"/>
      <c r="C59" s="41" t="s">
        <v>981</v>
      </c>
      <c r="D59" s="38"/>
      <c r="E59" s="38"/>
      <c r="F59" s="96"/>
      <c r="G59" s="124"/>
      <c r="H59" s="124"/>
      <c r="I59" s="43"/>
      <c r="J59" s="43"/>
      <c r="K59" s="124"/>
      <c r="L59" s="124"/>
      <c r="M59" s="125"/>
      <c r="N59" s="126"/>
      <c r="O59" s="126"/>
      <c r="P59" s="98"/>
      <c r="Q59" s="98"/>
      <c r="R59" s="43"/>
      <c r="S59" s="43"/>
      <c r="T59" s="126"/>
      <c r="U59" s="126"/>
      <c r="V59" s="43"/>
      <c r="W59" s="43"/>
      <c r="X59" s="43"/>
      <c r="Y59" s="100"/>
    </row>
    <row r="60" spans="2:25" ht="12" customHeight="1">
      <c r="B60" s="4"/>
      <c r="C60" s="41" t="s">
        <v>982</v>
      </c>
      <c r="D60" s="38"/>
      <c r="E60" s="38"/>
      <c r="F60" s="96"/>
      <c r="G60" s="124"/>
      <c r="H60" s="124"/>
      <c r="I60" s="43"/>
      <c r="J60" s="43"/>
      <c r="K60" s="124"/>
      <c r="L60" s="124"/>
      <c r="M60" s="125"/>
      <c r="N60" s="126"/>
      <c r="O60" s="126"/>
      <c r="P60" s="98"/>
      <c r="Q60" s="98"/>
      <c r="R60" s="43"/>
      <c r="S60" s="43"/>
      <c r="T60" s="126"/>
      <c r="U60" s="126"/>
      <c r="V60" s="43"/>
      <c r="W60" s="43"/>
      <c r="X60" s="43"/>
      <c r="Y60" s="100"/>
    </row>
    <row r="61" spans="2:25" ht="12" customHeight="1">
      <c r="B61" s="4"/>
      <c r="C61" s="41" t="s">
        <v>983</v>
      </c>
      <c r="D61" s="38"/>
      <c r="E61" s="38"/>
      <c r="F61" s="96"/>
      <c r="G61" s="124"/>
      <c r="H61" s="124"/>
      <c r="I61" s="43"/>
      <c r="J61" s="43"/>
      <c r="K61" s="124"/>
      <c r="L61" s="124"/>
      <c r="M61" s="125"/>
      <c r="N61" s="126"/>
      <c r="O61" s="126"/>
      <c r="P61" s="98"/>
      <c r="Q61" s="98"/>
      <c r="R61" s="43"/>
      <c r="S61" s="43"/>
      <c r="T61" s="126"/>
      <c r="U61" s="126"/>
      <c r="V61" s="43"/>
      <c r="W61" s="43"/>
      <c r="X61" s="43"/>
      <c r="Y61" s="100"/>
    </row>
    <row r="62" spans="2:25" ht="12" customHeight="1">
      <c r="B62" s="4"/>
      <c r="C62" s="41" t="s">
        <v>984</v>
      </c>
      <c r="D62" s="38"/>
      <c r="E62" s="38"/>
      <c r="F62" s="96"/>
      <c r="G62" s="124"/>
      <c r="H62" s="124"/>
      <c r="I62" s="43"/>
      <c r="J62" s="43"/>
      <c r="K62" s="124"/>
      <c r="L62" s="124"/>
      <c r="M62" s="125"/>
      <c r="N62" s="126"/>
      <c r="O62" s="126"/>
      <c r="P62" s="98"/>
      <c r="Q62" s="98"/>
      <c r="R62" s="43"/>
      <c r="S62" s="43"/>
      <c r="T62" s="126"/>
      <c r="U62" s="126"/>
      <c r="V62" s="43"/>
      <c r="W62" s="43"/>
      <c r="X62" s="43"/>
      <c r="Y62" s="100"/>
    </row>
    <row r="63" spans="2:25" ht="12" customHeight="1">
      <c r="B63" s="4"/>
      <c r="C63" s="41" t="s">
        <v>985</v>
      </c>
      <c r="D63" s="38"/>
      <c r="E63" s="38"/>
      <c r="F63" s="96"/>
      <c r="G63" s="124"/>
      <c r="H63" s="124"/>
      <c r="I63" s="43"/>
      <c r="J63" s="43"/>
      <c r="K63" s="124"/>
      <c r="L63" s="124"/>
      <c r="M63" s="125"/>
      <c r="N63" s="126"/>
      <c r="O63" s="126"/>
      <c r="P63" s="98"/>
      <c r="Q63" s="98"/>
      <c r="R63" s="43"/>
      <c r="S63" s="43"/>
      <c r="T63" s="126"/>
      <c r="U63" s="126"/>
      <c r="V63" s="43"/>
      <c r="W63" s="43"/>
      <c r="X63" s="43"/>
      <c r="Y63" s="100"/>
    </row>
    <row r="64" spans="2:25" ht="12" customHeight="1">
      <c r="B64" s="4"/>
      <c r="C64" s="41" t="s">
        <v>986</v>
      </c>
      <c r="D64" s="38"/>
      <c r="E64" s="38"/>
      <c r="F64" s="96"/>
      <c r="G64" s="124"/>
      <c r="H64" s="124"/>
      <c r="I64" s="43"/>
      <c r="J64" s="43"/>
      <c r="K64" s="124"/>
      <c r="L64" s="124"/>
      <c r="M64" s="125"/>
      <c r="N64" s="126"/>
      <c r="O64" s="126"/>
      <c r="P64" s="98"/>
      <c r="Q64" s="98"/>
      <c r="R64" s="43"/>
      <c r="S64" s="43"/>
      <c r="T64" s="126"/>
      <c r="U64" s="126"/>
      <c r="V64" s="43"/>
      <c r="W64" s="43"/>
      <c r="X64" s="43"/>
      <c r="Y64" s="100"/>
    </row>
    <row r="65" spans="2:25" ht="12" customHeight="1">
      <c r="B65" s="4"/>
      <c r="C65" s="41" t="s">
        <v>987</v>
      </c>
      <c r="D65" s="38"/>
      <c r="E65" s="38"/>
      <c r="F65" s="96"/>
      <c r="G65" s="124"/>
      <c r="H65" s="124"/>
      <c r="I65" s="43"/>
      <c r="J65" s="43"/>
      <c r="K65" s="124"/>
      <c r="L65" s="124"/>
      <c r="M65" s="125"/>
      <c r="N65" s="126"/>
      <c r="O65" s="126"/>
      <c r="P65" s="98"/>
      <c r="Q65" s="98"/>
      <c r="R65" s="43"/>
      <c r="S65" s="43"/>
      <c r="T65" s="126"/>
      <c r="U65" s="126"/>
      <c r="V65" s="43"/>
      <c r="W65" s="43"/>
      <c r="X65" s="43"/>
      <c r="Y65" s="100"/>
    </row>
    <row r="66" spans="2:25" ht="12" customHeight="1">
      <c r="B66" s="4"/>
      <c r="C66" s="41" t="s">
        <v>988</v>
      </c>
      <c r="D66" s="38"/>
      <c r="E66" s="38"/>
      <c r="F66" s="96"/>
      <c r="G66" s="124"/>
      <c r="H66" s="124"/>
      <c r="I66" s="43"/>
      <c r="J66" s="43"/>
      <c r="K66" s="124"/>
      <c r="L66" s="124"/>
      <c r="M66" s="125"/>
      <c r="N66" s="126"/>
      <c r="O66" s="126"/>
      <c r="P66" s="98"/>
      <c r="Q66" s="98"/>
      <c r="R66" s="43"/>
      <c r="S66" s="43"/>
      <c r="T66" s="126"/>
      <c r="U66" s="126"/>
      <c r="V66" s="43"/>
      <c r="W66" s="43"/>
      <c r="X66" s="43"/>
      <c r="Y66" s="100"/>
    </row>
    <row r="67" spans="2:25" ht="12" customHeight="1">
      <c r="B67" s="4"/>
      <c r="C67" s="41" t="s">
        <v>989</v>
      </c>
      <c r="D67" s="38"/>
      <c r="E67" s="38"/>
      <c r="F67" s="96"/>
      <c r="G67" s="124"/>
      <c r="H67" s="124"/>
      <c r="I67" s="43"/>
      <c r="J67" s="43"/>
      <c r="K67" s="124"/>
      <c r="L67" s="124"/>
      <c r="M67" s="125"/>
      <c r="N67" s="126"/>
      <c r="O67" s="126"/>
      <c r="P67" s="98"/>
      <c r="Q67" s="98"/>
      <c r="R67" s="43"/>
      <c r="S67" s="43"/>
      <c r="T67" s="126"/>
      <c r="U67" s="126"/>
      <c r="V67" s="43"/>
      <c r="W67" s="43"/>
      <c r="X67" s="43"/>
      <c r="Y67" s="100"/>
    </row>
    <row r="68" spans="2:25" ht="12" customHeight="1">
      <c r="B68" s="4"/>
      <c r="C68" s="41" t="s">
        <v>990</v>
      </c>
      <c r="D68" s="38"/>
      <c r="E68" s="38"/>
      <c r="F68" s="96"/>
      <c r="G68" s="124"/>
      <c r="H68" s="124"/>
      <c r="I68" s="43"/>
      <c r="J68" s="43"/>
      <c r="K68" s="124"/>
      <c r="L68" s="124"/>
      <c r="M68" s="125"/>
      <c r="N68" s="126"/>
      <c r="O68" s="126"/>
      <c r="P68" s="98"/>
      <c r="Q68" s="98"/>
      <c r="R68" s="43"/>
      <c r="S68" s="43"/>
      <c r="T68" s="126"/>
      <c r="U68" s="126"/>
      <c r="V68" s="43"/>
      <c r="W68" s="43"/>
      <c r="X68" s="43"/>
      <c r="Y68" s="100"/>
    </row>
    <row r="69" spans="2:25" ht="12" customHeight="1">
      <c r="B69" s="4"/>
      <c r="C69" s="41" t="s">
        <v>991</v>
      </c>
      <c r="D69" s="38"/>
      <c r="E69" s="38"/>
      <c r="F69" s="96"/>
      <c r="G69" s="124"/>
      <c r="H69" s="124"/>
      <c r="I69" s="43"/>
      <c r="J69" s="43"/>
      <c r="K69" s="124"/>
      <c r="L69" s="124"/>
      <c r="M69" s="125"/>
      <c r="N69" s="126"/>
      <c r="O69" s="126"/>
      <c r="P69" s="98"/>
      <c r="Q69" s="98"/>
      <c r="R69" s="43"/>
      <c r="S69" s="43"/>
      <c r="T69" s="126"/>
      <c r="U69" s="126"/>
      <c r="V69" s="43"/>
      <c r="W69" s="43"/>
      <c r="X69" s="43"/>
      <c r="Y69" s="100"/>
    </row>
    <row r="70" spans="2:25" ht="12" customHeight="1">
      <c r="B70" s="4"/>
      <c r="C70" s="41" t="s">
        <v>992</v>
      </c>
      <c r="D70" s="38"/>
      <c r="E70" s="38"/>
      <c r="F70" s="96"/>
      <c r="G70" s="124"/>
      <c r="H70" s="124"/>
      <c r="I70" s="43"/>
      <c r="J70" s="43"/>
      <c r="K70" s="124"/>
      <c r="L70" s="124"/>
      <c r="M70" s="125"/>
      <c r="N70" s="126"/>
      <c r="O70" s="126"/>
      <c r="P70" s="98"/>
      <c r="Q70" s="98"/>
      <c r="R70" s="43"/>
      <c r="S70" s="43"/>
      <c r="T70" s="126"/>
      <c r="U70" s="126"/>
      <c r="V70" s="43"/>
      <c r="W70" s="43"/>
      <c r="X70" s="43"/>
      <c r="Y70" s="100"/>
    </row>
    <row r="71" spans="2:25" ht="12" customHeight="1">
      <c r="B71" s="4"/>
      <c r="C71" s="41" t="s">
        <v>993</v>
      </c>
      <c r="D71" s="38"/>
      <c r="E71" s="38"/>
      <c r="F71" s="96"/>
      <c r="G71" s="124"/>
      <c r="H71" s="124"/>
      <c r="I71" s="43"/>
      <c r="J71" s="43"/>
      <c r="K71" s="124"/>
      <c r="L71" s="124"/>
      <c r="M71" s="125"/>
      <c r="N71" s="126"/>
      <c r="O71" s="126"/>
      <c r="P71" s="98"/>
      <c r="Q71" s="98"/>
      <c r="R71" s="43"/>
      <c r="S71" s="43"/>
      <c r="T71" s="126"/>
      <c r="U71" s="126"/>
      <c r="V71" s="43"/>
      <c r="W71" s="43"/>
      <c r="X71" s="43"/>
      <c r="Y71" s="100"/>
    </row>
    <row r="72" spans="2:25" ht="12" customHeight="1">
      <c r="B72" s="4"/>
      <c r="C72" s="41" t="s">
        <v>994</v>
      </c>
      <c r="D72" s="38"/>
      <c r="E72" s="38"/>
      <c r="F72" s="96"/>
      <c r="G72" s="124"/>
      <c r="H72" s="124"/>
      <c r="I72" s="43"/>
      <c r="J72" s="43"/>
      <c r="K72" s="124"/>
      <c r="L72" s="124"/>
      <c r="M72" s="125"/>
      <c r="N72" s="126"/>
      <c r="O72" s="126"/>
      <c r="P72" s="98"/>
      <c r="Q72" s="98"/>
      <c r="R72" s="43"/>
      <c r="S72" s="43"/>
      <c r="T72" s="126"/>
      <c r="U72" s="126"/>
      <c r="V72" s="43"/>
      <c r="W72" s="43"/>
      <c r="X72" s="43"/>
      <c r="Y72" s="100"/>
    </row>
    <row r="73" spans="2:25" ht="12" customHeight="1">
      <c r="B73" s="4"/>
      <c r="C73" s="41" t="s">
        <v>995</v>
      </c>
      <c r="D73" s="38"/>
      <c r="E73" s="38"/>
      <c r="F73" s="96"/>
      <c r="G73" s="124"/>
      <c r="H73" s="124"/>
      <c r="I73" s="43"/>
      <c r="J73" s="43"/>
      <c r="K73" s="124"/>
      <c r="L73" s="124"/>
      <c r="M73" s="125"/>
      <c r="N73" s="126"/>
      <c r="O73" s="126"/>
      <c r="P73" s="98"/>
      <c r="Q73" s="98"/>
      <c r="R73" s="43"/>
      <c r="S73" s="43"/>
      <c r="T73" s="126"/>
      <c r="U73" s="126"/>
      <c r="V73" s="43"/>
      <c r="W73" s="43"/>
      <c r="X73" s="43"/>
      <c r="Y73" s="100"/>
    </row>
    <row r="74" spans="2:25" ht="12" customHeight="1">
      <c r="B74" s="4"/>
      <c r="C74" s="41" t="s">
        <v>996</v>
      </c>
      <c r="D74" s="38"/>
      <c r="E74" s="38"/>
      <c r="F74" s="96"/>
      <c r="G74" s="124"/>
      <c r="H74" s="124"/>
      <c r="I74" s="43"/>
      <c r="J74" s="43"/>
      <c r="K74" s="124"/>
      <c r="L74" s="124"/>
      <c r="M74" s="125"/>
      <c r="N74" s="126"/>
      <c r="O74" s="126"/>
      <c r="P74" s="98"/>
      <c r="Q74" s="98"/>
      <c r="R74" s="43"/>
      <c r="S74" s="43"/>
      <c r="T74" s="126"/>
      <c r="U74" s="126"/>
      <c r="V74" s="43"/>
      <c r="W74" s="43"/>
      <c r="X74" s="43"/>
      <c r="Y74" s="100"/>
    </row>
    <row r="75" spans="2:25" ht="12" customHeight="1">
      <c r="B75" s="4"/>
      <c r="C75" s="41" t="s">
        <v>997</v>
      </c>
      <c r="D75" s="38"/>
      <c r="E75" s="38"/>
      <c r="F75" s="96"/>
      <c r="G75" s="124"/>
      <c r="H75" s="124"/>
      <c r="I75" s="43"/>
      <c r="J75" s="43"/>
      <c r="K75" s="124"/>
      <c r="L75" s="124"/>
      <c r="M75" s="125"/>
      <c r="N75" s="126"/>
      <c r="O75" s="126"/>
      <c r="P75" s="98"/>
      <c r="Q75" s="98"/>
      <c r="R75" s="43"/>
      <c r="S75" s="43"/>
      <c r="T75" s="126"/>
      <c r="U75" s="126"/>
      <c r="V75" s="43"/>
      <c r="W75" s="43"/>
      <c r="X75" s="43"/>
      <c r="Y75" s="100"/>
    </row>
    <row r="76" spans="2:25" ht="12" customHeight="1">
      <c r="B76" s="4"/>
      <c r="C76" s="41" t="s">
        <v>998</v>
      </c>
      <c r="D76" s="38"/>
      <c r="E76" s="38"/>
      <c r="F76" s="96"/>
      <c r="G76" s="124"/>
      <c r="H76" s="124"/>
      <c r="I76" s="43"/>
      <c r="J76" s="43"/>
      <c r="K76" s="124"/>
      <c r="L76" s="124"/>
      <c r="M76" s="125"/>
      <c r="N76" s="126"/>
      <c r="O76" s="126"/>
      <c r="P76" s="98"/>
      <c r="Q76" s="98"/>
      <c r="R76" s="43"/>
      <c r="S76" s="43"/>
      <c r="T76" s="126"/>
      <c r="U76" s="126"/>
      <c r="V76" s="43"/>
      <c r="W76" s="43"/>
      <c r="X76" s="43"/>
      <c r="Y76" s="100"/>
    </row>
    <row r="77" spans="2:25" ht="12" customHeight="1">
      <c r="B77" s="4"/>
      <c r="C77" s="41" t="s">
        <v>999</v>
      </c>
      <c r="D77" s="38"/>
      <c r="E77" s="38"/>
      <c r="F77" s="96"/>
      <c r="G77" s="124"/>
      <c r="H77" s="124"/>
      <c r="I77" s="43"/>
      <c r="J77" s="43"/>
      <c r="K77" s="124"/>
      <c r="L77" s="124"/>
      <c r="M77" s="125"/>
      <c r="N77" s="126"/>
      <c r="O77" s="126"/>
      <c r="P77" s="98"/>
      <c r="Q77" s="98"/>
      <c r="R77" s="43"/>
      <c r="S77" s="43"/>
      <c r="T77" s="126"/>
      <c r="U77" s="126"/>
      <c r="V77" s="43"/>
      <c r="W77" s="43"/>
      <c r="X77" s="43"/>
      <c r="Y77" s="100"/>
    </row>
    <row r="78" spans="2:25" ht="12" customHeight="1">
      <c r="B78" s="4"/>
      <c r="C78" s="41" t="s">
        <v>1000</v>
      </c>
      <c r="D78" s="38"/>
      <c r="E78" s="38"/>
      <c r="F78" s="96"/>
      <c r="G78" s="124"/>
      <c r="H78" s="124"/>
      <c r="I78" s="43"/>
      <c r="J78" s="43"/>
      <c r="K78" s="124"/>
      <c r="L78" s="124"/>
      <c r="M78" s="125"/>
      <c r="N78" s="126"/>
      <c r="O78" s="126"/>
      <c r="P78" s="98"/>
      <c r="Q78" s="98"/>
      <c r="R78" s="43"/>
      <c r="S78" s="43"/>
      <c r="T78" s="126"/>
      <c r="U78" s="126"/>
      <c r="V78" s="43"/>
      <c r="W78" s="43"/>
      <c r="X78" s="43"/>
      <c r="Y78" s="100"/>
    </row>
    <row r="79" spans="2:25" ht="12" customHeight="1">
      <c r="B79" s="4"/>
      <c r="C79" s="41" t="s">
        <v>1001</v>
      </c>
      <c r="D79" s="38"/>
      <c r="E79" s="38"/>
      <c r="F79" s="96"/>
      <c r="G79" s="124"/>
      <c r="H79" s="124"/>
      <c r="I79" s="43"/>
      <c r="J79" s="43"/>
      <c r="K79" s="124"/>
      <c r="L79" s="124"/>
      <c r="M79" s="125"/>
      <c r="N79" s="126"/>
      <c r="O79" s="126"/>
      <c r="P79" s="98"/>
      <c r="Q79" s="98"/>
      <c r="R79" s="43"/>
      <c r="S79" s="43"/>
      <c r="T79" s="126"/>
      <c r="U79" s="126"/>
      <c r="V79" s="43"/>
      <c r="W79" s="43"/>
      <c r="X79" s="43"/>
      <c r="Y79" s="100"/>
    </row>
    <row r="80" spans="2:25" ht="12" customHeight="1">
      <c r="B80" s="4"/>
      <c r="C80" s="41" t="s">
        <v>1002</v>
      </c>
      <c r="D80" s="38"/>
      <c r="E80" s="38"/>
      <c r="F80" s="96"/>
      <c r="G80" s="124"/>
      <c r="H80" s="124"/>
      <c r="I80" s="43"/>
      <c r="J80" s="43"/>
      <c r="K80" s="124"/>
      <c r="L80" s="124"/>
      <c r="M80" s="125"/>
      <c r="N80" s="126"/>
      <c r="O80" s="126"/>
      <c r="P80" s="98"/>
      <c r="Q80" s="98"/>
      <c r="R80" s="43"/>
      <c r="S80" s="43"/>
      <c r="T80" s="126"/>
      <c r="U80" s="126"/>
      <c r="V80" s="43"/>
      <c r="W80" s="43"/>
      <c r="X80" s="43"/>
      <c r="Y80" s="100"/>
    </row>
    <row r="81" spans="2:25" ht="12" customHeight="1">
      <c r="B81" s="4"/>
      <c r="C81" s="41" t="s">
        <v>1003</v>
      </c>
      <c r="D81" s="38"/>
      <c r="E81" s="38"/>
      <c r="F81" s="96"/>
      <c r="G81" s="124"/>
      <c r="H81" s="124"/>
      <c r="I81" s="43"/>
      <c r="J81" s="43"/>
      <c r="K81" s="124"/>
      <c r="L81" s="124"/>
      <c r="M81" s="125"/>
      <c r="N81" s="126"/>
      <c r="O81" s="126"/>
      <c r="P81" s="98"/>
      <c r="Q81" s="98"/>
      <c r="R81" s="43"/>
      <c r="S81" s="43"/>
      <c r="T81" s="126"/>
      <c r="U81" s="126"/>
      <c r="V81" s="43"/>
      <c r="W81" s="43"/>
      <c r="X81" s="43"/>
      <c r="Y81" s="100"/>
    </row>
    <row r="82" spans="2:25" ht="12" customHeight="1">
      <c r="B82" s="4"/>
      <c r="C82" s="41" t="s">
        <v>1004</v>
      </c>
      <c r="D82" s="38"/>
      <c r="E82" s="38"/>
      <c r="F82" s="96"/>
      <c r="G82" s="124"/>
      <c r="H82" s="124"/>
      <c r="I82" s="43"/>
      <c r="J82" s="43"/>
      <c r="K82" s="124"/>
      <c r="L82" s="124"/>
      <c r="M82" s="125"/>
      <c r="N82" s="126"/>
      <c r="O82" s="126"/>
      <c r="P82" s="98"/>
      <c r="Q82" s="98"/>
      <c r="R82" s="43"/>
      <c r="S82" s="43"/>
      <c r="T82" s="126"/>
      <c r="U82" s="126"/>
      <c r="V82" s="43"/>
      <c r="W82" s="43"/>
      <c r="X82" s="43"/>
      <c r="Y82" s="100"/>
    </row>
    <row r="83" spans="2:25" ht="12" customHeight="1">
      <c r="B83" s="4"/>
      <c r="C83" s="41" t="s">
        <v>1005</v>
      </c>
      <c r="D83" s="38"/>
      <c r="E83" s="38"/>
      <c r="F83" s="96"/>
      <c r="G83" s="124"/>
      <c r="H83" s="124"/>
      <c r="I83" s="43"/>
      <c r="J83" s="43"/>
      <c r="K83" s="124"/>
      <c r="L83" s="124"/>
      <c r="M83" s="125"/>
      <c r="N83" s="126"/>
      <c r="O83" s="126"/>
      <c r="P83" s="98"/>
      <c r="Q83" s="98"/>
      <c r="R83" s="43"/>
      <c r="S83" s="43"/>
      <c r="T83" s="126"/>
      <c r="U83" s="126"/>
      <c r="V83" s="43"/>
      <c r="W83" s="43"/>
      <c r="X83" s="43"/>
      <c r="Y83" s="100"/>
    </row>
    <row r="84" spans="2:25" ht="12" customHeight="1">
      <c r="B84" s="4"/>
      <c r="C84" s="41" t="s">
        <v>1006</v>
      </c>
      <c r="D84" s="38"/>
      <c r="E84" s="38"/>
      <c r="F84" s="96"/>
      <c r="G84" s="124"/>
      <c r="H84" s="124"/>
      <c r="I84" s="43"/>
      <c r="J84" s="43"/>
      <c r="K84" s="124"/>
      <c r="L84" s="124"/>
      <c r="M84" s="125"/>
      <c r="N84" s="126"/>
      <c r="O84" s="126"/>
      <c r="P84" s="98"/>
      <c r="Q84" s="98"/>
      <c r="R84" s="43"/>
      <c r="S84" s="43"/>
      <c r="T84" s="126"/>
      <c r="U84" s="126"/>
      <c r="V84" s="43"/>
      <c r="W84" s="43"/>
      <c r="X84" s="43"/>
      <c r="Y84" s="100"/>
    </row>
    <row r="85" spans="2:25" ht="12" customHeight="1">
      <c r="B85" s="4"/>
      <c r="C85" s="41" t="s">
        <v>1007</v>
      </c>
      <c r="D85" s="38"/>
      <c r="E85" s="38"/>
      <c r="F85" s="96"/>
      <c r="G85" s="124"/>
      <c r="H85" s="124"/>
      <c r="I85" s="43"/>
      <c r="J85" s="43"/>
      <c r="K85" s="124"/>
      <c r="L85" s="124"/>
      <c r="M85" s="125"/>
      <c r="N85" s="126"/>
      <c r="O85" s="126"/>
      <c r="P85" s="98"/>
      <c r="Q85" s="98"/>
      <c r="R85" s="43"/>
      <c r="S85" s="43"/>
      <c r="T85" s="126"/>
      <c r="U85" s="126"/>
      <c r="V85" s="43"/>
      <c r="W85" s="43"/>
      <c r="X85" s="43"/>
      <c r="Y85" s="100"/>
    </row>
    <row r="86" spans="2:25" ht="12" customHeight="1">
      <c r="B86" s="4"/>
      <c r="C86" s="41" t="s">
        <v>1008</v>
      </c>
      <c r="D86" s="38"/>
      <c r="E86" s="38"/>
      <c r="F86" s="96"/>
      <c r="G86" s="124"/>
      <c r="H86" s="124"/>
      <c r="I86" s="43"/>
      <c r="J86" s="43"/>
      <c r="K86" s="124"/>
      <c r="L86" s="124"/>
      <c r="M86" s="125"/>
      <c r="N86" s="126"/>
      <c r="O86" s="126"/>
      <c r="P86" s="98"/>
      <c r="Q86" s="98"/>
      <c r="R86" s="43"/>
      <c r="S86" s="43"/>
      <c r="T86" s="126"/>
      <c r="U86" s="126"/>
      <c r="V86" s="43"/>
      <c r="W86" s="43"/>
      <c r="X86" s="43"/>
      <c r="Y86" s="100"/>
    </row>
    <row r="87" spans="2:25" ht="12" customHeight="1">
      <c r="B87" s="4"/>
      <c r="C87" s="41" t="s">
        <v>1009</v>
      </c>
      <c r="D87" s="38"/>
      <c r="E87" s="38"/>
      <c r="F87" s="96"/>
      <c r="G87" s="124"/>
      <c r="H87" s="124"/>
      <c r="I87" s="43"/>
      <c r="J87" s="43"/>
      <c r="K87" s="124"/>
      <c r="L87" s="124"/>
      <c r="M87" s="125"/>
      <c r="N87" s="126"/>
      <c r="O87" s="126"/>
      <c r="P87" s="98"/>
      <c r="Q87" s="98"/>
      <c r="R87" s="43"/>
      <c r="S87" s="43"/>
      <c r="T87" s="126"/>
      <c r="U87" s="126"/>
      <c r="V87" s="43"/>
      <c r="W87" s="43"/>
      <c r="X87" s="43"/>
      <c r="Y87" s="100"/>
    </row>
    <row r="88" spans="2:25" ht="12" customHeight="1">
      <c r="B88" s="4"/>
      <c r="C88" s="41" t="s">
        <v>1010</v>
      </c>
      <c r="D88" s="38"/>
      <c r="E88" s="38"/>
      <c r="F88" s="96"/>
      <c r="G88" s="124"/>
      <c r="H88" s="124"/>
      <c r="I88" s="43"/>
      <c r="J88" s="43"/>
      <c r="K88" s="124"/>
      <c r="L88" s="124"/>
      <c r="M88" s="125"/>
      <c r="N88" s="126"/>
      <c r="O88" s="126"/>
      <c r="P88" s="98"/>
      <c r="Q88" s="98"/>
      <c r="R88" s="43"/>
      <c r="S88" s="43"/>
      <c r="T88" s="126"/>
      <c r="U88" s="126"/>
      <c r="V88" s="43"/>
      <c r="W88" s="43"/>
      <c r="X88" s="43"/>
      <c r="Y88" s="100"/>
    </row>
    <row r="89" spans="2:25" ht="12" customHeight="1">
      <c r="B89" s="4"/>
      <c r="C89" s="41" t="s">
        <v>1011</v>
      </c>
      <c r="D89" s="38"/>
      <c r="E89" s="38"/>
      <c r="F89" s="96"/>
      <c r="G89" s="124"/>
      <c r="H89" s="124"/>
      <c r="I89" s="43"/>
      <c r="J89" s="43"/>
      <c r="K89" s="124"/>
      <c r="L89" s="124"/>
      <c r="M89" s="125"/>
      <c r="N89" s="126"/>
      <c r="O89" s="126"/>
      <c r="P89" s="98"/>
      <c r="Q89" s="98"/>
      <c r="R89" s="43"/>
      <c r="S89" s="43"/>
      <c r="T89" s="126"/>
      <c r="U89" s="126"/>
      <c r="V89" s="43"/>
      <c r="W89" s="43"/>
      <c r="X89" s="43"/>
      <c r="Y89" s="100"/>
    </row>
    <row r="90" spans="2:25" ht="12" customHeight="1">
      <c r="B90" s="4"/>
      <c r="C90" s="41" t="s">
        <v>1012</v>
      </c>
      <c r="D90" s="38"/>
      <c r="E90" s="38"/>
      <c r="F90" s="96"/>
      <c r="G90" s="124"/>
      <c r="H90" s="124"/>
      <c r="I90" s="43"/>
      <c r="J90" s="43"/>
      <c r="K90" s="124"/>
      <c r="L90" s="124"/>
      <c r="M90" s="125"/>
      <c r="N90" s="126"/>
      <c r="O90" s="126"/>
      <c r="P90" s="98"/>
      <c r="Q90" s="98"/>
      <c r="R90" s="43"/>
      <c r="S90" s="43"/>
      <c r="T90" s="126"/>
      <c r="U90" s="126"/>
      <c r="V90" s="43"/>
      <c r="W90" s="43"/>
      <c r="X90" s="43"/>
      <c r="Y90" s="100"/>
    </row>
    <row r="91" spans="2:25" ht="12" customHeight="1">
      <c r="B91" s="4"/>
      <c r="C91" s="41" t="s">
        <v>1013</v>
      </c>
      <c r="D91" s="38"/>
      <c r="E91" s="38"/>
      <c r="F91" s="96"/>
      <c r="G91" s="124"/>
      <c r="H91" s="124"/>
      <c r="I91" s="43"/>
      <c r="J91" s="43"/>
      <c r="K91" s="124"/>
      <c r="L91" s="124"/>
      <c r="M91" s="125"/>
      <c r="N91" s="126"/>
      <c r="O91" s="126"/>
      <c r="P91" s="98"/>
      <c r="Q91" s="98"/>
      <c r="R91" s="43"/>
      <c r="S91" s="43"/>
      <c r="T91" s="126"/>
      <c r="U91" s="126"/>
      <c r="V91" s="43"/>
      <c r="W91" s="43"/>
      <c r="X91" s="43"/>
      <c r="Y91" s="100"/>
    </row>
    <row r="92" spans="2:25" ht="12" customHeight="1">
      <c r="B92" s="4"/>
      <c r="C92" s="41" t="s">
        <v>1014</v>
      </c>
      <c r="D92" s="38"/>
      <c r="E92" s="38"/>
      <c r="F92" s="96"/>
      <c r="G92" s="124"/>
      <c r="H92" s="124"/>
      <c r="I92" s="43"/>
      <c r="J92" s="43"/>
      <c r="K92" s="124"/>
      <c r="L92" s="124"/>
      <c r="M92" s="125"/>
      <c r="N92" s="126"/>
      <c r="O92" s="126"/>
      <c r="P92" s="98"/>
      <c r="Q92" s="98"/>
      <c r="R92" s="43"/>
      <c r="S92" s="43"/>
      <c r="T92" s="126"/>
      <c r="U92" s="126"/>
      <c r="V92" s="43"/>
      <c r="W92" s="43"/>
      <c r="X92" s="43"/>
      <c r="Y92" s="100"/>
    </row>
    <row r="93" spans="2:25" ht="12" customHeight="1">
      <c r="B93" s="4"/>
      <c r="C93" s="41" t="s">
        <v>1015</v>
      </c>
      <c r="D93" s="38"/>
      <c r="E93" s="38"/>
      <c r="F93" s="96"/>
      <c r="G93" s="124"/>
      <c r="H93" s="124"/>
      <c r="I93" s="43"/>
      <c r="J93" s="43"/>
      <c r="K93" s="124"/>
      <c r="L93" s="124"/>
      <c r="M93" s="125"/>
      <c r="N93" s="126"/>
      <c r="O93" s="126"/>
      <c r="P93" s="98"/>
      <c r="Q93" s="98"/>
      <c r="R93" s="43"/>
      <c r="S93" s="43"/>
      <c r="T93" s="126"/>
      <c r="U93" s="126"/>
      <c r="V93" s="43"/>
      <c r="W93" s="43"/>
      <c r="X93" s="43"/>
      <c r="Y93" s="100"/>
    </row>
    <row r="94" spans="2:25" ht="12" customHeight="1">
      <c r="B94" s="4"/>
      <c r="C94" s="41" t="s">
        <v>1016</v>
      </c>
      <c r="D94" s="38"/>
      <c r="E94" s="38"/>
      <c r="F94" s="96"/>
      <c r="G94" s="124"/>
      <c r="H94" s="124"/>
      <c r="I94" s="43"/>
      <c r="J94" s="43"/>
      <c r="K94" s="124"/>
      <c r="L94" s="124"/>
      <c r="M94" s="125"/>
      <c r="N94" s="126"/>
      <c r="O94" s="126"/>
      <c r="P94" s="98"/>
      <c r="Q94" s="98"/>
      <c r="R94" s="43"/>
      <c r="S94" s="43"/>
      <c r="T94" s="126"/>
      <c r="U94" s="126"/>
      <c r="V94" s="43"/>
      <c r="W94" s="43"/>
      <c r="X94" s="43"/>
      <c r="Y94" s="100"/>
    </row>
    <row r="95" spans="2:25" ht="12" customHeight="1">
      <c r="B95" s="4"/>
      <c r="C95" s="41" t="s">
        <v>1017</v>
      </c>
      <c r="D95" s="38"/>
      <c r="E95" s="38"/>
      <c r="F95" s="96"/>
      <c r="G95" s="124"/>
      <c r="H95" s="124"/>
      <c r="I95" s="43"/>
      <c r="J95" s="43"/>
      <c r="K95" s="124"/>
      <c r="L95" s="124"/>
      <c r="M95" s="125"/>
      <c r="N95" s="126"/>
      <c r="O95" s="126"/>
      <c r="P95" s="98"/>
      <c r="Q95" s="98"/>
      <c r="R95" s="43"/>
      <c r="S95" s="43"/>
      <c r="T95" s="126"/>
      <c r="U95" s="126"/>
      <c r="V95" s="43"/>
      <c r="W95" s="43"/>
      <c r="X95" s="43"/>
      <c r="Y95" s="100"/>
    </row>
    <row r="96" spans="2:25" ht="12" customHeight="1">
      <c r="B96" s="4"/>
      <c r="C96" s="41" t="s">
        <v>1018</v>
      </c>
      <c r="D96" s="38"/>
      <c r="E96" s="38"/>
      <c r="F96" s="96"/>
      <c r="G96" s="124"/>
      <c r="H96" s="124"/>
      <c r="I96" s="43"/>
      <c r="J96" s="43"/>
      <c r="K96" s="124"/>
      <c r="L96" s="124"/>
      <c r="M96" s="125"/>
      <c r="N96" s="126"/>
      <c r="O96" s="126"/>
      <c r="P96" s="98"/>
      <c r="Q96" s="98"/>
      <c r="R96" s="43"/>
      <c r="S96" s="43"/>
      <c r="T96" s="126"/>
      <c r="U96" s="126"/>
      <c r="V96" s="43"/>
      <c r="W96" s="43"/>
      <c r="X96" s="43"/>
      <c r="Y96" s="100"/>
    </row>
    <row r="97" spans="2:25" ht="12" customHeight="1">
      <c r="B97" s="4"/>
      <c r="C97" s="41" t="s">
        <v>1019</v>
      </c>
      <c r="D97" s="38"/>
      <c r="E97" s="38"/>
      <c r="F97" s="96"/>
      <c r="G97" s="124"/>
      <c r="H97" s="124"/>
      <c r="I97" s="43"/>
      <c r="J97" s="43"/>
      <c r="K97" s="124"/>
      <c r="L97" s="124"/>
      <c r="M97" s="125"/>
      <c r="N97" s="126"/>
      <c r="O97" s="126"/>
      <c r="P97" s="98"/>
      <c r="Q97" s="98"/>
      <c r="R97" s="43"/>
      <c r="S97" s="43"/>
      <c r="T97" s="126"/>
      <c r="U97" s="126"/>
      <c r="V97" s="43"/>
      <c r="W97" s="43"/>
      <c r="X97" s="43"/>
      <c r="Y97" s="100"/>
    </row>
    <row r="98" spans="2:25" ht="12" customHeight="1">
      <c r="B98" s="4"/>
      <c r="C98" s="41" t="s">
        <v>1020</v>
      </c>
      <c r="D98" s="38"/>
      <c r="E98" s="38"/>
      <c r="F98" s="96"/>
      <c r="G98" s="124"/>
      <c r="H98" s="124"/>
      <c r="I98" s="43"/>
      <c r="J98" s="43"/>
      <c r="K98" s="124"/>
      <c r="L98" s="124"/>
      <c r="M98" s="125"/>
      <c r="N98" s="126"/>
      <c r="O98" s="126"/>
      <c r="P98" s="98"/>
      <c r="Q98" s="98"/>
      <c r="R98" s="43"/>
      <c r="S98" s="43"/>
      <c r="T98" s="126"/>
      <c r="U98" s="126"/>
      <c r="V98" s="43"/>
      <c r="W98" s="43"/>
      <c r="X98" s="43"/>
      <c r="Y98" s="100"/>
    </row>
    <row r="99" spans="2:25" ht="12" customHeight="1">
      <c r="B99" s="4"/>
      <c r="C99" s="41" t="s">
        <v>1021</v>
      </c>
      <c r="D99" s="38"/>
      <c r="E99" s="38"/>
      <c r="F99" s="96"/>
      <c r="G99" s="124"/>
      <c r="H99" s="124"/>
      <c r="I99" s="43"/>
      <c r="J99" s="43"/>
      <c r="K99" s="124"/>
      <c r="L99" s="124"/>
      <c r="M99" s="125"/>
      <c r="N99" s="126"/>
      <c r="O99" s="126"/>
      <c r="P99" s="98"/>
      <c r="Q99" s="98"/>
      <c r="R99" s="43"/>
      <c r="S99" s="43"/>
      <c r="T99" s="126"/>
      <c r="U99" s="126"/>
      <c r="V99" s="43"/>
      <c r="W99" s="43"/>
      <c r="X99" s="43"/>
      <c r="Y99" s="100"/>
    </row>
    <row r="100" spans="2:25" ht="12" customHeight="1">
      <c r="B100" s="4"/>
      <c r="C100" s="41" t="s">
        <v>1022</v>
      </c>
      <c r="D100" s="38"/>
      <c r="E100" s="38"/>
      <c r="F100" s="96"/>
      <c r="G100" s="124"/>
      <c r="H100" s="124"/>
      <c r="I100" s="43"/>
      <c r="J100" s="43"/>
      <c r="K100" s="124"/>
      <c r="L100" s="124"/>
      <c r="M100" s="125"/>
      <c r="N100" s="126"/>
      <c r="O100" s="126"/>
      <c r="P100" s="98"/>
      <c r="Q100" s="98"/>
      <c r="R100" s="43"/>
      <c r="S100" s="43"/>
      <c r="T100" s="126"/>
      <c r="U100" s="126"/>
      <c r="V100" s="43"/>
      <c r="W100" s="43"/>
      <c r="X100" s="43"/>
      <c r="Y100" s="100"/>
    </row>
    <row r="101" spans="2:25" ht="12" customHeight="1">
      <c r="B101" s="4"/>
      <c r="C101" s="41" t="s">
        <v>1023</v>
      </c>
      <c r="D101" s="38"/>
      <c r="E101" s="38"/>
      <c r="F101" s="96"/>
      <c r="G101" s="124"/>
      <c r="H101" s="124"/>
      <c r="I101" s="43"/>
      <c r="J101" s="43"/>
      <c r="K101" s="124"/>
      <c r="L101" s="124"/>
      <c r="M101" s="125"/>
      <c r="N101" s="126"/>
      <c r="O101" s="126"/>
      <c r="P101" s="98"/>
      <c r="Q101" s="98"/>
      <c r="R101" s="43"/>
      <c r="S101" s="43"/>
      <c r="T101" s="126"/>
      <c r="U101" s="126"/>
      <c r="V101" s="43"/>
      <c r="W101" s="43"/>
      <c r="X101" s="43"/>
      <c r="Y101" s="100"/>
    </row>
    <row r="102" spans="2:25" ht="12" customHeight="1">
      <c r="B102" s="4"/>
      <c r="C102" s="41" t="s">
        <v>1024</v>
      </c>
      <c r="D102" s="38"/>
      <c r="E102" s="38"/>
      <c r="F102" s="96"/>
      <c r="G102" s="124"/>
      <c r="H102" s="124"/>
      <c r="I102" s="43"/>
      <c r="J102" s="43"/>
      <c r="K102" s="124"/>
      <c r="L102" s="124"/>
      <c r="M102" s="125"/>
      <c r="N102" s="126"/>
      <c r="O102" s="126"/>
      <c r="P102" s="98"/>
      <c r="Q102" s="98"/>
      <c r="R102" s="43"/>
      <c r="S102" s="43"/>
      <c r="T102" s="126"/>
      <c r="U102" s="126"/>
      <c r="V102" s="43"/>
      <c r="W102" s="43"/>
      <c r="X102" s="43"/>
      <c r="Y102" s="100"/>
    </row>
    <row r="103" spans="2:25" ht="12" customHeight="1">
      <c r="B103" s="4"/>
      <c r="C103" s="41" t="s">
        <v>1025</v>
      </c>
      <c r="D103" s="38"/>
      <c r="E103" s="38"/>
      <c r="F103" s="96"/>
      <c r="G103" s="124"/>
      <c r="H103" s="124"/>
      <c r="I103" s="43"/>
      <c r="J103" s="43"/>
      <c r="K103" s="124"/>
      <c r="L103" s="124"/>
      <c r="M103" s="125"/>
      <c r="N103" s="126"/>
      <c r="O103" s="126"/>
      <c r="P103" s="98"/>
      <c r="Q103" s="98"/>
      <c r="R103" s="43"/>
      <c r="S103" s="43"/>
      <c r="T103" s="126"/>
      <c r="U103" s="126"/>
      <c r="V103" s="43"/>
      <c r="W103" s="43"/>
      <c r="X103" s="43"/>
      <c r="Y103" s="100"/>
    </row>
    <row r="104" spans="2:25" ht="12" customHeight="1">
      <c r="B104" s="4"/>
      <c r="C104" s="41" t="s">
        <v>1026</v>
      </c>
      <c r="D104" s="38"/>
      <c r="E104" s="38"/>
      <c r="F104" s="96"/>
      <c r="G104" s="124"/>
      <c r="H104" s="124"/>
      <c r="I104" s="43"/>
      <c r="J104" s="43"/>
      <c r="K104" s="124"/>
      <c r="L104" s="124"/>
      <c r="M104" s="125"/>
      <c r="N104" s="126"/>
      <c r="O104" s="126"/>
      <c r="P104" s="98"/>
      <c r="Q104" s="98"/>
      <c r="R104" s="43"/>
      <c r="S104" s="43"/>
      <c r="T104" s="126"/>
      <c r="U104" s="126"/>
      <c r="V104" s="43"/>
      <c r="W104" s="43"/>
      <c r="X104" s="43"/>
      <c r="Y104" s="100"/>
    </row>
    <row r="105" spans="2:25" ht="12" customHeight="1">
      <c r="B105" s="4"/>
      <c r="C105" s="41" t="s">
        <v>1027</v>
      </c>
      <c r="D105" s="38"/>
      <c r="E105" s="38"/>
      <c r="F105" s="96"/>
      <c r="G105" s="124"/>
      <c r="H105" s="124"/>
      <c r="I105" s="43"/>
      <c r="J105" s="43"/>
      <c r="K105" s="124"/>
      <c r="L105" s="124"/>
      <c r="M105" s="125"/>
      <c r="N105" s="126"/>
      <c r="O105" s="126"/>
      <c r="P105" s="98"/>
      <c r="Q105" s="98"/>
      <c r="R105" s="43"/>
      <c r="S105" s="43"/>
      <c r="T105" s="126"/>
      <c r="U105" s="126"/>
      <c r="V105" s="43"/>
      <c r="W105" s="43"/>
      <c r="X105" s="43"/>
      <c r="Y105" s="100"/>
    </row>
    <row r="106" spans="2:25" ht="12" customHeight="1">
      <c r="B106" s="4"/>
      <c r="C106" s="41" t="s">
        <v>1028</v>
      </c>
      <c r="D106" s="38"/>
      <c r="E106" s="38"/>
      <c r="F106" s="96"/>
      <c r="G106" s="124"/>
      <c r="H106" s="124"/>
      <c r="I106" s="43"/>
      <c r="J106" s="43"/>
      <c r="K106" s="124"/>
      <c r="L106" s="124"/>
      <c r="M106" s="125"/>
      <c r="N106" s="126"/>
      <c r="O106" s="126"/>
      <c r="P106" s="98"/>
      <c r="Q106" s="98"/>
      <c r="R106" s="43"/>
      <c r="S106" s="43"/>
      <c r="T106" s="126"/>
      <c r="U106" s="126"/>
      <c r="V106" s="43"/>
      <c r="W106" s="43"/>
      <c r="X106" s="43"/>
      <c r="Y106" s="100"/>
    </row>
    <row r="107" spans="2:25" ht="12" customHeight="1">
      <c r="B107" s="4"/>
      <c r="C107" s="41" t="s">
        <v>1029</v>
      </c>
      <c r="D107" s="38"/>
      <c r="E107" s="38"/>
      <c r="F107" s="96"/>
      <c r="G107" s="124"/>
      <c r="H107" s="124"/>
      <c r="I107" s="43"/>
      <c r="J107" s="43"/>
      <c r="K107" s="124"/>
      <c r="L107" s="124"/>
      <c r="M107" s="125"/>
      <c r="N107" s="126"/>
      <c r="O107" s="126"/>
      <c r="P107" s="98"/>
      <c r="Q107" s="98"/>
      <c r="R107" s="43"/>
      <c r="S107" s="43"/>
      <c r="T107" s="126"/>
      <c r="U107" s="126"/>
      <c r="V107" s="43"/>
      <c r="W107" s="43"/>
      <c r="X107" s="43"/>
      <c r="Y107" s="100"/>
    </row>
    <row r="108" spans="2:25" ht="12" customHeight="1">
      <c r="B108" s="4"/>
      <c r="C108" s="41" t="s">
        <v>1030</v>
      </c>
      <c r="D108" s="38"/>
      <c r="E108" s="38"/>
      <c r="F108" s="96"/>
      <c r="G108" s="124"/>
      <c r="H108" s="124"/>
      <c r="I108" s="43"/>
      <c r="J108" s="43"/>
      <c r="K108" s="124"/>
      <c r="L108" s="124"/>
      <c r="M108" s="125"/>
      <c r="N108" s="126"/>
      <c r="O108" s="126"/>
      <c r="P108" s="98"/>
      <c r="Q108" s="98"/>
      <c r="R108" s="43"/>
      <c r="S108" s="43"/>
      <c r="T108" s="126"/>
      <c r="U108" s="126"/>
      <c r="V108" s="43"/>
      <c r="W108" s="43"/>
      <c r="X108" s="43"/>
      <c r="Y108" s="100"/>
    </row>
    <row r="109" spans="2:25" ht="12" customHeight="1">
      <c r="B109" s="4"/>
      <c r="C109" s="41" t="s">
        <v>1031</v>
      </c>
      <c r="D109" s="38"/>
      <c r="E109" s="38"/>
      <c r="F109" s="96"/>
      <c r="G109" s="124"/>
      <c r="H109" s="124"/>
      <c r="I109" s="43"/>
      <c r="J109" s="43"/>
      <c r="K109" s="124"/>
      <c r="L109" s="124"/>
      <c r="M109" s="125"/>
      <c r="N109" s="126"/>
      <c r="O109" s="126"/>
      <c r="P109" s="98"/>
      <c r="Q109" s="98"/>
      <c r="R109" s="43"/>
      <c r="S109" s="43"/>
      <c r="T109" s="126"/>
      <c r="U109" s="126"/>
      <c r="V109" s="43"/>
      <c r="W109" s="43"/>
      <c r="X109" s="43"/>
      <c r="Y109" s="100"/>
    </row>
    <row r="110" spans="2:25" ht="12" customHeight="1">
      <c r="B110" s="4"/>
      <c r="C110" s="41" t="s">
        <v>1032</v>
      </c>
      <c r="D110" s="38"/>
      <c r="E110" s="38"/>
      <c r="F110" s="96"/>
      <c r="G110" s="124"/>
      <c r="H110" s="124"/>
      <c r="I110" s="43"/>
      <c r="J110" s="43"/>
      <c r="K110" s="124"/>
      <c r="L110" s="124"/>
      <c r="M110" s="125"/>
      <c r="N110" s="126"/>
      <c r="O110" s="126"/>
      <c r="P110" s="98"/>
      <c r="Q110" s="98"/>
      <c r="R110" s="43"/>
      <c r="S110" s="43"/>
      <c r="T110" s="126"/>
      <c r="U110" s="126"/>
      <c r="V110" s="43"/>
      <c r="W110" s="43"/>
      <c r="X110" s="43"/>
      <c r="Y110" s="100"/>
    </row>
    <row r="111" spans="2:25" ht="12" customHeight="1">
      <c r="B111" s="4"/>
      <c r="C111" s="41" t="s">
        <v>1033</v>
      </c>
      <c r="D111" s="38"/>
      <c r="E111" s="38"/>
      <c r="F111" s="96"/>
      <c r="G111" s="124"/>
      <c r="H111" s="124"/>
      <c r="I111" s="43"/>
      <c r="J111" s="43"/>
      <c r="K111" s="124"/>
      <c r="L111" s="124"/>
      <c r="M111" s="125"/>
      <c r="N111" s="126"/>
      <c r="O111" s="126"/>
      <c r="P111" s="98"/>
      <c r="Q111" s="98"/>
      <c r="R111" s="43"/>
      <c r="S111" s="43"/>
      <c r="T111" s="126"/>
      <c r="U111" s="126"/>
      <c r="V111" s="43"/>
      <c r="W111" s="43"/>
      <c r="X111" s="43"/>
      <c r="Y111" s="100"/>
    </row>
    <row r="112" spans="2:25" ht="12" customHeight="1">
      <c r="B112" s="4"/>
      <c r="C112" s="41" t="s">
        <v>1034</v>
      </c>
      <c r="D112" s="38"/>
      <c r="E112" s="38"/>
      <c r="F112" s="96"/>
      <c r="G112" s="124"/>
      <c r="H112" s="124"/>
      <c r="I112" s="43"/>
      <c r="J112" s="43"/>
      <c r="K112" s="124"/>
      <c r="L112" s="124"/>
      <c r="M112" s="125"/>
      <c r="N112" s="126"/>
      <c r="O112" s="126"/>
      <c r="P112" s="98"/>
      <c r="Q112" s="98"/>
      <c r="R112" s="43"/>
      <c r="S112" s="43"/>
      <c r="T112" s="126"/>
      <c r="U112" s="126"/>
      <c r="V112" s="43"/>
      <c r="W112" s="43"/>
      <c r="X112" s="43"/>
      <c r="Y112" s="100"/>
    </row>
    <row r="113" spans="2:25" ht="12" customHeight="1">
      <c r="B113" s="4"/>
      <c r="C113" s="41" t="s">
        <v>1035</v>
      </c>
      <c r="D113" s="38"/>
      <c r="E113" s="38"/>
      <c r="F113" s="96"/>
      <c r="G113" s="124"/>
      <c r="H113" s="124"/>
      <c r="I113" s="43"/>
      <c r="J113" s="43"/>
      <c r="K113" s="124"/>
      <c r="L113" s="124"/>
      <c r="M113" s="125"/>
      <c r="N113" s="126"/>
      <c r="O113" s="126"/>
      <c r="P113" s="98"/>
      <c r="Q113" s="98"/>
      <c r="R113" s="43"/>
      <c r="S113" s="43"/>
      <c r="T113" s="126"/>
      <c r="U113" s="126"/>
      <c r="V113" s="43"/>
      <c r="W113" s="43"/>
      <c r="X113" s="43"/>
      <c r="Y113" s="100"/>
    </row>
    <row r="114" spans="2:25" ht="12" customHeight="1">
      <c r="B114" s="4"/>
      <c r="C114" s="41" t="s">
        <v>1036</v>
      </c>
      <c r="D114" s="38"/>
      <c r="E114" s="38"/>
      <c r="F114" s="96"/>
      <c r="G114" s="124"/>
      <c r="H114" s="124"/>
      <c r="I114" s="43"/>
      <c r="J114" s="43"/>
      <c r="K114" s="124"/>
      <c r="L114" s="124"/>
      <c r="M114" s="125"/>
      <c r="N114" s="126"/>
      <c r="O114" s="126"/>
      <c r="P114" s="98"/>
      <c r="Q114" s="98"/>
      <c r="R114" s="43"/>
      <c r="S114" s="43"/>
      <c r="T114" s="126"/>
      <c r="U114" s="126"/>
      <c r="V114" s="43"/>
      <c r="W114" s="43"/>
      <c r="X114" s="43"/>
      <c r="Y114" s="100"/>
    </row>
    <row r="115" spans="2:25" ht="12" customHeight="1">
      <c r="B115" s="4"/>
      <c r="C115" s="41" t="s">
        <v>1037</v>
      </c>
      <c r="D115" s="38"/>
      <c r="E115" s="38"/>
      <c r="F115" s="96"/>
      <c r="G115" s="124"/>
      <c r="H115" s="124"/>
      <c r="I115" s="43"/>
      <c r="J115" s="43"/>
      <c r="K115" s="124"/>
      <c r="L115" s="124"/>
      <c r="M115" s="125"/>
      <c r="N115" s="126"/>
      <c r="O115" s="126"/>
      <c r="P115" s="98"/>
      <c r="Q115" s="98"/>
      <c r="R115" s="43"/>
      <c r="S115" s="43"/>
      <c r="T115" s="126"/>
      <c r="U115" s="126"/>
      <c r="V115" s="43"/>
      <c r="W115" s="43"/>
      <c r="X115" s="43"/>
      <c r="Y115" s="100"/>
    </row>
    <row r="116" spans="2:25" ht="12" customHeight="1">
      <c r="B116" s="4"/>
      <c r="C116" s="41" t="s">
        <v>1038</v>
      </c>
      <c r="D116" s="38"/>
      <c r="E116" s="38"/>
      <c r="F116" s="96"/>
      <c r="G116" s="124"/>
      <c r="H116" s="124"/>
      <c r="I116" s="43"/>
      <c r="J116" s="43"/>
      <c r="K116" s="124"/>
      <c r="L116" s="124"/>
      <c r="M116" s="125"/>
      <c r="N116" s="126"/>
      <c r="O116" s="126"/>
      <c r="P116" s="98"/>
      <c r="Q116" s="98"/>
      <c r="R116" s="43"/>
      <c r="S116" s="43"/>
      <c r="T116" s="126"/>
      <c r="U116" s="126"/>
      <c r="V116" s="43"/>
      <c r="W116" s="43"/>
      <c r="X116" s="43"/>
      <c r="Y116" s="100"/>
    </row>
    <row r="117" spans="2:25" ht="12" customHeight="1">
      <c r="B117" s="4"/>
      <c r="C117" s="41" t="s">
        <v>1039</v>
      </c>
      <c r="D117" s="38"/>
      <c r="E117" s="38"/>
      <c r="F117" s="96"/>
      <c r="G117" s="124"/>
      <c r="H117" s="124"/>
      <c r="I117" s="43"/>
      <c r="J117" s="43"/>
      <c r="K117" s="124"/>
      <c r="L117" s="124"/>
      <c r="M117" s="125"/>
      <c r="N117" s="126"/>
      <c r="O117" s="126"/>
      <c r="P117" s="98"/>
      <c r="Q117" s="98"/>
      <c r="R117" s="43"/>
      <c r="S117" s="43"/>
      <c r="T117" s="126"/>
      <c r="U117" s="126"/>
      <c r="V117" s="43"/>
      <c r="W117" s="43"/>
      <c r="X117" s="43"/>
      <c r="Y117" s="100"/>
    </row>
    <row r="118" spans="2:25" ht="12" customHeight="1">
      <c r="B118" s="4"/>
      <c r="C118" s="41" t="s">
        <v>1040</v>
      </c>
      <c r="D118" s="38"/>
      <c r="E118" s="38"/>
      <c r="F118" s="96"/>
      <c r="G118" s="124"/>
      <c r="H118" s="124"/>
      <c r="I118" s="43"/>
      <c r="J118" s="43"/>
      <c r="K118" s="124"/>
      <c r="L118" s="124"/>
      <c r="M118" s="125"/>
      <c r="N118" s="126"/>
      <c r="O118" s="126"/>
      <c r="P118" s="98"/>
      <c r="Q118" s="98"/>
      <c r="R118" s="43"/>
      <c r="S118" s="43"/>
      <c r="T118" s="126"/>
      <c r="U118" s="126"/>
      <c r="V118" s="43"/>
      <c r="W118" s="43"/>
      <c r="X118" s="43"/>
      <c r="Y118" s="100"/>
    </row>
    <row r="119" spans="2:25" ht="12" customHeight="1">
      <c r="B119" s="4"/>
      <c r="C119" s="41" t="s">
        <v>1041</v>
      </c>
      <c r="D119" s="38"/>
      <c r="E119" s="38"/>
      <c r="F119" s="96"/>
      <c r="G119" s="124"/>
      <c r="H119" s="124"/>
      <c r="I119" s="43"/>
      <c r="J119" s="43"/>
      <c r="K119" s="124"/>
      <c r="L119" s="124"/>
      <c r="M119" s="125"/>
      <c r="N119" s="126"/>
      <c r="O119" s="126"/>
      <c r="P119" s="98"/>
      <c r="Q119" s="98"/>
      <c r="R119" s="43"/>
      <c r="S119" s="43"/>
      <c r="T119" s="126"/>
      <c r="U119" s="126"/>
      <c r="V119" s="43"/>
      <c r="W119" s="43"/>
      <c r="X119" s="43"/>
      <c r="Y119" s="100"/>
    </row>
    <row r="120" spans="2:25" ht="12" customHeight="1">
      <c r="B120" s="4"/>
      <c r="C120" s="41" t="s">
        <v>1042</v>
      </c>
      <c r="D120" s="38"/>
      <c r="E120" s="38"/>
      <c r="F120" s="96"/>
      <c r="G120" s="124"/>
      <c r="H120" s="124"/>
      <c r="I120" s="43"/>
      <c r="J120" s="43"/>
      <c r="K120" s="124"/>
      <c r="L120" s="124"/>
      <c r="M120" s="125"/>
      <c r="N120" s="126"/>
      <c r="O120" s="126"/>
      <c r="P120" s="98"/>
      <c r="Q120" s="98"/>
      <c r="R120" s="43"/>
      <c r="S120" s="43"/>
      <c r="T120" s="126"/>
      <c r="U120" s="126"/>
      <c r="V120" s="43"/>
      <c r="W120" s="43"/>
      <c r="X120" s="43"/>
      <c r="Y120" s="100"/>
    </row>
    <row r="121" spans="2:25" ht="12" customHeight="1">
      <c r="B121" s="4"/>
      <c r="C121" s="41" t="s">
        <v>1043</v>
      </c>
      <c r="D121" s="38"/>
      <c r="E121" s="38"/>
      <c r="F121" s="96"/>
      <c r="G121" s="124"/>
      <c r="H121" s="124"/>
      <c r="I121" s="43"/>
      <c r="J121" s="43"/>
      <c r="K121" s="124"/>
      <c r="L121" s="124"/>
      <c r="M121" s="125"/>
      <c r="N121" s="126"/>
      <c r="O121" s="126"/>
      <c r="P121" s="98"/>
      <c r="Q121" s="98"/>
      <c r="R121" s="43"/>
      <c r="S121" s="43"/>
      <c r="T121" s="126"/>
      <c r="U121" s="126"/>
      <c r="V121" s="43"/>
      <c r="W121" s="43"/>
      <c r="X121" s="43"/>
      <c r="Y121" s="100"/>
    </row>
    <row r="122" spans="2:25" ht="12" customHeight="1">
      <c r="B122" s="4"/>
      <c r="C122" s="41" t="s">
        <v>1044</v>
      </c>
      <c r="D122" s="38"/>
      <c r="E122" s="38"/>
      <c r="F122" s="96"/>
      <c r="G122" s="124"/>
      <c r="H122" s="124"/>
      <c r="I122" s="43"/>
      <c r="J122" s="43"/>
      <c r="K122" s="124"/>
      <c r="L122" s="124"/>
      <c r="M122" s="125"/>
      <c r="N122" s="126"/>
      <c r="O122" s="126"/>
      <c r="P122" s="98"/>
      <c r="Q122" s="98"/>
      <c r="R122" s="43"/>
      <c r="S122" s="43"/>
      <c r="T122" s="126"/>
      <c r="U122" s="126"/>
      <c r="V122" s="43"/>
      <c r="W122" s="43"/>
      <c r="X122" s="43"/>
      <c r="Y122" s="100"/>
    </row>
    <row r="123" spans="2:25" ht="12" customHeight="1">
      <c r="B123" s="4"/>
      <c r="C123" s="41" t="s">
        <v>1045</v>
      </c>
      <c r="D123" s="38"/>
      <c r="E123" s="38"/>
      <c r="F123" s="96"/>
      <c r="G123" s="124"/>
      <c r="H123" s="124"/>
      <c r="I123" s="43"/>
      <c r="J123" s="43"/>
      <c r="K123" s="124"/>
      <c r="L123" s="124"/>
      <c r="M123" s="125"/>
      <c r="N123" s="126"/>
      <c r="O123" s="126"/>
      <c r="P123" s="98"/>
      <c r="Q123" s="98"/>
      <c r="R123" s="43"/>
      <c r="S123" s="43"/>
      <c r="T123" s="126"/>
      <c r="U123" s="126"/>
      <c r="V123" s="43"/>
      <c r="W123" s="43"/>
      <c r="X123" s="43"/>
      <c r="Y123" s="100"/>
    </row>
    <row r="124" spans="2:25" ht="12" customHeight="1">
      <c r="B124" s="4"/>
      <c r="C124" s="41" t="s">
        <v>1046</v>
      </c>
      <c r="D124" s="38"/>
      <c r="E124" s="38"/>
      <c r="F124" s="96"/>
      <c r="G124" s="124"/>
      <c r="H124" s="124"/>
      <c r="I124" s="43"/>
      <c r="J124" s="43"/>
      <c r="K124" s="124"/>
      <c r="L124" s="124"/>
      <c r="M124" s="125"/>
      <c r="N124" s="126"/>
      <c r="O124" s="126"/>
      <c r="P124" s="98"/>
      <c r="Q124" s="98"/>
      <c r="R124" s="43"/>
      <c r="S124" s="43"/>
      <c r="T124" s="126"/>
      <c r="U124" s="126"/>
      <c r="V124" s="43"/>
      <c r="W124" s="43"/>
      <c r="X124" s="43"/>
      <c r="Y124" s="100"/>
    </row>
    <row r="125" spans="2:25" ht="12" customHeight="1">
      <c r="B125" s="4"/>
      <c r="C125" s="41" t="s">
        <v>1047</v>
      </c>
      <c r="D125" s="38"/>
      <c r="E125" s="38"/>
      <c r="F125" s="96"/>
      <c r="G125" s="124"/>
      <c r="H125" s="124"/>
      <c r="I125" s="43"/>
      <c r="J125" s="43"/>
      <c r="K125" s="124"/>
      <c r="L125" s="124"/>
      <c r="M125" s="125"/>
      <c r="N125" s="126"/>
      <c r="O125" s="126"/>
      <c r="P125" s="98"/>
      <c r="Q125" s="98"/>
      <c r="R125" s="43"/>
      <c r="S125" s="43"/>
      <c r="T125" s="126"/>
      <c r="U125" s="126"/>
      <c r="V125" s="43"/>
      <c r="W125" s="43"/>
      <c r="X125" s="43"/>
      <c r="Y125" s="100"/>
    </row>
    <row r="126" spans="2:25" ht="12" customHeight="1">
      <c r="B126" s="4"/>
      <c r="C126" s="41" t="s">
        <v>1048</v>
      </c>
      <c r="D126" s="38"/>
      <c r="E126" s="38"/>
      <c r="F126" s="96"/>
      <c r="G126" s="124"/>
      <c r="H126" s="124"/>
      <c r="I126" s="43"/>
      <c r="J126" s="43"/>
      <c r="K126" s="124"/>
      <c r="L126" s="124"/>
      <c r="M126" s="125"/>
      <c r="N126" s="126"/>
      <c r="O126" s="126"/>
      <c r="P126" s="98"/>
      <c r="Q126" s="98"/>
      <c r="R126" s="43"/>
      <c r="S126" s="43"/>
      <c r="T126" s="126"/>
      <c r="U126" s="126"/>
      <c r="V126" s="43"/>
      <c r="W126" s="43"/>
      <c r="X126" s="43"/>
      <c r="Y126" s="100"/>
    </row>
    <row r="127" spans="2:25" ht="12" customHeight="1">
      <c r="B127" s="4"/>
      <c r="C127" s="41" t="s">
        <v>1049</v>
      </c>
      <c r="D127" s="38"/>
      <c r="E127" s="38"/>
      <c r="F127" s="96"/>
      <c r="G127" s="124"/>
      <c r="H127" s="124"/>
      <c r="I127" s="43"/>
      <c r="J127" s="43"/>
      <c r="K127" s="124"/>
      <c r="L127" s="124"/>
      <c r="M127" s="125"/>
      <c r="N127" s="126"/>
      <c r="O127" s="126"/>
      <c r="P127" s="98"/>
      <c r="Q127" s="98"/>
      <c r="R127" s="43"/>
      <c r="S127" s="43"/>
      <c r="T127" s="126"/>
      <c r="U127" s="126"/>
      <c r="V127" s="43"/>
      <c r="W127" s="43"/>
      <c r="X127" s="43"/>
      <c r="Y127" s="100"/>
    </row>
    <row r="128" spans="2:25" ht="12" customHeight="1">
      <c r="B128" s="4"/>
      <c r="C128" s="41" t="s">
        <v>1050</v>
      </c>
      <c r="D128" s="38"/>
      <c r="E128" s="38"/>
      <c r="F128" s="96"/>
      <c r="G128" s="124"/>
      <c r="H128" s="124"/>
      <c r="I128" s="43"/>
      <c r="J128" s="43"/>
      <c r="K128" s="124"/>
      <c r="L128" s="124"/>
      <c r="M128" s="125"/>
      <c r="N128" s="126"/>
      <c r="O128" s="126"/>
      <c r="P128" s="98"/>
      <c r="Q128" s="98"/>
      <c r="R128" s="43"/>
      <c r="S128" s="43"/>
      <c r="T128" s="126"/>
      <c r="U128" s="126"/>
      <c r="V128" s="43"/>
      <c r="W128" s="43"/>
      <c r="X128" s="43"/>
      <c r="Y128" s="100"/>
    </row>
    <row r="129" spans="2:25" ht="12" customHeight="1">
      <c r="B129" s="4"/>
      <c r="C129" s="41" t="s">
        <v>1051</v>
      </c>
      <c r="D129" s="38"/>
      <c r="E129" s="38"/>
      <c r="F129" s="96"/>
      <c r="G129" s="124"/>
      <c r="H129" s="124"/>
      <c r="I129" s="43"/>
      <c r="J129" s="43"/>
      <c r="K129" s="124"/>
      <c r="L129" s="124"/>
      <c r="M129" s="125"/>
      <c r="N129" s="126"/>
      <c r="O129" s="126"/>
      <c r="P129" s="98"/>
      <c r="Q129" s="98"/>
      <c r="R129" s="43"/>
      <c r="S129" s="43"/>
      <c r="T129" s="126"/>
      <c r="U129" s="126"/>
      <c r="V129" s="43"/>
      <c r="W129" s="43"/>
      <c r="X129" s="43"/>
      <c r="Y129" s="100"/>
    </row>
    <row r="130" spans="2:25" ht="12" customHeight="1">
      <c r="B130" s="4"/>
      <c r="C130" s="41" t="s">
        <v>1052</v>
      </c>
      <c r="D130" s="38"/>
      <c r="E130" s="38"/>
      <c r="F130" s="96"/>
      <c r="G130" s="124"/>
      <c r="H130" s="124"/>
      <c r="I130" s="43"/>
      <c r="J130" s="43"/>
      <c r="K130" s="124"/>
      <c r="L130" s="124"/>
      <c r="M130" s="125"/>
      <c r="N130" s="126"/>
      <c r="O130" s="126"/>
      <c r="P130" s="98"/>
      <c r="Q130" s="98"/>
      <c r="R130" s="43"/>
      <c r="S130" s="43"/>
      <c r="T130" s="126"/>
      <c r="U130" s="126"/>
      <c r="V130" s="43"/>
      <c r="W130" s="43"/>
      <c r="X130" s="43"/>
      <c r="Y130" s="100"/>
    </row>
    <row r="131" spans="2:25" ht="12" customHeight="1">
      <c r="B131" s="4"/>
      <c r="C131" s="41" t="s">
        <v>1053</v>
      </c>
      <c r="D131" s="38"/>
      <c r="E131" s="38"/>
      <c r="F131" s="96"/>
      <c r="G131" s="124"/>
      <c r="H131" s="124"/>
      <c r="I131" s="43"/>
      <c r="J131" s="43"/>
      <c r="K131" s="124"/>
      <c r="L131" s="124"/>
      <c r="M131" s="125"/>
      <c r="N131" s="126"/>
      <c r="O131" s="126"/>
      <c r="P131" s="98"/>
      <c r="Q131" s="98"/>
      <c r="R131" s="43"/>
      <c r="S131" s="43"/>
      <c r="T131" s="126"/>
      <c r="U131" s="126"/>
      <c r="V131" s="43"/>
      <c r="W131" s="43"/>
      <c r="X131" s="43"/>
      <c r="Y131" s="100"/>
    </row>
    <row r="132" spans="2:25" ht="12" customHeight="1">
      <c r="B132" s="4"/>
      <c r="C132" s="41" t="s">
        <v>1054</v>
      </c>
      <c r="D132" s="38"/>
      <c r="E132" s="38"/>
      <c r="F132" s="96"/>
      <c r="G132" s="124"/>
      <c r="H132" s="124"/>
      <c r="I132" s="43"/>
      <c r="J132" s="43"/>
      <c r="K132" s="124"/>
      <c r="L132" s="124"/>
      <c r="M132" s="125"/>
      <c r="N132" s="126"/>
      <c r="O132" s="126"/>
      <c r="P132" s="98"/>
      <c r="Q132" s="98"/>
      <c r="R132" s="43"/>
      <c r="S132" s="43"/>
      <c r="T132" s="126"/>
      <c r="U132" s="126"/>
      <c r="V132" s="43"/>
      <c r="W132" s="43"/>
      <c r="X132" s="43"/>
      <c r="Y132" s="100"/>
    </row>
    <row r="133" spans="2:25" ht="12" customHeight="1">
      <c r="B133" s="4"/>
      <c r="C133" s="41" t="s">
        <v>1055</v>
      </c>
      <c r="D133" s="38"/>
      <c r="E133" s="38"/>
      <c r="F133" s="96"/>
      <c r="G133" s="124"/>
      <c r="H133" s="124"/>
      <c r="I133" s="43"/>
      <c r="J133" s="43"/>
      <c r="K133" s="124"/>
      <c r="L133" s="124"/>
      <c r="M133" s="125"/>
      <c r="N133" s="126"/>
      <c r="O133" s="126"/>
      <c r="P133" s="98"/>
      <c r="Q133" s="98"/>
      <c r="R133" s="43"/>
      <c r="S133" s="43"/>
      <c r="T133" s="126"/>
      <c r="U133" s="126"/>
      <c r="V133" s="43"/>
      <c r="W133" s="43"/>
      <c r="X133" s="43"/>
      <c r="Y133" s="100"/>
    </row>
    <row r="134" spans="2:25" ht="12" customHeight="1">
      <c r="B134" s="4"/>
      <c r="C134" s="41" t="s">
        <v>1056</v>
      </c>
      <c r="D134" s="38"/>
      <c r="E134" s="38"/>
      <c r="F134" s="96"/>
      <c r="G134" s="124"/>
      <c r="H134" s="124"/>
      <c r="I134" s="43"/>
      <c r="J134" s="43"/>
      <c r="K134" s="124"/>
      <c r="L134" s="124"/>
      <c r="M134" s="125"/>
      <c r="N134" s="126"/>
      <c r="O134" s="126"/>
      <c r="P134" s="98"/>
      <c r="Q134" s="98"/>
      <c r="R134" s="43"/>
      <c r="S134" s="43"/>
      <c r="T134" s="126"/>
      <c r="U134" s="126"/>
      <c r="V134" s="43"/>
      <c r="W134" s="43"/>
      <c r="X134" s="43"/>
      <c r="Y134" s="100"/>
    </row>
    <row r="135" spans="2:25" ht="12" customHeight="1">
      <c r="B135" s="4"/>
      <c r="C135" s="41" t="s">
        <v>1057</v>
      </c>
      <c r="D135" s="38"/>
      <c r="E135" s="38"/>
      <c r="F135" s="96"/>
      <c r="G135" s="124"/>
      <c r="H135" s="124"/>
      <c r="I135" s="43"/>
      <c r="J135" s="43"/>
      <c r="K135" s="124"/>
      <c r="L135" s="124"/>
      <c r="M135" s="125"/>
      <c r="N135" s="126"/>
      <c r="O135" s="126"/>
      <c r="P135" s="98"/>
      <c r="Q135" s="98"/>
      <c r="R135" s="43"/>
      <c r="S135" s="43"/>
      <c r="T135" s="126"/>
      <c r="U135" s="126"/>
      <c r="V135" s="43"/>
      <c r="W135" s="43"/>
      <c r="X135" s="43"/>
      <c r="Y135" s="100"/>
    </row>
    <row r="136" spans="2:25" ht="12" customHeight="1">
      <c r="B136" s="4"/>
      <c r="C136" s="41" t="s">
        <v>1058</v>
      </c>
      <c r="D136" s="38"/>
      <c r="E136" s="38"/>
      <c r="F136" s="96"/>
      <c r="G136" s="124"/>
      <c r="H136" s="124"/>
      <c r="I136" s="43"/>
      <c r="J136" s="43"/>
      <c r="K136" s="124"/>
      <c r="L136" s="124"/>
      <c r="M136" s="125"/>
      <c r="N136" s="126"/>
      <c r="O136" s="126"/>
      <c r="P136" s="98"/>
      <c r="Q136" s="98"/>
      <c r="R136" s="43"/>
      <c r="S136" s="43"/>
      <c r="T136" s="126"/>
      <c r="U136" s="126"/>
      <c r="V136" s="43"/>
      <c r="W136" s="43"/>
      <c r="X136" s="43"/>
      <c r="Y136" s="100"/>
    </row>
    <row r="137" spans="2:25" ht="12" customHeight="1">
      <c r="B137" s="4"/>
      <c r="C137" s="41" t="s">
        <v>1059</v>
      </c>
      <c r="D137" s="38"/>
      <c r="E137" s="38"/>
      <c r="F137" s="96"/>
      <c r="G137" s="124"/>
      <c r="H137" s="124"/>
      <c r="I137" s="43"/>
      <c r="J137" s="43"/>
      <c r="K137" s="124"/>
      <c r="L137" s="124"/>
      <c r="M137" s="125"/>
      <c r="N137" s="126"/>
      <c r="O137" s="126"/>
      <c r="P137" s="98"/>
      <c r="Q137" s="98"/>
      <c r="R137" s="43"/>
      <c r="S137" s="43"/>
      <c r="T137" s="126"/>
      <c r="U137" s="126"/>
      <c r="V137" s="43"/>
      <c r="W137" s="43"/>
      <c r="X137" s="43"/>
      <c r="Y137" s="100"/>
    </row>
    <row r="138" spans="2:25" ht="12" customHeight="1">
      <c r="B138" s="4"/>
      <c r="C138" s="41" t="s">
        <v>1060</v>
      </c>
      <c r="D138" s="38"/>
      <c r="E138" s="38"/>
      <c r="F138" s="96"/>
      <c r="G138" s="124"/>
      <c r="H138" s="124"/>
      <c r="I138" s="43"/>
      <c r="J138" s="43"/>
      <c r="K138" s="124"/>
      <c r="L138" s="124"/>
      <c r="M138" s="125"/>
      <c r="N138" s="126"/>
      <c r="O138" s="126"/>
      <c r="P138" s="98"/>
      <c r="Q138" s="98"/>
      <c r="R138" s="43"/>
      <c r="S138" s="43"/>
      <c r="T138" s="126"/>
      <c r="U138" s="126"/>
      <c r="V138" s="43"/>
      <c r="W138" s="43"/>
      <c r="X138" s="43"/>
      <c r="Y138" s="100"/>
    </row>
    <row r="139" spans="2:25" ht="12" customHeight="1">
      <c r="B139" s="4"/>
      <c r="C139" s="41" t="s">
        <v>1061</v>
      </c>
      <c r="D139" s="38"/>
      <c r="E139" s="38"/>
      <c r="F139" s="96"/>
      <c r="G139" s="124"/>
      <c r="H139" s="124"/>
      <c r="I139" s="43"/>
      <c r="J139" s="43"/>
      <c r="K139" s="124"/>
      <c r="L139" s="124"/>
      <c r="M139" s="125"/>
      <c r="N139" s="126"/>
      <c r="O139" s="126"/>
      <c r="P139" s="98"/>
      <c r="Q139" s="98"/>
      <c r="R139" s="43"/>
      <c r="S139" s="43"/>
      <c r="T139" s="126"/>
      <c r="U139" s="126"/>
      <c r="V139" s="43"/>
      <c r="W139" s="43"/>
      <c r="X139" s="43"/>
      <c r="Y139" s="100"/>
    </row>
    <row r="140" spans="2:25" ht="12" customHeight="1">
      <c r="B140" s="4"/>
      <c r="C140" s="41" t="s">
        <v>1062</v>
      </c>
      <c r="D140" s="38"/>
      <c r="E140" s="38"/>
      <c r="F140" s="96"/>
      <c r="G140" s="124"/>
      <c r="H140" s="124"/>
      <c r="I140" s="43"/>
      <c r="J140" s="43"/>
      <c r="K140" s="124"/>
      <c r="L140" s="124"/>
      <c r="M140" s="125"/>
      <c r="N140" s="126"/>
      <c r="O140" s="126"/>
      <c r="P140" s="98"/>
      <c r="Q140" s="98"/>
      <c r="R140" s="43"/>
      <c r="S140" s="43"/>
      <c r="T140" s="126"/>
      <c r="U140" s="126"/>
      <c r="V140" s="43"/>
      <c r="W140" s="43"/>
      <c r="X140" s="43"/>
      <c r="Y140" s="100"/>
    </row>
    <row r="141" spans="2:25" ht="12" customHeight="1">
      <c r="B141" s="4"/>
      <c r="C141" s="41" t="s">
        <v>1063</v>
      </c>
      <c r="D141" s="38"/>
      <c r="E141" s="38"/>
      <c r="F141" s="96"/>
      <c r="G141" s="124"/>
      <c r="H141" s="124"/>
      <c r="I141" s="43"/>
      <c r="J141" s="43"/>
      <c r="K141" s="124"/>
      <c r="L141" s="124"/>
      <c r="M141" s="125"/>
      <c r="N141" s="126"/>
      <c r="O141" s="126"/>
      <c r="P141" s="98"/>
      <c r="Q141" s="98"/>
      <c r="R141" s="43"/>
      <c r="S141" s="43"/>
      <c r="T141" s="126"/>
      <c r="U141" s="126"/>
      <c r="V141" s="43"/>
      <c r="W141" s="43"/>
      <c r="X141" s="43"/>
      <c r="Y141" s="100"/>
    </row>
    <row r="142" spans="2:25" ht="12" customHeight="1">
      <c r="B142" s="4"/>
      <c r="C142" s="41" t="s">
        <v>1064</v>
      </c>
      <c r="D142" s="38"/>
      <c r="E142" s="38"/>
      <c r="F142" s="96"/>
      <c r="G142" s="124"/>
      <c r="H142" s="124"/>
      <c r="I142" s="43"/>
      <c r="J142" s="43"/>
      <c r="K142" s="124"/>
      <c r="L142" s="124"/>
      <c r="M142" s="125"/>
      <c r="N142" s="126"/>
      <c r="O142" s="126"/>
      <c r="P142" s="98"/>
      <c r="Q142" s="98"/>
      <c r="R142" s="43"/>
      <c r="S142" s="43"/>
      <c r="T142" s="126"/>
      <c r="U142" s="126"/>
      <c r="V142" s="43"/>
      <c r="W142" s="43"/>
      <c r="X142" s="43"/>
      <c r="Y142" s="100"/>
    </row>
    <row r="143" spans="2:25" ht="12" customHeight="1">
      <c r="B143" s="4"/>
      <c r="C143" s="41" t="s">
        <v>1065</v>
      </c>
      <c r="D143" s="38"/>
      <c r="E143" s="38"/>
      <c r="F143" s="96"/>
      <c r="G143" s="124"/>
      <c r="H143" s="124"/>
      <c r="I143" s="43"/>
      <c r="J143" s="43"/>
      <c r="K143" s="124"/>
      <c r="L143" s="124"/>
      <c r="M143" s="125"/>
      <c r="N143" s="126"/>
      <c r="O143" s="126"/>
      <c r="P143" s="98"/>
      <c r="Q143" s="98"/>
      <c r="R143" s="43"/>
      <c r="S143" s="43"/>
      <c r="T143" s="126"/>
      <c r="U143" s="126"/>
      <c r="V143" s="43"/>
      <c r="W143" s="43"/>
      <c r="X143" s="43"/>
      <c r="Y143" s="100"/>
    </row>
    <row r="144" spans="2:25" ht="12" customHeight="1">
      <c r="B144" s="4"/>
      <c r="C144" s="41" t="s">
        <v>1066</v>
      </c>
      <c r="D144" s="38"/>
      <c r="E144" s="38"/>
      <c r="F144" s="96"/>
      <c r="G144" s="124"/>
      <c r="H144" s="124"/>
      <c r="I144" s="43"/>
      <c r="J144" s="43"/>
      <c r="K144" s="124"/>
      <c r="L144" s="124"/>
      <c r="M144" s="125"/>
      <c r="N144" s="126"/>
      <c r="O144" s="126"/>
      <c r="P144" s="98"/>
      <c r="Q144" s="98"/>
      <c r="R144" s="43"/>
      <c r="S144" s="43"/>
      <c r="T144" s="126"/>
      <c r="U144" s="126"/>
      <c r="V144" s="43"/>
      <c r="W144" s="43"/>
      <c r="X144" s="43"/>
      <c r="Y144" s="100"/>
    </row>
    <row r="145" spans="2:25" ht="12" customHeight="1">
      <c r="B145" s="4"/>
      <c r="C145" s="41" t="s">
        <v>1067</v>
      </c>
      <c r="D145" s="38"/>
      <c r="E145" s="38"/>
      <c r="F145" s="96"/>
      <c r="G145" s="124"/>
      <c r="H145" s="124"/>
      <c r="I145" s="43"/>
      <c r="J145" s="43"/>
      <c r="K145" s="124"/>
      <c r="L145" s="124"/>
      <c r="M145" s="125"/>
      <c r="N145" s="126"/>
      <c r="O145" s="126"/>
      <c r="P145" s="98"/>
      <c r="Q145" s="98"/>
      <c r="R145" s="43"/>
      <c r="S145" s="43"/>
      <c r="T145" s="126"/>
      <c r="U145" s="126"/>
      <c r="V145" s="43"/>
      <c r="W145" s="43"/>
      <c r="X145" s="43"/>
      <c r="Y145" s="100"/>
    </row>
    <row r="146" spans="2:25" ht="12" customHeight="1">
      <c r="B146" s="4"/>
      <c r="C146" s="41" t="s">
        <v>1068</v>
      </c>
      <c r="D146" s="38"/>
      <c r="E146" s="38"/>
      <c r="F146" s="96"/>
      <c r="G146" s="124"/>
      <c r="H146" s="124"/>
      <c r="I146" s="43"/>
      <c r="J146" s="43"/>
      <c r="K146" s="124"/>
      <c r="L146" s="124"/>
      <c r="M146" s="125"/>
      <c r="N146" s="126"/>
      <c r="O146" s="126"/>
      <c r="P146" s="98"/>
      <c r="Q146" s="98"/>
      <c r="R146" s="43"/>
      <c r="S146" s="43"/>
      <c r="T146" s="126"/>
      <c r="U146" s="126"/>
      <c r="V146" s="43"/>
      <c r="W146" s="43"/>
      <c r="X146" s="43"/>
      <c r="Y146" s="100"/>
    </row>
    <row r="147" spans="2:25" ht="12" customHeight="1">
      <c r="B147" s="4"/>
      <c r="C147" s="41" t="s">
        <v>1069</v>
      </c>
      <c r="D147" s="38"/>
      <c r="E147" s="38"/>
      <c r="F147" s="96"/>
      <c r="G147" s="124"/>
      <c r="H147" s="124"/>
      <c r="I147" s="43"/>
      <c r="J147" s="43"/>
      <c r="K147" s="124"/>
      <c r="L147" s="124"/>
      <c r="M147" s="125"/>
      <c r="N147" s="126"/>
      <c r="O147" s="126"/>
      <c r="P147" s="98"/>
      <c r="Q147" s="98"/>
      <c r="R147" s="43"/>
      <c r="S147" s="43"/>
      <c r="T147" s="126"/>
      <c r="U147" s="126"/>
      <c r="V147" s="43"/>
      <c r="W147" s="43"/>
      <c r="X147" s="43"/>
      <c r="Y147" s="100"/>
    </row>
    <row r="148" spans="2:25" ht="12" customHeight="1">
      <c r="B148" s="4"/>
      <c r="C148" s="41" t="s">
        <v>1070</v>
      </c>
      <c r="D148" s="38"/>
      <c r="E148" s="38"/>
      <c r="F148" s="96"/>
      <c r="G148" s="124"/>
      <c r="H148" s="124"/>
      <c r="I148" s="43"/>
      <c r="J148" s="43"/>
      <c r="K148" s="124"/>
      <c r="L148" s="124"/>
      <c r="M148" s="125"/>
      <c r="N148" s="126"/>
      <c r="O148" s="126"/>
      <c r="P148" s="98"/>
      <c r="Q148" s="98"/>
      <c r="R148" s="43"/>
      <c r="S148" s="43"/>
      <c r="T148" s="126"/>
      <c r="U148" s="126"/>
      <c r="V148" s="43"/>
      <c r="W148" s="43"/>
      <c r="X148" s="43"/>
      <c r="Y148" s="100"/>
    </row>
    <row r="149" spans="2:25" ht="12" customHeight="1">
      <c r="B149" s="4"/>
      <c r="C149" s="41" t="s">
        <v>1071</v>
      </c>
      <c r="D149" s="38"/>
      <c r="E149" s="38"/>
      <c r="F149" s="96"/>
      <c r="G149" s="124"/>
      <c r="H149" s="124"/>
      <c r="I149" s="43"/>
      <c r="J149" s="43"/>
      <c r="K149" s="124"/>
      <c r="L149" s="124"/>
      <c r="M149" s="125"/>
      <c r="N149" s="126"/>
      <c r="O149" s="126"/>
      <c r="P149" s="98"/>
      <c r="Q149" s="98"/>
      <c r="R149" s="43"/>
      <c r="S149" s="43"/>
      <c r="T149" s="126"/>
      <c r="U149" s="126"/>
      <c r="V149" s="43"/>
      <c r="W149" s="43"/>
      <c r="X149" s="43"/>
      <c r="Y149" s="100"/>
    </row>
    <row r="150" spans="2:25" ht="12" customHeight="1">
      <c r="B150" s="4"/>
      <c r="C150" s="41" t="s">
        <v>1072</v>
      </c>
      <c r="D150" s="38"/>
      <c r="E150" s="38"/>
      <c r="F150" s="96"/>
      <c r="G150" s="124"/>
      <c r="H150" s="124"/>
      <c r="I150" s="43"/>
      <c r="J150" s="43"/>
      <c r="K150" s="124"/>
      <c r="L150" s="124"/>
      <c r="M150" s="125"/>
      <c r="N150" s="126"/>
      <c r="O150" s="126"/>
      <c r="P150" s="98"/>
      <c r="Q150" s="98"/>
      <c r="R150" s="43"/>
      <c r="S150" s="43"/>
      <c r="T150" s="126"/>
      <c r="U150" s="126"/>
      <c r="V150" s="43"/>
      <c r="W150" s="43"/>
      <c r="X150" s="43"/>
      <c r="Y150" s="100"/>
    </row>
    <row r="151" spans="2:25" ht="12" customHeight="1">
      <c r="B151" s="4"/>
      <c r="C151" s="41" t="s">
        <v>1073</v>
      </c>
      <c r="D151" s="38"/>
      <c r="E151" s="38"/>
      <c r="F151" s="96"/>
      <c r="G151" s="124"/>
      <c r="H151" s="124"/>
      <c r="I151" s="43"/>
      <c r="J151" s="43"/>
      <c r="K151" s="124"/>
      <c r="L151" s="124"/>
      <c r="M151" s="125"/>
      <c r="N151" s="126"/>
      <c r="O151" s="126"/>
      <c r="P151" s="98"/>
      <c r="Q151" s="98"/>
      <c r="R151" s="43"/>
      <c r="S151" s="43"/>
      <c r="T151" s="126"/>
      <c r="U151" s="126"/>
      <c r="V151" s="43"/>
      <c r="W151" s="43"/>
      <c r="X151" s="43"/>
      <c r="Y151" s="100"/>
    </row>
    <row r="152" spans="2:25" ht="12" customHeight="1">
      <c r="B152" s="4"/>
      <c r="C152" s="41" t="s">
        <v>1074</v>
      </c>
      <c r="D152" s="38"/>
      <c r="E152" s="38"/>
      <c r="F152" s="96"/>
      <c r="G152" s="124"/>
      <c r="H152" s="124"/>
      <c r="I152" s="43"/>
      <c r="J152" s="43"/>
      <c r="K152" s="124"/>
      <c r="L152" s="124"/>
      <c r="M152" s="125"/>
      <c r="N152" s="126"/>
      <c r="O152" s="126"/>
      <c r="P152" s="98"/>
      <c r="Q152" s="98"/>
      <c r="R152" s="43"/>
      <c r="S152" s="43"/>
      <c r="T152" s="126"/>
      <c r="U152" s="126"/>
      <c r="V152" s="43"/>
      <c r="W152" s="43"/>
      <c r="X152" s="43"/>
      <c r="Y152" s="100"/>
    </row>
    <row r="153" spans="2:25" ht="12" customHeight="1">
      <c r="B153" s="4"/>
      <c r="C153" s="41" t="s">
        <v>1075</v>
      </c>
      <c r="D153" s="38"/>
      <c r="E153" s="38"/>
      <c r="F153" s="96"/>
      <c r="G153" s="124"/>
      <c r="H153" s="124"/>
      <c r="I153" s="43"/>
      <c r="J153" s="43"/>
      <c r="K153" s="124"/>
      <c r="L153" s="124"/>
      <c r="M153" s="125"/>
      <c r="N153" s="126"/>
      <c r="O153" s="126"/>
      <c r="P153" s="98"/>
      <c r="Q153" s="98"/>
      <c r="R153" s="43"/>
      <c r="S153" s="43"/>
      <c r="T153" s="126"/>
      <c r="U153" s="126"/>
      <c r="V153" s="43"/>
      <c r="W153" s="43"/>
      <c r="X153" s="43"/>
      <c r="Y153" s="100"/>
    </row>
    <row r="154" spans="2:25" ht="12" customHeight="1">
      <c r="B154" s="4"/>
      <c r="C154" s="41" t="s">
        <v>1076</v>
      </c>
      <c r="D154" s="38"/>
      <c r="E154" s="38"/>
      <c r="F154" s="96"/>
      <c r="G154" s="124"/>
      <c r="H154" s="124"/>
      <c r="I154" s="43"/>
      <c r="J154" s="43"/>
      <c r="K154" s="124"/>
      <c r="L154" s="124"/>
      <c r="M154" s="125"/>
      <c r="N154" s="126"/>
      <c r="O154" s="126"/>
      <c r="P154" s="98"/>
      <c r="Q154" s="98"/>
      <c r="R154" s="43"/>
      <c r="S154" s="43"/>
      <c r="T154" s="126"/>
      <c r="U154" s="126"/>
      <c r="V154" s="43"/>
      <c r="W154" s="43"/>
      <c r="X154" s="43"/>
      <c r="Y154" s="100"/>
    </row>
    <row r="155" spans="2:25" ht="12" customHeight="1">
      <c r="B155" s="4"/>
      <c r="C155" s="41" t="s">
        <v>1077</v>
      </c>
      <c r="D155" s="38"/>
      <c r="E155" s="38"/>
      <c r="F155" s="96"/>
      <c r="G155" s="124"/>
      <c r="H155" s="124"/>
      <c r="I155" s="43"/>
      <c r="J155" s="43"/>
      <c r="K155" s="124"/>
      <c r="L155" s="124"/>
      <c r="M155" s="125"/>
      <c r="N155" s="126"/>
      <c r="O155" s="126"/>
      <c r="P155" s="98"/>
      <c r="Q155" s="98"/>
      <c r="R155" s="43"/>
      <c r="S155" s="43"/>
      <c r="T155" s="126"/>
      <c r="U155" s="126"/>
      <c r="V155" s="43"/>
      <c r="W155" s="43"/>
      <c r="X155" s="43"/>
      <c r="Y155" s="100"/>
    </row>
    <row r="156" spans="2:25" ht="12" customHeight="1">
      <c r="B156" s="4"/>
      <c r="C156" s="41" t="s">
        <v>1078</v>
      </c>
      <c r="D156" s="38"/>
      <c r="E156" s="38"/>
      <c r="F156" s="96"/>
      <c r="G156" s="124"/>
      <c r="H156" s="124"/>
      <c r="I156" s="43"/>
      <c r="J156" s="43"/>
      <c r="K156" s="124"/>
      <c r="L156" s="124"/>
      <c r="M156" s="125"/>
      <c r="N156" s="126"/>
      <c r="O156" s="126"/>
      <c r="P156" s="98"/>
      <c r="Q156" s="98"/>
      <c r="R156" s="43"/>
      <c r="S156" s="43"/>
      <c r="T156" s="126"/>
      <c r="U156" s="126"/>
      <c r="V156" s="43"/>
      <c r="W156" s="43"/>
      <c r="X156" s="43"/>
      <c r="Y156" s="100"/>
    </row>
    <row r="157" spans="2:25" ht="12" customHeight="1">
      <c r="B157" s="4"/>
      <c r="C157" s="41" t="s">
        <v>1079</v>
      </c>
      <c r="D157" s="38"/>
      <c r="E157" s="38"/>
      <c r="F157" s="96"/>
      <c r="G157" s="124"/>
      <c r="H157" s="124"/>
      <c r="I157" s="43"/>
      <c r="J157" s="43"/>
      <c r="K157" s="124"/>
      <c r="L157" s="124"/>
      <c r="M157" s="125"/>
      <c r="N157" s="126"/>
      <c r="O157" s="126"/>
      <c r="P157" s="98"/>
      <c r="Q157" s="98"/>
      <c r="R157" s="43"/>
      <c r="S157" s="43"/>
      <c r="T157" s="126"/>
      <c r="U157" s="126"/>
      <c r="V157" s="43"/>
      <c r="W157" s="43"/>
      <c r="X157" s="43"/>
      <c r="Y157" s="100"/>
    </row>
    <row r="158" spans="2:25" ht="12" customHeight="1">
      <c r="B158" s="4"/>
      <c r="C158" s="41" t="s">
        <v>1080</v>
      </c>
      <c r="D158" s="38"/>
      <c r="E158" s="38"/>
      <c r="F158" s="96"/>
      <c r="G158" s="124"/>
      <c r="H158" s="124"/>
      <c r="I158" s="43"/>
      <c r="J158" s="43"/>
      <c r="K158" s="124"/>
      <c r="L158" s="124"/>
      <c r="M158" s="125"/>
      <c r="N158" s="126"/>
      <c r="O158" s="126"/>
      <c r="P158" s="98"/>
      <c r="Q158" s="98"/>
      <c r="R158" s="43"/>
      <c r="S158" s="43"/>
      <c r="T158" s="126"/>
      <c r="U158" s="126"/>
      <c r="V158" s="43"/>
      <c r="W158" s="43"/>
      <c r="X158" s="43"/>
      <c r="Y158" s="100"/>
    </row>
    <row r="159" spans="2:25" ht="12" customHeight="1">
      <c r="B159" s="4"/>
      <c r="C159" s="41" t="s">
        <v>1081</v>
      </c>
      <c r="D159" s="38"/>
      <c r="E159" s="38"/>
      <c r="F159" s="96"/>
      <c r="G159" s="124"/>
      <c r="H159" s="124"/>
      <c r="I159" s="43"/>
      <c r="J159" s="43"/>
      <c r="K159" s="124"/>
      <c r="L159" s="124"/>
      <c r="M159" s="125"/>
      <c r="N159" s="126"/>
      <c r="O159" s="126"/>
      <c r="P159" s="98"/>
      <c r="Q159" s="98"/>
      <c r="R159" s="43"/>
      <c r="S159" s="43"/>
      <c r="T159" s="126"/>
      <c r="U159" s="126"/>
      <c r="V159" s="43"/>
      <c r="W159" s="43"/>
      <c r="X159" s="43"/>
      <c r="Y159" s="100"/>
    </row>
    <row r="160" spans="2:25" ht="12" customHeight="1">
      <c r="B160" s="4"/>
      <c r="C160" s="41" t="s">
        <v>1082</v>
      </c>
      <c r="D160" s="38"/>
      <c r="E160" s="38"/>
      <c r="F160" s="96"/>
      <c r="G160" s="124"/>
      <c r="H160" s="124"/>
      <c r="I160" s="43"/>
      <c r="J160" s="43"/>
      <c r="K160" s="124"/>
      <c r="L160" s="124"/>
      <c r="M160" s="125"/>
      <c r="N160" s="126"/>
      <c r="O160" s="126"/>
      <c r="P160" s="98"/>
      <c r="Q160" s="98"/>
      <c r="R160" s="43"/>
      <c r="S160" s="43"/>
      <c r="T160" s="126"/>
      <c r="U160" s="126"/>
      <c r="V160" s="43"/>
      <c r="W160" s="43"/>
      <c r="X160" s="43"/>
      <c r="Y160" s="100"/>
    </row>
    <row r="161" spans="2:25" ht="12" customHeight="1">
      <c r="B161" s="4"/>
      <c r="C161" s="41" t="s">
        <v>1083</v>
      </c>
      <c r="D161" s="38"/>
      <c r="E161" s="38"/>
      <c r="F161" s="96"/>
      <c r="G161" s="124"/>
      <c r="H161" s="124"/>
      <c r="I161" s="43"/>
      <c r="J161" s="43"/>
      <c r="K161" s="124"/>
      <c r="L161" s="124"/>
      <c r="M161" s="125"/>
      <c r="N161" s="126"/>
      <c r="O161" s="126"/>
      <c r="P161" s="98"/>
      <c r="Q161" s="98"/>
      <c r="R161" s="43"/>
      <c r="S161" s="43"/>
      <c r="T161" s="126"/>
      <c r="U161" s="126"/>
      <c r="V161" s="43"/>
      <c r="W161" s="43"/>
      <c r="X161" s="43"/>
      <c r="Y161" s="100"/>
    </row>
    <row r="162" spans="2:25" ht="12" customHeight="1">
      <c r="B162" s="4"/>
      <c r="C162" s="41" t="s">
        <v>1084</v>
      </c>
      <c r="D162" s="38"/>
      <c r="E162" s="38"/>
      <c r="F162" s="96"/>
      <c r="G162" s="124"/>
      <c r="H162" s="124"/>
      <c r="I162" s="43"/>
      <c r="J162" s="43"/>
      <c r="K162" s="124"/>
      <c r="L162" s="124"/>
      <c r="M162" s="125"/>
      <c r="N162" s="126"/>
      <c r="O162" s="126"/>
      <c r="P162" s="98"/>
      <c r="Q162" s="98"/>
      <c r="R162" s="43"/>
      <c r="S162" s="43"/>
      <c r="T162" s="126"/>
      <c r="U162" s="126"/>
      <c r="V162" s="43"/>
      <c r="W162" s="43"/>
      <c r="X162" s="43"/>
      <c r="Y162" s="100"/>
    </row>
    <row r="163" spans="2:25" ht="12" customHeight="1">
      <c r="B163" s="4"/>
      <c r="C163" s="41" t="s">
        <v>1085</v>
      </c>
      <c r="D163" s="38"/>
      <c r="E163" s="38"/>
      <c r="F163" s="96"/>
      <c r="G163" s="124"/>
      <c r="H163" s="124"/>
      <c r="I163" s="43"/>
      <c r="J163" s="43"/>
      <c r="K163" s="124"/>
      <c r="L163" s="124"/>
      <c r="M163" s="125"/>
      <c r="N163" s="126"/>
      <c r="O163" s="126"/>
      <c r="P163" s="98"/>
      <c r="Q163" s="98"/>
      <c r="R163" s="43"/>
      <c r="S163" s="43"/>
      <c r="T163" s="126"/>
      <c r="U163" s="126"/>
      <c r="V163" s="43"/>
      <c r="W163" s="43"/>
      <c r="X163" s="43"/>
      <c r="Y163" s="100"/>
    </row>
    <row r="164" spans="2:25" ht="12" customHeight="1">
      <c r="B164" s="4"/>
      <c r="C164" s="41" t="s">
        <v>1086</v>
      </c>
      <c r="D164" s="38"/>
      <c r="E164" s="38"/>
      <c r="F164" s="96"/>
      <c r="G164" s="124"/>
      <c r="H164" s="124"/>
      <c r="I164" s="43"/>
      <c r="J164" s="43"/>
      <c r="K164" s="124"/>
      <c r="L164" s="124"/>
      <c r="M164" s="125"/>
      <c r="N164" s="126"/>
      <c r="O164" s="126"/>
      <c r="P164" s="98"/>
      <c r="Q164" s="98"/>
      <c r="R164" s="43"/>
      <c r="S164" s="43"/>
      <c r="T164" s="126"/>
      <c r="U164" s="126"/>
      <c r="V164" s="43"/>
      <c r="W164" s="43"/>
      <c r="X164" s="43"/>
      <c r="Y164" s="100"/>
    </row>
    <row r="165" spans="2:25" ht="12" customHeight="1">
      <c r="B165" s="4"/>
      <c r="C165" s="41" t="s">
        <v>1087</v>
      </c>
      <c r="D165" s="38"/>
      <c r="E165" s="38"/>
      <c r="F165" s="96"/>
      <c r="G165" s="124"/>
      <c r="H165" s="124"/>
      <c r="I165" s="43"/>
      <c r="J165" s="43"/>
      <c r="K165" s="124"/>
      <c r="L165" s="124"/>
      <c r="M165" s="125"/>
      <c r="N165" s="126"/>
      <c r="O165" s="126"/>
      <c r="P165" s="98"/>
      <c r="Q165" s="98"/>
      <c r="R165" s="43"/>
      <c r="S165" s="43"/>
      <c r="T165" s="126"/>
      <c r="U165" s="126"/>
      <c r="V165" s="43"/>
      <c r="W165" s="43"/>
      <c r="X165" s="43"/>
      <c r="Y165" s="100"/>
    </row>
    <row r="166" spans="2:25" ht="12" customHeight="1">
      <c r="B166" s="4"/>
      <c r="C166" s="41" t="s">
        <v>1088</v>
      </c>
      <c r="D166" s="38"/>
      <c r="E166" s="38"/>
      <c r="F166" s="96"/>
      <c r="G166" s="124"/>
      <c r="H166" s="124"/>
      <c r="I166" s="43"/>
      <c r="J166" s="43"/>
      <c r="K166" s="124"/>
      <c r="L166" s="124"/>
      <c r="M166" s="125"/>
      <c r="N166" s="126"/>
      <c r="O166" s="126"/>
      <c r="P166" s="98"/>
      <c r="Q166" s="98"/>
      <c r="R166" s="43"/>
      <c r="S166" s="43"/>
      <c r="T166" s="126"/>
      <c r="U166" s="126"/>
      <c r="V166" s="43"/>
      <c r="W166" s="43"/>
      <c r="X166" s="43"/>
      <c r="Y166" s="100"/>
    </row>
    <row r="167" spans="2:25" ht="12" customHeight="1">
      <c r="B167" s="4"/>
      <c r="C167" s="41" t="s">
        <v>1089</v>
      </c>
      <c r="D167" s="38"/>
      <c r="E167" s="38"/>
      <c r="F167" s="96"/>
      <c r="G167" s="124"/>
      <c r="H167" s="124"/>
      <c r="I167" s="43"/>
      <c r="J167" s="43"/>
      <c r="K167" s="124"/>
      <c r="L167" s="124"/>
      <c r="M167" s="125"/>
      <c r="N167" s="126"/>
      <c r="O167" s="126"/>
      <c r="P167" s="98"/>
      <c r="Q167" s="98"/>
      <c r="R167" s="43"/>
      <c r="S167" s="43"/>
      <c r="T167" s="126"/>
      <c r="U167" s="126"/>
      <c r="V167" s="43"/>
      <c r="W167" s="43"/>
      <c r="X167" s="43"/>
      <c r="Y167" s="100"/>
    </row>
    <row r="168" spans="2:25" ht="12" customHeight="1">
      <c r="B168" s="4"/>
      <c r="C168" s="41" t="s">
        <v>1090</v>
      </c>
      <c r="D168" s="38"/>
      <c r="E168" s="38"/>
      <c r="F168" s="96"/>
      <c r="G168" s="124"/>
      <c r="H168" s="124"/>
      <c r="I168" s="43"/>
      <c r="J168" s="43"/>
      <c r="K168" s="124"/>
      <c r="L168" s="124"/>
      <c r="M168" s="125"/>
      <c r="N168" s="126"/>
      <c r="O168" s="126"/>
      <c r="P168" s="98"/>
      <c r="Q168" s="98"/>
      <c r="R168" s="43"/>
      <c r="S168" s="43"/>
      <c r="T168" s="126"/>
      <c r="U168" s="126"/>
      <c r="V168" s="43"/>
      <c r="W168" s="43"/>
      <c r="X168" s="43"/>
      <c r="Y168" s="100"/>
    </row>
    <row r="169" spans="2:25" ht="12" customHeight="1">
      <c r="B169" s="4"/>
      <c r="C169" s="41" t="s">
        <v>1091</v>
      </c>
      <c r="D169" s="38"/>
      <c r="E169" s="38"/>
      <c r="F169" s="96"/>
      <c r="G169" s="124"/>
      <c r="H169" s="124"/>
      <c r="I169" s="43"/>
      <c r="J169" s="43"/>
      <c r="K169" s="124"/>
      <c r="L169" s="124"/>
      <c r="M169" s="125"/>
      <c r="N169" s="126"/>
      <c r="O169" s="126"/>
      <c r="P169" s="98"/>
      <c r="Q169" s="98"/>
      <c r="R169" s="43"/>
      <c r="S169" s="43"/>
      <c r="T169" s="126"/>
      <c r="U169" s="126"/>
      <c r="V169" s="43"/>
      <c r="W169" s="43"/>
      <c r="X169" s="43"/>
      <c r="Y169" s="100"/>
    </row>
    <row r="170" spans="2:25" ht="12" customHeight="1">
      <c r="B170" s="4"/>
      <c r="C170" s="41" t="s">
        <v>1092</v>
      </c>
      <c r="D170" s="38"/>
      <c r="E170" s="38"/>
      <c r="F170" s="96"/>
      <c r="G170" s="124"/>
      <c r="H170" s="124"/>
      <c r="I170" s="43"/>
      <c r="J170" s="43"/>
      <c r="K170" s="124"/>
      <c r="L170" s="124"/>
      <c r="M170" s="125"/>
      <c r="N170" s="126"/>
      <c r="O170" s="126"/>
      <c r="P170" s="98"/>
      <c r="Q170" s="98"/>
      <c r="R170" s="43"/>
      <c r="S170" s="43"/>
      <c r="T170" s="126"/>
      <c r="U170" s="126"/>
      <c r="V170" s="43"/>
      <c r="W170" s="43"/>
      <c r="X170" s="43"/>
      <c r="Y170" s="100"/>
    </row>
    <row r="171" spans="2:25" ht="12" customHeight="1">
      <c r="B171" s="4"/>
      <c r="C171" s="41" t="s">
        <v>1093</v>
      </c>
      <c r="D171" s="38"/>
      <c r="E171" s="38"/>
      <c r="F171" s="96"/>
      <c r="G171" s="124"/>
      <c r="H171" s="124"/>
      <c r="I171" s="43"/>
      <c r="J171" s="43"/>
      <c r="K171" s="124"/>
      <c r="L171" s="124"/>
      <c r="M171" s="125"/>
      <c r="N171" s="126"/>
      <c r="O171" s="126"/>
      <c r="P171" s="98"/>
      <c r="Q171" s="98"/>
      <c r="R171" s="43"/>
      <c r="S171" s="43"/>
      <c r="T171" s="126"/>
      <c r="U171" s="126"/>
      <c r="V171" s="43"/>
      <c r="W171" s="43"/>
      <c r="X171" s="43"/>
      <c r="Y171" s="100"/>
    </row>
    <row r="172" spans="2:25" ht="12" customHeight="1">
      <c r="B172" s="4"/>
      <c r="C172" s="41" t="s">
        <v>1094</v>
      </c>
      <c r="D172" s="38"/>
      <c r="E172" s="38"/>
      <c r="F172" s="96"/>
      <c r="G172" s="124"/>
      <c r="H172" s="124"/>
      <c r="I172" s="43"/>
      <c r="J172" s="43"/>
      <c r="K172" s="124"/>
      <c r="L172" s="124"/>
      <c r="M172" s="125"/>
      <c r="N172" s="126"/>
      <c r="O172" s="126"/>
      <c r="P172" s="98"/>
      <c r="Q172" s="98"/>
      <c r="R172" s="43"/>
      <c r="S172" s="43"/>
      <c r="T172" s="126"/>
      <c r="U172" s="126"/>
      <c r="V172" s="43"/>
      <c r="W172" s="43"/>
      <c r="X172" s="43"/>
      <c r="Y172" s="100"/>
    </row>
    <row r="173" spans="2:25" ht="12" customHeight="1">
      <c r="B173" s="4"/>
      <c r="C173" s="41" t="s">
        <v>1095</v>
      </c>
      <c r="D173" s="38"/>
      <c r="E173" s="38"/>
      <c r="F173" s="96"/>
      <c r="G173" s="124"/>
      <c r="H173" s="124"/>
      <c r="I173" s="43"/>
      <c r="J173" s="43"/>
      <c r="K173" s="124"/>
      <c r="L173" s="124"/>
      <c r="M173" s="125"/>
      <c r="N173" s="126"/>
      <c r="O173" s="126"/>
      <c r="P173" s="98"/>
      <c r="Q173" s="98"/>
      <c r="R173" s="43"/>
      <c r="S173" s="43"/>
      <c r="T173" s="126"/>
      <c r="U173" s="126"/>
      <c r="V173" s="43"/>
      <c r="W173" s="43"/>
      <c r="X173" s="43"/>
      <c r="Y173" s="100"/>
    </row>
    <row r="174" spans="2:25" ht="12" customHeight="1">
      <c r="B174" s="4"/>
      <c r="C174" s="41" t="s">
        <v>1096</v>
      </c>
      <c r="D174" s="38"/>
      <c r="E174" s="38"/>
      <c r="F174" s="96"/>
      <c r="G174" s="124"/>
      <c r="H174" s="124"/>
      <c r="I174" s="43"/>
      <c r="J174" s="43"/>
      <c r="K174" s="124"/>
      <c r="L174" s="124"/>
      <c r="M174" s="125"/>
      <c r="N174" s="126"/>
      <c r="O174" s="126"/>
      <c r="P174" s="98"/>
      <c r="Q174" s="98"/>
      <c r="R174" s="43"/>
      <c r="S174" s="43"/>
      <c r="T174" s="126"/>
      <c r="U174" s="126"/>
      <c r="V174" s="43"/>
      <c r="W174" s="43"/>
      <c r="X174" s="43"/>
      <c r="Y174" s="100"/>
    </row>
    <row r="175" spans="2:25" ht="12" customHeight="1">
      <c r="B175" s="4"/>
      <c r="C175" s="41" t="s">
        <v>1097</v>
      </c>
      <c r="D175" s="38"/>
      <c r="E175" s="38"/>
      <c r="F175" s="96"/>
      <c r="G175" s="124"/>
      <c r="H175" s="124"/>
      <c r="I175" s="43"/>
      <c r="J175" s="43"/>
      <c r="K175" s="124"/>
      <c r="L175" s="124"/>
      <c r="M175" s="125"/>
      <c r="N175" s="126"/>
      <c r="O175" s="126"/>
      <c r="P175" s="98"/>
      <c r="Q175" s="98"/>
      <c r="R175" s="43"/>
      <c r="S175" s="43"/>
      <c r="T175" s="126"/>
      <c r="U175" s="126"/>
      <c r="V175" s="43"/>
      <c r="W175" s="43"/>
      <c r="X175" s="43"/>
      <c r="Y175" s="100"/>
    </row>
    <row r="176" spans="2:25" ht="12" customHeight="1">
      <c r="B176" s="4"/>
      <c r="C176" s="41" t="s">
        <v>1098</v>
      </c>
      <c r="D176" s="38"/>
      <c r="E176" s="38"/>
      <c r="F176" s="96"/>
      <c r="G176" s="124"/>
      <c r="H176" s="124"/>
      <c r="I176" s="43"/>
      <c r="J176" s="43"/>
      <c r="K176" s="124"/>
      <c r="L176" s="124"/>
      <c r="M176" s="125"/>
      <c r="N176" s="126"/>
      <c r="O176" s="126"/>
      <c r="P176" s="98"/>
      <c r="Q176" s="98"/>
      <c r="R176" s="43"/>
      <c r="S176" s="43"/>
      <c r="T176" s="126"/>
      <c r="U176" s="126"/>
      <c r="V176" s="43"/>
      <c r="W176" s="43"/>
      <c r="X176" s="43"/>
      <c r="Y176" s="100"/>
    </row>
    <row r="177" spans="2:25" ht="12" customHeight="1">
      <c r="B177" s="4"/>
      <c r="C177" s="41" t="s">
        <v>1099</v>
      </c>
      <c r="D177" s="38"/>
      <c r="E177" s="38"/>
      <c r="F177" s="96"/>
      <c r="G177" s="124"/>
      <c r="H177" s="124"/>
      <c r="I177" s="43"/>
      <c r="J177" s="43"/>
      <c r="K177" s="124"/>
      <c r="L177" s="124"/>
      <c r="M177" s="125"/>
      <c r="N177" s="126"/>
      <c r="O177" s="126"/>
      <c r="P177" s="98"/>
      <c r="Q177" s="98"/>
      <c r="R177" s="43"/>
      <c r="S177" s="43"/>
      <c r="T177" s="126"/>
      <c r="U177" s="126"/>
      <c r="V177" s="43"/>
      <c r="W177" s="43"/>
      <c r="X177" s="43"/>
      <c r="Y177" s="100"/>
    </row>
    <row r="178" spans="2:25" ht="12" customHeight="1">
      <c r="B178" s="4"/>
      <c r="C178" s="41" t="s">
        <v>1100</v>
      </c>
      <c r="D178" s="38"/>
      <c r="E178" s="38"/>
      <c r="F178" s="96"/>
      <c r="G178" s="124"/>
      <c r="H178" s="124"/>
      <c r="I178" s="43"/>
      <c r="J178" s="43"/>
      <c r="K178" s="124"/>
      <c r="L178" s="124"/>
      <c r="M178" s="125"/>
      <c r="N178" s="126"/>
      <c r="O178" s="126"/>
      <c r="P178" s="98"/>
      <c r="Q178" s="98"/>
      <c r="R178" s="43"/>
      <c r="S178" s="43"/>
      <c r="T178" s="126"/>
      <c r="U178" s="126"/>
      <c r="V178" s="43"/>
      <c r="W178" s="43"/>
      <c r="X178" s="43"/>
      <c r="Y178" s="100"/>
    </row>
    <row r="179" spans="2:25" ht="12" customHeight="1">
      <c r="B179" s="4"/>
      <c r="C179" s="41" t="s">
        <v>1101</v>
      </c>
      <c r="D179" s="38"/>
      <c r="E179" s="38"/>
      <c r="F179" s="96"/>
      <c r="G179" s="124"/>
      <c r="H179" s="124"/>
      <c r="I179" s="43"/>
      <c r="J179" s="43"/>
      <c r="K179" s="124"/>
      <c r="L179" s="124"/>
      <c r="M179" s="125"/>
      <c r="N179" s="126"/>
      <c r="O179" s="126"/>
      <c r="P179" s="98"/>
      <c r="Q179" s="98"/>
      <c r="R179" s="43"/>
      <c r="S179" s="43"/>
      <c r="T179" s="126"/>
      <c r="U179" s="126"/>
      <c r="V179" s="43"/>
      <c r="W179" s="43"/>
      <c r="X179" s="43"/>
      <c r="Y179" s="100"/>
    </row>
    <row r="180" spans="2:25" ht="12" customHeight="1">
      <c r="B180" s="4"/>
      <c r="C180" s="41" t="s">
        <v>1102</v>
      </c>
      <c r="D180" s="38"/>
      <c r="E180" s="38"/>
      <c r="F180" s="96"/>
      <c r="G180" s="124"/>
      <c r="H180" s="124"/>
      <c r="I180" s="43"/>
      <c r="J180" s="43"/>
      <c r="K180" s="124"/>
      <c r="L180" s="124"/>
      <c r="M180" s="125"/>
      <c r="N180" s="126"/>
      <c r="O180" s="126"/>
      <c r="P180" s="98"/>
      <c r="Q180" s="98"/>
      <c r="R180" s="43"/>
      <c r="S180" s="43"/>
      <c r="T180" s="126"/>
      <c r="U180" s="126"/>
      <c r="V180" s="43"/>
      <c r="W180" s="43"/>
      <c r="X180" s="43"/>
      <c r="Y180" s="100"/>
    </row>
    <row r="181" spans="2:25" ht="12" customHeight="1">
      <c r="B181" s="4"/>
      <c r="C181" s="41" t="s">
        <v>1103</v>
      </c>
      <c r="D181" s="38"/>
      <c r="E181" s="38"/>
      <c r="F181" s="96"/>
      <c r="G181" s="124"/>
      <c r="H181" s="124"/>
      <c r="I181" s="43"/>
      <c r="J181" s="43"/>
      <c r="K181" s="124"/>
      <c r="L181" s="124"/>
      <c r="M181" s="125"/>
      <c r="N181" s="126"/>
      <c r="O181" s="126"/>
      <c r="P181" s="98"/>
      <c r="Q181" s="98"/>
      <c r="R181" s="43"/>
      <c r="S181" s="43"/>
      <c r="T181" s="126"/>
      <c r="U181" s="126"/>
      <c r="V181" s="43"/>
      <c r="W181" s="43"/>
      <c r="X181" s="43"/>
      <c r="Y181" s="100"/>
    </row>
    <row r="182" spans="2:25" ht="12" customHeight="1">
      <c r="B182" s="4"/>
      <c r="C182" s="41" t="s">
        <v>1104</v>
      </c>
      <c r="D182" s="38"/>
      <c r="E182" s="38"/>
      <c r="F182" s="96"/>
      <c r="G182" s="124"/>
      <c r="H182" s="124"/>
      <c r="I182" s="43"/>
      <c r="J182" s="43"/>
      <c r="K182" s="124"/>
      <c r="L182" s="124"/>
      <c r="M182" s="125"/>
      <c r="N182" s="126"/>
      <c r="O182" s="126"/>
      <c r="P182" s="98"/>
      <c r="Q182" s="98"/>
      <c r="R182" s="43"/>
      <c r="S182" s="43"/>
      <c r="T182" s="126"/>
      <c r="U182" s="126"/>
      <c r="V182" s="43"/>
      <c r="W182" s="43"/>
      <c r="X182" s="43"/>
      <c r="Y182" s="100"/>
    </row>
    <row r="183" spans="2:25" ht="12" customHeight="1">
      <c r="B183" s="4"/>
      <c r="C183" s="41" t="s">
        <v>1105</v>
      </c>
      <c r="D183" s="38"/>
      <c r="E183" s="38"/>
      <c r="F183" s="96"/>
      <c r="G183" s="124"/>
      <c r="H183" s="124"/>
      <c r="I183" s="43"/>
      <c r="J183" s="43"/>
      <c r="K183" s="124"/>
      <c r="L183" s="124"/>
      <c r="M183" s="125"/>
      <c r="N183" s="126"/>
      <c r="O183" s="126"/>
      <c r="P183" s="98"/>
      <c r="Q183" s="98"/>
      <c r="R183" s="43"/>
      <c r="S183" s="43"/>
      <c r="T183" s="126"/>
      <c r="U183" s="126"/>
      <c r="V183" s="43"/>
      <c r="W183" s="43"/>
      <c r="X183" s="43"/>
      <c r="Y183" s="100"/>
    </row>
    <row r="184" spans="2:25" ht="12" customHeight="1">
      <c r="B184" s="4"/>
      <c r="C184" s="41" t="s">
        <v>1106</v>
      </c>
      <c r="D184" s="38"/>
      <c r="E184" s="38"/>
      <c r="F184" s="96"/>
      <c r="G184" s="124"/>
      <c r="H184" s="124"/>
      <c r="I184" s="43"/>
      <c r="J184" s="43"/>
      <c r="K184" s="124"/>
      <c r="L184" s="124"/>
      <c r="M184" s="125"/>
      <c r="N184" s="126"/>
      <c r="O184" s="126"/>
      <c r="P184" s="98"/>
      <c r="Q184" s="98"/>
      <c r="R184" s="43"/>
      <c r="S184" s="43"/>
      <c r="T184" s="126"/>
      <c r="U184" s="126"/>
      <c r="V184" s="43"/>
      <c r="W184" s="43"/>
      <c r="X184" s="43"/>
      <c r="Y184" s="100"/>
    </row>
    <row r="185" spans="2:25" ht="12" customHeight="1">
      <c r="B185" s="4"/>
      <c r="C185" s="41" t="s">
        <v>1107</v>
      </c>
      <c r="D185" s="38"/>
      <c r="E185" s="38"/>
      <c r="F185" s="96"/>
      <c r="G185" s="124"/>
      <c r="H185" s="124"/>
      <c r="I185" s="43"/>
      <c r="J185" s="43"/>
      <c r="K185" s="124"/>
      <c r="L185" s="124"/>
      <c r="M185" s="125"/>
      <c r="N185" s="126"/>
      <c r="O185" s="126"/>
      <c r="P185" s="98"/>
      <c r="Q185" s="98"/>
      <c r="R185" s="43"/>
      <c r="S185" s="43"/>
      <c r="T185" s="126"/>
      <c r="U185" s="126"/>
      <c r="V185" s="43"/>
      <c r="W185" s="43"/>
      <c r="X185" s="43"/>
      <c r="Y185" s="100"/>
    </row>
    <row r="186" spans="2:25" ht="12" customHeight="1">
      <c r="B186" s="4"/>
      <c r="C186" s="41" t="s">
        <v>1108</v>
      </c>
      <c r="D186" s="38"/>
      <c r="E186" s="38"/>
      <c r="F186" s="96"/>
      <c r="G186" s="124"/>
      <c r="H186" s="124"/>
      <c r="I186" s="43"/>
      <c r="J186" s="43"/>
      <c r="K186" s="124"/>
      <c r="L186" s="124"/>
      <c r="M186" s="125"/>
      <c r="N186" s="126"/>
      <c r="O186" s="126"/>
      <c r="P186" s="98"/>
      <c r="Q186" s="98"/>
      <c r="R186" s="43"/>
      <c r="S186" s="43"/>
      <c r="T186" s="126"/>
      <c r="U186" s="126"/>
      <c r="V186" s="43"/>
      <c r="W186" s="43"/>
      <c r="X186" s="43"/>
      <c r="Y186" s="100"/>
    </row>
    <row r="187" spans="2:25" ht="12" customHeight="1">
      <c r="B187" s="4"/>
      <c r="C187" s="41" t="s">
        <v>1109</v>
      </c>
      <c r="D187" s="38"/>
      <c r="E187" s="38"/>
      <c r="F187" s="96"/>
      <c r="G187" s="124"/>
      <c r="H187" s="124"/>
      <c r="I187" s="43"/>
      <c r="J187" s="43"/>
      <c r="K187" s="124"/>
      <c r="L187" s="124"/>
      <c r="M187" s="125"/>
      <c r="N187" s="126"/>
      <c r="O187" s="126"/>
      <c r="P187" s="98"/>
      <c r="Q187" s="98"/>
      <c r="R187" s="43"/>
      <c r="S187" s="43"/>
      <c r="T187" s="126"/>
      <c r="U187" s="126"/>
      <c r="V187" s="43"/>
      <c r="W187" s="43"/>
      <c r="X187" s="43"/>
      <c r="Y187" s="100"/>
    </row>
    <row r="188" spans="2:25" ht="12" customHeight="1">
      <c r="B188" s="4"/>
      <c r="C188" s="41" t="s">
        <v>1110</v>
      </c>
      <c r="D188" s="38"/>
      <c r="E188" s="38"/>
      <c r="F188" s="96"/>
      <c r="G188" s="124"/>
      <c r="H188" s="124"/>
      <c r="I188" s="43"/>
      <c r="J188" s="43"/>
      <c r="K188" s="124"/>
      <c r="L188" s="124"/>
      <c r="M188" s="125"/>
      <c r="N188" s="126"/>
      <c r="O188" s="126"/>
      <c r="P188" s="98"/>
      <c r="Q188" s="98"/>
      <c r="R188" s="43"/>
      <c r="S188" s="43"/>
      <c r="T188" s="126"/>
      <c r="U188" s="126"/>
      <c r="V188" s="43"/>
      <c r="W188" s="43"/>
      <c r="X188" s="43"/>
      <c r="Y188" s="100"/>
    </row>
    <row r="189" spans="2:25" ht="12" customHeight="1">
      <c r="B189" s="4"/>
      <c r="C189" s="41" t="s">
        <v>1111</v>
      </c>
      <c r="D189" s="38"/>
      <c r="E189" s="38"/>
      <c r="F189" s="96"/>
      <c r="G189" s="124"/>
      <c r="H189" s="124"/>
      <c r="I189" s="43"/>
      <c r="J189" s="43"/>
      <c r="K189" s="124"/>
      <c r="L189" s="124"/>
      <c r="M189" s="125"/>
      <c r="N189" s="126"/>
      <c r="O189" s="126"/>
      <c r="P189" s="98"/>
      <c r="Q189" s="98"/>
      <c r="R189" s="43"/>
      <c r="S189" s="43"/>
      <c r="T189" s="126"/>
      <c r="U189" s="126"/>
      <c r="V189" s="43"/>
      <c r="W189" s="43"/>
      <c r="X189" s="43"/>
      <c r="Y189" s="100"/>
    </row>
    <row r="190" spans="2:25" ht="12" customHeight="1">
      <c r="B190" s="4"/>
      <c r="C190" s="41" t="s">
        <v>1112</v>
      </c>
      <c r="D190" s="38"/>
      <c r="E190" s="38"/>
      <c r="F190" s="96"/>
      <c r="G190" s="124"/>
      <c r="H190" s="124"/>
      <c r="I190" s="43"/>
      <c r="J190" s="43"/>
      <c r="K190" s="124"/>
      <c r="L190" s="124"/>
      <c r="M190" s="125"/>
      <c r="N190" s="126"/>
      <c r="O190" s="126"/>
      <c r="P190" s="98"/>
      <c r="Q190" s="98"/>
      <c r="R190" s="43"/>
      <c r="S190" s="43"/>
      <c r="T190" s="126"/>
      <c r="U190" s="126"/>
      <c r="V190" s="43"/>
      <c r="W190" s="43"/>
      <c r="X190" s="43"/>
      <c r="Y190" s="100"/>
    </row>
    <row r="191" spans="2:25" ht="12" customHeight="1">
      <c r="B191" s="4"/>
      <c r="C191" s="41" t="s">
        <v>1113</v>
      </c>
      <c r="D191" s="38"/>
      <c r="E191" s="38"/>
      <c r="F191" s="96"/>
      <c r="G191" s="124"/>
      <c r="H191" s="124"/>
      <c r="I191" s="43"/>
      <c r="J191" s="43"/>
      <c r="K191" s="124"/>
      <c r="L191" s="124"/>
      <c r="M191" s="125"/>
      <c r="N191" s="126"/>
      <c r="O191" s="126"/>
      <c r="P191" s="98"/>
      <c r="Q191" s="98"/>
      <c r="R191" s="43"/>
      <c r="S191" s="43"/>
      <c r="T191" s="126"/>
      <c r="U191" s="126"/>
      <c r="V191" s="43"/>
      <c r="W191" s="43"/>
      <c r="X191" s="43"/>
      <c r="Y191" s="100"/>
    </row>
    <row r="192" spans="2:25" ht="12" customHeight="1">
      <c r="B192" s="4"/>
      <c r="C192" s="41" t="s">
        <v>1114</v>
      </c>
      <c r="D192" s="38"/>
      <c r="E192" s="38"/>
      <c r="F192" s="96"/>
      <c r="G192" s="124"/>
      <c r="H192" s="124"/>
      <c r="I192" s="43"/>
      <c r="J192" s="43"/>
      <c r="K192" s="124"/>
      <c r="L192" s="124"/>
      <c r="M192" s="125"/>
      <c r="N192" s="126"/>
      <c r="O192" s="126"/>
      <c r="P192" s="98"/>
      <c r="Q192" s="98"/>
      <c r="R192" s="43"/>
      <c r="S192" s="43"/>
      <c r="T192" s="126"/>
      <c r="U192" s="126"/>
      <c r="V192" s="43"/>
      <c r="W192" s="43"/>
      <c r="X192" s="43"/>
      <c r="Y192" s="100"/>
    </row>
    <row r="193" spans="2:25" ht="12" customHeight="1">
      <c r="B193" s="4"/>
      <c r="C193" s="41" t="s">
        <v>1115</v>
      </c>
      <c r="D193" s="38"/>
      <c r="E193" s="38"/>
      <c r="F193" s="96"/>
      <c r="G193" s="124"/>
      <c r="H193" s="124"/>
      <c r="I193" s="43"/>
      <c r="J193" s="43"/>
      <c r="K193" s="124"/>
      <c r="L193" s="124"/>
      <c r="M193" s="125"/>
      <c r="N193" s="126"/>
      <c r="O193" s="126"/>
      <c r="P193" s="98"/>
      <c r="Q193" s="98"/>
      <c r="R193" s="43"/>
      <c r="S193" s="43"/>
      <c r="T193" s="126"/>
      <c r="U193" s="126"/>
      <c r="V193" s="43"/>
      <c r="W193" s="43"/>
      <c r="X193" s="43"/>
      <c r="Y193" s="100"/>
    </row>
    <row r="194" spans="2:25" ht="12" customHeight="1">
      <c r="B194" s="4"/>
      <c r="C194" s="41" t="s">
        <v>1116</v>
      </c>
      <c r="D194" s="38"/>
      <c r="E194" s="38"/>
      <c r="F194" s="96"/>
      <c r="G194" s="124"/>
      <c r="H194" s="124"/>
      <c r="I194" s="43"/>
      <c r="J194" s="43"/>
      <c r="K194" s="124"/>
      <c r="L194" s="124"/>
      <c r="M194" s="125"/>
      <c r="N194" s="126"/>
      <c r="O194" s="126"/>
      <c r="P194" s="98"/>
      <c r="Q194" s="98"/>
      <c r="R194" s="43"/>
      <c r="S194" s="43"/>
      <c r="T194" s="126"/>
      <c r="U194" s="126"/>
      <c r="V194" s="43"/>
      <c r="W194" s="43"/>
      <c r="X194" s="43"/>
      <c r="Y194" s="100"/>
    </row>
    <row r="195" spans="2:25" ht="12" customHeight="1">
      <c r="B195" s="4"/>
      <c r="C195" s="41" t="s">
        <v>1117</v>
      </c>
      <c r="D195" s="38"/>
      <c r="E195" s="38"/>
      <c r="F195" s="96"/>
      <c r="G195" s="124"/>
      <c r="H195" s="124"/>
      <c r="I195" s="43"/>
      <c r="J195" s="43"/>
      <c r="K195" s="124"/>
      <c r="L195" s="124"/>
      <c r="M195" s="125"/>
      <c r="N195" s="126"/>
      <c r="O195" s="126"/>
      <c r="P195" s="98"/>
      <c r="Q195" s="98"/>
      <c r="R195" s="43"/>
      <c r="S195" s="43"/>
      <c r="T195" s="126"/>
      <c r="U195" s="126"/>
      <c r="V195" s="43"/>
      <c r="W195" s="43"/>
      <c r="X195" s="43"/>
      <c r="Y195" s="100"/>
    </row>
    <row r="196" spans="2:25" ht="12" customHeight="1">
      <c r="B196" s="4"/>
      <c r="C196" s="41" t="s">
        <v>1118</v>
      </c>
      <c r="D196" s="38"/>
      <c r="E196" s="38"/>
      <c r="F196" s="96"/>
      <c r="G196" s="124"/>
      <c r="H196" s="124"/>
      <c r="I196" s="43"/>
      <c r="J196" s="43"/>
      <c r="K196" s="124"/>
      <c r="L196" s="124"/>
      <c r="M196" s="125"/>
      <c r="N196" s="126"/>
      <c r="O196" s="126"/>
      <c r="P196" s="98"/>
      <c r="Q196" s="98"/>
      <c r="R196" s="43"/>
      <c r="S196" s="43"/>
      <c r="T196" s="126"/>
      <c r="U196" s="126"/>
      <c r="V196" s="43"/>
      <c r="W196" s="43"/>
      <c r="X196" s="43"/>
      <c r="Y196" s="100"/>
    </row>
    <row r="197" spans="2:25" ht="12" customHeight="1">
      <c r="B197" s="4"/>
      <c r="C197" s="41" t="s">
        <v>1119</v>
      </c>
      <c r="D197" s="38"/>
      <c r="E197" s="38"/>
      <c r="F197" s="96"/>
      <c r="G197" s="124"/>
      <c r="H197" s="124"/>
      <c r="I197" s="43"/>
      <c r="J197" s="43"/>
      <c r="K197" s="124"/>
      <c r="L197" s="124"/>
      <c r="M197" s="125"/>
      <c r="N197" s="126"/>
      <c r="O197" s="126"/>
      <c r="P197" s="98"/>
      <c r="Q197" s="98"/>
      <c r="R197" s="43"/>
      <c r="S197" s="43"/>
      <c r="T197" s="126"/>
      <c r="U197" s="126"/>
      <c r="V197" s="43"/>
      <c r="W197" s="43"/>
      <c r="X197" s="43"/>
      <c r="Y197" s="100"/>
    </row>
    <row r="198" spans="2:25" ht="12" customHeight="1">
      <c r="B198" s="4"/>
      <c r="C198" s="41" t="s">
        <v>1120</v>
      </c>
      <c r="D198" s="38"/>
      <c r="E198" s="38"/>
      <c r="F198" s="96"/>
      <c r="G198" s="124"/>
      <c r="H198" s="124"/>
      <c r="I198" s="43"/>
      <c r="J198" s="43"/>
      <c r="K198" s="124"/>
      <c r="L198" s="124"/>
      <c r="M198" s="125"/>
      <c r="N198" s="126"/>
      <c r="O198" s="126"/>
      <c r="P198" s="98"/>
      <c r="Q198" s="98"/>
      <c r="R198" s="43"/>
      <c r="S198" s="43"/>
      <c r="T198" s="126"/>
      <c r="U198" s="126"/>
      <c r="V198" s="43"/>
      <c r="W198" s="43"/>
      <c r="X198" s="43"/>
      <c r="Y198" s="100"/>
    </row>
    <row r="199" spans="2:25" ht="12" customHeight="1">
      <c r="B199" s="4"/>
      <c r="C199" s="41" t="s">
        <v>1121</v>
      </c>
      <c r="D199" s="38"/>
      <c r="E199" s="38"/>
      <c r="F199" s="96"/>
      <c r="G199" s="124"/>
      <c r="H199" s="124"/>
      <c r="I199" s="43"/>
      <c r="J199" s="43"/>
      <c r="K199" s="124"/>
      <c r="L199" s="124"/>
      <c r="M199" s="125"/>
      <c r="N199" s="126"/>
      <c r="O199" s="126"/>
      <c r="P199" s="98"/>
      <c r="Q199" s="98"/>
      <c r="R199" s="43"/>
      <c r="S199" s="43"/>
      <c r="T199" s="126"/>
      <c r="U199" s="126"/>
      <c r="V199" s="43"/>
      <c r="W199" s="43"/>
      <c r="X199" s="43"/>
      <c r="Y199" s="100"/>
    </row>
    <row r="200" spans="2:25" ht="12" customHeight="1">
      <c r="B200" s="4"/>
      <c r="C200" s="41" t="s">
        <v>1122</v>
      </c>
      <c r="D200" s="38"/>
      <c r="E200" s="38"/>
      <c r="F200" s="96"/>
      <c r="G200" s="124"/>
      <c r="H200" s="124"/>
      <c r="I200" s="43"/>
      <c r="J200" s="43"/>
      <c r="K200" s="124"/>
      <c r="L200" s="124"/>
      <c r="M200" s="125"/>
      <c r="N200" s="126"/>
      <c r="O200" s="126"/>
      <c r="P200" s="98"/>
      <c r="Q200" s="98"/>
      <c r="R200" s="43"/>
      <c r="S200" s="43"/>
      <c r="T200" s="126"/>
      <c r="U200" s="126"/>
      <c r="V200" s="43"/>
      <c r="W200" s="43"/>
      <c r="X200" s="43"/>
      <c r="Y200" s="100"/>
    </row>
    <row r="201" spans="2:25" ht="12" customHeight="1">
      <c r="B201" s="4"/>
      <c r="C201" s="41" t="s">
        <v>1123</v>
      </c>
      <c r="D201" s="38"/>
      <c r="E201" s="38"/>
      <c r="F201" s="96"/>
      <c r="G201" s="124"/>
      <c r="H201" s="124"/>
      <c r="I201" s="43"/>
      <c r="J201" s="43"/>
      <c r="K201" s="124"/>
      <c r="L201" s="124"/>
      <c r="M201" s="125"/>
      <c r="N201" s="126"/>
      <c r="O201" s="126"/>
      <c r="P201" s="98"/>
      <c r="Q201" s="98"/>
      <c r="R201" s="43"/>
      <c r="S201" s="43"/>
      <c r="T201" s="126"/>
      <c r="U201" s="126"/>
      <c r="V201" s="43"/>
      <c r="W201" s="43"/>
      <c r="X201" s="43"/>
      <c r="Y201" s="100"/>
    </row>
    <row r="202" spans="2:25" ht="12" customHeight="1">
      <c r="B202" s="4"/>
      <c r="C202" s="41" t="s">
        <v>1124</v>
      </c>
      <c r="D202" s="38"/>
      <c r="E202" s="38"/>
      <c r="F202" s="96"/>
      <c r="G202" s="124"/>
      <c r="H202" s="124"/>
      <c r="I202" s="43"/>
      <c r="J202" s="43"/>
      <c r="K202" s="124"/>
      <c r="L202" s="124"/>
      <c r="M202" s="125"/>
      <c r="N202" s="126"/>
      <c r="O202" s="126"/>
      <c r="P202" s="98"/>
      <c r="Q202" s="98"/>
      <c r="R202" s="43"/>
      <c r="S202" s="43"/>
      <c r="T202" s="126"/>
      <c r="U202" s="126"/>
      <c r="V202" s="43"/>
      <c r="W202" s="43"/>
      <c r="X202" s="43"/>
      <c r="Y202" s="100"/>
    </row>
    <row r="203" spans="2:25" ht="12" customHeight="1">
      <c r="B203" s="4"/>
      <c r="C203" s="41" t="s">
        <v>1125</v>
      </c>
      <c r="D203" s="38"/>
      <c r="E203" s="38"/>
      <c r="F203" s="96"/>
      <c r="G203" s="124"/>
      <c r="H203" s="124"/>
      <c r="I203" s="43"/>
      <c r="J203" s="43"/>
      <c r="K203" s="124"/>
      <c r="L203" s="124"/>
      <c r="M203" s="125"/>
      <c r="N203" s="126"/>
      <c r="O203" s="126"/>
      <c r="P203" s="98"/>
      <c r="Q203" s="98"/>
      <c r="R203" s="43"/>
      <c r="S203" s="43"/>
      <c r="T203" s="126"/>
      <c r="U203" s="126"/>
      <c r="V203" s="43"/>
      <c r="W203" s="43"/>
      <c r="X203" s="43"/>
      <c r="Y203" s="100"/>
    </row>
    <row r="204" spans="2:25" ht="12" customHeight="1">
      <c r="B204" s="4"/>
      <c r="C204" s="41" t="s">
        <v>1126</v>
      </c>
      <c r="D204" s="38"/>
      <c r="E204" s="38"/>
      <c r="F204" s="96"/>
      <c r="G204" s="124"/>
      <c r="H204" s="124"/>
      <c r="I204" s="43"/>
      <c r="J204" s="43"/>
      <c r="K204" s="124"/>
      <c r="L204" s="124"/>
      <c r="M204" s="125"/>
      <c r="N204" s="126"/>
      <c r="O204" s="126"/>
      <c r="P204" s="98"/>
      <c r="Q204" s="98"/>
      <c r="R204" s="43"/>
      <c r="S204" s="43"/>
      <c r="T204" s="126"/>
      <c r="U204" s="126"/>
      <c r="V204" s="43"/>
      <c r="W204" s="43"/>
      <c r="X204" s="43"/>
      <c r="Y204" s="100"/>
    </row>
    <row r="205" spans="2:25" ht="12" customHeight="1">
      <c r="B205" s="4"/>
      <c r="C205" s="41" t="s">
        <v>1127</v>
      </c>
      <c r="D205" s="38"/>
      <c r="E205" s="38"/>
      <c r="F205" s="96"/>
      <c r="G205" s="124"/>
      <c r="H205" s="124"/>
      <c r="I205" s="43"/>
      <c r="J205" s="43"/>
      <c r="K205" s="124"/>
      <c r="L205" s="124"/>
      <c r="M205" s="125"/>
      <c r="N205" s="126"/>
      <c r="O205" s="126"/>
      <c r="P205" s="98"/>
      <c r="Q205" s="98"/>
      <c r="R205" s="43"/>
      <c r="S205" s="43"/>
      <c r="T205" s="126"/>
      <c r="U205" s="126"/>
      <c r="V205" s="43"/>
      <c r="W205" s="43"/>
      <c r="X205" s="43"/>
      <c r="Y205" s="100"/>
    </row>
    <row r="206" spans="2:25" ht="12" customHeight="1">
      <c r="B206" s="4"/>
      <c r="C206" s="41" t="s">
        <v>1129</v>
      </c>
      <c r="D206" s="38"/>
      <c r="E206" s="38"/>
      <c r="F206" s="96"/>
      <c r="G206" s="124"/>
      <c r="H206" s="124"/>
      <c r="I206" s="43"/>
      <c r="J206" s="43"/>
      <c r="K206" s="124"/>
      <c r="L206" s="124"/>
      <c r="M206" s="125"/>
      <c r="N206" s="126"/>
      <c r="O206" s="126"/>
      <c r="P206" s="98"/>
      <c r="Q206" s="98"/>
      <c r="R206" s="43"/>
      <c r="S206" s="43"/>
      <c r="T206" s="126"/>
      <c r="U206" s="126"/>
      <c r="V206" s="43"/>
      <c r="W206" s="43"/>
      <c r="X206" s="43"/>
      <c r="Y206" s="100"/>
    </row>
    <row r="207" spans="2:25" ht="12" customHeight="1">
      <c r="B207" s="4"/>
      <c r="C207" s="41" t="s">
        <v>1130</v>
      </c>
      <c r="D207" s="38"/>
      <c r="E207" s="38"/>
      <c r="F207" s="96"/>
      <c r="G207" s="124"/>
      <c r="H207" s="124"/>
      <c r="I207" s="43"/>
      <c r="J207" s="43"/>
      <c r="K207" s="124"/>
      <c r="L207" s="124"/>
      <c r="M207" s="125"/>
      <c r="N207" s="126"/>
      <c r="O207" s="126"/>
      <c r="P207" s="98"/>
      <c r="Q207" s="98"/>
      <c r="R207" s="43"/>
      <c r="S207" s="43"/>
      <c r="T207" s="126"/>
      <c r="U207" s="126"/>
      <c r="V207" s="43"/>
      <c r="W207" s="43"/>
      <c r="X207" s="43"/>
      <c r="Y207" s="100"/>
    </row>
    <row r="208" spans="2:25" ht="12" customHeight="1">
      <c r="B208" s="4"/>
      <c r="C208" s="41" t="s">
        <v>1131</v>
      </c>
      <c r="D208" s="38"/>
      <c r="E208" s="38"/>
      <c r="F208" s="96"/>
      <c r="G208" s="124"/>
      <c r="H208" s="124"/>
      <c r="I208" s="43"/>
      <c r="J208" s="43"/>
      <c r="K208" s="124"/>
      <c r="L208" s="124"/>
      <c r="M208" s="125"/>
      <c r="N208" s="126"/>
      <c r="O208" s="126"/>
      <c r="P208" s="98"/>
      <c r="Q208" s="98"/>
      <c r="R208" s="43"/>
      <c r="S208" s="43"/>
      <c r="T208" s="126"/>
      <c r="U208" s="126"/>
      <c r="V208" s="43"/>
      <c r="W208" s="43"/>
      <c r="X208" s="43"/>
      <c r="Y208" s="100"/>
    </row>
    <row r="209" spans="2:25" ht="12" customHeight="1">
      <c r="B209" s="4"/>
      <c r="C209" s="41" t="s">
        <v>1132</v>
      </c>
      <c r="D209" s="38"/>
      <c r="E209" s="38"/>
      <c r="F209" s="96"/>
      <c r="G209" s="124"/>
      <c r="H209" s="124"/>
      <c r="I209" s="43"/>
      <c r="J209" s="43"/>
      <c r="K209" s="124"/>
      <c r="L209" s="124"/>
      <c r="M209" s="125"/>
      <c r="N209" s="126"/>
      <c r="O209" s="126"/>
      <c r="P209" s="98"/>
      <c r="Q209" s="98"/>
      <c r="R209" s="43"/>
      <c r="S209" s="43"/>
      <c r="T209" s="126"/>
      <c r="U209" s="126"/>
      <c r="V209" s="43"/>
      <c r="W209" s="43"/>
      <c r="X209" s="43"/>
      <c r="Y209" s="100"/>
    </row>
    <row r="210" spans="2:25" ht="12" customHeight="1">
      <c r="B210" s="4"/>
      <c r="C210" s="41" t="s">
        <v>1133</v>
      </c>
      <c r="D210" s="38"/>
      <c r="E210" s="38"/>
      <c r="F210" s="96"/>
      <c r="G210" s="124"/>
      <c r="H210" s="124"/>
      <c r="I210" s="43"/>
      <c r="J210" s="43"/>
      <c r="K210" s="124"/>
      <c r="L210" s="124"/>
      <c r="M210" s="125"/>
      <c r="N210" s="126"/>
      <c r="O210" s="126"/>
      <c r="P210" s="98"/>
      <c r="Q210" s="98"/>
      <c r="R210" s="43"/>
      <c r="S210" s="43"/>
      <c r="T210" s="126"/>
      <c r="U210" s="126"/>
      <c r="V210" s="43"/>
      <c r="W210" s="43"/>
      <c r="X210" s="43"/>
      <c r="Y210" s="100"/>
    </row>
    <row r="211" spans="2:25" ht="12" customHeight="1">
      <c r="B211" s="4"/>
      <c r="C211" s="41" t="s">
        <v>1134</v>
      </c>
      <c r="D211" s="38"/>
      <c r="E211" s="38"/>
      <c r="F211" s="96"/>
      <c r="G211" s="124"/>
      <c r="H211" s="124"/>
      <c r="I211" s="43"/>
      <c r="J211" s="43"/>
      <c r="K211" s="124"/>
      <c r="L211" s="124"/>
      <c r="M211" s="125"/>
      <c r="N211" s="126"/>
      <c r="O211" s="126"/>
      <c r="P211" s="98"/>
      <c r="Q211" s="98"/>
      <c r="R211" s="43"/>
      <c r="S211" s="43"/>
      <c r="T211" s="126"/>
      <c r="U211" s="126"/>
      <c r="V211" s="43"/>
      <c r="W211" s="43"/>
      <c r="X211" s="43"/>
      <c r="Y211" s="100"/>
    </row>
    <row r="212" spans="2:25" ht="12" customHeight="1">
      <c r="B212" s="4"/>
      <c r="C212" s="41" t="s">
        <v>1135</v>
      </c>
      <c r="D212" s="38"/>
      <c r="E212" s="38"/>
      <c r="F212" s="96"/>
      <c r="G212" s="124"/>
      <c r="H212" s="124"/>
      <c r="I212" s="43"/>
      <c r="J212" s="43"/>
      <c r="K212" s="124"/>
      <c r="L212" s="124"/>
      <c r="M212" s="125"/>
      <c r="N212" s="126"/>
      <c r="O212" s="126"/>
      <c r="P212" s="98"/>
      <c r="Q212" s="98"/>
      <c r="R212" s="43"/>
      <c r="S212" s="43"/>
      <c r="T212" s="126"/>
      <c r="U212" s="126"/>
      <c r="V212" s="43"/>
      <c r="W212" s="43"/>
      <c r="X212" s="43"/>
      <c r="Y212" s="100"/>
    </row>
    <row r="213" spans="2:25" ht="12" customHeight="1">
      <c r="B213" s="4"/>
      <c r="C213" s="41" t="s">
        <v>1136</v>
      </c>
      <c r="D213" s="38"/>
      <c r="E213" s="38"/>
      <c r="F213" s="96"/>
      <c r="G213" s="124"/>
      <c r="H213" s="124"/>
      <c r="I213" s="43"/>
      <c r="J213" s="43"/>
      <c r="K213" s="124"/>
      <c r="L213" s="124"/>
      <c r="M213" s="125"/>
      <c r="N213" s="126"/>
      <c r="O213" s="126"/>
      <c r="P213" s="98"/>
      <c r="Q213" s="98"/>
      <c r="R213" s="43"/>
      <c r="S213" s="43"/>
      <c r="T213" s="126"/>
      <c r="U213" s="126"/>
      <c r="V213" s="43"/>
      <c r="W213" s="43"/>
      <c r="X213" s="43"/>
      <c r="Y213" s="100"/>
    </row>
    <row r="214" spans="2:25" ht="12" customHeight="1">
      <c r="B214" s="4"/>
      <c r="C214" s="41" t="s">
        <v>1137</v>
      </c>
      <c r="D214" s="38"/>
      <c r="E214" s="38"/>
      <c r="F214" s="96"/>
      <c r="G214" s="124"/>
      <c r="H214" s="124"/>
      <c r="I214" s="43"/>
      <c r="J214" s="43"/>
      <c r="K214" s="124"/>
      <c r="L214" s="124"/>
      <c r="M214" s="125"/>
      <c r="N214" s="126"/>
      <c r="O214" s="126"/>
      <c r="P214" s="98"/>
      <c r="Q214" s="98"/>
      <c r="R214" s="43"/>
      <c r="S214" s="43"/>
      <c r="T214" s="126"/>
      <c r="U214" s="126"/>
      <c r="V214" s="43"/>
      <c r="W214" s="43"/>
      <c r="X214" s="43"/>
      <c r="Y214" s="100"/>
    </row>
    <row r="215" spans="2:25" ht="12" customHeight="1">
      <c r="B215" s="4"/>
      <c r="C215" s="41" t="s">
        <v>1138</v>
      </c>
      <c r="D215" s="38"/>
      <c r="E215" s="38"/>
      <c r="F215" s="96"/>
      <c r="G215" s="124"/>
      <c r="H215" s="124"/>
      <c r="I215" s="43"/>
      <c r="J215" s="43"/>
      <c r="K215" s="124"/>
      <c r="L215" s="124"/>
      <c r="M215" s="125"/>
      <c r="N215" s="126"/>
      <c r="O215" s="126"/>
      <c r="P215" s="98"/>
      <c r="Q215" s="98"/>
      <c r="R215" s="43"/>
      <c r="S215" s="43"/>
      <c r="T215" s="126"/>
      <c r="U215" s="126"/>
      <c r="V215" s="43"/>
      <c r="W215" s="43"/>
      <c r="X215" s="43"/>
      <c r="Y215" s="100"/>
    </row>
    <row r="216" spans="2:25" ht="12" customHeight="1">
      <c r="B216" s="4"/>
      <c r="C216" s="41" t="s">
        <v>1139</v>
      </c>
      <c r="D216" s="38"/>
      <c r="E216" s="38"/>
      <c r="F216" s="96"/>
      <c r="G216" s="124"/>
      <c r="H216" s="124"/>
      <c r="I216" s="43"/>
      <c r="J216" s="43"/>
      <c r="K216" s="124"/>
      <c r="L216" s="124"/>
      <c r="M216" s="125"/>
      <c r="N216" s="126"/>
      <c r="O216" s="126"/>
      <c r="P216" s="98"/>
      <c r="Q216" s="98"/>
      <c r="R216" s="43"/>
      <c r="S216" s="43"/>
      <c r="T216" s="126"/>
      <c r="U216" s="126"/>
      <c r="V216" s="43"/>
      <c r="W216" s="43"/>
      <c r="X216" s="43"/>
      <c r="Y216" s="100"/>
    </row>
    <row r="217" spans="2:25" ht="12" customHeight="1">
      <c r="B217" s="4"/>
      <c r="C217" s="41" t="s">
        <v>1140</v>
      </c>
      <c r="D217" s="38"/>
      <c r="E217" s="38"/>
      <c r="F217" s="96"/>
      <c r="G217" s="124"/>
      <c r="H217" s="124"/>
      <c r="I217" s="43"/>
      <c r="J217" s="43"/>
      <c r="K217" s="124"/>
      <c r="L217" s="124"/>
      <c r="M217" s="125"/>
      <c r="N217" s="126"/>
      <c r="O217" s="126"/>
      <c r="P217" s="98"/>
      <c r="Q217" s="98"/>
      <c r="R217" s="43"/>
      <c r="S217" s="43"/>
      <c r="T217" s="126"/>
      <c r="U217" s="126"/>
      <c r="V217" s="43"/>
      <c r="W217" s="43"/>
      <c r="X217" s="43"/>
      <c r="Y217" s="100"/>
    </row>
    <row r="218" spans="2:25" ht="12" customHeight="1">
      <c r="B218" s="4"/>
      <c r="C218" s="41" t="s">
        <v>1141</v>
      </c>
      <c r="D218" s="38"/>
      <c r="E218" s="38"/>
      <c r="F218" s="96"/>
      <c r="G218" s="124"/>
      <c r="H218" s="124"/>
      <c r="I218" s="43"/>
      <c r="J218" s="43"/>
      <c r="K218" s="124"/>
      <c r="L218" s="124"/>
      <c r="M218" s="125"/>
      <c r="N218" s="126"/>
      <c r="O218" s="126"/>
      <c r="P218" s="98"/>
      <c r="Q218" s="98"/>
      <c r="R218" s="43"/>
      <c r="S218" s="43"/>
      <c r="T218" s="126"/>
      <c r="U218" s="126"/>
      <c r="V218" s="43"/>
      <c r="W218" s="43"/>
      <c r="X218" s="43"/>
      <c r="Y218" s="100"/>
    </row>
    <row r="219" spans="2:25" ht="12" customHeight="1">
      <c r="B219" s="4"/>
      <c r="C219" s="41" t="s">
        <v>1142</v>
      </c>
      <c r="D219" s="38"/>
      <c r="E219" s="38"/>
      <c r="F219" s="96"/>
      <c r="G219" s="124"/>
      <c r="H219" s="124"/>
      <c r="I219" s="43"/>
      <c r="J219" s="43"/>
      <c r="K219" s="124"/>
      <c r="L219" s="124"/>
      <c r="M219" s="125"/>
      <c r="N219" s="126"/>
      <c r="O219" s="126"/>
      <c r="P219" s="98"/>
      <c r="Q219" s="98"/>
      <c r="R219" s="43"/>
      <c r="S219" s="43"/>
      <c r="T219" s="126"/>
      <c r="U219" s="126"/>
      <c r="V219" s="43"/>
      <c r="W219" s="43"/>
      <c r="X219" s="43"/>
      <c r="Y219" s="100"/>
    </row>
    <row r="220" spans="2:25" ht="12" customHeight="1">
      <c r="B220" s="4"/>
      <c r="C220" s="41" t="s">
        <v>1143</v>
      </c>
      <c r="D220" s="38"/>
      <c r="E220" s="38"/>
      <c r="F220" s="96"/>
      <c r="G220" s="124"/>
      <c r="H220" s="124"/>
      <c r="I220" s="43"/>
      <c r="J220" s="43"/>
      <c r="K220" s="124"/>
      <c r="L220" s="124"/>
      <c r="M220" s="125"/>
      <c r="N220" s="126"/>
      <c r="O220" s="126"/>
      <c r="P220" s="98"/>
      <c r="Q220" s="98"/>
      <c r="R220" s="43"/>
      <c r="S220" s="43"/>
      <c r="T220" s="126"/>
      <c r="U220" s="126"/>
      <c r="V220" s="43"/>
      <c r="W220" s="43"/>
      <c r="X220" s="43"/>
      <c r="Y220" s="100"/>
    </row>
    <row r="221" spans="2:25" ht="12" customHeight="1">
      <c r="B221" s="4"/>
      <c r="C221" s="41" t="s">
        <v>1144</v>
      </c>
      <c r="D221" s="38"/>
      <c r="E221" s="38"/>
      <c r="F221" s="96"/>
      <c r="G221" s="124"/>
      <c r="H221" s="124"/>
      <c r="I221" s="43"/>
      <c r="J221" s="43"/>
      <c r="K221" s="124"/>
      <c r="L221" s="124"/>
      <c r="M221" s="125"/>
      <c r="N221" s="126"/>
      <c r="O221" s="126"/>
      <c r="P221" s="98"/>
      <c r="Q221" s="98"/>
      <c r="R221" s="43"/>
      <c r="S221" s="43"/>
      <c r="T221" s="126"/>
      <c r="U221" s="126"/>
      <c r="V221" s="43"/>
      <c r="W221" s="43"/>
      <c r="X221" s="43"/>
      <c r="Y221" s="100"/>
    </row>
    <row r="222" spans="2:25" ht="12" customHeight="1">
      <c r="B222" s="4"/>
      <c r="C222" s="41" t="s">
        <v>1145</v>
      </c>
      <c r="D222" s="38"/>
      <c r="E222" s="38"/>
      <c r="F222" s="96"/>
      <c r="G222" s="124"/>
      <c r="H222" s="124"/>
      <c r="I222" s="43"/>
      <c r="J222" s="43"/>
      <c r="K222" s="124"/>
      <c r="L222" s="124"/>
      <c r="M222" s="125"/>
      <c r="N222" s="126"/>
      <c r="O222" s="126"/>
      <c r="P222" s="98"/>
      <c r="Q222" s="98"/>
      <c r="R222" s="43"/>
      <c r="S222" s="43"/>
      <c r="T222" s="126"/>
      <c r="U222" s="126"/>
      <c r="V222" s="43"/>
      <c r="W222" s="43"/>
      <c r="X222" s="43"/>
      <c r="Y222" s="100"/>
    </row>
    <row r="223" spans="2:25" ht="12" customHeight="1">
      <c r="B223" s="4"/>
      <c r="C223" s="41" t="s">
        <v>1146</v>
      </c>
      <c r="D223" s="38"/>
      <c r="E223" s="38"/>
      <c r="F223" s="96"/>
      <c r="G223" s="124"/>
      <c r="H223" s="124"/>
      <c r="I223" s="43"/>
      <c r="J223" s="43"/>
      <c r="K223" s="124"/>
      <c r="L223" s="124"/>
      <c r="M223" s="125"/>
      <c r="N223" s="126"/>
      <c r="O223" s="126"/>
      <c r="P223" s="98"/>
      <c r="Q223" s="98"/>
      <c r="R223" s="43"/>
      <c r="S223" s="43"/>
      <c r="T223" s="126"/>
      <c r="U223" s="126"/>
      <c r="V223" s="43"/>
      <c r="W223" s="43"/>
      <c r="X223" s="43"/>
      <c r="Y223" s="100"/>
    </row>
    <row r="224" spans="2:25" ht="12" customHeight="1">
      <c r="B224" s="4"/>
      <c r="C224" s="41" t="s">
        <v>1147</v>
      </c>
      <c r="D224" s="38"/>
      <c r="E224" s="38"/>
      <c r="F224" s="96"/>
      <c r="G224" s="124"/>
      <c r="H224" s="124"/>
      <c r="I224" s="43"/>
      <c r="J224" s="43"/>
      <c r="K224" s="124"/>
      <c r="L224" s="124"/>
      <c r="M224" s="125"/>
      <c r="N224" s="126"/>
      <c r="O224" s="126"/>
      <c r="P224" s="98"/>
      <c r="Q224" s="98"/>
      <c r="R224" s="43"/>
      <c r="S224" s="43"/>
      <c r="T224" s="126"/>
      <c r="U224" s="126"/>
      <c r="V224" s="43"/>
      <c r="W224" s="43"/>
      <c r="X224" s="43"/>
      <c r="Y224" s="100"/>
    </row>
    <row r="225" spans="2:25" ht="12" customHeight="1">
      <c r="B225" s="4"/>
      <c r="C225" s="41" t="s">
        <v>1148</v>
      </c>
      <c r="D225" s="38"/>
      <c r="E225" s="38"/>
      <c r="F225" s="96"/>
      <c r="G225" s="124"/>
      <c r="H225" s="124"/>
      <c r="I225" s="43"/>
      <c r="J225" s="43"/>
      <c r="K225" s="124"/>
      <c r="L225" s="124"/>
      <c r="M225" s="125"/>
      <c r="N225" s="126"/>
      <c r="O225" s="126"/>
      <c r="P225" s="98"/>
      <c r="Q225" s="98"/>
      <c r="R225" s="43"/>
      <c r="S225" s="43"/>
      <c r="T225" s="126"/>
      <c r="U225" s="126"/>
      <c r="V225" s="43"/>
      <c r="W225" s="43"/>
      <c r="X225" s="43"/>
      <c r="Y225" s="100"/>
    </row>
    <row r="226" spans="2:25" ht="12" customHeight="1">
      <c r="B226" s="4"/>
      <c r="C226" s="41" t="s">
        <v>1149</v>
      </c>
      <c r="D226" s="38"/>
      <c r="E226" s="38"/>
      <c r="F226" s="96"/>
      <c r="G226" s="124"/>
      <c r="H226" s="124"/>
      <c r="I226" s="43"/>
      <c r="J226" s="43"/>
      <c r="K226" s="124"/>
      <c r="L226" s="124"/>
      <c r="M226" s="125"/>
      <c r="N226" s="126"/>
      <c r="O226" s="126"/>
      <c r="P226" s="98"/>
      <c r="Q226" s="98"/>
      <c r="R226" s="43"/>
      <c r="S226" s="43"/>
      <c r="T226" s="126"/>
      <c r="U226" s="126"/>
      <c r="V226" s="43"/>
      <c r="W226" s="43"/>
      <c r="X226" s="43"/>
      <c r="Y226" s="100"/>
    </row>
    <row r="227" spans="2:25" ht="12" customHeight="1">
      <c r="B227" s="4"/>
      <c r="C227" s="41" t="s">
        <v>1150</v>
      </c>
      <c r="D227" s="38"/>
      <c r="E227" s="38"/>
      <c r="F227" s="96"/>
      <c r="G227" s="124"/>
      <c r="H227" s="124"/>
      <c r="I227" s="43"/>
      <c r="J227" s="43"/>
      <c r="K227" s="124"/>
      <c r="L227" s="124"/>
      <c r="M227" s="125"/>
      <c r="N227" s="126"/>
      <c r="O227" s="126"/>
      <c r="P227" s="98"/>
      <c r="Q227" s="98"/>
      <c r="R227" s="43"/>
      <c r="S227" s="43"/>
      <c r="T227" s="126"/>
      <c r="U227" s="126"/>
      <c r="V227" s="43"/>
      <c r="W227" s="43"/>
      <c r="X227" s="43"/>
      <c r="Y227" s="100"/>
    </row>
    <row r="228" spans="2:25" ht="12" customHeight="1">
      <c r="B228" s="4"/>
      <c r="C228" s="41" t="s">
        <v>1151</v>
      </c>
      <c r="D228" s="38"/>
      <c r="E228" s="38"/>
      <c r="F228" s="96"/>
      <c r="G228" s="124"/>
      <c r="H228" s="124"/>
      <c r="I228" s="43"/>
      <c r="J228" s="43"/>
      <c r="K228" s="124"/>
      <c r="L228" s="124"/>
      <c r="M228" s="125"/>
      <c r="N228" s="126"/>
      <c r="O228" s="126"/>
      <c r="P228" s="98"/>
      <c r="Q228" s="98"/>
      <c r="R228" s="43"/>
      <c r="S228" s="43"/>
      <c r="T228" s="126"/>
      <c r="U228" s="126"/>
      <c r="V228" s="43"/>
      <c r="W228" s="43"/>
      <c r="X228" s="43"/>
      <c r="Y228" s="100"/>
    </row>
    <row r="229" spans="2:25" ht="12" customHeight="1">
      <c r="B229" s="4"/>
      <c r="C229" s="41" t="s">
        <v>1152</v>
      </c>
      <c r="D229" s="38"/>
      <c r="E229" s="38"/>
      <c r="F229" s="96"/>
      <c r="G229" s="124"/>
      <c r="H229" s="124"/>
      <c r="I229" s="43"/>
      <c r="J229" s="43"/>
      <c r="K229" s="124"/>
      <c r="L229" s="124"/>
      <c r="M229" s="125"/>
      <c r="N229" s="126"/>
      <c r="O229" s="126"/>
      <c r="P229" s="98"/>
      <c r="Q229" s="98"/>
      <c r="R229" s="43"/>
      <c r="S229" s="43"/>
      <c r="T229" s="126"/>
      <c r="U229" s="126"/>
      <c r="V229" s="43"/>
      <c r="W229" s="43"/>
      <c r="X229" s="43"/>
      <c r="Y229" s="100"/>
    </row>
    <row r="230" spans="2:25" ht="12" customHeight="1">
      <c r="B230" s="4"/>
      <c r="C230" s="41" t="s">
        <v>1153</v>
      </c>
      <c r="D230" s="38"/>
      <c r="E230" s="38"/>
      <c r="F230" s="96"/>
      <c r="G230" s="124"/>
      <c r="H230" s="124"/>
      <c r="I230" s="43"/>
      <c r="J230" s="43"/>
      <c r="K230" s="124"/>
      <c r="L230" s="124"/>
      <c r="M230" s="125"/>
      <c r="N230" s="126"/>
      <c r="O230" s="126"/>
      <c r="P230" s="98"/>
      <c r="Q230" s="98"/>
      <c r="R230" s="43"/>
      <c r="S230" s="43"/>
      <c r="T230" s="126"/>
      <c r="U230" s="126"/>
      <c r="V230" s="43"/>
      <c r="W230" s="43"/>
      <c r="X230" s="43"/>
      <c r="Y230" s="100"/>
    </row>
    <row r="231" spans="2:25" ht="12" customHeight="1">
      <c r="B231" s="4"/>
      <c r="C231" s="41" t="s">
        <v>1154</v>
      </c>
      <c r="D231" s="38"/>
      <c r="E231" s="38"/>
      <c r="F231" s="96"/>
      <c r="G231" s="124"/>
      <c r="H231" s="124"/>
      <c r="I231" s="43"/>
      <c r="J231" s="43"/>
      <c r="K231" s="124"/>
      <c r="L231" s="124"/>
      <c r="M231" s="125"/>
      <c r="N231" s="126"/>
      <c r="O231" s="126"/>
      <c r="P231" s="98"/>
      <c r="Q231" s="98"/>
      <c r="R231" s="43"/>
      <c r="S231" s="43"/>
      <c r="T231" s="126"/>
      <c r="U231" s="126"/>
      <c r="V231" s="43"/>
      <c r="W231" s="43"/>
      <c r="X231" s="43"/>
      <c r="Y231" s="100"/>
    </row>
    <row r="232" spans="2:25" ht="12" customHeight="1">
      <c r="B232" s="4"/>
      <c r="C232" s="41" t="s">
        <v>1155</v>
      </c>
      <c r="D232" s="38"/>
      <c r="E232" s="38"/>
      <c r="F232" s="96"/>
      <c r="G232" s="124"/>
      <c r="H232" s="124"/>
      <c r="I232" s="43"/>
      <c r="J232" s="43"/>
      <c r="K232" s="124"/>
      <c r="L232" s="124"/>
      <c r="M232" s="125"/>
      <c r="N232" s="126"/>
      <c r="O232" s="126"/>
      <c r="P232" s="98"/>
      <c r="Q232" s="98"/>
      <c r="R232" s="43"/>
      <c r="S232" s="43"/>
      <c r="T232" s="126"/>
      <c r="U232" s="126"/>
      <c r="V232" s="43"/>
      <c r="W232" s="43"/>
      <c r="X232" s="43"/>
      <c r="Y232" s="100"/>
    </row>
    <row r="233" spans="2:25" ht="12" customHeight="1">
      <c r="B233" s="4"/>
      <c r="C233" s="41" t="s">
        <v>1156</v>
      </c>
      <c r="D233" s="38"/>
      <c r="E233" s="38"/>
      <c r="F233" s="96"/>
      <c r="G233" s="124"/>
      <c r="H233" s="124"/>
      <c r="I233" s="43"/>
      <c r="J233" s="43"/>
      <c r="K233" s="124"/>
      <c r="L233" s="124"/>
      <c r="M233" s="125"/>
      <c r="N233" s="126"/>
      <c r="O233" s="126"/>
      <c r="P233" s="98"/>
      <c r="Q233" s="98"/>
      <c r="R233" s="43"/>
      <c r="S233" s="43"/>
      <c r="T233" s="126"/>
      <c r="U233" s="126"/>
      <c r="V233" s="43"/>
      <c r="W233" s="43"/>
      <c r="X233" s="43"/>
      <c r="Y233" s="100"/>
    </row>
    <row r="234" spans="2:25" ht="12" customHeight="1">
      <c r="B234" s="4"/>
      <c r="C234" s="41" t="s">
        <v>1157</v>
      </c>
      <c r="D234" s="38"/>
      <c r="E234" s="38"/>
      <c r="F234" s="96"/>
      <c r="G234" s="124"/>
      <c r="H234" s="124"/>
      <c r="I234" s="43"/>
      <c r="J234" s="43"/>
      <c r="K234" s="124"/>
      <c r="L234" s="124"/>
      <c r="M234" s="125"/>
      <c r="N234" s="126"/>
      <c r="O234" s="126"/>
      <c r="P234" s="98"/>
      <c r="Q234" s="98"/>
      <c r="R234" s="43"/>
      <c r="S234" s="43"/>
      <c r="T234" s="126"/>
      <c r="U234" s="126"/>
      <c r="V234" s="43"/>
      <c r="W234" s="43"/>
      <c r="X234" s="43"/>
      <c r="Y234" s="100"/>
    </row>
    <row r="235" spans="2:25" ht="12" customHeight="1">
      <c r="B235" s="4"/>
      <c r="C235" s="41" t="s">
        <v>1158</v>
      </c>
      <c r="D235" s="38"/>
      <c r="E235" s="38"/>
      <c r="F235" s="96"/>
      <c r="G235" s="124"/>
      <c r="H235" s="124"/>
      <c r="I235" s="43"/>
      <c r="J235" s="43"/>
      <c r="K235" s="124"/>
      <c r="L235" s="124"/>
      <c r="M235" s="125"/>
      <c r="N235" s="126"/>
      <c r="O235" s="126"/>
      <c r="P235" s="98"/>
      <c r="Q235" s="98"/>
      <c r="R235" s="43"/>
      <c r="S235" s="43"/>
      <c r="T235" s="126"/>
      <c r="U235" s="126"/>
      <c r="V235" s="43"/>
      <c r="W235" s="43"/>
      <c r="X235" s="43"/>
      <c r="Y235" s="100"/>
    </row>
    <row r="236" spans="2:25" ht="12" customHeight="1">
      <c r="B236" s="4"/>
      <c r="C236" s="41" t="s">
        <v>1159</v>
      </c>
      <c r="D236" s="38"/>
      <c r="E236" s="38"/>
      <c r="F236" s="96"/>
      <c r="G236" s="124"/>
      <c r="H236" s="124"/>
      <c r="I236" s="43"/>
      <c r="J236" s="43"/>
      <c r="K236" s="124"/>
      <c r="L236" s="124"/>
      <c r="M236" s="125"/>
      <c r="N236" s="126"/>
      <c r="O236" s="126"/>
      <c r="P236" s="98"/>
      <c r="Q236" s="98"/>
      <c r="R236" s="43"/>
      <c r="S236" s="43"/>
      <c r="T236" s="126"/>
      <c r="U236" s="126"/>
      <c r="V236" s="43"/>
      <c r="W236" s="43"/>
      <c r="X236" s="43"/>
      <c r="Y236" s="100"/>
    </row>
    <row r="237" spans="2:25" ht="12" customHeight="1">
      <c r="B237" s="4"/>
      <c r="C237" s="41" t="s">
        <v>1160</v>
      </c>
      <c r="D237" s="38"/>
      <c r="E237" s="38"/>
      <c r="F237" s="96"/>
      <c r="G237" s="124"/>
      <c r="H237" s="124"/>
      <c r="I237" s="43"/>
      <c r="J237" s="43"/>
      <c r="K237" s="124"/>
      <c r="L237" s="124"/>
      <c r="M237" s="125"/>
      <c r="N237" s="126"/>
      <c r="O237" s="126"/>
      <c r="P237" s="98"/>
      <c r="Q237" s="98"/>
      <c r="R237" s="43"/>
      <c r="S237" s="43"/>
      <c r="T237" s="126"/>
      <c r="U237" s="126"/>
      <c r="V237" s="43"/>
      <c r="W237" s="43"/>
      <c r="X237" s="43"/>
      <c r="Y237" s="100"/>
    </row>
    <row r="238" spans="2:25" ht="12" customHeight="1">
      <c r="B238" s="4"/>
      <c r="C238" s="41" t="s">
        <v>1161</v>
      </c>
      <c r="D238" s="38"/>
      <c r="E238" s="38"/>
      <c r="F238" s="96"/>
      <c r="G238" s="124"/>
      <c r="H238" s="124"/>
      <c r="I238" s="43"/>
      <c r="J238" s="43"/>
      <c r="K238" s="124"/>
      <c r="L238" s="124"/>
      <c r="M238" s="125"/>
      <c r="N238" s="126"/>
      <c r="O238" s="126"/>
      <c r="P238" s="98"/>
      <c r="Q238" s="98"/>
      <c r="R238" s="43"/>
      <c r="S238" s="43"/>
      <c r="T238" s="126"/>
      <c r="U238" s="126"/>
      <c r="V238" s="43"/>
      <c r="W238" s="43"/>
      <c r="X238" s="43"/>
      <c r="Y238" s="100"/>
    </row>
    <row r="239" spans="2:25" ht="12" customHeight="1">
      <c r="B239" s="4"/>
      <c r="C239" s="41" t="s">
        <v>1162</v>
      </c>
      <c r="D239" s="38"/>
      <c r="E239" s="38"/>
      <c r="F239" s="96"/>
      <c r="G239" s="124"/>
      <c r="H239" s="124"/>
      <c r="I239" s="43"/>
      <c r="J239" s="43"/>
      <c r="K239" s="124"/>
      <c r="L239" s="124"/>
      <c r="M239" s="125"/>
      <c r="N239" s="126"/>
      <c r="O239" s="126"/>
      <c r="P239" s="98"/>
      <c r="Q239" s="98"/>
      <c r="R239" s="43"/>
      <c r="S239" s="43"/>
      <c r="T239" s="126"/>
      <c r="U239" s="126"/>
      <c r="V239" s="43"/>
      <c r="W239" s="43"/>
      <c r="X239" s="43"/>
      <c r="Y239" s="100"/>
    </row>
    <row r="240" spans="2:25" ht="12" customHeight="1">
      <c r="B240" s="4"/>
      <c r="C240" s="41" t="s">
        <v>1163</v>
      </c>
      <c r="D240" s="38"/>
      <c r="E240" s="38"/>
      <c r="F240" s="96"/>
      <c r="G240" s="124"/>
      <c r="H240" s="124"/>
      <c r="I240" s="43"/>
      <c r="J240" s="43"/>
      <c r="K240" s="124"/>
      <c r="L240" s="124"/>
      <c r="M240" s="125"/>
      <c r="N240" s="126"/>
      <c r="O240" s="126"/>
      <c r="P240" s="98"/>
      <c r="Q240" s="98"/>
      <c r="R240" s="43"/>
      <c r="S240" s="43"/>
      <c r="T240" s="126"/>
      <c r="U240" s="126"/>
      <c r="V240" s="43"/>
      <c r="W240" s="43"/>
      <c r="X240" s="43"/>
      <c r="Y240" s="100"/>
    </row>
    <row r="241" spans="2:25" ht="12" customHeight="1">
      <c r="B241" s="4"/>
      <c r="C241" s="41" t="s">
        <v>1164</v>
      </c>
      <c r="D241" s="38"/>
      <c r="E241" s="38"/>
      <c r="F241" s="96"/>
      <c r="G241" s="124"/>
      <c r="H241" s="124"/>
      <c r="I241" s="43"/>
      <c r="J241" s="43"/>
      <c r="K241" s="124"/>
      <c r="L241" s="124"/>
      <c r="M241" s="125"/>
      <c r="N241" s="126"/>
      <c r="O241" s="126"/>
      <c r="P241" s="98"/>
      <c r="Q241" s="98"/>
      <c r="R241" s="43"/>
      <c r="S241" s="43"/>
      <c r="T241" s="126"/>
      <c r="U241" s="126"/>
      <c r="V241" s="43"/>
      <c r="W241" s="43"/>
      <c r="X241" s="43"/>
      <c r="Y241" s="100"/>
    </row>
    <row r="242" spans="2:25" ht="12" customHeight="1">
      <c r="B242" s="4"/>
      <c r="C242" s="41" t="s">
        <v>1165</v>
      </c>
      <c r="D242" s="38"/>
      <c r="E242" s="38"/>
      <c r="F242" s="96"/>
      <c r="G242" s="124"/>
      <c r="H242" s="124"/>
      <c r="I242" s="43"/>
      <c r="J242" s="43"/>
      <c r="K242" s="124"/>
      <c r="L242" s="124"/>
      <c r="M242" s="125"/>
      <c r="N242" s="126"/>
      <c r="O242" s="126"/>
      <c r="P242" s="98"/>
      <c r="Q242" s="98"/>
      <c r="R242" s="43"/>
      <c r="S242" s="43"/>
      <c r="T242" s="126"/>
      <c r="U242" s="126"/>
      <c r="V242" s="43"/>
      <c r="W242" s="43"/>
      <c r="X242" s="43"/>
      <c r="Y242" s="100"/>
    </row>
    <row r="243" spans="2:25" ht="12" customHeight="1">
      <c r="B243" s="4"/>
      <c r="C243" s="41" t="s">
        <v>1166</v>
      </c>
      <c r="D243" s="38"/>
      <c r="E243" s="38"/>
      <c r="F243" s="96"/>
      <c r="G243" s="124"/>
      <c r="H243" s="124"/>
      <c r="I243" s="43"/>
      <c r="J243" s="43"/>
      <c r="K243" s="124"/>
      <c r="L243" s="124"/>
      <c r="M243" s="125"/>
      <c r="N243" s="126"/>
      <c r="O243" s="126"/>
      <c r="P243" s="98"/>
      <c r="Q243" s="98"/>
      <c r="R243" s="43"/>
      <c r="S243" s="43"/>
      <c r="T243" s="126"/>
      <c r="U243" s="126"/>
      <c r="V243" s="43"/>
      <c r="W243" s="43"/>
      <c r="X243" s="43"/>
      <c r="Y243" s="100"/>
    </row>
    <row r="244" spans="2:25" ht="12" customHeight="1">
      <c r="B244" s="4"/>
      <c r="C244" s="41" t="s">
        <v>1167</v>
      </c>
      <c r="D244" s="38"/>
      <c r="E244" s="38"/>
      <c r="F244" s="96"/>
      <c r="G244" s="124"/>
      <c r="H244" s="124"/>
      <c r="I244" s="43"/>
      <c r="J244" s="43"/>
      <c r="K244" s="124"/>
      <c r="L244" s="124"/>
      <c r="M244" s="125"/>
      <c r="N244" s="126"/>
      <c r="O244" s="126"/>
      <c r="P244" s="98"/>
      <c r="Q244" s="98"/>
      <c r="R244" s="43"/>
      <c r="S244" s="43"/>
      <c r="T244" s="126"/>
      <c r="U244" s="126"/>
      <c r="V244" s="43"/>
      <c r="W244" s="43"/>
      <c r="X244" s="43"/>
      <c r="Y244" s="100"/>
    </row>
    <row r="245" spans="2:25" ht="12" customHeight="1">
      <c r="B245" s="4"/>
      <c r="C245" s="41" t="s">
        <v>1168</v>
      </c>
      <c r="D245" s="38"/>
      <c r="E245" s="38"/>
      <c r="F245" s="96"/>
      <c r="G245" s="124"/>
      <c r="H245" s="124"/>
      <c r="I245" s="43"/>
      <c r="J245" s="43"/>
      <c r="K245" s="124"/>
      <c r="L245" s="124"/>
      <c r="M245" s="125"/>
      <c r="N245" s="126"/>
      <c r="O245" s="126"/>
      <c r="P245" s="98"/>
      <c r="Q245" s="98"/>
      <c r="R245" s="43"/>
      <c r="S245" s="43"/>
      <c r="T245" s="126"/>
      <c r="U245" s="126"/>
      <c r="V245" s="43"/>
      <c r="W245" s="43"/>
      <c r="X245" s="43"/>
      <c r="Y245" s="100"/>
    </row>
    <row r="246" spans="2:25" ht="12" customHeight="1">
      <c r="B246" s="4"/>
      <c r="C246" s="41" t="s">
        <v>1169</v>
      </c>
      <c r="D246" s="38"/>
      <c r="E246" s="38"/>
      <c r="F246" s="96"/>
      <c r="G246" s="124"/>
      <c r="H246" s="124"/>
      <c r="I246" s="43"/>
      <c r="J246" s="43"/>
      <c r="K246" s="124"/>
      <c r="L246" s="124"/>
      <c r="M246" s="125"/>
      <c r="N246" s="126"/>
      <c r="O246" s="126"/>
      <c r="P246" s="98"/>
      <c r="Q246" s="98"/>
      <c r="R246" s="43"/>
      <c r="S246" s="43"/>
      <c r="T246" s="126"/>
      <c r="U246" s="126"/>
      <c r="V246" s="43"/>
      <c r="W246" s="43"/>
      <c r="X246" s="43"/>
      <c r="Y246" s="100"/>
    </row>
    <row r="247" spans="2:25" ht="12" customHeight="1">
      <c r="B247" s="4"/>
      <c r="C247" s="41" t="s">
        <v>1170</v>
      </c>
      <c r="D247" s="38"/>
      <c r="E247" s="38"/>
      <c r="F247" s="96"/>
      <c r="G247" s="124"/>
      <c r="H247" s="124"/>
      <c r="I247" s="43"/>
      <c r="J247" s="43"/>
      <c r="K247" s="124"/>
      <c r="L247" s="124"/>
      <c r="M247" s="125"/>
      <c r="N247" s="126"/>
      <c r="O247" s="126"/>
      <c r="P247" s="98"/>
      <c r="Q247" s="98"/>
      <c r="R247" s="43"/>
      <c r="S247" s="43"/>
      <c r="T247" s="126"/>
      <c r="U247" s="126"/>
      <c r="V247" s="43"/>
      <c r="W247" s="43"/>
      <c r="X247" s="43"/>
      <c r="Y247" s="100"/>
    </row>
    <row r="248" spans="2:25" ht="12" customHeight="1">
      <c r="B248" s="4"/>
      <c r="C248" s="41" t="s">
        <v>1171</v>
      </c>
      <c r="D248" s="38"/>
      <c r="E248" s="38"/>
      <c r="F248" s="96"/>
      <c r="G248" s="124"/>
      <c r="H248" s="124"/>
      <c r="I248" s="43"/>
      <c r="J248" s="43"/>
      <c r="K248" s="124"/>
      <c r="L248" s="124"/>
      <c r="M248" s="125"/>
      <c r="N248" s="126"/>
      <c r="O248" s="126"/>
      <c r="P248" s="98"/>
      <c r="Q248" s="98"/>
      <c r="R248" s="43"/>
      <c r="S248" s="43"/>
      <c r="T248" s="126"/>
      <c r="U248" s="126"/>
      <c r="V248" s="43"/>
      <c r="W248" s="43"/>
      <c r="X248" s="43"/>
      <c r="Y248" s="100"/>
    </row>
    <row r="249" spans="2:25" ht="12" customHeight="1">
      <c r="B249" s="4"/>
      <c r="C249" s="41" t="s">
        <v>1172</v>
      </c>
      <c r="D249" s="38"/>
      <c r="E249" s="38"/>
      <c r="F249" s="96"/>
      <c r="G249" s="124"/>
      <c r="H249" s="124"/>
      <c r="I249" s="43"/>
      <c r="J249" s="43"/>
      <c r="K249" s="124"/>
      <c r="L249" s="124"/>
      <c r="M249" s="125"/>
      <c r="N249" s="126"/>
      <c r="O249" s="126"/>
      <c r="P249" s="98"/>
      <c r="Q249" s="98"/>
      <c r="R249" s="43"/>
      <c r="S249" s="43"/>
      <c r="T249" s="126"/>
      <c r="U249" s="126"/>
      <c r="V249" s="43"/>
      <c r="W249" s="43"/>
      <c r="X249" s="43"/>
      <c r="Y249" s="100"/>
    </row>
    <row r="250" spans="2:25" ht="12" customHeight="1">
      <c r="B250" s="4"/>
      <c r="C250" s="41" t="s">
        <v>1173</v>
      </c>
      <c r="D250" s="38"/>
      <c r="E250" s="38"/>
      <c r="F250" s="96"/>
      <c r="G250" s="124"/>
      <c r="H250" s="124"/>
      <c r="I250" s="43"/>
      <c r="J250" s="43"/>
      <c r="K250" s="124"/>
      <c r="L250" s="124"/>
      <c r="M250" s="125"/>
      <c r="N250" s="126"/>
      <c r="O250" s="126"/>
      <c r="P250" s="98"/>
      <c r="Q250" s="98"/>
      <c r="R250" s="43"/>
      <c r="S250" s="43"/>
      <c r="T250" s="126"/>
      <c r="U250" s="126"/>
      <c r="V250" s="43"/>
      <c r="W250" s="43"/>
      <c r="X250" s="43"/>
      <c r="Y250" s="100"/>
    </row>
    <row r="251" spans="2:25" ht="12" customHeight="1">
      <c r="B251" s="4"/>
      <c r="C251" s="41" t="s">
        <v>1174</v>
      </c>
      <c r="D251" s="38"/>
      <c r="E251" s="38"/>
      <c r="F251" s="96"/>
      <c r="G251" s="124"/>
      <c r="H251" s="124"/>
      <c r="I251" s="43"/>
      <c r="J251" s="43"/>
      <c r="K251" s="124"/>
      <c r="L251" s="124"/>
      <c r="M251" s="125"/>
      <c r="N251" s="126"/>
      <c r="O251" s="126"/>
      <c r="P251" s="98"/>
      <c r="Q251" s="98"/>
      <c r="R251" s="43"/>
      <c r="S251" s="43"/>
      <c r="T251" s="126"/>
      <c r="U251" s="126"/>
      <c r="V251" s="43"/>
      <c r="W251" s="43"/>
      <c r="X251" s="43"/>
      <c r="Y251" s="100"/>
    </row>
    <row r="252" spans="2:25" ht="12" customHeight="1">
      <c r="B252" s="4"/>
      <c r="C252" s="41" t="s">
        <v>1175</v>
      </c>
      <c r="D252" s="38"/>
      <c r="E252" s="38"/>
      <c r="F252" s="96"/>
      <c r="G252" s="124"/>
      <c r="H252" s="124"/>
      <c r="I252" s="43"/>
      <c r="J252" s="43"/>
      <c r="K252" s="124"/>
      <c r="L252" s="124"/>
      <c r="M252" s="125"/>
      <c r="N252" s="126"/>
      <c r="O252" s="126"/>
      <c r="P252" s="98"/>
      <c r="Q252" s="98"/>
      <c r="R252" s="43"/>
      <c r="S252" s="43"/>
      <c r="T252" s="126"/>
      <c r="U252" s="126"/>
      <c r="V252" s="43"/>
      <c r="W252" s="43"/>
      <c r="X252" s="43"/>
      <c r="Y252" s="100"/>
    </row>
    <row r="253" spans="2:25" ht="12" customHeight="1">
      <c r="B253" s="4"/>
      <c r="C253" s="41" t="s">
        <v>1176</v>
      </c>
      <c r="D253" s="38"/>
      <c r="E253" s="38"/>
      <c r="F253" s="96"/>
      <c r="G253" s="124"/>
      <c r="H253" s="124"/>
      <c r="I253" s="43"/>
      <c r="J253" s="43"/>
      <c r="K253" s="124"/>
      <c r="L253" s="124"/>
      <c r="M253" s="125"/>
      <c r="N253" s="126"/>
      <c r="O253" s="126"/>
      <c r="P253" s="98"/>
      <c r="Q253" s="98"/>
      <c r="R253" s="43"/>
      <c r="S253" s="43"/>
      <c r="T253" s="126"/>
      <c r="U253" s="126"/>
      <c r="V253" s="43"/>
      <c r="W253" s="43"/>
      <c r="X253" s="43"/>
      <c r="Y253" s="100"/>
    </row>
    <row r="254" spans="2:25" ht="12" customHeight="1">
      <c r="B254" s="4"/>
      <c r="C254" s="41" t="s">
        <v>1177</v>
      </c>
      <c r="D254" s="38"/>
      <c r="E254" s="38"/>
      <c r="F254" s="96"/>
      <c r="G254" s="124"/>
      <c r="H254" s="124"/>
      <c r="I254" s="43"/>
      <c r="J254" s="43"/>
      <c r="K254" s="124"/>
      <c r="L254" s="124"/>
      <c r="M254" s="125"/>
      <c r="N254" s="126"/>
      <c r="O254" s="126"/>
      <c r="P254" s="98"/>
      <c r="Q254" s="98"/>
      <c r="R254" s="43"/>
      <c r="S254" s="43"/>
      <c r="T254" s="126"/>
      <c r="U254" s="126"/>
      <c r="V254" s="43"/>
      <c r="W254" s="43"/>
      <c r="X254" s="43"/>
      <c r="Y254" s="100"/>
    </row>
    <row r="255" spans="2:25" ht="12" customHeight="1">
      <c r="B255" s="4"/>
      <c r="C255" s="41" t="s">
        <v>1178</v>
      </c>
      <c r="D255" s="38"/>
      <c r="E255" s="38"/>
      <c r="F255" s="96"/>
      <c r="G255" s="124"/>
      <c r="H255" s="124"/>
      <c r="I255" s="43"/>
      <c r="J255" s="43"/>
      <c r="K255" s="124"/>
      <c r="L255" s="124"/>
      <c r="M255" s="125"/>
      <c r="N255" s="126"/>
      <c r="O255" s="126"/>
      <c r="P255" s="98"/>
      <c r="Q255" s="98"/>
      <c r="R255" s="43"/>
      <c r="S255" s="43"/>
      <c r="T255" s="126"/>
      <c r="U255" s="126"/>
      <c r="V255" s="43"/>
      <c r="W255" s="43"/>
      <c r="X255" s="43"/>
      <c r="Y255" s="100"/>
    </row>
    <row r="256" spans="2:25" ht="12" customHeight="1">
      <c r="B256" s="4"/>
      <c r="C256" s="41" t="s">
        <v>1179</v>
      </c>
      <c r="D256" s="38"/>
      <c r="E256" s="38"/>
      <c r="F256" s="96"/>
      <c r="G256" s="124"/>
      <c r="H256" s="124"/>
      <c r="I256" s="43"/>
      <c r="J256" s="43"/>
      <c r="K256" s="124"/>
      <c r="L256" s="124"/>
      <c r="M256" s="125"/>
      <c r="N256" s="126"/>
      <c r="O256" s="126"/>
      <c r="P256" s="98"/>
      <c r="Q256" s="98"/>
      <c r="R256" s="43"/>
      <c r="S256" s="43"/>
      <c r="T256" s="126"/>
      <c r="U256" s="126"/>
      <c r="V256" s="43"/>
      <c r="W256" s="43"/>
      <c r="X256" s="43"/>
      <c r="Y256" s="100"/>
    </row>
    <row r="257" spans="2:25" ht="12" customHeight="1">
      <c r="B257" s="4"/>
      <c r="C257" s="41" t="s">
        <v>1180</v>
      </c>
      <c r="D257" s="38"/>
      <c r="E257" s="38"/>
      <c r="F257" s="96"/>
      <c r="G257" s="124"/>
      <c r="H257" s="124"/>
      <c r="I257" s="43"/>
      <c r="J257" s="43"/>
      <c r="K257" s="124"/>
      <c r="L257" s="124"/>
      <c r="M257" s="125"/>
      <c r="N257" s="126"/>
      <c r="O257" s="126"/>
      <c r="P257" s="98"/>
      <c r="Q257" s="98"/>
      <c r="R257" s="43"/>
      <c r="S257" s="43"/>
      <c r="T257" s="126"/>
      <c r="U257" s="126"/>
      <c r="V257" s="43"/>
      <c r="W257" s="43"/>
      <c r="X257" s="43"/>
      <c r="Y257" s="100"/>
    </row>
    <row r="258" spans="2:25" ht="12" customHeight="1">
      <c r="B258" s="4"/>
      <c r="C258" s="41" t="s">
        <v>1181</v>
      </c>
      <c r="D258" s="38"/>
      <c r="E258" s="38"/>
      <c r="F258" s="96"/>
      <c r="G258" s="124"/>
      <c r="H258" s="124"/>
      <c r="I258" s="43"/>
      <c r="J258" s="43"/>
      <c r="K258" s="124"/>
      <c r="L258" s="124"/>
      <c r="M258" s="125"/>
      <c r="N258" s="126"/>
      <c r="O258" s="126"/>
      <c r="P258" s="98"/>
      <c r="Q258" s="98"/>
      <c r="R258" s="43"/>
      <c r="S258" s="43"/>
      <c r="T258" s="126"/>
      <c r="U258" s="126"/>
      <c r="V258" s="43"/>
      <c r="W258" s="43"/>
      <c r="X258" s="43"/>
      <c r="Y258" s="100"/>
    </row>
    <row r="259" spans="2:25" ht="12" customHeight="1">
      <c r="B259" s="4"/>
      <c r="C259" s="41" t="s">
        <v>1182</v>
      </c>
      <c r="D259" s="38"/>
      <c r="E259" s="38"/>
      <c r="F259" s="96"/>
      <c r="G259" s="124"/>
      <c r="H259" s="124"/>
      <c r="I259" s="43"/>
      <c r="J259" s="43"/>
      <c r="K259" s="124"/>
      <c r="L259" s="124"/>
      <c r="M259" s="125"/>
      <c r="N259" s="126"/>
      <c r="O259" s="126"/>
      <c r="P259" s="98"/>
      <c r="Q259" s="98"/>
      <c r="R259" s="43"/>
      <c r="S259" s="43"/>
      <c r="T259" s="126"/>
      <c r="U259" s="126"/>
      <c r="V259" s="43"/>
      <c r="W259" s="43"/>
      <c r="X259" s="43"/>
      <c r="Y259" s="100"/>
    </row>
    <row r="260" spans="2:25" ht="12" customHeight="1">
      <c r="B260" s="4"/>
      <c r="C260" s="41" t="s">
        <v>1183</v>
      </c>
      <c r="D260" s="38"/>
      <c r="E260" s="38"/>
      <c r="F260" s="96"/>
      <c r="G260" s="124"/>
      <c r="H260" s="124"/>
      <c r="I260" s="43"/>
      <c r="J260" s="43"/>
      <c r="K260" s="124"/>
      <c r="L260" s="124"/>
      <c r="M260" s="125"/>
      <c r="N260" s="126"/>
      <c r="O260" s="126"/>
      <c r="P260" s="98"/>
      <c r="Q260" s="98"/>
      <c r="R260" s="43"/>
      <c r="S260" s="43"/>
      <c r="T260" s="126"/>
      <c r="U260" s="126"/>
      <c r="V260" s="43"/>
      <c r="W260" s="43"/>
      <c r="X260" s="43"/>
      <c r="Y260" s="100"/>
    </row>
    <row r="261" spans="2:25" ht="12" customHeight="1">
      <c r="B261" s="4"/>
      <c r="C261" s="41" t="s">
        <v>1184</v>
      </c>
      <c r="D261" s="38"/>
      <c r="E261" s="38"/>
      <c r="F261" s="96"/>
      <c r="G261" s="124"/>
      <c r="H261" s="124"/>
      <c r="I261" s="43"/>
      <c r="J261" s="43"/>
      <c r="K261" s="124"/>
      <c r="L261" s="124"/>
      <c r="M261" s="125"/>
      <c r="N261" s="126"/>
      <c r="O261" s="126"/>
      <c r="P261" s="98"/>
      <c r="Q261" s="98"/>
      <c r="R261" s="43"/>
      <c r="S261" s="43"/>
      <c r="T261" s="126"/>
      <c r="U261" s="126"/>
      <c r="V261" s="43"/>
      <c r="W261" s="43"/>
      <c r="X261" s="43"/>
      <c r="Y261" s="100"/>
    </row>
    <row r="262" spans="2:25" ht="12" customHeight="1">
      <c r="B262" s="4"/>
      <c r="C262" s="41" t="s">
        <v>1185</v>
      </c>
      <c r="D262" s="38"/>
      <c r="E262" s="38"/>
      <c r="F262" s="96"/>
      <c r="G262" s="124"/>
      <c r="H262" s="124"/>
      <c r="I262" s="43"/>
      <c r="J262" s="43"/>
      <c r="K262" s="124"/>
      <c r="L262" s="124"/>
      <c r="M262" s="125"/>
      <c r="N262" s="126"/>
      <c r="O262" s="126"/>
      <c r="P262" s="98"/>
      <c r="Q262" s="98"/>
      <c r="R262" s="43"/>
      <c r="S262" s="43"/>
      <c r="T262" s="126"/>
      <c r="U262" s="126"/>
      <c r="V262" s="43"/>
      <c r="W262" s="43"/>
      <c r="X262" s="43"/>
      <c r="Y262" s="100"/>
    </row>
    <row r="263" spans="2:25" ht="12" customHeight="1">
      <c r="B263" s="4"/>
      <c r="C263" s="41" t="s">
        <v>1186</v>
      </c>
      <c r="D263" s="38"/>
      <c r="E263" s="38"/>
      <c r="F263" s="96"/>
      <c r="G263" s="124"/>
      <c r="H263" s="124"/>
      <c r="I263" s="43"/>
      <c r="J263" s="43"/>
      <c r="K263" s="124"/>
      <c r="L263" s="124"/>
      <c r="M263" s="125"/>
      <c r="N263" s="126"/>
      <c r="O263" s="126"/>
      <c r="P263" s="98"/>
      <c r="Q263" s="98"/>
      <c r="R263" s="43"/>
      <c r="S263" s="43"/>
      <c r="T263" s="126"/>
      <c r="U263" s="126"/>
      <c r="V263" s="43"/>
      <c r="W263" s="43"/>
      <c r="X263" s="43"/>
      <c r="Y263" s="100"/>
    </row>
    <row r="264" spans="2:25" ht="12" customHeight="1">
      <c r="B264" s="4"/>
      <c r="C264" s="41" t="s">
        <v>1187</v>
      </c>
      <c r="D264" s="38"/>
      <c r="E264" s="38"/>
      <c r="F264" s="96"/>
      <c r="G264" s="124"/>
      <c r="H264" s="124"/>
      <c r="I264" s="43"/>
      <c r="J264" s="43"/>
      <c r="K264" s="124"/>
      <c r="L264" s="124"/>
      <c r="M264" s="125"/>
      <c r="N264" s="126"/>
      <c r="O264" s="126"/>
      <c r="P264" s="98"/>
      <c r="Q264" s="98"/>
      <c r="R264" s="43"/>
      <c r="S264" s="43"/>
      <c r="T264" s="126"/>
      <c r="U264" s="126"/>
      <c r="V264" s="43"/>
      <c r="W264" s="43"/>
      <c r="X264" s="43"/>
      <c r="Y264" s="100"/>
    </row>
    <row r="265" spans="2:25" ht="12" customHeight="1">
      <c r="B265" s="4"/>
      <c r="C265" s="41" t="s">
        <v>1188</v>
      </c>
      <c r="D265" s="38"/>
      <c r="E265" s="38"/>
      <c r="F265" s="96"/>
      <c r="G265" s="124"/>
      <c r="H265" s="124"/>
      <c r="I265" s="43"/>
      <c r="J265" s="43"/>
      <c r="K265" s="124"/>
      <c r="L265" s="124"/>
      <c r="M265" s="125"/>
      <c r="N265" s="126"/>
      <c r="O265" s="126"/>
      <c r="P265" s="98"/>
      <c r="Q265" s="98"/>
      <c r="R265" s="43"/>
      <c r="S265" s="43"/>
      <c r="T265" s="126"/>
      <c r="U265" s="126"/>
      <c r="V265" s="43"/>
      <c r="W265" s="43"/>
      <c r="X265" s="43"/>
      <c r="Y265" s="100"/>
    </row>
    <row r="266" spans="2:25" ht="12" customHeight="1">
      <c r="B266" s="4"/>
      <c r="C266" s="41" t="s">
        <v>1189</v>
      </c>
      <c r="D266" s="38"/>
      <c r="E266" s="38"/>
      <c r="F266" s="96"/>
      <c r="G266" s="124"/>
      <c r="H266" s="124"/>
      <c r="I266" s="43"/>
      <c r="J266" s="43"/>
      <c r="K266" s="124"/>
      <c r="L266" s="124"/>
      <c r="M266" s="125"/>
      <c r="N266" s="126"/>
      <c r="O266" s="126"/>
      <c r="P266" s="98"/>
      <c r="Q266" s="98"/>
      <c r="R266" s="43"/>
      <c r="S266" s="43"/>
      <c r="T266" s="126"/>
      <c r="U266" s="126"/>
      <c r="V266" s="43"/>
      <c r="W266" s="43"/>
      <c r="X266" s="43"/>
      <c r="Y266" s="100"/>
    </row>
    <row r="267" spans="2:25" ht="12" customHeight="1">
      <c r="B267" s="4"/>
      <c r="C267" s="41" t="s">
        <v>1190</v>
      </c>
      <c r="D267" s="38"/>
      <c r="E267" s="38"/>
      <c r="F267" s="96"/>
      <c r="G267" s="124"/>
      <c r="H267" s="124"/>
      <c r="I267" s="43"/>
      <c r="J267" s="43"/>
      <c r="K267" s="124"/>
      <c r="L267" s="124"/>
      <c r="M267" s="125"/>
      <c r="N267" s="126"/>
      <c r="O267" s="126"/>
      <c r="P267" s="98"/>
      <c r="Q267" s="98"/>
      <c r="R267" s="43"/>
      <c r="S267" s="43"/>
      <c r="T267" s="126"/>
      <c r="U267" s="126"/>
      <c r="V267" s="43"/>
      <c r="W267" s="43"/>
      <c r="X267" s="43"/>
      <c r="Y267" s="100"/>
    </row>
    <row r="268" spans="2:25" ht="12" customHeight="1">
      <c r="B268" s="4"/>
      <c r="C268" s="41" t="s">
        <v>1191</v>
      </c>
      <c r="D268" s="38"/>
      <c r="E268" s="38"/>
      <c r="F268" s="96"/>
      <c r="G268" s="124"/>
      <c r="H268" s="124"/>
      <c r="I268" s="43"/>
      <c r="J268" s="43"/>
      <c r="K268" s="124"/>
      <c r="L268" s="124"/>
      <c r="M268" s="125"/>
      <c r="N268" s="126"/>
      <c r="O268" s="126"/>
      <c r="P268" s="98"/>
      <c r="Q268" s="98"/>
      <c r="R268" s="43"/>
      <c r="S268" s="43"/>
      <c r="T268" s="126"/>
      <c r="U268" s="126"/>
      <c r="V268" s="43"/>
      <c r="W268" s="43"/>
      <c r="X268" s="43"/>
      <c r="Y268" s="100"/>
    </row>
    <row r="269" spans="2:25" ht="12" customHeight="1">
      <c r="B269" s="4"/>
      <c r="C269" s="41" t="s">
        <v>1192</v>
      </c>
      <c r="D269" s="38"/>
      <c r="E269" s="38"/>
      <c r="F269" s="96"/>
      <c r="G269" s="124"/>
      <c r="H269" s="124"/>
      <c r="I269" s="43"/>
      <c r="J269" s="43"/>
      <c r="K269" s="124"/>
      <c r="L269" s="124"/>
      <c r="M269" s="125"/>
      <c r="N269" s="126"/>
      <c r="O269" s="126"/>
      <c r="P269" s="98"/>
      <c r="Q269" s="98"/>
      <c r="R269" s="43"/>
      <c r="S269" s="43"/>
      <c r="T269" s="126"/>
      <c r="U269" s="126"/>
      <c r="V269" s="43"/>
      <c r="W269" s="43"/>
      <c r="X269" s="43"/>
      <c r="Y269" s="100"/>
    </row>
    <row r="270" spans="2:25" ht="12" customHeight="1">
      <c r="B270" s="4"/>
      <c r="C270" s="41" t="s">
        <v>1193</v>
      </c>
      <c r="D270" s="38"/>
      <c r="E270" s="38"/>
      <c r="F270" s="96"/>
      <c r="G270" s="124"/>
      <c r="H270" s="124"/>
      <c r="I270" s="43"/>
      <c r="J270" s="43"/>
      <c r="K270" s="124"/>
      <c r="L270" s="124"/>
      <c r="M270" s="125"/>
      <c r="N270" s="126"/>
      <c r="O270" s="126"/>
      <c r="P270" s="98"/>
      <c r="Q270" s="98"/>
      <c r="R270" s="43"/>
      <c r="S270" s="43"/>
      <c r="T270" s="126"/>
      <c r="U270" s="126"/>
      <c r="V270" s="43"/>
      <c r="W270" s="43"/>
      <c r="X270" s="43"/>
      <c r="Y270" s="100"/>
    </row>
    <row r="271" spans="2:25" ht="12" customHeight="1">
      <c r="B271" s="4"/>
      <c r="C271" s="41" t="s">
        <v>1194</v>
      </c>
      <c r="D271" s="38"/>
      <c r="E271" s="38"/>
      <c r="F271" s="96"/>
      <c r="G271" s="124"/>
      <c r="H271" s="124"/>
      <c r="I271" s="43"/>
      <c r="J271" s="43"/>
      <c r="K271" s="124"/>
      <c r="L271" s="124"/>
      <c r="M271" s="125"/>
      <c r="N271" s="126"/>
      <c r="O271" s="126"/>
      <c r="P271" s="98"/>
      <c r="Q271" s="98"/>
      <c r="R271" s="43"/>
      <c r="S271" s="43"/>
      <c r="T271" s="126"/>
      <c r="U271" s="126"/>
      <c r="V271" s="43"/>
      <c r="W271" s="43"/>
      <c r="X271" s="43"/>
      <c r="Y271" s="100"/>
    </row>
    <row r="272" spans="2:25" ht="12" customHeight="1">
      <c r="B272" s="4"/>
      <c r="C272" s="41" t="s">
        <v>1195</v>
      </c>
      <c r="D272" s="38"/>
      <c r="E272" s="38"/>
      <c r="F272" s="96"/>
      <c r="G272" s="124"/>
      <c r="H272" s="124"/>
      <c r="I272" s="43"/>
      <c r="J272" s="43"/>
      <c r="K272" s="124"/>
      <c r="L272" s="124"/>
      <c r="M272" s="125"/>
      <c r="N272" s="126"/>
      <c r="O272" s="126"/>
      <c r="P272" s="98"/>
      <c r="Q272" s="98"/>
      <c r="R272" s="43"/>
      <c r="S272" s="43"/>
      <c r="T272" s="126"/>
      <c r="U272" s="126"/>
      <c r="V272" s="43"/>
      <c r="W272" s="43"/>
      <c r="X272" s="43"/>
      <c r="Y272" s="100"/>
    </row>
    <row r="273" spans="2:25" ht="12" customHeight="1">
      <c r="B273" s="4"/>
      <c r="C273" s="41" t="s">
        <v>1196</v>
      </c>
      <c r="D273" s="38"/>
      <c r="E273" s="38"/>
      <c r="F273" s="96"/>
      <c r="G273" s="124"/>
      <c r="H273" s="124"/>
      <c r="I273" s="43"/>
      <c r="J273" s="43"/>
      <c r="K273" s="124"/>
      <c r="L273" s="124"/>
      <c r="M273" s="125"/>
      <c r="N273" s="126"/>
      <c r="O273" s="126"/>
      <c r="P273" s="98"/>
      <c r="Q273" s="98"/>
      <c r="R273" s="43"/>
      <c r="S273" s="43"/>
      <c r="T273" s="126"/>
      <c r="U273" s="126"/>
      <c r="V273" s="43"/>
      <c r="W273" s="43"/>
      <c r="X273" s="43"/>
      <c r="Y273" s="100"/>
    </row>
    <row r="274" spans="2:25" ht="12" customHeight="1">
      <c r="B274" s="4"/>
      <c r="C274" s="41" t="s">
        <v>1197</v>
      </c>
      <c r="D274" s="38"/>
      <c r="E274" s="38"/>
      <c r="F274" s="96"/>
      <c r="G274" s="124"/>
      <c r="H274" s="124"/>
      <c r="I274" s="43"/>
      <c r="J274" s="43"/>
      <c r="K274" s="124"/>
      <c r="L274" s="124"/>
      <c r="M274" s="125"/>
      <c r="N274" s="126"/>
      <c r="O274" s="126"/>
      <c r="P274" s="98"/>
      <c r="Q274" s="98"/>
      <c r="R274" s="43"/>
      <c r="S274" s="43"/>
      <c r="T274" s="126"/>
      <c r="U274" s="126"/>
      <c r="V274" s="43"/>
      <c r="W274" s="43"/>
      <c r="X274" s="43"/>
      <c r="Y274" s="100"/>
    </row>
    <row r="275" spans="2:25" ht="12" customHeight="1">
      <c r="B275" s="4"/>
      <c r="C275" s="41" t="s">
        <v>1198</v>
      </c>
      <c r="D275" s="38"/>
      <c r="E275" s="38"/>
      <c r="F275" s="96"/>
      <c r="G275" s="124"/>
      <c r="H275" s="124"/>
      <c r="I275" s="43"/>
      <c r="J275" s="43"/>
      <c r="K275" s="124"/>
      <c r="L275" s="124"/>
      <c r="M275" s="125"/>
      <c r="N275" s="126"/>
      <c r="O275" s="126"/>
      <c r="P275" s="98"/>
      <c r="Q275" s="98"/>
      <c r="R275" s="43"/>
      <c r="S275" s="43"/>
      <c r="T275" s="126"/>
      <c r="U275" s="126"/>
      <c r="V275" s="43"/>
      <c r="W275" s="43"/>
      <c r="X275" s="43"/>
      <c r="Y275" s="100"/>
    </row>
    <row r="276" spans="2:25" ht="12" customHeight="1">
      <c r="B276" s="4"/>
      <c r="C276" s="41" t="s">
        <v>1199</v>
      </c>
      <c r="D276" s="38"/>
      <c r="E276" s="38"/>
      <c r="F276" s="96"/>
      <c r="G276" s="124"/>
      <c r="H276" s="124"/>
      <c r="I276" s="43"/>
      <c r="J276" s="43"/>
      <c r="K276" s="124"/>
      <c r="L276" s="124"/>
      <c r="M276" s="125"/>
      <c r="N276" s="126"/>
      <c r="O276" s="126"/>
      <c r="P276" s="98"/>
      <c r="Q276" s="98"/>
      <c r="R276" s="43"/>
      <c r="S276" s="43"/>
      <c r="T276" s="126"/>
      <c r="U276" s="126"/>
      <c r="V276" s="43"/>
      <c r="W276" s="43"/>
      <c r="X276" s="43"/>
      <c r="Y276" s="100"/>
    </row>
    <row r="277" spans="2:25" ht="12" customHeight="1">
      <c r="B277" s="4"/>
      <c r="C277" s="41" t="s">
        <v>1200</v>
      </c>
      <c r="D277" s="38"/>
      <c r="E277" s="38"/>
      <c r="F277" s="96"/>
      <c r="G277" s="124"/>
      <c r="H277" s="124"/>
      <c r="I277" s="43"/>
      <c r="J277" s="43"/>
      <c r="K277" s="124"/>
      <c r="L277" s="124"/>
      <c r="M277" s="125"/>
      <c r="N277" s="126"/>
      <c r="O277" s="126"/>
      <c r="P277" s="98"/>
      <c r="Q277" s="98"/>
      <c r="R277" s="43"/>
      <c r="S277" s="43"/>
      <c r="T277" s="126"/>
      <c r="U277" s="126"/>
      <c r="V277" s="43"/>
      <c r="W277" s="43"/>
      <c r="X277" s="43"/>
      <c r="Y277" s="100"/>
    </row>
    <row r="278" spans="2:25" ht="12" customHeight="1">
      <c r="B278" s="4"/>
      <c r="C278" s="41" t="s">
        <v>1201</v>
      </c>
      <c r="D278" s="38"/>
      <c r="E278" s="38"/>
      <c r="F278" s="96"/>
      <c r="G278" s="124"/>
      <c r="H278" s="124"/>
      <c r="I278" s="43"/>
      <c r="J278" s="43"/>
      <c r="K278" s="124"/>
      <c r="L278" s="124"/>
      <c r="M278" s="125"/>
      <c r="N278" s="126"/>
      <c r="O278" s="126"/>
      <c r="P278" s="98"/>
      <c r="Q278" s="98"/>
      <c r="R278" s="43"/>
      <c r="S278" s="43"/>
      <c r="T278" s="126"/>
      <c r="U278" s="126"/>
      <c r="V278" s="43"/>
      <c r="W278" s="43"/>
      <c r="X278" s="43"/>
      <c r="Y278" s="100"/>
    </row>
    <row r="279" spans="2:25" ht="12" customHeight="1">
      <c r="B279" s="4"/>
      <c r="C279" s="41" t="s">
        <v>1202</v>
      </c>
      <c r="D279" s="38"/>
      <c r="E279" s="38"/>
      <c r="F279" s="96"/>
      <c r="G279" s="124"/>
      <c r="H279" s="124"/>
      <c r="I279" s="43"/>
      <c r="J279" s="43"/>
      <c r="K279" s="124"/>
      <c r="L279" s="124"/>
      <c r="M279" s="125"/>
      <c r="N279" s="126"/>
      <c r="O279" s="126"/>
      <c r="P279" s="98"/>
      <c r="Q279" s="98"/>
      <c r="R279" s="43"/>
      <c r="S279" s="43"/>
      <c r="T279" s="126"/>
      <c r="U279" s="126"/>
      <c r="V279" s="43"/>
      <c r="W279" s="43"/>
      <c r="X279" s="43"/>
      <c r="Y279" s="100"/>
    </row>
    <row r="280" spans="2:25" ht="12" customHeight="1">
      <c r="B280" s="4"/>
      <c r="C280" s="41" t="s">
        <v>1203</v>
      </c>
      <c r="D280" s="38"/>
      <c r="E280" s="38"/>
      <c r="F280" s="96"/>
      <c r="G280" s="124"/>
      <c r="H280" s="124"/>
      <c r="I280" s="43"/>
      <c r="J280" s="43"/>
      <c r="K280" s="124"/>
      <c r="L280" s="124"/>
      <c r="M280" s="125"/>
      <c r="N280" s="126"/>
      <c r="O280" s="126"/>
      <c r="P280" s="98"/>
      <c r="Q280" s="98"/>
      <c r="R280" s="43"/>
      <c r="S280" s="43"/>
      <c r="T280" s="126"/>
      <c r="U280" s="126"/>
      <c r="V280" s="43"/>
      <c r="W280" s="43"/>
      <c r="X280" s="43"/>
      <c r="Y280" s="100"/>
    </row>
    <row r="281" spans="2:25" ht="12" customHeight="1">
      <c r="B281" s="4"/>
      <c r="C281" s="41" t="s">
        <v>1204</v>
      </c>
      <c r="D281" s="38"/>
      <c r="E281" s="38"/>
      <c r="F281" s="96"/>
      <c r="G281" s="124"/>
      <c r="H281" s="124"/>
      <c r="I281" s="43"/>
      <c r="J281" s="43"/>
      <c r="K281" s="124"/>
      <c r="L281" s="124"/>
      <c r="M281" s="125"/>
      <c r="N281" s="126"/>
      <c r="O281" s="126"/>
      <c r="P281" s="98"/>
      <c r="Q281" s="98"/>
      <c r="R281" s="43"/>
      <c r="S281" s="43"/>
      <c r="T281" s="126"/>
      <c r="U281" s="126"/>
      <c r="V281" s="43"/>
      <c r="W281" s="43"/>
      <c r="X281" s="43"/>
      <c r="Y281" s="100"/>
    </row>
    <row r="282" spans="2:25" ht="12" customHeight="1">
      <c r="B282" s="4"/>
      <c r="C282" s="41" t="s">
        <v>1205</v>
      </c>
      <c r="D282" s="38"/>
      <c r="E282" s="38"/>
      <c r="F282" s="96"/>
      <c r="G282" s="124"/>
      <c r="H282" s="124"/>
      <c r="I282" s="43"/>
      <c r="J282" s="43"/>
      <c r="K282" s="124"/>
      <c r="L282" s="124"/>
      <c r="M282" s="125"/>
      <c r="N282" s="126"/>
      <c r="O282" s="126"/>
      <c r="P282" s="98"/>
      <c r="Q282" s="98"/>
      <c r="R282" s="43"/>
      <c r="S282" s="43"/>
      <c r="T282" s="126"/>
      <c r="U282" s="126"/>
      <c r="V282" s="43"/>
      <c r="W282" s="43"/>
      <c r="X282" s="43"/>
      <c r="Y282" s="100"/>
    </row>
    <row r="283" spans="2:25" ht="12" customHeight="1">
      <c r="B283" s="4"/>
      <c r="C283" s="41" t="s">
        <v>1206</v>
      </c>
      <c r="D283" s="38"/>
      <c r="E283" s="38"/>
      <c r="F283" s="96"/>
      <c r="G283" s="124"/>
      <c r="H283" s="124"/>
      <c r="I283" s="43"/>
      <c r="J283" s="43"/>
      <c r="K283" s="124"/>
      <c r="L283" s="124"/>
      <c r="M283" s="125"/>
      <c r="N283" s="126"/>
      <c r="O283" s="126"/>
      <c r="P283" s="98"/>
      <c r="Q283" s="98"/>
      <c r="R283" s="43"/>
      <c r="S283" s="43"/>
      <c r="T283" s="126"/>
      <c r="U283" s="126"/>
      <c r="V283" s="43"/>
      <c r="W283" s="43"/>
      <c r="X283" s="43"/>
      <c r="Y283" s="100"/>
    </row>
    <row r="284" spans="2:25" ht="12" customHeight="1">
      <c r="B284" s="4"/>
      <c r="C284" s="41" t="s">
        <v>1207</v>
      </c>
      <c r="D284" s="38"/>
      <c r="E284" s="38"/>
      <c r="F284" s="96"/>
      <c r="G284" s="124"/>
      <c r="H284" s="124"/>
      <c r="I284" s="43"/>
      <c r="J284" s="43"/>
      <c r="K284" s="124"/>
      <c r="L284" s="124"/>
      <c r="M284" s="125"/>
      <c r="N284" s="126"/>
      <c r="O284" s="126"/>
      <c r="P284" s="98"/>
      <c r="Q284" s="98"/>
      <c r="R284" s="43"/>
      <c r="S284" s="43"/>
      <c r="T284" s="126"/>
      <c r="U284" s="126"/>
      <c r="V284" s="43"/>
      <c r="W284" s="43"/>
      <c r="X284" s="43"/>
      <c r="Y284" s="100"/>
    </row>
    <row r="285" spans="2:25" ht="12" customHeight="1">
      <c r="B285" s="4"/>
      <c r="C285" s="41" t="s">
        <v>1208</v>
      </c>
      <c r="D285" s="38"/>
      <c r="E285" s="38"/>
      <c r="F285" s="96"/>
      <c r="G285" s="124"/>
      <c r="H285" s="124"/>
      <c r="I285" s="43"/>
      <c r="J285" s="43"/>
      <c r="K285" s="124"/>
      <c r="L285" s="124"/>
      <c r="M285" s="125"/>
      <c r="N285" s="126"/>
      <c r="O285" s="126"/>
      <c r="P285" s="98"/>
      <c r="Q285" s="98"/>
      <c r="R285" s="43"/>
      <c r="S285" s="43"/>
      <c r="T285" s="126"/>
      <c r="U285" s="126"/>
      <c r="V285" s="43"/>
      <c r="W285" s="43"/>
      <c r="X285" s="43"/>
      <c r="Y285" s="100"/>
    </row>
    <row r="286" spans="2:25" ht="12" customHeight="1">
      <c r="B286" s="4"/>
      <c r="C286" s="41" t="s">
        <v>1209</v>
      </c>
      <c r="D286" s="38"/>
      <c r="E286" s="38"/>
      <c r="F286" s="96"/>
      <c r="G286" s="124"/>
      <c r="H286" s="124"/>
      <c r="I286" s="43"/>
      <c r="J286" s="43"/>
      <c r="K286" s="124"/>
      <c r="L286" s="124"/>
      <c r="M286" s="125"/>
      <c r="N286" s="126"/>
      <c r="O286" s="126"/>
      <c r="P286" s="98"/>
      <c r="Q286" s="98"/>
      <c r="R286" s="43"/>
      <c r="S286" s="43"/>
      <c r="T286" s="126"/>
      <c r="U286" s="126"/>
      <c r="V286" s="43"/>
      <c r="W286" s="43"/>
      <c r="X286" s="43"/>
      <c r="Y286" s="100"/>
    </row>
    <row r="287" spans="2:25" ht="12" customHeight="1">
      <c r="B287" s="4"/>
      <c r="C287" s="41" t="s">
        <v>1210</v>
      </c>
      <c r="D287" s="38"/>
      <c r="E287" s="38"/>
      <c r="F287" s="96"/>
      <c r="G287" s="124"/>
      <c r="H287" s="124"/>
      <c r="I287" s="43"/>
      <c r="J287" s="43"/>
      <c r="K287" s="124"/>
      <c r="L287" s="124"/>
      <c r="M287" s="125"/>
      <c r="N287" s="126"/>
      <c r="O287" s="126"/>
      <c r="P287" s="98"/>
      <c r="Q287" s="98"/>
      <c r="R287" s="43"/>
      <c r="S287" s="43"/>
      <c r="T287" s="126"/>
      <c r="U287" s="126"/>
      <c r="V287" s="43"/>
      <c r="W287" s="43"/>
      <c r="X287" s="43"/>
      <c r="Y287" s="100"/>
    </row>
    <row r="288" spans="2:25" ht="12" customHeight="1">
      <c r="B288" s="4"/>
      <c r="C288" s="41" t="s">
        <v>1211</v>
      </c>
      <c r="D288" s="38"/>
      <c r="E288" s="38"/>
      <c r="F288" s="96"/>
      <c r="G288" s="124"/>
      <c r="H288" s="124"/>
      <c r="I288" s="43"/>
      <c r="J288" s="43"/>
      <c r="K288" s="124"/>
      <c r="L288" s="124"/>
      <c r="M288" s="125"/>
      <c r="N288" s="126"/>
      <c r="O288" s="126"/>
      <c r="P288" s="98"/>
      <c r="Q288" s="98"/>
      <c r="R288" s="43"/>
      <c r="S288" s="43"/>
      <c r="T288" s="126"/>
      <c r="U288" s="126"/>
      <c r="V288" s="43"/>
      <c r="W288" s="43"/>
      <c r="X288" s="43"/>
      <c r="Y288" s="100"/>
    </row>
    <row r="289" spans="2:25" ht="12" customHeight="1">
      <c r="B289" s="4"/>
      <c r="C289" s="41" t="s">
        <v>1212</v>
      </c>
      <c r="D289" s="38"/>
      <c r="E289" s="38"/>
      <c r="F289" s="96"/>
      <c r="G289" s="124"/>
      <c r="H289" s="124"/>
      <c r="I289" s="43"/>
      <c r="J289" s="43"/>
      <c r="K289" s="124"/>
      <c r="L289" s="124"/>
      <c r="M289" s="125"/>
      <c r="N289" s="126"/>
      <c r="O289" s="126"/>
      <c r="P289" s="98"/>
      <c r="Q289" s="98"/>
      <c r="R289" s="43"/>
      <c r="S289" s="43"/>
      <c r="T289" s="126"/>
      <c r="U289" s="126"/>
      <c r="V289" s="43"/>
      <c r="W289" s="43"/>
      <c r="X289" s="43"/>
      <c r="Y289" s="100"/>
    </row>
    <row r="290" spans="2:25" ht="12" customHeight="1">
      <c r="B290" s="4"/>
      <c r="C290" s="41" t="s">
        <v>1213</v>
      </c>
      <c r="D290" s="38"/>
      <c r="E290" s="38"/>
      <c r="F290" s="96"/>
      <c r="G290" s="124"/>
      <c r="H290" s="124"/>
      <c r="I290" s="43"/>
      <c r="J290" s="43"/>
      <c r="K290" s="124"/>
      <c r="L290" s="124"/>
      <c r="M290" s="125"/>
      <c r="N290" s="126"/>
      <c r="O290" s="126"/>
      <c r="P290" s="98"/>
      <c r="Q290" s="98"/>
      <c r="R290" s="43"/>
      <c r="S290" s="43"/>
      <c r="T290" s="126"/>
      <c r="U290" s="126"/>
      <c r="V290" s="43"/>
      <c r="W290" s="43"/>
      <c r="X290" s="43"/>
      <c r="Y290" s="100"/>
    </row>
    <row r="291" spans="2:25" ht="12" customHeight="1">
      <c r="B291" s="4"/>
      <c r="C291" s="41" t="s">
        <v>1214</v>
      </c>
      <c r="D291" s="38"/>
      <c r="E291" s="38"/>
      <c r="F291" s="96"/>
      <c r="G291" s="124"/>
      <c r="H291" s="124"/>
      <c r="I291" s="43"/>
      <c r="J291" s="43"/>
      <c r="K291" s="124"/>
      <c r="L291" s="124"/>
      <c r="M291" s="125"/>
      <c r="N291" s="126"/>
      <c r="O291" s="126"/>
      <c r="P291" s="98"/>
      <c r="Q291" s="98"/>
      <c r="R291" s="43"/>
      <c r="S291" s="43"/>
      <c r="T291" s="126"/>
      <c r="U291" s="126"/>
      <c r="V291" s="43"/>
      <c r="W291" s="43"/>
      <c r="X291" s="43"/>
      <c r="Y291" s="100"/>
    </row>
    <row r="292" spans="2:25" ht="12" customHeight="1">
      <c r="B292" s="4"/>
      <c r="C292" s="41" t="s">
        <v>1215</v>
      </c>
      <c r="D292" s="38"/>
      <c r="E292" s="38"/>
      <c r="F292" s="96"/>
      <c r="G292" s="124"/>
      <c r="H292" s="124"/>
      <c r="I292" s="43"/>
      <c r="J292" s="43"/>
      <c r="K292" s="124"/>
      <c r="L292" s="124"/>
      <c r="M292" s="125"/>
      <c r="N292" s="126"/>
      <c r="O292" s="126"/>
      <c r="P292" s="98"/>
      <c r="Q292" s="98"/>
      <c r="R292" s="43"/>
      <c r="S292" s="43"/>
      <c r="T292" s="126"/>
      <c r="U292" s="126"/>
      <c r="V292" s="43"/>
      <c r="W292" s="43"/>
      <c r="X292" s="43"/>
      <c r="Y292" s="100"/>
    </row>
    <row r="293" spans="2:25" ht="12" customHeight="1">
      <c r="B293" s="4"/>
      <c r="C293" s="41" t="s">
        <v>1216</v>
      </c>
      <c r="D293" s="38"/>
      <c r="E293" s="38"/>
      <c r="F293" s="96"/>
      <c r="G293" s="124"/>
      <c r="H293" s="124"/>
      <c r="I293" s="43"/>
      <c r="J293" s="43"/>
      <c r="K293" s="124"/>
      <c r="L293" s="124"/>
      <c r="M293" s="125"/>
      <c r="N293" s="126"/>
      <c r="O293" s="126"/>
      <c r="P293" s="98"/>
      <c r="Q293" s="98"/>
      <c r="R293" s="43"/>
      <c r="S293" s="43"/>
      <c r="T293" s="126"/>
      <c r="U293" s="126"/>
      <c r="V293" s="43"/>
      <c r="W293" s="43"/>
      <c r="X293" s="43"/>
      <c r="Y293" s="100"/>
    </row>
    <row r="294" spans="2:25" ht="12" customHeight="1">
      <c r="B294" s="4"/>
      <c r="C294" s="41" t="s">
        <v>1217</v>
      </c>
      <c r="D294" s="38"/>
      <c r="E294" s="38"/>
      <c r="F294" s="96"/>
      <c r="G294" s="124"/>
      <c r="H294" s="124"/>
      <c r="I294" s="43"/>
      <c r="J294" s="43"/>
      <c r="K294" s="124"/>
      <c r="L294" s="124"/>
      <c r="M294" s="125"/>
      <c r="N294" s="126"/>
      <c r="O294" s="126"/>
      <c r="P294" s="98"/>
      <c r="Q294" s="98"/>
      <c r="R294" s="43"/>
      <c r="S294" s="43"/>
      <c r="T294" s="126"/>
      <c r="U294" s="126"/>
      <c r="V294" s="43"/>
      <c r="W294" s="43"/>
      <c r="X294" s="43"/>
      <c r="Y294" s="100"/>
    </row>
    <row r="295" spans="2:25" ht="12" customHeight="1">
      <c r="B295" s="4"/>
      <c r="C295" s="41" t="s">
        <v>1218</v>
      </c>
      <c r="D295" s="38"/>
      <c r="E295" s="38"/>
      <c r="F295" s="96"/>
      <c r="G295" s="124"/>
      <c r="H295" s="124"/>
      <c r="I295" s="43"/>
      <c r="J295" s="43"/>
      <c r="K295" s="124"/>
      <c r="L295" s="124"/>
      <c r="M295" s="125"/>
      <c r="N295" s="126"/>
      <c r="O295" s="126"/>
      <c r="P295" s="98"/>
      <c r="Q295" s="98"/>
      <c r="R295" s="43"/>
      <c r="S295" s="43"/>
      <c r="T295" s="126"/>
      <c r="U295" s="126"/>
      <c r="V295" s="43"/>
      <c r="W295" s="43"/>
      <c r="X295" s="43"/>
      <c r="Y295" s="100"/>
    </row>
    <row r="296" spans="2:25" ht="12" customHeight="1">
      <c r="B296" s="4"/>
      <c r="C296" s="41" t="s">
        <v>1219</v>
      </c>
      <c r="D296" s="38"/>
      <c r="E296" s="38"/>
      <c r="F296" s="96"/>
      <c r="G296" s="124"/>
      <c r="H296" s="124"/>
      <c r="I296" s="43"/>
      <c r="J296" s="43"/>
      <c r="K296" s="124"/>
      <c r="L296" s="124"/>
      <c r="M296" s="125"/>
      <c r="N296" s="126"/>
      <c r="O296" s="126"/>
      <c r="P296" s="98"/>
      <c r="Q296" s="98"/>
      <c r="R296" s="43"/>
      <c r="S296" s="43"/>
      <c r="T296" s="126"/>
      <c r="U296" s="126"/>
      <c r="V296" s="43"/>
      <c r="W296" s="43"/>
      <c r="X296" s="43"/>
      <c r="Y296" s="100"/>
    </row>
    <row r="297" spans="2:25" ht="12" customHeight="1">
      <c r="B297" s="4"/>
      <c r="C297" s="41" t="s">
        <v>1220</v>
      </c>
      <c r="D297" s="38"/>
      <c r="E297" s="38"/>
      <c r="F297" s="96"/>
      <c r="G297" s="124"/>
      <c r="H297" s="124"/>
      <c r="I297" s="43"/>
      <c r="J297" s="43"/>
      <c r="K297" s="124"/>
      <c r="L297" s="124"/>
      <c r="M297" s="125"/>
      <c r="N297" s="126"/>
      <c r="O297" s="126"/>
      <c r="P297" s="98"/>
      <c r="Q297" s="98"/>
      <c r="R297" s="43"/>
      <c r="S297" s="43"/>
      <c r="T297" s="126"/>
      <c r="U297" s="126"/>
      <c r="V297" s="43"/>
      <c r="W297" s="43"/>
      <c r="X297" s="43"/>
      <c r="Y297" s="100"/>
    </row>
    <row r="298" spans="2:25" ht="12" customHeight="1">
      <c r="B298" s="4"/>
      <c r="C298" s="41" t="s">
        <v>1221</v>
      </c>
      <c r="D298" s="38"/>
      <c r="E298" s="38"/>
      <c r="F298" s="96"/>
      <c r="G298" s="124"/>
      <c r="H298" s="124"/>
      <c r="I298" s="43"/>
      <c r="J298" s="43"/>
      <c r="K298" s="124"/>
      <c r="L298" s="124"/>
      <c r="M298" s="125"/>
      <c r="N298" s="126"/>
      <c r="O298" s="126"/>
      <c r="P298" s="98"/>
      <c r="Q298" s="98"/>
      <c r="R298" s="43"/>
      <c r="S298" s="43"/>
      <c r="T298" s="126"/>
      <c r="U298" s="126"/>
      <c r="V298" s="43"/>
      <c r="W298" s="43"/>
      <c r="X298" s="43"/>
      <c r="Y298" s="100"/>
    </row>
    <row r="299" spans="2:25" ht="12" customHeight="1">
      <c r="B299" s="4"/>
      <c r="C299" s="41" t="s">
        <v>1222</v>
      </c>
      <c r="D299" s="38"/>
      <c r="E299" s="38"/>
      <c r="F299" s="96"/>
      <c r="G299" s="124"/>
      <c r="H299" s="124"/>
      <c r="I299" s="43"/>
      <c r="J299" s="43"/>
      <c r="K299" s="124"/>
      <c r="L299" s="124"/>
      <c r="M299" s="125"/>
      <c r="N299" s="126"/>
      <c r="O299" s="126"/>
      <c r="P299" s="98"/>
      <c r="Q299" s="98"/>
      <c r="R299" s="43"/>
      <c r="S299" s="43"/>
      <c r="T299" s="126"/>
      <c r="U299" s="126"/>
      <c r="V299" s="43"/>
      <c r="W299" s="43"/>
      <c r="X299" s="43"/>
      <c r="Y299" s="100"/>
    </row>
    <row r="300" spans="2:25" ht="12" customHeight="1">
      <c r="B300" s="4"/>
      <c r="C300" s="41" t="s">
        <v>1223</v>
      </c>
      <c r="D300" s="38"/>
      <c r="E300" s="38"/>
      <c r="F300" s="96"/>
      <c r="G300" s="124"/>
      <c r="H300" s="124"/>
      <c r="I300" s="43"/>
      <c r="J300" s="43"/>
      <c r="K300" s="124"/>
      <c r="L300" s="124"/>
      <c r="M300" s="125"/>
      <c r="N300" s="126"/>
      <c r="O300" s="126"/>
      <c r="P300" s="98"/>
      <c r="Q300" s="98"/>
      <c r="R300" s="43"/>
      <c r="S300" s="43"/>
      <c r="T300" s="126"/>
      <c r="U300" s="126"/>
      <c r="V300" s="43"/>
      <c r="W300" s="43"/>
      <c r="X300" s="43"/>
      <c r="Y300" s="100"/>
    </row>
    <row r="301" spans="2:25" ht="12" customHeight="1">
      <c r="B301" s="4"/>
      <c r="C301" s="41" t="s">
        <v>1224</v>
      </c>
      <c r="D301" s="38"/>
      <c r="E301" s="38"/>
      <c r="F301" s="96"/>
      <c r="G301" s="124"/>
      <c r="H301" s="124"/>
      <c r="I301" s="43"/>
      <c r="J301" s="43"/>
      <c r="K301" s="124"/>
      <c r="L301" s="124"/>
      <c r="M301" s="125"/>
      <c r="N301" s="126"/>
      <c r="O301" s="126"/>
      <c r="P301" s="98"/>
      <c r="Q301" s="98"/>
      <c r="R301" s="43"/>
      <c r="S301" s="43"/>
      <c r="T301" s="126"/>
      <c r="U301" s="126"/>
      <c r="V301" s="43"/>
      <c r="W301" s="43"/>
      <c r="X301" s="43"/>
      <c r="Y301" s="100"/>
    </row>
    <row r="302" spans="2:25" ht="12" customHeight="1">
      <c r="B302" s="4"/>
      <c r="C302" s="41" t="s">
        <v>1225</v>
      </c>
      <c r="D302" s="38"/>
      <c r="E302" s="38"/>
      <c r="F302" s="96"/>
      <c r="G302" s="124"/>
      <c r="H302" s="124"/>
      <c r="I302" s="43"/>
      <c r="J302" s="43"/>
      <c r="K302" s="124"/>
      <c r="L302" s="124"/>
      <c r="M302" s="125"/>
      <c r="N302" s="126"/>
      <c r="O302" s="126"/>
      <c r="P302" s="98"/>
      <c r="Q302" s="98"/>
      <c r="R302" s="43"/>
      <c r="S302" s="43"/>
      <c r="T302" s="126"/>
      <c r="U302" s="126"/>
      <c r="V302" s="43"/>
      <c r="W302" s="43"/>
      <c r="X302" s="43"/>
      <c r="Y302" s="100"/>
    </row>
    <row r="303" spans="2:25" ht="12" customHeight="1">
      <c r="B303" s="4"/>
      <c r="C303" s="41" t="s">
        <v>1226</v>
      </c>
      <c r="D303" s="38"/>
      <c r="E303" s="38"/>
      <c r="F303" s="96"/>
      <c r="G303" s="124"/>
      <c r="H303" s="124"/>
      <c r="I303" s="43"/>
      <c r="J303" s="43"/>
      <c r="K303" s="124"/>
      <c r="L303" s="124"/>
      <c r="M303" s="125"/>
      <c r="N303" s="126"/>
      <c r="O303" s="126"/>
      <c r="P303" s="98"/>
      <c r="Q303" s="98"/>
      <c r="R303" s="43"/>
      <c r="S303" s="43"/>
      <c r="T303" s="126"/>
      <c r="U303" s="126"/>
      <c r="V303" s="43"/>
      <c r="W303" s="43"/>
      <c r="X303" s="43"/>
      <c r="Y303" s="100"/>
    </row>
    <row r="304" spans="2:25" ht="12" customHeight="1">
      <c r="B304" s="4"/>
      <c r="C304" s="41" t="s">
        <v>1227</v>
      </c>
      <c r="D304" s="38"/>
      <c r="E304" s="38"/>
      <c r="F304" s="96"/>
      <c r="G304" s="124"/>
      <c r="H304" s="124"/>
      <c r="I304" s="43"/>
      <c r="J304" s="43"/>
      <c r="K304" s="124"/>
      <c r="L304" s="124"/>
      <c r="M304" s="125"/>
      <c r="N304" s="126"/>
      <c r="O304" s="126"/>
      <c r="P304" s="98"/>
      <c r="Q304" s="98"/>
      <c r="R304" s="43"/>
      <c r="S304" s="43"/>
      <c r="T304" s="126"/>
      <c r="U304" s="126"/>
      <c r="V304" s="43"/>
      <c r="W304" s="43"/>
      <c r="X304" s="43"/>
      <c r="Y304" s="100"/>
    </row>
    <row r="305" spans="2:25" ht="12" customHeight="1" thickBot="1">
      <c r="B305" s="63"/>
      <c r="C305" s="42" t="s">
        <v>1228</v>
      </c>
      <c r="D305" s="103"/>
      <c r="E305" s="103"/>
      <c r="F305" s="102"/>
      <c r="G305" s="127"/>
      <c r="H305" s="127"/>
      <c r="I305" s="45"/>
      <c r="J305" s="45"/>
      <c r="K305" s="127"/>
      <c r="L305" s="127"/>
      <c r="M305" s="128"/>
      <c r="N305" s="129"/>
      <c r="O305" s="129"/>
      <c r="P305" s="105"/>
      <c r="Q305" s="105"/>
      <c r="R305" s="45"/>
      <c r="S305" s="45"/>
      <c r="T305" s="129"/>
      <c r="U305" s="129"/>
      <c r="V305" s="45"/>
      <c r="W305" s="45"/>
      <c r="X305" s="45"/>
      <c r="Y305" s="107"/>
    </row>
    <row r="306" spans="2:25" ht="12" customHeight="1" thickBot="1">
      <c r="B306" s="1621" t="s">
        <v>432</v>
      </c>
      <c r="C306" s="1621"/>
      <c r="D306" s="112"/>
      <c r="E306" s="112"/>
      <c r="F306" s="113"/>
      <c r="G306" s="114"/>
      <c r="H306" s="114"/>
      <c r="I306" s="115"/>
      <c r="J306" s="115"/>
      <c r="K306" s="114"/>
      <c r="L306" s="114"/>
      <c r="M306" s="116"/>
      <c r="N306" s="117"/>
      <c r="O306" s="117"/>
      <c r="P306" s="118"/>
      <c r="Q306" s="118"/>
      <c r="R306" s="111">
        <f>SUM(R6:R305)</f>
        <v>5140601</v>
      </c>
      <c r="S306" s="119"/>
      <c r="T306" s="117"/>
      <c r="U306" s="117"/>
      <c r="V306" s="111">
        <f t="shared" ref="V306:X306" si="0">SUM(V6:V305)</f>
        <v>81839746</v>
      </c>
      <c r="W306" s="120">
        <f t="shared" si="0"/>
        <v>69590311</v>
      </c>
      <c r="X306" s="120">
        <f t="shared" si="0"/>
        <v>12249435</v>
      </c>
      <c r="Y306" s="114"/>
    </row>
  </sheetData>
  <mergeCells count="7">
    <mergeCell ref="Q4:Y4"/>
    <mergeCell ref="B306:C306"/>
    <mergeCell ref="D4:D5"/>
    <mergeCell ref="E4:E5"/>
    <mergeCell ref="F4:H4"/>
    <mergeCell ref="I4:P4"/>
    <mergeCell ref="B4:C5"/>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heetPr>
  <dimension ref="B1:J32"/>
  <sheetViews>
    <sheetView showGridLines="0" workbookViewId="0">
      <selection activeCell="K10" sqref="K10"/>
    </sheetView>
  </sheetViews>
  <sheetFormatPr baseColWidth="10" defaultColWidth="9.140625" defaultRowHeight="15"/>
  <cols>
    <col min="1" max="4" width="2.42578125" customWidth="1"/>
    <col min="5" max="5" width="49.85546875" customWidth="1"/>
    <col min="6" max="10" width="15.7109375" customWidth="1"/>
  </cols>
  <sheetData>
    <row r="1" spans="2:10" ht="15" customHeight="1"/>
    <row r="2" spans="2:10" s="1" customFormat="1" ht="15" customHeight="1">
      <c r="B2" s="1" t="s">
        <v>1232</v>
      </c>
    </row>
    <row r="3" spans="2:10" ht="15" customHeight="1" thickBot="1">
      <c r="C3" s="72"/>
      <c r="D3" s="72"/>
      <c r="E3" s="72"/>
      <c r="F3" s="72"/>
      <c r="G3" s="72"/>
      <c r="H3" s="72"/>
      <c r="I3" s="72"/>
      <c r="J3" s="72"/>
    </row>
    <row r="4" spans="2:10" ht="12.75" customHeight="1">
      <c r="B4" s="130"/>
      <c r="C4" s="130"/>
      <c r="D4" s="130"/>
      <c r="E4" s="130"/>
      <c r="F4" s="1607" t="s">
        <v>907</v>
      </c>
      <c r="G4" s="1607" t="s">
        <v>1235</v>
      </c>
      <c r="H4" s="1607" t="s">
        <v>1234</v>
      </c>
      <c r="I4" s="1607" t="s">
        <v>1233</v>
      </c>
      <c r="J4" s="1602" t="s">
        <v>1240</v>
      </c>
    </row>
    <row r="5" spans="2:10" ht="54.95" customHeight="1" thickBot="1">
      <c r="B5" s="130"/>
      <c r="C5" s="132"/>
      <c r="D5" s="132"/>
      <c r="E5" s="132"/>
      <c r="F5" s="1608"/>
      <c r="G5" s="1608"/>
      <c r="H5" s="1608"/>
      <c r="I5" s="1608"/>
      <c r="J5" s="1603"/>
    </row>
    <row r="6" spans="2:10" ht="12" customHeight="1">
      <c r="B6" s="4"/>
      <c r="C6" s="1585" t="s">
        <v>1236</v>
      </c>
      <c r="D6" s="1585"/>
      <c r="E6" s="1585"/>
      <c r="F6" s="53"/>
      <c r="G6" s="48"/>
      <c r="H6" s="48"/>
      <c r="I6" s="49"/>
      <c r="J6" s="140"/>
    </row>
    <row r="7" spans="2:10" ht="12" customHeight="1">
      <c r="B7" s="4"/>
      <c r="C7" s="4"/>
      <c r="D7" s="1565" t="s">
        <v>1237</v>
      </c>
      <c r="E7" s="1565"/>
      <c r="F7" s="61">
        <f>SUM(F8:F14)</f>
        <v>1289357542</v>
      </c>
      <c r="G7" s="60">
        <f t="shared" ref="G7:I7" si="0">SUM(G8:G14)</f>
        <v>263502</v>
      </c>
      <c r="H7" s="60">
        <f>+F7-G7</f>
        <v>1289094040</v>
      </c>
      <c r="I7" s="62">
        <f t="shared" si="0"/>
        <v>1420794694</v>
      </c>
      <c r="J7" s="1191">
        <v>4.6699999999999998E-2</v>
      </c>
    </row>
    <row r="8" spans="2:10" ht="12" customHeight="1">
      <c r="B8" s="4"/>
      <c r="C8" s="4"/>
      <c r="D8" s="4"/>
      <c r="E8" s="10" t="s">
        <v>394</v>
      </c>
      <c r="F8" s="54">
        <v>75457564</v>
      </c>
      <c r="G8" s="43">
        <v>0</v>
      </c>
      <c r="H8" s="60">
        <f t="shared" ref="H8:H22" si="1">+F8-G8</f>
        <v>75457564</v>
      </c>
      <c r="I8" s="44">
        <v>88030788</v>
      </c>
      <c r="J8" s="1190">
        <v>3.2099999999999997E-2</v>
      </c>
    </row>
    <row r="9" spans="2:10" ht="12" customHeight="1">
      <c r="B9" s="4"/>
      <c r="C9" s="4"/>
      <c r="D9" s="4"/>
      <c r="E9" s="10" t="s">
        <v>395</v>
      </c>
      <c r="F9" s="54">
        <v>262254339</v>
      </c>
      <c r="G9" s="43">
        <v>0</v>
      </c>
      <c r="H9" s="60">
        <f t="shared" si="1"/>
        <v>262254339</v>
      </c>
      <c r="I9" s="44">
        <v>281798228</v>
      </c>
      <c r="J9" s="1190">
        <v>4.6300000000000001E-2</v>
      </c>
    </row>
    <row r="10" spans="2:10" ht="12" customHeight="1">
      <c r="B10" s="4"/>
      <c r="C10" s="4"/>
      <c r="D10" s="4"/>
      <c r="E10" s="10" t="s">
        <v>396</v>
      </c>
      <c r="F10" s="54">
        <v>801831068</v>
      </c>
      <c r="G10" s="43">
        <v>0</v>
      </c>
      <c r="H10" s="60">
        <f t="shared" si="1"/>
        <v>801831068</v>
      </c>
      <c r="I10" s="44">
        <v>904060935</v>
      </c>
      <c r="J10" s="1190">
        <v>4.9299999999999997E-2</v>
      </c>
    </row>
    <row r="11" spans="2:10" ht="12" customHeight="1">
      <c r="B11" s="4"/>
      <c r="C11" s="4"/>
      <c r="D11" s="4"/>
      <c r="E11" s="10" t="s">
        <v>397</v>
      </c>
      <c r="F11" s="54">
        <v>18515209</v>
      </c>
      <c r="G11" s="43">
        <v>0</v>
      </c>
      <c r="H11" s="60">
        <f t="shared" si="1"/>
        <v>18515209</v>
      </c>
      <c r="I11" s="44">
        <v>19664663</v>
      </c>
      <c r="J11" s="1190">
        <v>5.0999999999999997E-2</v>
      </c>
    </row>
    <row r="12" spans="2:10" ht="12" customHeight="1">
      <c r="B12" s="4"/>
      <c r="C12" s="4"/>
      <c r="D12" s="4"/>
      <c r="E12" s="10" t="s">
        <v>901</v>
      </c>
      <c r="F12" s="54">
        <v>127867125</v>
      </c>
      <c r="G12" s="43">
        <v>263502</v>
      </c>
      <c r="H12" s="60">
        <f t="shared" si="1"/>
        <v>127603623</v>
      </c>
      <c r="I12" s="44">
        <v>123807844</v>
      </c>
      <c r="J12" s="1190">
        <v>3.9100000000000003E-2</v>
      </c>
    </row>
    <row r="13" spans="2:10" ht="12" customHeight="1">
      <c r="B13" s="4"/>
      <c r="C13" s="4"/>
      <c r="D13" s="4"/>
      <c r="E13" s="10" t="s">
        <v>369</v>
      </c>
      <c r="F13" s="54">
        <v>3432237</v>
      </c>
      <c r="G13" s="43">
        <v>0</v>
      </c>
      <c r="H13" s="60">
        <f t="shared" si="1"/>
        <v>3432237</v>
      </c>
      <c r="I13" s="44">
        <v>3432236</v>
      </c>
      <c r="J13" s="1190">
        <v>4.4999999999999998E-2</v>
      </c>
    </row>
    <row r="14" spans="2:10" ht="12" customHeight="1">
      <c r="B14" s="4"/>
      <c r="C14" s="4"/>
      <c r="D14" s="4"/>
      <c r="E14" s="10" t="s">
        <v>604</v>
      </c>
      <c r="F14" s="54"/>
      <c r="G14" s="43"/>
      <c r="H14" s="60">
        <f t="shared" si="1"/>
        <v>0</v>
      </c>
      <c r="I14" s="44"/>
      <c r="J14" s="1190"/>
    </row>
    <row r="15" spans="2:10" ht="12" customHeight="1">
      <c r="B15" s="4"/>
      <c r="C15" s="4"/>
      <c r="D15" s="1565" t="s">
        <v>1238</v>
      </c>
      <c r="E15" s="1565"/>
      <c r="F15" s="61">
        <f>SUM(F16:F19)</f>
        <v>85816686</v>
      </c>
      <c r="G15" s="60">
        <f t="shared" ref="G15:I15" si="2">SUM(G16:G19)</f>
        <v>0</v>
      </c>
      <c r="H15" s="60">
        <f t="shared" si="1"/>
        <v>85816686</v>
      </c>
      <c r="I15" s="62">
        <f t="shared" si="2"/>
        <v>90132993</v>
      </c>
      <c r="J15" s="1191">
        <v>5.2699999999999997E-2</v>
      </c>
    </row>
    <row r="16" spans="2:10" ht="12" customHeight="1">
      <c r="B16" s="4"/>
      <c r="C16" s="4"/>
      <c r="D16" s="4"/>
      <c r="E16" s="10" t="s">
        <v>400</v>
      </c>
      <c r="F16" s="54"/>
      <c r="G16" s="43"/>
      <c r="H16" s="60">
        <f t="shared" si="1"/>
        <v>0</v>
      </c>
      <c r="I16" s="44"/>
      <c r="J16" s="1190"/>
    </row>
    <row r="17" spans="2:10" ht="12" customHeight="1">
      <c r="B17" s="4"/>
      <c r="C17" s="4"/>
      <c r="D17" s="4"/>
      <c r="E17" s="10" t="s">
        <v>401</v>
      </c>
      <c r="F17" s="54"/>
      <c r="G17" s="43"/>
      <c r="H17" s="60">
        <f t="shared" si="1"/>
        <v>0</v>
      </c>
      <c r="I17" s="44"/>
      <c r="J17" s="1190"/>
    </row>
    <row r="18" spans="2:10" ht="12" customHeight="1">
      <c r="B18" s="4"/>
      <c r="C18" s="4"/>
      <c r="D18" s="4"/>
      <c r="E18" s="10" t="s">
        <v>402</v>
      </c>
      <c r="F18" s="54">
        <v>85816686</v>
      </c>
      <c r="G18" s="43"/>
      <c r="H18" s="60">
        <f t="shared" si="1"/>
        <v>85816686</v>
      </c>
      <c r="I18" s="44">
        <v>90132993</v>
      </c>
      <c r="J18" s="1190">
        <v>5.2699999999999997E-2</v>
      </c>
    </row>
    <row r="19" spans="2:10" ht="12" customHeight="1">
      <c r="B19" s="4"/>
      <c r="C19" s="4"/>
      <c r="D19" s="4"/>
      <c r="E19" s="10" t="s">
        <v>604</v>
      </c>
      <c r="F19" s="54"/>
      <c r="G19" s="43"/>
      <c r="H19" s="60">
        <f t="shared" si="1"/>
        <v>0</v>
      </c>
      <c r="I19" s="44"/>
      <c r="J19" s="1190"/>
    </row>
    <row r="20" spans="2:10" ht="12" customHeight="1">
      <c r="B20" s="4"/>
      <c r="C20" s="4"/>
      <c r="D20" s="1566" t="s">
        <v>328</v>
      </c>
      <c r="E20" s="1566"/>
      <c r="F20" s="54">
        <v>12249435</v>
      </c>
      <c r="G20" s="43"/>
      <c r="H20" s="60">
        <f t="shared" si="1"/>
        <v>12249435</v>
      </c>
      <c r="I20" s="44">
        <v>12249435</v>
      </c>
      <c r="J20" s="1190">
        <v>4.0500000000000001E-2</v>
      </c>
    </row>
    <row r="21" spans="2:10" ht="12" customHeight="1" thickBot="1">
      <c r="B21" s="4"/>
      <c r="C21" s="63"/>
      <c r="D21" s="1581" t="s">
        <v>604</v>
      </c>
      <c r="E21" s="1581"/>
      <c r="F21" s="55"/>
      <c r="G21" s="45"/>
      <c r="H21" s="133">
        <f t="shared" si="1"/>
        <v>0</v>
      </c>
      <c r="I21" s="46"/>
      <c r="J21" s="141"/>
    </row>
    <row r="22" spans="2:10" ht="12" customHeight="1" thickBot="1">
      <c r="B22" s="4"/>
      <c r="C22" s="63"/>
      <c r="D22" s="1627" t="s">
        <v>1239</v>
      </c>
      <c r="E22" s="1627"/>
      <c r="F22" s="134">
        <f>F7+F15+F20+F21</f>
        <v>1387423663</v>
      </c>
      <c r="G22" s="135">
        <f t="shared" ref="G22:I22" si="3">G7+G15+G20+G21</f>
        <v>263502</v>
      </c>
      <c r="H22" s="135">
        <f t="shared" si="1"/>
        <v>1387160161</v>
      </c>
      <c r="I22" s="136">
        <f t="shared" si="3"/>
        <v>1523177122</v>
      </c>
      <c r="J22" s="1356">
        <v>4.7E-2</v>
      </c>
    </row>
    <row r="24" spans="2:10" ht="15.75" thickBot="1"/>
    <row r="25" spans="2:10" ht="15.75" thickBot="1">
      <c r="C25" s="1626" t="s">
        <v>1241</v>
      </c>
      <c r="D25" s="1626"/>
      <c r="E25" s="1626"/>
      <c r="F25" s="142"/>
    </row>
    <row r="26" spans="2:10">
      <c r="C26" s="4"/>
      <c r="D26" s="1555"/>
      <c r="E26" s="1555"/>
    </row>
    <row r="27" spans="2:10" ht="15" customHeight="1">
      <c r="C27" s="4"/>
      <c r="D27" s="12"/>
      <c r="E27" s="13" t="s">
        <v>1242</v>
      </c>
      <c r="F27" s="143">
        <v>225108</v>
      </c>
      <c r="H27" s="1192" t="s">
        <v>3729</v>
      </c>
    </row>
    <row r="28" spans="2:10" ht="15" customHeight="1">
      <c r="C28" s="4"/>
      <c r="D28" s="12"/>
      <c r="E28" s="10" t="s">
        <v>1243</v>
      </c>
      <c r="F28" s="143">
        <v>38394</v>
      </c>
    </row>
    <row r="29" spans="2:10" ht="15" customHeight="1">
      <c r="C29" s="4"/>
      <c r="D29" s="12"/>
      <c r="E29" s="13" t="s">
        <v>1244</v>
      </c>
      <c r="F29" s="143"/>
    </row>
    <row r="30" spans="2:10" ht="15" customHeight="1">
      <c r="C30" s="4"/>
      <c r="D30" s="12"/>
      <c r="E30" s="13" t="s">
        <v>1245</v>
      </c>
      <c r="F30" s="143"/>
    </row>
    <row r="31" spans="2:10" ht="15" customHeight="1" thickBot="1">
      <c r="C31" s="4"/>
      <c r="D31" s="12"/>
      <c r="E31" s="13" t="s">
        <v>604</v>
      </c>
      <c r="F31" s="144"/>
    </row>
    <row r="32" spans="2:10" ht="15" customHeight="1" thickBot="1">
      <c r="C32" s="142"/>
      <c r="D32" s="142"/>
      <c r="E32" s="700" t="s">
        <v>432</v>
      </c>
      <c r="F32" s="194">
        <f>SUM(F27:F31)</f>
        <v>263502</v>
      </c>
    </row>
  </sheetData>
  <mergeCells count="13">
    <mergeCell ref="C25:E25"/>
    <mergeCell ref="D26:E26"/>
    <mergeCell ref="H4:H5"/>
    <mergeCell ref="I4:I5"/>
    <mergeCell ref="F4:F5"/>
    <mergeCell ref="G4:G5"/>
    <mergeCell ref="D21:E21"/>
    <mergeCell ref="D22:E22"/>
    <mergeCell ref="J4:J5"/>
    <mergeCell ref="C6:E6"/>
    <mergeCell ref="D7:E7"/>
    <mergeCell ref="D15:E15"/>
    <mergeCell ref="D20:E20"/>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heetPr>
  <dimension ref="B1:R292"/>
  <sheetViews>
    <sheetView showGridLines="0" workbookViewId="0">
      <pane xSplit="1" ySplit="8" topLeftCell="B9" activePane="bottomRight" state="frozen"/>
      <selection pane="topRight" activeCell="B1" sqref="B1"/>
      <selection pane="bottomLeft" activeCell="A9" sqref="A9"/>
      <selection pane="bottomRight" activeCell="B79" sqref="B79"/>
    </sheetView>
  </sheetViews>
  <sheetFormatPr baseColWidth="10" defaultColWidth="9.140625" defaultRowHeight="15" outlineLevelRow="1"/>
  <cols>
    <col min="1" max="1" width="2.42578125" customWidth="1"/>
    <col min="2" max="2" width="31.85546875" customWidth="1"/>
    <col min="3" max="4" width="15.7109375" customWidth="1"/>
    <col min="5" max="5" width="35.7109375" customWidth="1"/>
    <col min="6" max="18" width="15.7109375" customWidth="1"/>
  </cols>
  <sheetData>
    <row r="1" spans="2:18" ht="15" customHeight="1"/>
    <row r="2" spans="2:18" s="1" customFormat="1" ht="15" customHeight="1">
      <c r="B2" s="771" t="s">
        <v>1246</v>
      </c>
      <c r="C2" s="771"/>
      <c r="D2" s="771"/>
    </row>
    <row r="3" spans="2:18" ht="15" customHeight="1"/>
    <row r="4" spans="2:18" s="146" customFormat="1" ht="12.75" customHeight="1">
      <c r="B4" s="2"/>
      <c r="C4" s="1628"/>
      <c r="D4" s="1628"/>
      <c r="E4" s="1628"/>
      <c r="F4" s="1628"/>
      <c r="G4" s="1628"/>
      <c r="H4" s="1628"/>
      <c r="I4" s="1628"/>
      <c r="J4" s="1628"/>
      <c r="K4" s="1628"/>
      <c r="L4" s="1628"/>
      <c r="M4" s="1628"/>
      <c r="N4" s="1628"/>
      <c r="O4" s="1628"/>
      <c r="P4" s="1628"/>
      <c r="Q4" s="1628"/>
      <c r="R4" s="1628"/>
    </row>
    <row r="5" spans="2:18" s="146" customFormat="1" ht="12.75" customHeight="1">
      <c r="B5" s="2"/>
      <c r="C5" s="1628"/>
      <c r="D5" s="1628"/>
      <c r="E5" s="1628"/>
      <c r="F5" s="1628"/>
      <c r="G5" s="1628"/>
      <c r="H5" s="1628"/>
      <c r="I5" s="1628"/>
      <c r="J5" s="1628"/>
      <c r="K5" s="1628"/>
      <c r="L5" s="1628"/>
      <c r="M5" s="1628"/>
      <c r="N5" s="1628"/>
      <c r="O5" s="1628"/>
      <c r="P5" s="1628"/>
      <c r="Q5" s="1628"/>
      <c r="R5" s="1628"/>
    </row>
    <row r="6" spans="2:18" s="146" customFormat="1" ht="12.75" customHeight="1" thickBot="1">
      <c r="B6" s="35"/>
      <c r="C6" s="1629"/>
      <c r="D6" s="1629"/>
      <c r="E6" s="1629"/>
      <c r="F6" s="1629"/>
      <c r="G6" s="1629"/>
      <c r="H6" s="1629"/>
      <c r="I6" s="1629"/>
      <c r="J6" s="1629"/>
      <c r="K6" s="1629"/>
      <c r="L6" s="1629"/>
      <c r="M6" s="1629"/>
      <c r="N6" s="1629"/>
      <c r="O6" s="1629"/>
      <c r="P6" s="1629"/>
      <c r="Q6" s="1629"/>
      <c r="R6" s="1629"/>
    </row>
    <row r="7" spans="2:18" s="146" customFormat="1" ht="23.25" customHeight="1">
      <c r="B7" s="2"/>
      <c r="C7" s="1630" t="s">
        <v>370</v>
      </c>
      <c r="D7" s="1613" t="s">
        <v>371</v>
      </c>
      <c r="E7" s="1630" t="s">
        <v>1247</v>
      </c>
      <c r="F7" s="1632"/>
      <c r="G7" s="1630" t="s">
        <v>1248</v>
      </c>
      <c r="H7" s="1612"/>
      <c r="I7" s="1612"/>
      <c r="J7" s="1612"/>
      <c r="K7" s="1612"/>
      <c r="L7" s="1612"/>
      <c r="M7" s="1612"/>
      <c r="N7" s="1612"/>
      <c r="O7" s="1632"/>
      <c r="P7" s="1611" t="s">
        <v>1249</v>
      </c>
      <c r="Q7" s="1612"/>
      <c r="R7" s="1632"/>
    </row>
    <row r="8" spans="2:18" ht="90" customHeight="1" collapsed="1" thickBot="1">
      <c r="B8" s="35"/>
      <c r="C8" s="1631"/>
      <c r="D8" s="1616"/>
      <c r="E8" s="180" t="s">
        <v>372</v>
      </c>
      <c r="F8" s="179" t="s">
        <v>373</v>
      </c>
      <c r="G8" s="180" t="s">
        <v>374</v>
      </c>
      <c r="H8" s="139" t="s">
        <v>375</v>
      </c>
      <c r="I8" s="139" t="s">
        <v>376</v>
      </c>
      <c r="J8" s="139" t="s">
        <v>377</v>
      </c>
      <c r="K8" s="139" t="s">
        <v>378</v>
      </c>
      <c r="L8" s="139" t="s">
        <v>1250</v>
      </c>
      <c r="M8" s="139" t="s">
        <v>379</v>
      </c>
      <c r="N8" s="139" t="s">
        <v>380</v>
      </c>
      <c r="O8" s="179" t="s">
        <v>381</v>
      </c>
      <c r="P8" s="137" t="s">
        <v>382</v>
      </c>
      <c r="Q8" s="139" t="s">
        <v>383</v>
      </c>
      <c r="R8" s="179" t="s">
        <v>384</v>
      </c>
    </row>
    <row r="9" spans="2:18" ht="12" hidden="1" customHeight="1" outlineLevel="1">
      <c r="B9" s="88" t="s">
        <v>928</v>
      </c>
      <c r="C9" s="37"/>
      <c r="D9" s="37"/>
      <c r="E9" s="121"/>
      <c r="F9" s="37"/>
      <c r="G9" s="37"/>
      <c r="H9" s="37"/>
      <c r="I9" s="65"/>
      <c r="J9" s="65"/>
      <c r="K9" s="65"/>
      <c r="L9" s="37"/>
      <c r="M9" s="148"/>
      <c r="N9" s="149"/>
      <c r="O9" s="149"/>
      <c r="P9" s="65"/>
      <c r="Q9" s="65"/>
      <c r="R9" s="66"/>
    </row>
    <row r="10" spans="2:18" ht="12" hidden="1" customHeight="1" outlineLevel="1">
      <c r="B10" s="87" t="s">
        <v>929</v>
      </c>
      <c r="C10" s="38"/>
      <c r="D10" s="38"/>
      <c r="E10" s="124"/>
      <c r="F10" s="38"/>
      <c r="G10" s="38"/>
      <c r="H10" s="38"/>
      <c r="I10" s="43"/>
      <c r="J10" s="43"/>
      <c r="K10" s="43"/>
      <c r="L10" s="38"/>
      <c r="M10" s="150"/>
      <c r="N10" s="151"/>
      <c r="O10" s="151"/>
      <c r="P10" s="43"/>
      <c r="Q10" s="43"/>
      <c r="R10" s="44"/>
    </row>
    <row r="11" spans="2:18" ht="12" hidden="1" customHeight="1" outlineLevel="1">
      <c r="B11" s="87" t="s">
        <v>930</v>
      </c>
      <c r="C11" s="38"/>
      <c r="D11" s="38"/>
      <c r="E11" s="124"/>
      <c r="F11" s="38"/>
      <c r="G11" s="38"/>
      <c r="H11" s="38"/>
      <c r="I11" s="43"/>
      <c r="J11" s="43"/>
      <c r="K11" s="43"/>
      <c r="L11" s="38"/>
      <c r="M11" s="150"/>
      <c r="N11" s="151"/>
      <c r="O11" s="151"/>
      <c r="P11" s="43"/>
      <c r="Q11" s="43"/>
      <c r="R11" s="44"/>
    </row>
    <row r="12" spans="2:18" ht="12" hidden="1" customHeight="1" outlineLevel="1">
      <c r="B12" s="87" t="s">
        <v>931</v>
      </c>
      <c r="C12" s="38"/>
      <c r="D12" s="38"/>
      <c r="E12" s="124"/>
      <c r="F12" s="38"/>
      <c r="G12" s="38"/>
      <c r="H12" s="38"/>
      <c r="I12" s="43"/>
      <c r="J12" s="43"/>
      <c r="K12" s="43"/>
      <c r="L12" s="38"/>
      <c r="M12" s="150"/>
      <c r="N12" s="151"/>
      <c r="O12" s="151"/>
      <c r="P12" s="43"/>
      <c r="Q12" s="43"/>
      <c r="R12" s="44"/>
    </row>
    <row r="13" spans="2:18" ht="12" hidden="1" customHeight="1" outlineLevel="1">
      <c r="B13" s="87" t="s">
        <v>932</v>
      </c>
      <c r="C13" s="38"/>
      <c r="D13" s="38"/>
      <c r="E13" s="124"/>
      <c r="F13" s="38"/>
      <c r="G13" s="38"/>
      <c r="H13" s="38"/>
      <c r="I13" s="43"/>
      <c r="J13" s="43"/>
      <c r="K13" s="43"/>
      <c r="L13" s="38"/>
      <c r="M13" s="150"/>
      <c r="N13" s="151"/>
      <c r="O13" s="151"/>
      <c r="P13" s="43"/>
      <c r="Q13" s="43"/>
      <c r="R13" s="44"/>
    </row>
    <row r="14" spans="2:18" ht="12" hidden="1" customHeight="1" outlineLevel="1">
      <c r="B14" s="87" t="s">
        <v>933</v>
      </c>
      <c r="C14" s="38"/>
      <c r="D14" s="38"/>
      <c r="E14" s="124"/>
      <c r="F14" s="38"/>
      <c r="G14" s="38"/>
      <c r="H14" s="38"/>
      <c r="I14" s="43"/>
      <c r="J14" s="43"/>
      <c r="K14" s="43"/>
      <c r="L14" s="38"/>
      <c r="M14" s="150"/>
      <c r="N14" s="151"/>
      <c r="O14" s="151"/>
      <c r="P14" s="43"/>
      <c r="Q14" s="43"/>
      <c r="R14" s="44"/>
    </row>
    <row r="15" spans="2:18" ht="12" hidden="1" customHeight="1" outlineLevel="1">
      <c r="B15" s="87" t="s">
        <v>934</v>
      </c>
      <c r="C15" s="38"/>
      <c r="D15" s="38"/>
      <c r="E15" s="124"/>
      <c r="F15" s="38"/>
      <c r="G15" s="38"/>
      <c r="H15" s="38"/>
      <c r="I15" s="43"/>
      <c r="J15" s="43"/>
      <c r="K15" s="43"/>
      <c r="L15" s="38"/>
      <c r="M15" s="150"/>
      <c r="N15" s="151"/>
      <c r="O15" s="151"/>
      <c r="P15" s="43"/>
      <c r="Q15" s="43"/>
      <c r="R15" s="44"/>
    </row>
    <row r="16" spans="2:18" ht="12" hidden="1" customHeight="1" outlineLevel="1">
      <c r="B16" s="87" t="s">
        <v>935</v>
      </c>
      <c r="C16" s="38"/>
      <c r="D16" s="38"/>
      <c r="E16" s="124"/>
      <c r="F16" s="38"/>
      <c r="G16" s="38"/>
      <c r="H16" s="38"/>
      <c r="I16" s="43"/>
      <c r="J16" s="43"/>
      <c r="K16" s="43"/>
      <c r="L16" s="38"/>
      <c r="M16" s="150"/>
      <c r="N16" s="151"/>
      <c r="O16" s="151"/>
      <c r="P16" s="43"/>
      <c r="Q16" s="43"/>
      <c r="R16" s="44"/>
    </row>
    <row r="17" spans="2:18" ht="12" hidden="1" customHeight="1" outlineLevel="1">
      <c r="B17" s="87" t="s">
        <v>936</v>
      </c>
      <c r="C17" s="38"/>
      <c r="D17" s="38"/>
      <c r="E17" s="124"/>
      <c r="F17" s="38"/>
      <c r="G17" s="38"/>
      <c r="H17" s="38"/>
      <c r="I17" s="43"/>
      <c r="J17" s="43"/>
      <c r="K17" s="43"/>
      <c r="L17" s="38"/>
      <c r="M17" s="150"/>
      <c r="N17" s="151"/>
      <c r="O17" s="151"/>
      <c r="P17" s="43"/>
      <c r="Q17" s="43"/>
      <c r="R17" s="44"/>
    </row>
    <row r="18" spans="2:18" ht="12" hidden="1" customHeight="1" outlineLevel="1">
      <c r="B18" s="87" t="s">
        <v>937</v>
      </c>
      <c r="C18" s="38"/>
      <c r="D18" s="38"/>
      <c r="E18" s="124"/>
      <c r="F18" s="38"/>
      <c r="G18" s="38"/>
      <c r="H18" s="38"/>
      <c r="I18" s="43"/>
      <c r="J18" s="43"/>
      <c r="K18" s="43"/>
      <c r="L18" s="38"/>
      <c r="M18" s="150"/>
      <c r="N18" s="151"/>
      <c r="O18" s="151"/>
      <c r="P18" s="43"/>
      <c r="Q18" s="43"/>
      <c r="R18" s="44"/>
    </row>
    <row r="19" spans="2:18" ht="12" hidden="1" customHeight="1" outlineLevel="1">
      <c r="B19" s="87" t="s">
        <v>938</v>
      </c>
      <c r="C19" s="38"/>
      <c r="D19" s="38"/>
      <c r="E19" s="124"/>
      <c r="F19" s="38"/>
      <c r="G19" s="38"/>
      <c r="H19" s="38"/>
      <c r="I19" s="43"/>
      <c r="J19" s="43"/>
      <c r="K19" s="43"/>
      <c r="L19" s="38"/>
      <c r="M19" s="150"/>
      <c r="N19" s="151"/>
      <c r="O19" s="151"/>
      <c r="P19" s="43"/>
      <c r="Q19" s="43"/>
      <c r="R19" s="44"/>
    </row>
    <row r="20" spans="2:18" ht="12" hidden="1" customHeight="1" outlineLevel="1">
      <c r="B20" s="87" t="s">
        <v>939</v>
      </c>
      <c r="C20" s="38"/>
      <c r="D20" s="38"/>
      <c r="E20" s="124"/>
      <c r="F20" s="38"/>
      <c r="G20" s="38"/>
      <c r="H20" s="38"/>
      <c r="I20" s="43"/>
      <c r="J20" s="43"/>
      <c r="K20" s="43"/>
      <c r="L20" s="38"/>
      <c r="M20" s="150"/>
      <c r="N20" s="151"/>
      <c r="O20" s="151"/>
      <c r="P20" s="43"/>
      <c r="Q20" s="43"/>
      <c r="R20" s="44"/>
    </row>
    <row r="21" spans="2:18" ht="12" hidden="1" customHeight="1" outlineLevel="1">
      <c r="B21" s="87" t="s">
        <v>940</v>
      </c>
      <c r="C21" s="38"/>
      <c r="D21" s="38"/>
      <c r="E21" s="124"/>
      <c r="F21" s="38"/>
      <c r="G21" s="38"/>
      <c r="H21" s="38"/>
      <c r="I21" s="43"/>
      <c r="J21" s="43"/>
      <c r="K21" s="43"/>
      <c r="L21" s="38"/>
      <c r="M21" s="150"/>
      <c r="N21" s="151"/>
      <c r="O21" s="151"/>
      <c r="P21" s="43"/>
      <c r="Q21" s="43"/>
      <c r="R21" s="44"/>
    </row>
    <row r="22" spans="2:18" ht="12" hidden="1" customHeight="1" outlineLevel="1">
      <c r="B22" s="87" t="s">
        <v>941</v>
      </c>
      <c r="C22" s="38"/>
      <c r="D22" s="38"/>
      <c r="E22" s="124"/>
      <c r="F22" s="38"/>
      <c r="G22" s="38"/>
      <c r="H22" s="38"/>
      <c r="I22" s="43"/>
      <c r="J22" s="43"/>
      <c r="K22" s="43"/>
      <c r="L22" s="38"/>
      <c r="M22" s="150"/>
      <c r="N22" s="151"/>
      <c r="O22" s="151"/>
      <c r="P22" s="43"/>
      <c r="Q22" s="43"/>
      <c r="R22" s="44"/>
    </row>
    <row r="23" spans="2:18" ht="12" hidden="1" customHeight="1" outlineLevel="1">
      <c r="B23" s="87" t="s">
        <v>942</v>
      </c>
      <c r="C23" s="38"/>
      <c r="D23" s="38"/>
      <c r="E23" s="124"/>
      <c r="F23" s="38"/>
      <c r="G23" s="38"/>
      <c r="H23" s="38"/>
      <c r="I23" s="43"/>
      <c r="J23" s="43"/>
      <c r="K23" s="43"/>
      <c r="L23" s="38"/>
      <c r="M23" s="150"/>
      <c r="N23" s="151"/>
      <c r="O23" s="151"/>
      <c r="P23" s="43"/>
      <c r="Q23" s="43"/>
      <c r="R23" s="44"/>
    </row>
    <row r="24" spans="2:18" ht="12" hidden="1" customHeight="1" outlineLevel="1">
      <c r="B24" s="87" t="s">
        <v>943</v>
      </c>
      <c r="C24" s="38"/>
      <c r="D24" s="38"/>
      <c r="E24" s="124"/>
      <c r="F24" s="38"/>
      <c r="G24" s="38"/>
      <c r="H24" s="38"/>
      <c r="I24" s="43"/>
      <c r="J24" s="43"/>
      <c r="K24" s="43"/>
      <c r="L24" s="38"/>
      <c r="M24" s="150"/>
      <c r="N24" s="151"/>
      <c r="O24" s="151"/>
      <c r="P24" s="43"/>
      <c r="Q24" s="43"/>
      <c r="R24" s="44"/>
    </row>
    <row r="25" spans="2:18" ht="12" hidden="1" customHeight="1" outlineLevel="1">
      <c r="B25" s="87" t="s">
        <v>944</v>
      </c>
      <c r="C25" s="38"/>
      <c r="D25" s="38"/>
      <c r="E25" s="124"/>
      <c r="F25" s="38"/>
      <c r="G25" s="38"/>
      <c r="H25" s="38"/>
      <c r="I25" s="43"/>
      <c r="J25" s="43"/>
      <c r="K25" s="43"/>
      <c r="L25" s="38"/>
      <c r="M25" s="150"/>
      <c r="N25" s="151"/>
      <c r="O25" s="151"/>
      <c r="P25" s="43"/>
      <c r="Q25" s="43"/>
      <c r="R25" s="44"/>
    </row>
    <row r="26" spans="2:18" ht="12" hidden="1" customHeight="1" outlineLevel="1">
      <c r="B26" s="87" t="s">
        <v>945</v>
      </c>
      <c r="C26" s="38"/>
      <c r="D26" s="38"/>
      <c r="E26" s="124"/>
      <c r="F26" s="38"/>
      <c r="G26" s="38"/>
      <c r="H26" s="38"/>
      <c r="I26" s="43"/>
      <c r="J26" s="43"/>
      <c r="K26" s="43"/>
      <c r="L26" s="38"/>
      <c r="M26" s="150"/>
      <c r="N26" s="151"/>
      <c r="O26" s="151"/>
      <c r="P26" s="43"/>
      <c r="Q26" s="43"/>
      <c r="R26" s="44"/>
    </row>
    <row r="27" spans="2:18" ht="12" hidden="1" customHeight="1" outlineLevel="1">
      <c r="B27" s="87" t="s">
        <v>946</v>
      </c>
      <c r="C27" s="38"/>
      <c r="D27" s="38"/>
      <c r="E27" s="124"/>
      <c r="F27" s="38"/>
      <c r="G27" s="38"/>
      <c r="H27" s="38"/>
      <c r="I27" s="43"/>
      <c r="J27" s="43"/>
      <c r="K27" s="43"/>
      <c r="L27" s="38"/>
      <c r="M27" s="150"/>
      <c r="N27" s="151"/>
      <c r="O27" s="151"/>
      <c r="P27" s="43"/>
      <c r="Q27" s="43"/>
      <c r="R27" s="44"/>
    </row>
    <row r="28" spans="2:18" ht="12" hidden="1" customHeight="1" outlineLevel="1">
      <c r="B28" s="87" t="s">
        <v>947</v>
      </c>
      <c r="C28" s="38"/>
      <c r="D28" s="38"/>
      <c r="E28" s="124"/>
      <c r="F28" s="38"/>
      <c r="G28" s="38"/>
      <c r="H28" s="38"/>
      <c r="I28" s="43"/>
      <c r="J28" s="43"/>
      <c r="K28" s="43"/>
      <c r="L28" s="38"/>
      <c r="M28" s="150"/>
      <c r="N28" s="151"/>
      <c r="O28" s="151"/>
      <c r="P28" s="43"/>
      <c r="Q28" s="43"/>
      <c r="R28" s="44"/>
    </row>
    <row r="29" spans="2:18" ht="12" hidden="1" customHeight="1" outlineLevel="1">
      <c r="B29" s="87" t="s">
        <v>948</v>
      </c>
      <c r="C29" s="38"/>
      <c r="D29" s="38"/>
      <c r="E29" s="124"/>
      <c r="F29" s="38"/>
      <c r="G29" s="38"/>
      <c r="H29" s="38"/>
      <c r="I29" s="43"/>
      <c r="J29" s="43"/>
      <c r="K29" s="43"/>
      <c r="L29" s="38"/>
      <c r="M29" s="150"/>
      <c r="N29" s="151"/>
      <c r="O29" s="151"/>
      <c r="P29" s="43"/>
      <c r="Q29" s="43"/>
      <c r="R29" s="44"/>
    </row>
    <row r="30" spans="2:18" ht="12" hidden="1" customHeight="1" outlineLevel="1">
      <c r="B30" s="87" t="s">
        <v>949</v>
      </c>
      <c r="C30" s="38"/>
      <c r="D30" s="38"/>
      <c r="E30" s="124"/>
      <c r="F30" s="38"/>
      <c r="G30" s="38"/>
      <c r="H30" s="38"/>
      <c r="I30" s="43"/>
      <c r="J30" s="43"/>
      <c r="K30" s="43"/>
      <c r="L30" s="38"/>
      <c r="M30" s="150"/>
      <c r="N30" s="151"/>
      <c r="O30" s="151"/>
      <c r="P30" s="43"/>
      <c r="Q30" s="43"/>
      <c r="R30" s="44"/>
    </row>
    <row r="31" spans="2:18" ht="12" hidden="1" customHeight="1" outlineLevel="1">
      <c r="B31" s="87" t="s">
        <v>950</v>
      </c>
      <c r="C31" s="38"/>
      <c r="D31" s="38"/>
      <c r="E31" s="124"/>
      <c r="F31" s="38"/>
      <c r="G31" s="38"/>
      <c r="H31" s="38"/>
      <c r="I31" s="43"/>
      <c r="J31" s="43"/>
      <c r="K31" s="43"/>
      <c r="L31" s="38"/>
      <c r="M31" s="150"/>
      <c r="N31" s="151"/>
      <c r="O31" s="151"/>
      <c r="P31" s="43"/>
      <c r="Q31" s="43"/>
      <c r="R31" s="44"/>
    </row>
    <row r="32" spans="2:18" ht="12" hidden="1" customHeight="1" outlineLevel="1">
      <c r="B32" s="87" t="s">
        <v>951</v>
      </c>
      <c r="C32" s="38"/>
      <c r="D32" s="38"/>
      <c r="E32" s="124"/>
      <c r="F32" s="38"/>
      <c r="G32" s="38"/>
      <c r="H32" s="38"/>
      <c r="I32" s="43"/>
      <c r="J32" s="43"/>
      <c r="K32" s="43"/>
      <c r="L32" s="38"/>
      <c r="M32" s="150"/>
      <c r="N32" s="151"/>
      <c r="O32" s="151"/>
      <c r="P32" s="43"/>
      <c r="Q32" s="43"/>
      <c r="R32" s="44"/>
    </row>
    <row r="33" spans="2:18" ht="12" hidden="1" customHeight="1" outlineLevel="1">
      <c r="B33" s="87" t="s">
        <v>952</v>
      </c>
      <c r="C33" s="38"/>
      <c r="D33" s="38"/>
      <c r="E33" s="124"/>
      <c r="F33" s="38"/>
      <c r="G33" s="38"/>
      <c r="H33" s="38"/>
      <c r="I33" s="43"/>
      <c r="J33" s="43"/>
      <c r="K33" s="43"/>
      <c r="L33" s="38"/>
      <c r="M33" s="150"/>
      <c r="N33" s="151"/>
      <c r="O33" s="151"/>
      <c r="P33" s="43"/>
      <c r="Q33" s="43"/>
      <c r="R33" s="44"/>
    </row>
    <row r="34" spans="2:18" ht="12" hidden="1" customHeight="1" outlineLevel="1">
      <c r="B34" s="87" t="s">
        <v>953</v>
      </c>
      <c r="C34" s="38"/>
      <c r="D34" s="38"/>
      <c r="E34" s="124"/>
      <c r="F34" s="38"/>
      <c r="G34" s="38"/>
      <c r="H34" s="38"/>
      <c r="I34" s="43"/>
      <c r="J34" s="43"/>
      <c r="K34" s="43"/>
      <c r="L34" s="38"/>
      <c r="M34" s="150"/>
      <c r="N34" s="151"/>
      <c r="O34" s="151"/>
      <c r="P34" s="43"/>
      <c r="Q34" s="43"/>
      <c r="R34" s="44"/>
    </row>
    <row r="35" spans="2:18" ht="12" hidden="1" customHeight="1" outlineLevel="1">
      <c r="B35" s="87" t="s">
        <v>954</v>
      </c>
      <c r="C35" s="38"/>
      <c r="D35" s="38"/>
      <c r="E35" s="124"/>
      <c r="F35" s="38"/>
      <c r="G35" s="38"/>
      <c r="H35" s="38"/>
      <c r="I35" s="43"/>
      <c r="J35" s="43"/>
      <c r="K35" s="43"/>
      <c r="L35" s="38"/>
      <c r="M35" s="150"/>
      <c r="N35" s="151"/>
      <c r="O35" s="151"/>
      <c r="P35" s="43"/>
      <c r="Q35" s="43"/>
      <c r="R35" s="44"/>
    </row>
    <row r="36" spans="2:18" ht="12" hidden="1" customHeight="1" outlineLevel="1">
      <c r="B36" s="87" t="s">
        <v>955</v>
      </c>
      <c r="C36" s="38"/>
      <c r="D36" s="38"/>
      <c r="E36" s="124"/>
      <c r="F36" s="38"/>
      <c r="G36" s="38"/>
      <c r="H36" s="38"/>
      <c r="I36" s="43"/>
      <c r="J36" s="43"/>
      <c r="K36" s="43"/>
      <c r="L36" s="38"/>
      <c r="M36" s="150"/>
      <c r="N36" s="151"/>
      <c r="O36" s="151"/>
      <c r="P36" s="43"/>
      <c r="Q36" s="43"/>
      <c r="R36" s="44"/>
    </row>
    <row r="37" spans="2:18" ht="12" hidden="1" customHeight="1" outlineLevel="1">
      <c r="B37" s="87" t="s">
        <v>956</v>
      </c>
      <c r="C37" s="38"/>
      <c r="D37" s="38"/>
      <c r="E37" s="124"/>
      <c r="F37" s="38"/>
      <c r="G37" s="38"/>
      <c r="H37" s="38"/>
      <c r="I37" s="43"/>
      <c r="J37" s="43"/>
      <c r="K37" s="43"/>
      <c r="L37" s="38"/>
      <c r="M37" s="150"/>
      <c r="N37" s="151"/>
      <c r="O37" s="151"/>
      <c r="P37" s="43"/>
      <c r="Q37" s="43"/>
      <c r="R37" s="44"/>
    </row>
    <row r="38" spans="2:18" ht="12" hidden="1" customHeight="1" outlineLevel="1">
      <c r="B38" s="87" t="s">
        <v>957</v>
      </c>
      <c r="C38" s="38"/>
      <c r="D38" s="38"/>
      <c r="E38" s="124"/>
      <c r="F38" s="38"/>
      <c r="G38" s="38"/>
      <c r="H38" s="38"/>
      <c r="I38" s="43"/>
      <c r="J38" s="43"/>
      <c r="K38" s="43"/>
      <c r="L38" s="38"/>
      <c r="M38" s="150"/>
      <c r="N38" s="151"/>
      <c r="O38" s="151"/>
      <c r="P38" s="43"/>
      <c r="Q38" s="43"/>
      <c r="R38" s="44"/>
    </row>
    <row r="39" spans="2:18" ht="12" hidden="1" customHeight="1" outlineLevel="1">
      <c r="B39" s="87" t="s">
        <v>958</v>
      </c>
      <c r="C39" s="38"/>
      <c r="D39" s="38"/>
      <c r="E39" s="124"/>
      <c r="F39" s="38"/>
      <c r="G39" s="38"/>
      <c r="H39" s="38"/>
      <c r="I39" s="43"/>
      <c r="J39" s="43"/>
      <c r="K39" s="43"/>
      <c r="L39" s="38"/>
      <c r="M39" s="150"/>
      <c r="N39" s="151"/>
      <c r="O39" s="151"/>
      <c r="P39" s="43"/>
      <c r="Q39" s="43"/>
      <c r="R39" s="44"/>
    </row>
    <row r="40" spans="2:18" ht="12" hidden="1" customHeight="1" outlineLevel="1">
      <c r="B40" s="87" t="s">
        <v>959</v>
      </c>
      <c r="C40" s="38"/>
      <c r="D40" s="38"/>
      <c r="E40" s="124"/>
      <c r="F40" s="38"/>
      <c r="G40" s="38"/>
      <c r="H40" s="38"/>
      <c r="I40" s="43"/>
      <c r="J40" s="43"/>
      <c r="K40" s="43"/>
      <c r="L40" s="38"/>
      <c r="M40" s="150"/>
      <c r="N40" s="151"/>
      <c r="O40" s="151"/>
      <c r="P40" s="43"/>
      <c r="Q40" s="43"/>
      <c r="R40" s="44"/>
    </row>
    <row r="41" spans="2:18" ht="12" hidden="1" customHeight="1" outlineLevel="1">
      <c r="B41" s="87" t="s">
        <v>960</v>
      </c>
      <c r="C41" s="38"/>
      <c r="D41" s="38"/>
      <c r="E41" s="124"/>
      <c r="F41" s="38"/>
      <c r="G41" s="38"/>
      <c r="H41" s="38"/>
      <c r="I41" s="43"/>
      <c r="J41" s="43"/>
      <c r="K41" s="43"/>
      <c r="L41" s="38"/>
      <c r="M41" s="150"/>
      <c r="N41" s="151"/>
      <c r="O41" s="151"/>
      <c r="P41" s="43"/>
      <c r="Q41" s="43"/>
      <c r="R41" s="44"/>
    </row>
    <row r="42" spans="2:18" ht="12" hidden="1" customHeight="1" outlineLevel="1">
      <c r="B42" s="87" t="s">
        <v>961</v>
      </c>
      <c r="C42" s="38"/>
      <c r="D42" s="38"/>
      <c r="E42" s="124"/>
      <c r="F42" s="38"/>
      <c r="G42" s="38"/>
      <c r="H42" s="38"/>
      <c r="I42" s="43"/>
      <c r="J42" s="43"/>
      <c r="K42" s="43"/>
      <c r="L42" s="38"/>
      <c r="M42" s="150"/>
      <c r="N42" s="151"/>
      <c r="O42" s="151"/>
      <c r="P42" s="43"/>
      <c r="Q42" s="43"/>
      <c r="R42" s="44"/>
    </row>
    <row r="43" spans="2:18" ht="12" hidden="1" customHeight="1" outlineLevel="1">
      <c r="B43" s="87" t="s">
        <v>962</v>
      </c>
      <c r="C43" s="38"/>
      <c r="D43" s="38"/>
      <c r="E43" s="124"/>
      <c r="F43" s="38"/>
      <c r="G43" s="38"/>
      <c r="H43" s="38"/>
      <c r="I43" s="43"/>
      <c r="J43" s="43"/>
      <c r="K43" s="43"/>
      <c r="L43" s="38"/>
      <c r="M43" s="150"/>
      <c r="N43" s="151"/>
      <c r="O43" s="151"/>
      <c r="P43" s="43"/>
      <c r="Q43" s="43"/>
      <c r="R43" s="44"/>
    </row>
    <row r="44" spans="2:18" ht="12" hidden="1" customHeight="1" outlineLevel="1">
      <c r="B44" s="87" t="s">
        <v>963</v>
      </c>
      <c r="C44" s="38"/>
      <c r="D44" s="38"/>
      <c r="E44" s="124"/>
      <c r="F44" s="38"/>
      <c r="G44" s="38"/>
      <c r="H44" s="38"/>
      <c r="I44" s="43"/>
      <c r="J44" s="43"/>
      <c r="K44" s="43"/>
      <c r="L44" s="38"/>
      <c r="M44" s="150"/>
      <c r="N44" s="151"/>
      <c r="O44" s="151"/>
      <c r="P44" s="43"/>
      <c r="Q44" s="43"/>
      <c r="R44" s="44"/>
    </row>
    <row r="45" spans="2:18" ht="12" hidden="1" customHeight="1" outlineLevel="1">
      <c r="B45" s="87" t="s">
        <v>964</v>
      </c>
      <c r="C45" s="38"/>
      <c r="D45" s="38"/>
      <c r="E45" s="124"/>
      <c r="F45" s="38"/>
      <c r="G45" s="38"/>
      <c r="H45" s="38"/>
      <c r="I45" s="43"/>
      <c r="J45" s="43"/>
      <c r="K45" s="43"/>
      <c r="L45" s="38"/>
      <c r="M45" s="150"/>
      <c r="N45" s="151"/>
      <c r="O45" s="151"/>
      <c r="P45" s="43"/>
      <c r="Q45" s="43"/>
      <c r="R45" s="44"/>
    </row>
    <row r="46" spans="2:18" ht="12" hidden="1" customHeight="1" outlineLevel="1">
      <c r="B46" s="87" t="s">
        <v>965</v>
      </c>
      <c r="C46" s="38"/>
      <c r="D46" s="38"/>
      <c r="E46" s="124"/>
      <c r="F46" s="38"/>
      <c r="G46" s="38"/>
      <c r="H46" s="38"/>
      <c r="I46" s="43"/>
      <c r="J46" s="43"/>
      <c r="K46" s="43"/>
      <c r="L46" s="38"/>
      <c r="M46" s="150"/>
      <c r="N46" s="151"/>
      <c r="O46" s="151"/>
      <c r="P46" s="43"/>
      <c r="Q46" s="43"/>
      <c r="R46" s="44"/>
    </row>
    <row r="47" spans="2:18" ht="12" hidden="1" customHeight="1" outlineLevel="1">
      <c r="B47" s="87" t="s">
        <v>966</v>
      </c>
      <c r="C47" s="38"/>
      <c r="D47" s="38"/>
      <c r="E47" s="124"/>
      <c r="F47" s="38"/>
      <c r="G47" s="38"/>
      <c r="H47" s="38"/>
      <c r="I47" s="43"/>
      <c r="J47" s="43"/>
      <c r="K47" s="43"/>
      <c r="L47" s="38"/>
      <c r="M47" s="150"/>
      <c r="N47" s="151"/>
      <c r="O47" s="151"/>
      <c r="P47" s="43"/>
      <c r="Q47" s="43"/>
      <c r="R47" s="44"/>
    </row>
    <row r="48" spans="2:18" ht="12" hidden="1" customHeight="1" outlineLevel="1">
      <c r="B48" s="87" t="s">
        <v>967</v>
      </c>
      <c r="C48" s="38"/>
      <c r="D48" s="38"/>
      <c r="E48" s="124"/>
      <c r="F48" s="38"/>
      <c r="G48" s="38"/>
      <c r="H48" s="38"/>
      <c r="I48" s="43"/>
      <c r="J48" s="43"/>
      <c r="K48" s="43"/>
      <c r="L48" s="38"/>
      <c r="M48" s="150"/>
      <c r="N48" s="151"/>
      <c r="O48" s="151"/>
      <c r="P48" s="43"/>
      <c r="Q48" s="43"/>
      <c r="R48" s="44"/>
    </row>
    <row r="49" spans="2:18" ht="12" hidden="1" customHeight="1" outlineLevel="1">
      <c r="B49" s="87" t="s">
        <v>968</v>
      </c>
      <c r="C49" s="38"/>
      <c r="D49" s="38"/>
      <c r="E49" s="124"/>
      <c r="F49" s="38"/>
      <c r="G49" s="38"/>
      <c r="H49" s="38"/>
      <c r="I49" s="43"/>
      <c r="J49" s="43"/>
      <c r="K49" s="43"/>
      <c r="L49" s="38"/>
      <c r="M49" s="150"/>
      <c r="N49" s="151"/>
      <c r="O49" s="151"/>
      <c r="P49" s="43"/>
      <c r="Q49" s="43"/>
      <c r="R49" s="44"/>
    </row>
    <row r="50" spans="2:18" ht="12" hidden="1" customHeight="1" outlineLevel="1">
      <c r="B50" s="87" t="s">
        <v>969</v>
      </c>
      <c r="C50" s="38"/>
      <c r="D50" s="38"/>
      <c r="E50" s="124"/>
      <c r="F50" s="38"/>
      <c r="G50" s="38"/>
      <c r="H50" s="38"/>
      <c r="I50" s="43"/>
      <c r="J50" s="43"/>
      <c r="K50" s="43"/>
      <c r="L50" s="38"/>
      <c r="M50" s="150"/>
      <c r="N50" s="151"/>
      <c r="O50" s="151"/>
      <c r="P50" s="43"/>
      <c r="Q50" s="43"/>
      <c r="R50" s="44"/>
    </row>
    <row r="51" spans="2:18" ht="12" hidden="1" customHeight="1" outlineLevel="1">
      <c r="B51" s="87" t="s">
        <v>970</v>
      </c>
      <c r="C51" s="38"/>
      <c r="D51" s="38"/>
      <c r="E51" s="124"/>
      <c r="F51" s="38"/>
      <c r="G51" s="38"/>
      <c r="H51" s="38"/>
      <c r="I51" s="43"/>
      <c r="J51" s="43"/>
      <c r="K51" s="43"/>
      <c r="L51" s="38"/>
      <c r="M51" s="150"/>
      <c r="N51" s="151"/>
      <c r="O51" s="151"/>
      <c r="P51" s="43"/>
      <c r="Q51" s="43"/>
      <c r="R51" s="44"/>
    </row>
    <row r="52" spans="2:18" ht="12" hidden="1" customHeight="1" outlineLevel="1">
      <c r="B52" s="87" t="s">
        <v>971</v>
      </c>
      <c r="C52" s="38"/>
      <c r="D52" s="38"/>
      <c r="E52" s="124"/>
      <c r="F52" s="38"/>
      <c r="G52" s="38"/>
      <c r="H52" s="38"/>
      <c r="I52" s="43"/>
      <c r="J52" s="43"/>
      <c r="K52" s="43"/>
      <c r="L52" s="38"/>
      <c r="M52" s="150"/>
      <c r="N52" s="151"/>
      <c r="O52" s="151"/>
      <c r="P52" s="43"/>
      <c r="Q52" s="43"/>
      <c r="R52" s="44"/>
    </row>
    <row r="53" spans="2:18" ht="12" hidden="1" customHeight="1" outlineLevel="1">
      <c r="B53" s="87" t="s">
        <v>972</v>
      </c>
      <c r="C53" s="38"/>
      <c r="D53" s="38"/>
      <c r="E53" s="124"/>
      <c r="F53" s="38"/>
      <c r="G53" s="38"/>
      <c r="H53" s="38"/>
      <c r="I53" s="43"/>
      <c r="J53" s="43"/>
      <c r="K53" s="43"/>
      <c r="L53" s="38"/>
      <c r="M53" s="150"/>
      <c r="N53" s="151"/>
      <c r="O53" s="151"/>
      <c r="P53" s="43"/>
      <c r="Q53" s="43"/>
      <c r="R53" s="44"/>
    </row>
    <row r="54" spans="2:18" ht="12" hidden="1" customHeight="1" outlineLevel="1">
      <c r="B54" s="87" t="s">
        <v>973</v>
      </c>
      <c r="C54" s="38"/>
      <c r="D54" s="38"/>
      <c r="E54" s="124"/>
      <c r="F54" s="38"/>
      <c r="G54" s="38"/>
      <c r="H54" s="38"/>
      <c r="I54" s="43"/>
      <c r="J54" s="43"/>
      <c r="K54" s="43"/>
      <c r="L54" s="38"/>
      <c r="M54" s="150"/>
      <c r="N54" s="151"/>
      <c r="O54" s="151"/>
      <c r="P54" s="43"/>
      <c r="Q54" s="43"/>
      <c r="R54" s="44"/>
    </row>
    <row r="55" spans="2:18" ht="12" hidden="1" customHeight="1" outlineLevel="1">
      <c r="B55" s="87" t="s">
        <v>974</v>
      </c>
      <c r="C55" s="38"/>
      <c r="D55" s="38"/>
      <c r="E55" s="124"/>
      <c r="F55" s="38"/>
      <c r="G55" s="38"/>
      <c r="H55" s="38"/>
      <c r="I55" s="43"/>
      <c r="J55" s="43"/>
      <c r="K55" s="43"/>
      <c r="L55" s="38"/>
      <c r="M55" s="150"/>
      <c r="N55" s="151"/>
      <c r="O55" s="151"/>
      <c r="P55" s="43"/>
      <c r="Q55" s="43"/>
      <c r="R55" s="44"/>
    </row>
    <row r="56" spans="2:18" ht="12" hidden="1" customHeight="1" outlineLevel="1">
      <c r="B56" s="87" t="s">
        <v>975</v>
      </c>
      <c r="C56" s="38"/>
      <c r="D56" s="38"/>
      <c r="E56" s="124"/>
      <c r="F56" s="38"/>
      <c r="G56" s="38"/>
      <c r="H56" s="38"/>
      <c r="I56" s="43"/>
      <c r="J56" s="43"/>
      <c r="K56" s="43"/>
      <c r="L56" s="38"/>
      <c r="M56" s="150"/>
      <c r="N56" s="151"/>
      <c r="O56" s="151"/>
      <c r="P56" s="43"/>
      <c r="Q56" s="43"/>
      <c r="R56" s="44"/>
    </row>
    <row r="57" spans="2:18" ht="12" hidden="1" customHeight="1" outlineLevel="1">
      <c r="B57" s="87" t="s">
        <v>976</v>
      </c>
      <c r="C57" s="38"/>
      <c r="D57" s="38"/>
      <c r="E57" s="124"/>
      <c r="F57" s="38"/>
      <c r="G57" s="38"/>
      <c r="H57" s="38"/>
      <c r="I57" s="43"/>
      <c r="J57" s="43"/>
      <c r="K57" s="43"/>
      <c r="L57" s="38"/>
      <c r="M57" s="150"/>
      <c r="N57" s="151"/>
      <c r="O57" s="151"/>
      <c r="P57" s="43"/>
      <c r="Q57" s="43"/>
      <c r="R57" s="44"/>
    </row>
    <row r="58" spans="2:18" ht="12" hidden="1" customHeight="1" outlineLevel="1">
      <c r="B58" s="87" t="s">
        <v>977</v>
      </c>
      <c r="C58" s="38"/>
      <c r="D58" s="38"/>
      <c r="E58" s="124"/>
      <c r="F58" s="38"/>
      <c r="G58" s="38"/>
      <c r="H58" s="38"/>
      <c r="I58" s="43"/>
      <c r="J58" s="43"/>
      <c r="K58" s="43"/>
      <c r="L58" s="38"/>
      <c r="M58" s="150"/>
      <c r="N58" s="151"/>
      <c r="O58" s="151"/>
      <c r="P58" s="43"/>
      <c r="Q58" s="43"/>
      <c r="R58" s="44"/>
    </row>
    <row r="59" spans="2:18" ht="12" hidden="1" customHeight="1" outlineLevel="1">
      <c r="B59" s="87" t="s">
        <v>978</v>
      </c>
      <c r="C59" s="38"/>
      <c r="D59" s="38"/>
      <c r="E59" s="124"/>
      <c r="F59" s="38"/>
      <c r="G59" s="38"/>
      <c r="H59" s="38"/>
      <c r="I59" s="43"/>
      <c r="J59" s="43"/>
      <c r="K59" s="43"/>
      <c r="L59" s="38"/>
      <c r="M59" s="150"/>
      <c r="N59" s="151"/>
      <c r="O59" s="151"/>
      <c r="P59" s="43"/>
      <c r="Q59" s="43"/>
      <c r="R59" s="44"/>
    </row>
    <row r="60" spans="2:18" ht="12" hidden="1" customHeight="1" outlineLevel="1">
      <c r="B60" s="87" t="s">
        <v>979</v>
      </c>
      <c r="C60" s="38"/>
      <c r="D60" s="38"/>
      <c r="E60" s="124"/>
      <c r="F60" s="38"/>
      <c r="G60" s="38"/>
      <c r="H60" s="38"/>
      <c r="I60" s="43"/>
      <c r="J60" s="43"/>
      <c r="K60" s="43"/>
      <c r="L60" s="38"/>
      <c r="M60" s="150"/>
      <c r="N60" s="151"/>
      <c r="O60" s="151"/>
      <c r="P60" s="43"/>
      <c r="Q60" s="43"/>
      <c r="R60" s="44"/>
    </row>
    <row r="61" spans="2:18" ht="12" hidden="1" customHeight="1" outlineLevel="1">
      <c r="B61" s="87" t="s">
        <v>980</v>
      </c>
      <c r="C61" s="38"/>
      <c r="D61" s="38"/>
      <c r="E61" s="124"/>
      <c r="F61" s="38"/>
      <c r="G61" s="38"/>
      <c r="H61" s="38"/>
      <c r="I61" s="43"/>
      <c r="J61" s="43"/>
      <c r="K61" s="43"/>
      <c r="L61" s="38"/>
      <c r="M61" s="150"/>
      <c r="N61" s="151"/>
      <c r="O61" s="151"/>
      <c r="P61" s="43"/>
      <c r="Q61" s="43"/>
      <c r="R61" s="44"/>
    </row>
    <row r="62" spans="2:18" ht="12" hidden="1" customHeight="1" outlineLevel="1">
      <c r="B62" s="87" t="s">
        <v>981</v>
      </c>
      <c r="C62" s="38"/>
      <c r="D62" s="38"/>
      <c r="E62" s="124"/>
      <c r="F62" s="38"/>
      <c r="G62" s="38"/>
      <c r="H62" s="38"/>
      <c r="I62" s="43"/>
      <c r="J62" s="43"/>
      <c r="K62" s="43"/>
      <c r="L62" s="38"/>
      <c r="M62" s="150"/>
      <c r="N62" s="151"/>
      <c r="O62" s="151"/>
      <c r="P62" s="43"/>
      <c r="Q62" s="43"/>
      <c r="R62" s="44"/>
    </row>
    <row r="63" spans="2:18" ht="12" hidden="1" customHeight="1" outlineLevel="1">
      <c r="B63" s="87" t="s">
        <v>982</v>
      </c>
      <c r="C63" s="38"/>
      <c r="D63" s="38"/>
      <c r="E63" s="124"/>
      <c r="F63" s="38"/>
      <c r="G63" s="38"/>
      <c r="H63" s="38"/>
      <c r="I63" s="43"/>
      <c r="J63" s="43"/>
      <c r="K63" s="43"/>
      <c r="L63" s="38"/>
      <c r="M63" s="150"/>
      <c r="N63" s="151"/>
      <c r="O63" s="151"/>
      <c r="P63" s="43"/>
      <c r="Q63" s="43"/>
      <c r="R63" s="44"/>
    </row>
    <row r="64" spans="2:18" ht="12" hidden="1" customHeight="1" outlineLevel="1">
      <c r="B64" s="87" t="s">
        <v>983</v>
      </c>
      <c r="C64" s="38"/>
      <c r="D64" s="38"/>
      <c r="E64" s="124"/>
      <c r="F64" s="38"/>
      <c r="G64" s="38"/>
      <c r="H64" s="38"/>
      <c r="I64" s="43"/>
      <c r="J64" s="43"/>
      <c r="K64" s="43"/>
      <c r="L64" s="38"/>
      <c r="M64" s="150"/>
      <c r="N64" s="151"/>
      <c r="O64" s="151"/>
      <c r="P64" s="43"/>
      <c r="Q64" s="43"/>
      <c r="R64" s="44"/>
    </row>
    <row r="65" spans="2:18" ht="12" hidden="1" customHeight="1" outlineLevel="1">
      <c r="B65" s="87" t="s">
        <v>984</v>
      </c>
      <c r="C65" s="38"/>
      <c r="D65" s="38"/>
      <c r="E65" s="124"/>
      <c r="F65" s="38"/>
      <c r="G65" s="38"/>
      <c r="H65" s="38"/>
      <c r="I65" s="43"/>
      <c r="J65" s="43"/>
      <c r="K65" s="43"/>
      <c r="L65" s="38"/>
      <c r="M65" s="150"/>
      <c r="N65" s="151"/>
      <c r="O65" s="151"/>
      <c r="P65" s="43"/>
      <c r="Q65" s="43"/>
      <c r="R65" s="44"/>
    </row>
    <row r="66" spans="2:18" ht="12" hidden="1" customHeight="1" outlineLevel="1">
      <c r="B66" s="87" t="s">
        <v>985</v>
      </c>
      <c r="C66" s="38"/>
      <c r="D66" s="38"/>
      <c r="E66" s="124"/>
      <c r="F66" s="38"/>
      <c r="G66" s="38"/>
      <c r="H66" s="38"/>
      <c r="I66" s="43"/>
      <c r="J66" s="43"/>
      <c r="K66" s="43"/>
      <c r="L66" s="38"/>
      <c r="M66" s="150"/>
      <c r="N66" s="151"/>
      <c r="O66" s="151"/>
      <c r="P66" s="43"/>
      <c r="Q66" s="43"/>
      <c r="R66" s="44"/>
    </row>
    <row r="67" spans="2:18" ht="12" hidden="1" customHeight="1" outlineLevel="1">
      <c r="B67" s="87" t="s">
        <v>986</v>
      </c>
      <c r="C67" s="38"/>
      <c r="D67" s="38"/>
      <c r="E67" s="124"/>
      <c r="F67" s="38"/>
      <c r="G67" s="38"/>
      <c r="H67" s="38"/>
      <c r="I67" s="43"/>
      <c r="J67" s="43"/>
      <c r="K67" s="43"/>
      <c r="L67" s="38"/>
      <c r="M67" s="150"/>
      <c r="N67" s="151"/>
      <c r="O67" s="151"/>
      <c r="P67" s="43"/>
      <c r="Q67" s="43"/>
      <c r="R67" s="44"/>
    </row>
    <row r="68" spans="2:18" ht="12" hidden="1" customHeight="1" outlineLevel="1">
      <c r="B68" s="87" t="s">
        <v>987</v>
      </c>
      <c r="C68" s="38"/>
      <c r="D68" s="38"/>
      <c r="E68" s="124"/>
      <c r="F68" s="38"/>
      <c r="G68" s="38"/>
      <c r="H68" s="38"/>
      <c r="I68" s="43"/>
      <c r="J68" s="43"/>
      <c r="K68" s="43"/>
      <c r="L68" s="38"/>
      <c r="M68" s="150"/>
      <c r="N68" s="151"/>
      <c r="O68" s="151"/>
      <c r="P68" s="43"/>
      <c r="Q68" s="43"/>
      <c r="R68" s="44"/>
    </row>
    <row r="69" spans="2:18" ht="12" hidden="1" customHeight="1" outlineLevel="1">
      <c r="B69" s="87" t="s">
        <v>988</v>
      </c>
      <c r="C69" s="38"/>
      <c r="D69" s="38"/>
      <c r="E69" s="124"/>
      <c r="F69" s="38"/>
      <c r="G69" s="38"/>
      <c r="H69" s="38"/>
      <c r="I69" s="43"/>
      <c r="J69" s="43"/>
      <c r="K69" s="43"/>
      <c r="L69" s="38"/>
      <c r="M69" s="150"/>
      <c r="N69" s="151"/>
      <c r="O69" s="151"/>
      <c r="P69" s="43"/>
      <c r="Q69" s="43"/>
      <c r="R69" s="44"/>
    </row>
    <row r="70" spans="2:18" ht="12" hidden="1" customHeight="1" outlineLevel="1">
      <c r="B70" s="87" t="s">
        <v>989</v>
      </c>
      <c r="C70" s="38"/>
      <c r="D70" s="38"/>
      <c r="E70" s="124"/>
      <c r="F70" s="38"/>
      <c r="G70" s="38"/>
      <c r="H70" s="38"/>
      <c r="I70" s="43"/>
      <c r="J70" s="43"/>
      <c r="K70" s="43"/>
      <c r="L70" s="38"/>
      <c r="M70" s="150"/>
      <c r="N70" s="151"/>
      <c r="O70" s="151"/>
      <c r="P70" s="43"/>
      <c r="Q70" s="43"/>
      <c r="R70" s="44"/>
    </row>
    <row r="71" spans="2:18" ht="12" hidden="1" customHeight="1" outlineLevel="1">
      <c r="B71" s="87" t="s">
        <v>990</v>
      </c>
      <c r="C71" s="38"/>
      <c r="D71" s="38"/>
      <c r="E71" s="124"/>
      <c r="F71" s="38"/>
      <c r="G71" s="38"/>
      <c r="H71" s="38"/>
      <c r="I71" s="43"/>
      <c r="J71" s="43"/>
      <c r="K71" s="43"/>
      <c r="L71" s="38"/>
      <c r="M71" s="150"/>
      <c r="N71" s="151"/>
      <c r="O71" s="151"/>
      <c r="P71" s="43"/>
      <c r="Q71" s="43"/>
      <c r="R71" s="44"/>
    </row>
    <row r="72" spans="2:18" ht="12" hidden="1" customHeight="1" outlineLevel="1">
      <c r="B72" s="87" t="s">
        <v>991</v>
      </c>
      <c r="C72" s="38"/>
      <c r="D72" s="38"/>
      <c r="E72" s="124"/>
      <c r="F72" s="38"/>
      <c r="G72" s="38"/>
      <c r="H72" s="38"/>
      <c r="I72" s="43"/>
      <c r="J72" s="43"/>
      <c r="K72" s="43"/>
      <c r="L72" s="38"/>
      <c r="M72" s="150"/>
      <c r="N72" s="151"/>
      <c r="O72" s="151"/>
      <c r="P72" s="43"/>
      <c r="Q72" s="43"/>
      <c r="R72" s="44"/>
    </row>
    <row r="73" spans="2:18" ht="12" hidden="1" customHeight="1" outlineLevel="1">
      <c r="B73" s="87" t="s">
        <v>992</v>
      </c>
      <c r="C73" s="38"/>
      <c r="D73" s="38"/>
      <c r="E73" s="124"/>
      <c r="F73" s="38"/>
      <c r="G73" s="38"/>
      <c r="H73" s="38"/>
      <c r="I73" s="43"/>
      <c r="J73" s="43"/>
      <c r="K73" s="43"/>
      <c r="L73" s="38"/>
      <c r="M73" s="150"/>
      <c r="N73" s="151"/>
      <c r="O73" s="151"/>
      <c r="P73" s="43"/>
      <c r="Q73" s="43"/>
      <c r="R73" s="44"/>
    </row>
    <row r="74" spans="2:18" ht="12" hidden="1" customHeight="1" outlineLevel="1">
      <c r="B74" s="87" t="s">
        <v>993</v>
      </c>
      <c r="C74" s="38"/>
      <c r="D74" s="38"/>
      <c r="E74" s="124"/>
      <c r="F74" s="38"/>
      <c r="G74" s="38"/>
      <c r="H74" s="38"/>
      <c r="I74" s="43"/>
      <c r="J74" s="43"/>
      <c r="K74" s="43"/>
      <c r="L74" s="38"/>
      <c r="M74" s="150"/>
      <c r="N74" s="151"/>
      <c r="O74" s="151"/>
      <c r="P74" s="43"/>
      <c r="Q74" s="43"/>
      <c r="R74" s="44"/>
    </row>
    <row r="75" spans="2:18" ht="12" hidden="1" customHeight="1" outlineLevel="1">
      <c r="B75" s="87" t="s">
        <v>994</v>
      </c>
      <c r="C75" s="38"/>
      <c r="D75" s="38"/>
      <c r="E75" s="124"/>
      <c r="F75" s="38"/>
      <c r="G75" s="38"/>
      <c r="H75" s="38"/>
      <c r="I75" s="43"/>
      <c r="J75" s="43"/>
      <c r="K75" s="43"/>
      <c r="L75" s="38"/>
      <c r="M75" s="150"/>
      <c r="N75" s="151"/>
      <c r="O75" s="151"/>
      <c r="P75" s="43"/>
      <c r="Q75" s="43"/>
      <c r="R75" s="44"/>
    </row>
    <row r="76" spans="2:18" ht="12" hidden="1" customHeight="1" outlineLevel="1">
      <c r="B76" s="87" t="s">
        <v>995</v>
      </c>
      <c r="C76" s="38"/>
      <c r="D76" s="38"/>
      <c r="E76" s="124"/>
      <c r="F76" s="38"/>
      <c r="G76" s="38"/>
      <c r="H76" s="38"/>
      <c r="I76" s="43"/>
      <c r="J76" s="43"/>
      <c r="K76" s="43"/>
      <c r="L76" s="38"/>
      <c r="M76" s="150"/>
      <c r="N76" s="151"/>
      <c r="O76" s="151"/>
      <c r="P76" s="43"/>
      <c r="Q76" s="43"/>
      <c r="R76" s="44"/>
    </row>
    <row r="77" spans="2:18" ht="12" hidden="1" customHeight="1" outlineLevel="1">
      <c r="B77" s="87" t="s">
        <v>996</v>
      </c>
      <c r="C77" s="38"/>
      <c r="D77" s="38"/>
      <c r="E77" s="124"/>
      <c r="F77" s="38"/>
      <c r="G77" s="38"/>
      <c r="H77" s="38"/>
      <c r="I77" s="43"/>
      <c r="J77" s="43"/>
      <c r="K77" s="43"/>
      <c r="L77" s="38"/>
      <c r="M77" s="150"/>
      <c r="N77" s="151"/>
      <c r="O77" s="151"/>
      <c r="P77" s="43"/>
      <c r="Q77" s="43"/>
      <c r="R77" s="44"/>
    </row>
    <row r="78" spans="2:18" ht="12" hidden="1" customHeight="1" outlineLevel="1" thickBot="1">
      <c r="B78" s="158" t="s">
        <v>997</v>
      </c>
      <c r="C78" s="152"/>
      <c r="D78" s="152"/>
      <c r="E78" s="153"/>
      <c r="F78" s="152"/>
      <c r="G78" s="152"/>
      <c r="H78" s="152"/>
      <c r="I78" s="154"/>
      <c r="J78" s="154"/>
      <c r="K78" s="154"/>
      <c r="L78" s="152"/>
      <c r="M78" s="155"/>
      <c r="N78" s="156"/>
      <c r="O78" s="156"/>
      <c r="P78" s="154"/>
      <c r="Q78" s="154"/>
      <c r="R78" s="157"/>
    </row>
    <row r="79" spans="2:18" ht="12" customHeight="1" collapsed="1" thickBot="1">
      <c r="B79" s="159" t="s">
        <v>1251</v>
      </c>
      <c r="C79" s="160"/>
      <c r="D79" s="160"/>
      <c r="E79" s="161"/>
      <c r="F79" s="160"/>
      <c r="G79" s="160"/>
      <c r="H79" s="160"/>
      <c r="I79" s="162"/>
      <c r="J79" s="162"/>
      <c r="K79" s="162"/>
      <c r="L79" s="160"/>
      <c r="M79" s="163"/>
      <c r="N79" s="164"/>
      <c r="O79" s="164"/>
      <c r="P79" s="162"/>
      <c r="Q79" s="165"/>
      <c r="R79" s="181">
        <f>SUM(R9:R78)</f>
        <v>0</v>
      </c>
    </row>
    <row r="80" spans="2:18" ht="12" hidden="1" customHeight="1" outlineLevel="1">
      <c r="B80" s="166" t="s">
        <v>928</v>
      </c>
      <c r="C80" s="167"/>
      <c r="D80" s="167"/>
      <c r="E80" s="168"/>
      <c r="F80" s="167"/>
      <c r="G80" s="167"/>
      <c r="H80" s="167"/>
      <c r="I80" s="169"/>
      <c r="J80" s="169"/>
      <c r="K80" s="169"/>
      <c r="L80" s="167"/>
      <c r="M80" s="170"/>
      <c r="N80" s="171"/>
      <c r="O80" s="171"/>
      <c r="P80" s="169"/>
      <c r="Q80" s="169"/>
      <c r="R80" s="172"/>
    </row>
    <row r="81" spans="2:18" ht="12" hidden="1" customHeight="1" outlineLevel="1">
      <c r="B81" s="87" t="s">
        <v>929</v>
      </c>
      <c r="C81" s="38"/>
      <c r="D81" s="38"/>
      <c r="E81" s="124"/>
      <c r="F81" s="38"/>
      <c r="G81" s="38"/>
      <c r="H81" s="38"/>
      <c r="I81" s="43"/>
      <c r="J81" s="43"/>
      <c r="K81" s="43"/>
      <c r="L81" s="38"/>
      <c r="M81" s="150"/>
      <c r="N81" s="151"/>
      <c r="O81" s="151"/>
      <c r="P81" s="43"/>
      <c r="Q81" s="43"/>
      <c r="R81" s="44"/>
    </row>
    <row r="82" spans="2:18" ht="12" hidden="1" customHeight="1" outlineLevel="1">
      <c r="B82" s="87" t="s">
        <v>930</v>
      </c>
      <c r="C82" s="38"/>
      <c r="D82" s="38"/>
      <c r="E82" s="124"/>
      <c r="F82" s="38"/>
      <c r="G82" s="38"/>
      <c r="H82" s="38"/>
      <c r="I82" s="43"/>
      <c r="J82" s="43"/>
      <c r="K82" s="43"/>
      <c r="L82" s="38"/>
      <c r="M82" s="150"/>
      <c r="N82" s="151"/>
      <c r="O82" s="151"/>
      <c r="P82" s="43"/>
      <c r="Q82" s="43"/>
      <c r="R82" s="44"/>
    </row>
    <row r="83" spans="2:18" ht="12" hidden="1" customHeight="1" outlineLevel="1">
      <c r="B83" s="87" t="s">
        <v>931</v>
      </c>
      <c r="C83" s="38"/>
      <c r="D83" s="38"/>
      <c r="E83" s="124"/>
      <c r="F83" s="38"/>
      <c r="G83" s="38"/>
      <c r="H83" s="38"/>
      <c r="I83" s="43"/>
      <c r="J83" s="43"/>
      <c r="K83" s="43"/>
      <c r="L83" s="38"/>
      <c r="M83" s="150"/>
      <c r="N83" s="151"/>
      <c r="O83" s="151"/>
      <c r="P83" s="43"/>
      <c r="Q83" s="43"/>
      <c r="R83" s="44"/>
    </row>
    <row r="84" spans="2:18" ht="12" hidden="1" customHeight="1" outlineLevel="1">
      <c r="B84" s="87" t="s">
        <v>932</v>
      </c>
      <c r="C84" s="38"/>
      <c r="D84" s="38"/>
      <c r="E84" s="124"/>
      <c r="F84" s="38"/>
      <c r="G84" s="38"/>
      <c r="H84" s="38"/>
      <c r="I84" s="43"/>
      <c r="J84" s="43"/>
      <c r="K84" s="43"/>
      <c r="L84" s="38"/>
      <c r="M84" s="150"/>
      <c r="N84" s="151"/>
      <c r="O84" s="151"/>
      <c r="P84" s="43"/>
      <c r="Q84" s="43"/>
      <c r="R84" s="44"/>
    </row>
    <row r="85" spans="2:18" ht="12" hidden="1" customHeight="1" outlineLevel="1">
      <c r="B85" s="87" t="s">
        <v>933</v>
      </c>
      <c r="C85" s="38"/>
      <c r="D85" s="38"/>
      <c r="E85" s="124"/>
      <c r="F85" s="38"/>
      <c r="G85" s="38"/>
      <c r="H85" s="38"/>
      <c r="I85" s="43"/>
      <c r="J85" s="43"/>
      <c r="K85" s="43"/>
      <c r="L85" s="38"/>
      <c r="M85" s="150"/>
      <c r="N85" s="151"/>
      <c r="O85" s="151"/>
      <c r="P85" s="43"/>
      <c r="Q85" s="43"/>
      <c r="R85" s="44"/>
    </row>
    <row r="86" spans="2:18" ht="12" hidden="1" customHeight="1" outlineLevel="1">
      <c r="B86" s="87" t="s">
        <v>934</v>
      </c>
      <c r="C86" s="38"/>
      <c r="D86" s="38"/>
      <c r="E86" s="124"/>
      <c r="F86" s="38"/>
      <c r="G86" s="38"/>
      <c r="H86" s="38"/>
      <c r="I86" s="43"/>
      <c r="J86" s="43"/>
      <c r="K86" s="43"/>
      <c r="L86" s="38"/>
      <c r="M86" s="150"/>
      <c r="N86" s="151"/>
      <c r="O86" s="151"/>
      <c r="P86" s="43"/>
      <c r="Q86" s="43"/>
      <c r="R86" s="44"/>
    </row>
    <row r="87" spans="2:18" ht="12" hidden="1" customHeight="1" outlineLevel="1">
      <c r="B87" s="87" t="s">
        <v>935</v>
      </c>
      <c r="C87" s="38"/>
      <c r="D87" s="38"/>
      <c r="E87" s="124"/>
      <c r="F87" s="38"/>
      <c r="G87" s="38"/>
      <c r="H87" s="38"/>
      <c r="I87" s="43"/>
      <c r="J87" s="43"/>
      <c r="K87" s="43"/>
      <c r="L87" s="38"/>
      <c r="M87" s="150"/>
      <c r="N87" s="151"/>
      <c r="O87" s="151"/>
      <c r="P87" s="43"/>
      <c r="Q87" s="43"/>
      <c r="R87" s="44"/>
    </row>
    <row r="88" spans="2:18" ht="12" hidden="1" customHeight="1" outlineLevel="1">
      <c r="B88" s="87" t="s">
        <v>936</v>
      </c>
      <c r="C88" s="38"/>
      <c r="D88" s="38"/>
      <c r="E88" s="124"/>
      <c r="F88" s="38"/>
      <c r="G88" s="38"/>
      <c r="H88" s="38"/>
      <c r="I88" s="43"/>
      <c r="J88" s="43"/>
      <c r="K88" s="43"/>
      <c r="L88" s="38"/>
      <c r="M88" s="150"/>
      <c r="N88" s="151"/>
      <c r="O88" s="151"/>
      <c r="P88" s="43"/>
      <c r="Q88" s="43"/>
      <c r="R88" s="44"/>
    </row>
    <row r="89" spans="2:18" ht="12" hidden="1" customHeight="1" outlineLevel="1">
      <c r="B89" s="87" t="s">
        <v>937</v>
      </c>
      <c r="C89" s="38"/>
      <c r="D89" s="38"/>
      <c r="E89" s="124"/>
      <c r="F89" s="38"/>
      <c r="G89" s="38"/>
      <c r="H89" s="38"/>
      <c r="I89" s="43"/>
      <c r="J89" s="43"/>
      <c r="K89" s="43"/>
      <c r="L89" s="38"/>
      <c r="M89" s="150"/>
      <c r="N89" s="151"/>
      <c r="O89" s="151"/>
      <c r="P89" s="43"/>
      <c r="Q89" s="43"/>
      <c r="R89" s="44"/>
    </row>
    <row r="90" spans="2:18" ht="12" hidden="1" customHeight="1" outlineLevel="1">
      <c r="B90" s="87" t="s">
        <v>938</v>
      </c>
      <c r="C90" s="38"/>
      <c r="D90" s="38"/>
      <c r="E90" s="124"/>
      <c r="F90" s="38"/>
      <c r="G90" s="38"/>
      <c r="H90" s="38"/>
      <c r="I90" s="43"/>
      <c r="J90" s="43"/>
      <c r="K90" s="43"/>
      <c r="L90" s="38"/>
      <c r="M90" s="150"/>
      <c r="N90" s="151"/>
      <c r="O90" s="151"/>
      <c r="P90" s="43"/>
      <c r="Q90" s="43"/>
      <c r="R90" s="44"/>
    </row>
    <row r="91" spans="2:18" ht="12" hidden="1" customHeight="1" outlineLevel="1">
      <c r="B91" s="87" t="s">
        <v>939</v>
      </c>
      <c r="C91" s="38"/>
      <c r="D91" s="38"/>
      <c r="E91" s="124"/>
      <c r="F91" s="38"/>
      <c r="G91" s="38"/>
      <c r="H91" s="38"/>
      <c r="I91" s="43"/>
      <c r="J91" s="43"/>
      <c r="K91" s="43"/>
      <c r="L91" s="38"/>
      <c r="M91" s="150"/>
      <c r="N91" s="151"/>
      <c r="O91" s="151"/>
      <c r="P91" s="43"/>
      <c r="Q91" s="43"/>
      <c r="R91" s="44"/>
    </row>
    <row r="92" spans="2:18" ht="12" hidden="1" customHeight="1" outlineLevel="1">
      <c r="B92" s="87" t="s">
        <v>940</v>
      </c>
      <c r="C92" s="38"/>
      <c r="D92" s="38"/>
      <c r="E92" s="124"/>
      <c r="F92" s="38"/>
      <c r="G92" s="38"/>
      <c r="H92" s="38"/>
      <c r="I92" s="43"/>
      <c r="J92" s="43"/>
      <c r="K92" s="43"/>
      <c r="L92" s="38"/>
      <c r="M92" s="150"/>
      <c r="N92" s="151"/>
      <c r="O92" s="151"/>
      <c r="P92" s="43"/>
      <c r="Q92" s="43"/>
      <c r="R92" s="44"/>
    </row>
    <row r="93" spans="2:18" ht="12" hidden="1" customHeight="1" outlineLevel="1">
      <c r="B93" s="87" t="s">
        <v>941</v>
      </c>
      <c r="C93" s="38"/>
      <c r="D93" s="38"/>
      <c r="E93" s="124"/>
      <c r="F93" s="38"/>
      <c r="G93" s="38"/>
      <c r="H93" s="38"/>
      <c r="I93" s="43"/>
      <c r="J93" s="43"/>
      <c r="K93" s="43"/>
      <c r="L93" s="38"/>
      <c r="M93" s="150"/>
      <c r="N93" s="151"/>
      <c r="O93" s="151"/>
      <c r="P93" s="43"/>
      <c r="Q93" s="43"/>
      <c r="R93" s="44"/>
    </row>
    <row r="94" spans="2:18" ht="12" hidden="1" customHeight="1" outlineLevel="1">
      <c r="B94" s="87" t="s">
        <v>942</v>
      </c>
      <c r="C94" s="38"/>
      <c r="D94" s="38"/>
      <c r="E94" s="124"/>
      <c r="F94" s="38"/>
      <c r="G94" s="38"/>
      <c r="H94" s="38"/>
      <c r="I94" s="43"/>
      <c r="J94" s="43"/>
      <c r="K94" s="43"/>
      <c r="L94" s="38"/>
      <c r="M94" s="150"/>
      <c r="N94" s="151"/>
      <c r="O94" s="151"/>
      <c r="P94" s="43"/>
      <c r="Q94" s="43"/>
      <c r="R94" s="44"/>
    </row>
    <row r="95" spans="2:18" ht="12" hidden="1" customHeight="1" outlineLevel="1">
      <c r="B95" s="87" t="s">
        <v>943</v>
      </c>
      <c r="C95" s="38"/>
      <c r="D95" s="38"/>
      <c r="E95" s="124"/>
      <c r="F95" s="38"/>
      <c r="G95" s="38"/>
      <c r="H95" s="38"/>
      <c r="I95" s="43"/>
      <c r="J95" s="43"/>
      <c r="K95" s="43"/>
      <c r="L95" s="38"/>
      <c r="M95" s="150"/>
      <c r="N95" s="151"/>
      <c r="O95" s="151"/>
      <c r="P95" s="43"/>
      <c r="Q95" s="43"/>
      <c r="R95" s="44"/>
    </row>
    <row r="96" spans="2:18" ht="12" hidden="1" customHeight="1" outlineLevel="1">
      <c r="B96" s="87" t="s">
        <v>944</v>
      </c>
      <c r="C96" s="38"/>
      <c r="D96" s="38"/>
      <c r="E96" s="124"/>
      <c r="F96" s="38"/>
      <c r="G96" s="38"/>
      <c r="H96" s="38"/>
      <c r="I96" s="43"/>
      <c r="J96" s="43"/>
      <c r="K96" s="43"/>
      <c r="L96" s="38"/>
      <c r="M96" s="150"/>
      <c r="N96" s="151"/>
      <c r="O96" s="151"/>
      <c r="P96" s="43"/>
      <c r="Q96" s="43"/>
      <c r="R96" s="44"/>
    </row>
    <row r="97" spans="2:18" ht="12" hidden="1" customHeight="1" outlineLevel="1">
      <c r="B97" s="87" t="s">
        <v>945</v>
      </c>
      <c r="C97" s="38"/>
      <c r="D97" s="38"/>
      <c r="E97" s="124"/>
      <c r="F97" s="38"/>
      <c r="G97" s="38"/>
      <c r="H97" s="38"/>
      <c r="I97" s="43"/>
      <c r="J97" s="43"/>
      <c r="K97" s="43"/>
      <c r="L97" s="38"/>
      <c r="M97" s="150"/>
      <c r="N97" s="151"/>
      <c r="O97" s="151"/>
      <c r="P97" s="43"/>
      <c r="Q97" s="43"/>
      <c r="R97" s="44"/>
    </row>
    <row r="98" spans="2:18" ht="12" hidden="1" customHeight="1" outlineLevel="1">
      <c r="B98" s="87" t="s">
        <v>946</v>
      </c>
      <c r="C98" s="38"/>
      <c r="D98" s="38"/>
      <c r="E98" s="124"/>
      <c r="F98" s="38"/>
      <c r="G98" s="38"/>
      <c r="H98" s="38"/>
      <c r="I98" s="43"/>
      <c r="J98" s="43"/>
      <c r="K98" s="43"/>
      <c r="L98" s="38"/>
      <c r="M98" s="150"/>
      <c r="N98" s="151"/>
      <c r="O98" s="151"/>
      <c r="P98" s="43"/>
      <c r="Q98" s="43"/>
      <c r="R98" s="44"/>
    </row>
    <row r="99" spans="2:18" ht="12" hidden="1" customHeight="1" outlineLevel="1">
      <c r="B99" s="87" t="s">
        <v>947</v>
      </c>
      <c r="C99" s="38"/>
      <c r="D99" s="38"/>
      <c r="E99" s="124"/>
      <c r="F99" s="38"/>
      <c r="G99" s="38"/>
      <c r="H99" s="38"/>
      <c r="I99" s="43"/>
      <c r="J99" s="43"/>
      <c r="K99" s="43"/>
      <c r="L99" s="38"/>
      <c r="M99" s="150"/>
      <c r="N99" s="151"/>
      <c r="O99" s="151"/>
      <c r="P99" s="43"/>
      <c r="Q99" s="43"/>
      <c r="R99" s="44"/>
    </row>
    <row r="100" spans="2:18" ht="12" hidden="1" customHeight="1" outlineLevel="1">
      <c r="B100" s="87" t="s">
        <v>948</v>
      </c>
      <c r="C100" s="38"/>
      <c r="D100" s="38"/>
      <c r="E100" s="124"/>
      <c r="F100" s="38"/>
      <c r="G100" s="38"/>
      <c r="H100" s="38"/>
      <c r="I100" s="43"/>
      <c r="J100" s="43"/>
      <c r="K100" s="43"/>
      <c r="L100" s="38"/>
      <c r="M100" s="150"/>
      <c r="N100" s="151"/>
      <c r="O100" s="151"/>
      <c r="P100" s="43"/>
      <c r="Q100" s="43"/>
      <c r="R100" s="44"/>
    </row>
    <row r="101" spans="2:18" ht="12" hidden="1" customHeight="1" outlineLevel="1">
      <c r="B101" s="87" t="s">
        <v>949</v>
      </c>
      <c r="C101" s="38"/>
      <c r="D101" s="38"/>
      <c r="E101" s="124"/>
      <c r="F101" s="38"/>
      <c r="G101" s="38"/>
      <c r="H101" s="38"/>
      <c r="I101" s="43"/>
      <c r="J101" s="43"/>
      <c r="K101" s="43"/>
      <c r="L101" s="38"/>
      <c r="M101" s="150"/>
      <c r="N101" s="151"/>
      <c r="O101" s="151"/>
      <c r="P101" s="43"/>
      <c r="Q101" s="43"/>
      <c r="R101" s="44"/>
    </row>
    <row r="102" spans="2:18" ht="12" hidden="1" customHeight="1" outlineLevel="1">
      <c r="B102" s="87" t="s">
        <v>950</v>
      </c>
      <c r="C102" s="38"/>
      <c r="D102" s="38"/>
      <c r="E102" s="124"/>
      <c r="F102" s="38"/>
      <c r="G102" s="38"/>
      <c r="H102" s="38"/>
      <c r="I102" s="43"/>
      <c r="J102" s="43"/>
      <c r="K102" s="43"/>
      <c r="L102" s="38"/>
      <c r="M102" s="150"/>
      <c r="N102" s="151"/>
      <c r="O102" s="151"/>
      <c r="P102" s="43"/>
      <c r="Q102" s="43"/>
      <c r="R102" s="44"/>
    </row>
    <row r="103" spans="2:18" ht="12" hidden="1" customHeight="1" outlineLevel="1">
      <c r="B103" s="87" t="s">
        <v>951</v>
      </c>
      <c r="C103" s="38"/>
      <c r="D103" s="38"/>
      <c r="E103" s="124"/>
      <c r="F103" s="38"/>
      <c r="G103" s="38"/>
      <c r="H103" s="38"/>
      <c r="I103" s="43"/>
      <c r="J103" s="43"/>
      <c r="K103" s="43"/>
      <c r="L103" s="38"/>
      <c r="M103" s="150"/>
      <c r="N103" s="151"/>
      <c r="O103" s="151"/>
      <c r="P103" s="43"/>
      <c r="Q103" s="43"/>
      <c r="R103" s="44"/>
    </row>
    <row r="104" spans="2:18" ht="12" hidden="1" customHeight="1" outlineLevel="1">
      <c r="B104" s="87" t="s">
        <v>952</v>
      </c>
      <c r="C104" s="38"/>
      <c r="D104" s="38"/>
      <c r="E104" s="124"/>
      <c r="F104" s="38"/>
      <c r="G104" s="38"/>
      <c r="H104" s="38"/>
      <c r="I104" s="43"/>
      <c r="J104" s="43"/>
      <c r="K104" s="43"/>
      <c r="L104" s="38"/>
      <c r="M104" s="150"/>
      <c r="N104" s="151"/>
      <c r="O104" s="151"/>
      <c r="P104" s="43"/>
      <c r="Q104" s="43"/>
      <c r="R104" s="44"/>
    </row>
    <row r="105" spans="2:18" ht="12" hidden="1" customHeight="1" outlineLevel="1">
      <c r="B105" s="87" t="s">
        <v>953</v>
      </c>
      <c r="C105" s="38"/>
      <c r="D105" s="38"/>
      <c r="E105" s="124"/>
      <c r="F105" s="38"/>
      <c r="G105" s="38"/>
      <c r="H105" s="38"/>
      <c r="I105" s="43"/>
      <c r="J105" s="43"/>
      <c r="K105" s="43"/>
      <c r="L105" s="38"/>
      <c r="M105" s="150"/>
      <c r="N105" s="151"/>
      <c r="O105" s="151"/>
      <c r="P105" s="43"/>
      <c r="Q105" s="43"/>
      <c r="R105" s="44"/>
    </row>
    <row r="106" spans="2:18" ht="12" hidden="1" customHeight="1" outlineLevel="1">
      <c r="B106" s="87" t="s">
        <v>954</v>
      </c>
      <c r="C106" s="38"/>
      <c r="D106" s="38"/>
      <c r="E106" s="124"/>
      <c r="F106" s="38"/>
      <c r="G106" s="38"/>
      <c r="H106" s="38"/>
      <c r="I106" s="43"/>
      <c r="J106" s="43"/>
      <c r="K106" s="43"/>
      <c r="L106" s="38"/>
      <c r="M106" s="150"/>
      <c r="N106" s="151"/>
      <c r="O106" s="151"/>
      <c r="P106" s="43"/>
      <c r="Q106" s="43"/>
      <c r="R106" s="44"/>
    </row>
    <row r="107" spans="2:18" ht="12" hidden="1" customHeight="1" outlineLevel="1">
      <c r="B107" s="87" t="s">
        <v>955</v>
      </c>
      <c r="C107" s="38"/>
      <c r="D107" s="38"/>
      <c r="E107" s="124"/>
      <c r="F107" s="38"/>
      <c r="G107" s="38"/>
      <c r="H107" s="38"/>
      <c r="I107" s="43"/>
      <c r="J107" s="43"/>
      <c r="K107" s="43"/>
      <c r="L107" s="38"/>
      <c r="M107" s="150"/>
      <c r="N107" s="151"/>
      <c r="O107" s="151"/>
      <c r="P107" s="43"/>
      <c r="Q107" s="43"/>
      <c r="R107" s="44"/>
    </row>
    <row r="108" spans="2:18" ht="12" hidden="1" customHeight="1" outlineLevel="1">
      <c r="B108" s="87" t="s">
        <v>956</v>
      </c>
      <c r="C108" s="38"/>
      <c r="D108" s="38"/>
      <c r="E108" s="124"/>
      <c r="F108" s="38"/>
      <c r="G108" s="38"/>
      <c r="H108" s="38"/>
      <c r="I108" s="43"/>
      <c r="J108" s="43"/>
      <c r="K108" s="43"/>
      <c r="L108" s="38"/>
      <c r="M108" s="150"/>
      <c r="N108" s="151"/>
      <c r="O108" s="151"/>
      <c r="P108" s="43"/>
      <c r="Q108" s="43"/>
      <c r="R108" s="44"/>
    </row>
    <row r="109" spans="2:18" ht="12" hidden="1" customHeight="1" outlineLevel="1">
      <c r="B109" s="87" t="s">
        <v>957</v>
      </c>
      <c r="C109" s="38"/>
      <c r="D109" s="38"/>
      <c r="E109" s="124"/>
      <c r="F109" s="38"/>
      <c r="G109" s="38"/>
      <c r="H109" s="38"/>
      <c r="I109" s="43"/>
      <c r="J109" s="43"/>
      <c r="K109" s="43"/>
      <c r="L109" s="38"/>
      <c r="M109" s="150"/>
      <c r="N109" s="151"/>
      <c r="O109" s="151"/>
      <c r="P109" s="43"/>
      <c r="Q109" s="43"/>
      <c r="R109" s="44"/>
    </row>
    <row r="110" spans="2:18" ht="12" hidden="1" customHeight="1" outlineLevel="1">
      <c r="B110" s="87" t="s">
        <v>958</v>
      </c>
      <c r="C110" s="38"/>
      <c r="D110" s="38"/>
      <c r="E110" s="124"/>
      <c r="F110" s="38"/>
      <c r="G110" s="38"/>
      <c r="H110" s="38"/>
      <c r="I110" s="43"/>
      <c r="J110" s="43"/>
      <c r="K110" s="43"/>
      <c r="L110" s="38"/>
      <c r="M110" s="150"/>
      <c r="N110" s="151"/>
      <c r="O110" s="151"/>
      <c r="P110" s="43"/>
      <c r="Q110" s="43"/>
      <c r="R110" s="44"/>
    </row>
    <row r="111" spans="2:18" ht="12" hidden="1" customHeight="1" outlineLevel="1">
      <c r="B111" s="87" t="s">
        <v>959</v>
      </c>
      <c r="C111" s="38"/>
      <c r="D111" s="38"/>
      <c r="E111" s="124"/>
      <c r="F111" s="38"/>
      <c r="G111" s="38"/>
      <c r="H111" s="38"/>
      <c r="I111" s="43"/>
      <c r="J111" s="43"/>
      <c r="K111" s="43"/>
      <c r="L111" s="38"/>
      <c r="M111" s="150"/>
      <c r="N111" s="151"/>
      <c r="O111" s="151"/>
      <c r="P111" s="43"/>
      <c r="Q111" s="43"/>
      <c r="R111" s="44"/>
    </row>
    <row r="112" spans="2:18" ht="12" hidden="1" customHeight="1" outlineLevel="1">
      <c r="B112" s="87" t="s">
        <v>960</v>
      </c>
      <c r="C112" s="38"/>
      <c r="D112" s="38"/>
      <c r="E112" s="124"/>
      <c r="F112" s="38"/>
      <c r="G112" s="38"/>
      <c r="H112" s="38"/>
      <c r="I112" s="43"/>
      <c r="J112" s="43"/>
      <c r="K112" s="43"/>
      <c r="L112" s="38"/>
      <c r="M112" s="150"/>
      <c r="N112" s="151"/>
      <c r="O112" s="151"/>
      <c r="P112" s="43"/>
      <c r="Q112" s="43"/>
      <c r="R112" s="44"/>
    </row>
    <row r="113" spans="2:18" ht="12" hidden="1" customHeight="1" outlineLevel="1">
      <c r="B113" s="87" t="s">
        <v>961</v>
      </c>
      <c r="C113" s="38"/>
      <c r="D113" s="38"/>
      <c r="E113" s="124"/>
      <c r="F113" s="38"/>
      <c r="G113" s="38"/>
      <c r="H113" s="38"/>
      <c r="I113" s="43"/>
      <c r="J113" s="43"/>
      <c r="K113" s="43"/>
      <c r="L113" s="38"/>
      <c r="M113" s="150"/>
      <c r="N113" s="151"/>
      <c r="O113" s="151"/>
      <c r="P113" s="43"/>
      <c r="Q113" s="43"/>
      <c r="R113" s="44"/>
    </row>
    <row r="114" spans="2:18" ht="12" hidden="1" customHeight="1" outlineLevel="1">
      <c r="B114" s="87" t="s">
        <v>962</v>
      </c>
      <c r="C114" s="38"/>
      <c r="D114" s="38"/>
      <c r="E114" s="124"/>
      <c r="F114" s="38"/>
      <c r="G114" s="38"/>
      <c r="H114" s="38"/>
      <c r="I114" s="43"/>
      <c r="J114" s="43"/>
      <c r="K114" s="43"/>
      <c r="L114" s="38"/>
      <c r="M114" s="150"/>
      <c r="N114" s="151"/>
      <c r="O114" s="151"/>
      <c r="P114" s="43"/>
      <c r="Q114" s="43"/>
      <c r="R114" s="44"/>
    </row>
    <row r="115" spans="2:18" ht="12" hidden="1" customHeight="1" outlineLevel="1">
      <c r="B115" s="87" t="s">
        <v>963</v>
      </c>
      <c r="C115" s="38"/>
      <c r="D115" s="38"/>
      <c r="E115" s="124"/>
      <c r="F115" s="38"/>
      <c r="G115" s="38"/>
      <c r="H115" s="38"/>
      <c r="I115" s="43"/>
      <c r="J115" s="43"/>
      <c r="K115" s="43"/>
      <c r="L115" s="38"/>
      <c r="M115" s="150"/>
      <c r="N115" s="151"/>
      <c r="O115" s="151"/>
      <c r="P115" s="43"/>
      <c r="Q115" s="43"/>
      <c r="R115" s="44"/>
    </row>
    <row r="116" spans="2:18" ht="12" hidden="1" customHeight="1" outlineLevel="1">
      <c r="B116" s="87" t="s">
        <v>964</v>
      </c>
      <c r="C116" s="38"/>
      <c r="D116" s="38"/>
      <c r="E116" s="124"/>
      <c r="F116" s="38"/>
      <c r="G116" s="38"/>
      <c r="H116" s="38"/>
      <c r="I116" s="43"/>
      <c r="J116" s="43"/>
      <c r="K116" s="43"/>
      <c r="L116" s="38"/>
      <c r="M116" s="150"/>
      <c r="N116" s="151"/>
      <c r="O116" s="151"/>
      <c r="P116" s="43"/>
      <c r="Q116" s="43"/>
      <c r="R116" s="44"/>
    </row>
    <row r="117" spans="2:18" ht="12" hidden="1" customHeight="1" outlineLevel="1">
      <c r="B117" s="87" t="s">
        <v>965</v>
      </c>
      <c r="C117" s="38"/>
      <c r="D117" s="38"/>
      <c r="E117" s="124"/>
      <c r="F117" s="38"/>
      <c r="G117" s="38"/>
      <c r="H117" s="38"/>
      <c r="I117" s="43"/>
      <c r="J117" s="43"/>
      <c r="K117" s="43"/>
      <c r="L117" s="38"/>
      <c r="M117" s="150"/>
      <c r="N117" s="151"/>
      <c r="O117" s="151"/>
      <c r="P117" s="43"/>
      <c r="Q117" s="43"/>
      <c r="R117" s="44"/>
    </row>
    <row r="118" spans="2:18" ht="12" hidden="1" customHeight="1" outlineLevel="1">
      <c r="B118" s="87" t="s">
        <v>966</v>
      </c>
      <c r="C118" s="38"/>
      <c r="D118" s="38"/>
      <c r="E118" s="124"/>
      <c r="F118" s="38"/>
      <c r="G118" s="38"/>
      <c r="H118" s="38"/>
      <c r="I118" s="43"/>
      <c r="J118" s="43"/>
      <c r="K118" s="43"/>
      <c r="L118" s="38"/>
      <c r="M118" s="150"/>
      <c r="N118" s="151"/>
      <c r="O118" s="151"/>
      <c r="P118" s="43"/>
      <c r="Q118" s="43"/>
      <c r="R118" s="44"/>
    </row>
    <row r="119" spans="2:18" ht="12" hidden="1" customHeight="1" outlineLevel="1">
      <c r="B119" s="87" t="s">
        <v>967</v>
      </c>
      <c r="C119" s="38"/>
      <c r="D119" s="38"/>
      <c r="E119" s="124"/>
      <c r="F119" s="38"/>
      <c r="G119" s="38"/>
      <c r="H119" s="38"/>
      <c r="I119" s="43"/>
      <c r="J119" s="43"/>
      <c r="K119" s="43"/>
      <c r="L119" s="38"/>
      <c r="M119" s="150"/>
      <c r="N119" s="151"/>
      <c r="O119" s="151"/>
      <c r="P119" s="43"/>
      <c r="Q119" s="43"/>
      <c r="R119" s="44"/>
    </row>
    <row r="120" spans="2:18" ht="12" hidden="1" customHeight="1" outlineLevel="1">
      <c r="B120" s="87" t="s">
        <v>968</v>
      </c>
      <c r="C120" s="38"/>
      <c r="D120" s="38"/>
      <c r="E120" s="124"/>
      <c r="F120" s="38"/>
      <c r="G120" s="38"/>
      <c r="H120" s="38"/>
      <c r="I120" s="43"/>
      <c r="J120" s="43"/>
      <c r="K120" s="43"/>
      <c r="L120" s="38"/>
      <c r="M120" s="150"/>
      <c r="N120" s="151"/>
      <c r="O120" s="151"/>
      <c r="P120" s="43"/>
      <c r="Q120" s="43"/>
      <c r="R120" s="44"/>
    </row>
    <row r="121" spans="2:18" ht="12" hidden="1" customHeight="1" outlineLevel="1">
      <c r="B121" s="87" t="s">
        <v>969</v>
      </c>
      <c r="C121" s="38"/>
      <c r="D121" s="38"/>
      <c r="E121" s="124"/>
      <c r="F121" s="38"/>
      <c r="G121" s="38"/>
      <c r="H121" s="38"/>
      <c r="I121" s="43"/>
      <c r="J121" s="43"/>
      <c r="K121" s="43"/>
      <c r="L121" s="38"/>
      <c r="M121" s="150"/>
      <c r="N121" s="151"/>
      <c r="O121" s="151"/>
      <c r="P121" s="43"/>
      <c r="Q121" s="43"/>
      <c r="R121" s="44"/>
    </row>
    <row r="122" spans="2:18" ht="12" hidden="1" customHeight="1" outlineLevel="1">
      <c r="B122" s="87" t="s">
        <v>970</v>
      </c>
      <c r="C122" s="38"/>
      <c r="D122" s="38"/>
      <c r="E122" s="124"/>
      <c r="F122" s="38"/>
      <c r="G122" s="38"/>
      <c r="H122" s="38"/>
      <c r="I122" s="43"/>
      <c r="J122" s="43"/>
      <c r="K122" s="43"/>
      <c r="L122" s="38"/>
      <c r="M122" s="150"/>
      <c r="N122" s="151"/>
      <c r="O122" s="151"/>
      <c r="P122" s="43"/>
      <c r="Q122" s="43"/>
      <c r="R122" s="44"/>
    </row>
    <row r="123" spans="2:18" ht="12" hidden="1" customHeight="1" outlineLevel="1">
      <c r="B123" s="87" t="s">
        <v>971</v>
      </c>
      <c r="C123" s="38"/>
      <c r="D123" s="38"/>
      <c r="E123" s="124"/>
      <c r="F123" s="38"/>
      <c r="G123" s="38"/>
      <c r="H123" s="38"/>
      <c r="I123" s="43"/>
      <c r="J123" s="43"/>
      <c r="K123" s="43"/>
      <c r="L123" s="38"/>
      <c r="M123" s="150"/>
      <c r="N123" s="151"/>
      <c r="O123" s="151"/>
      <c r="P123" s="43"/>
      <c r="Q123" s="43"/>
      <c r="R123" s="44"/>
    </row>
    <row r="124" spans="2:18" ht="12" hidden="1" customHeight="1" outlineLevel="1">
      <c r="B124" s="87" t="s">
        <v>972</v>
      </c>
      <c r="C124" s="38"/>
      <c r="D124" s="38"/>
      <c r="E124" s="124"/>
      <c r="F124" s="38"/>
      <c r="G124" s="38"/>
      <c r="H124" s="38"/>
      <c r="I124" s="43"/>
      <c r="J124" s="43"/>
      <c r="K124" s="43"/>
      <c r="L124" s="38"/>
      <c r="M124" s="150"/>
      <c r="N124" s="151"/>
      <c r="O124" s="151"/>
      <c r="P124" s="43"/>
      <c r="Q124" s="43"/>
      <c r="R124" s="44"/>
    </row>
    <row r="125" spans="2:18" ht="12" hidden="1" customHeight="1" outlineLevel="1">
      <c r="B125" s="87" t="s">
        <v>973</v>
      </c>
      <c r="C125" s="38"/>
      <c r="D125" s="38"/>
      <c r="E125" s="124"/>
      <c r="F125" s="38"/>
      <c r="G125" s="38"/>
      <c r="H125" s="38"/>
      <c r="I125" s="43"/>
      <c r="J125" s="43"/>
      <c r="K125" s="43"/>
      <c r="L125" s="38"/>
      <c r="M125" s="150"/>
      <c r="N125" s="151"/>
      <c r="O125" s="151"/>
      <c r="P125" s="43"/>
      <c r="Q125" s="43"/>
      <c r="R125" s="44"/>
    </row>
    <row r="126" spans="2:18" ht="12" hidden="1" customHeight="1" outlineLevel="1">
      <c r="B126" s="87" t="s">
        <v>974</v>
      </c>
      <c r="C126" s="38"/>
      <c r="D126" s="38"/>
      <c r="E126" s="124"/>
      <c r="F126" s="38"/>
      <c r="G126" s="38"/>
      <c r="H126" s="38"/>
      <c r="I126" s="43"/>
      <c r="J126" s="43"/>
      <c r="K126" s="43"/>
      <c r="L126" s="38"/>
      <c r="M126" s="150"/>
      <c r="N126" s="151"/>
      <c r="O126" s="151"/>
      <c r="P126" s="43"/>
      <c r="Q126" s="43"/>
      <c r="R126" s="44"/>
    </row>
    <row r="127" spans="2:18" ht="12" hidden="1" customHeight="1" outlineLevel="1">
      <c r="B127" s="87" t="s">
        <v>975</v>
      </c>
      <c r="C127" s="38"/>
      <c r="D127" s="38"/>
      <c r="E127" s="124"/>
      <c r="F127" s="38"/>
      <c r="G127" s="38"/>
      <c r="H127" s="38"/>
      <c r="I127" s="43"/>
      <c r="J127" s="43"/>
      <c r="K127" s="43"/>
      <c r="L127" s="38"/>
      <c r="M127" s="150"/>
      <c r="N127" s="151"/>
      <c r="O127" s="151"/>
      <c r="P127" s="43"/>
      <c r="Q127" s="43"/>
      <c r="R127" s="44"/>
    </row>
    <row r="128" spans="2:18" ht="12" hidden="1" customHeight="1" outlineLevel="1">
      <c r="B128" s="87" t="s">
        <v>976</v>
      </c>
      <c r="C128" s="38"/>
      <c r="D128" s="38"/>
      <c r="E128" s="124"/>
      <c r="F128" s="38"/>
      <c r="G128" s="38"/>
      <c r="H128" s="38"/>
      <c r="I128" s="43"/>
      <c r="J128" s="43"/>
      <c r="K128" s="43"/>
      <c r="L128" s="38"/>
      <c r="M128" s="150"/>
      <c r="N128" s="151"/>
      <c r="O128" s="151"/>
      <c r="P128" s="43"/>
      <c r="Q128" s="43"/>
      <c r="R128" s="44"/>
    </row>
    <row r="129" spans="2:18" ht="12" hidden="1" customHeight="1" outlineLevel="1">
      <c r="B129" s="87" t="s">
        <v>977</v>
      </c>
      <c r="C129" s="38"/>
      <c r="D129" s="38"/>
      <c r="E129" s="124"/>
      <c r="F129" s="38"/>
      <c r="G129" s="38"/>
      <c r="H129" s="38"/>
      <c r="I129" s="43"/>
      <c r="J129" s="43"/>
      <c r="K129" s="43"/>
      <c r="L129" s="38"/>
      <c r="M129" s="150"/>
      <c r="N129" s="151"/>
      <c r="O129" s="151"/>
      <c r="P129" s="43"/>
      <c r="Q129" s="43"/>
      <c r="R129" s="44"/>
    </row>
    <row r="130" spans="2:18" ht="12" hidden="1" customHeight="1" outlineLevel="1">
      <c r="B130" s="87" t="s">
        <v>978</v>
      </c>
      <c r="C130" s="38"/>
      <c r="D130" s="38"/>
      <c r="E130" s="124"/>
      <c r="F130" s="38"/>
      <c r="G130" s="38"/>
      <c r="H130" s="38"/>
      <c r="I130" s="43"/>
      <c r="J130" s="43"/>
      <c r="K130" s="43"/>
      <c r="L130" s="38"/>
      <c r="M130" s="150"/>
      <c r="N130" s="151"/>
      <c r="O130" s="151"/>
      <c r="P130" s="43"/>
      <c r="Q130" s="43"/>
      <c r="R130" s="44"/>
    </row>
    <row r="131" spans="2:18" ht="12" hidden="1" customHeight="1" outlineLevel="1">
      <c r="B131" s="87" t="s">
        <v>979</v>
      </c>
      <c r="C131" s="38"/>
      <c r="D131" s="38"/>
      <c r="E131" s="124"/>
      <c r="F131" s="38"/>
      <c r="G131" s="38"/>
      <c r="H131" s="38"/>
      <c r="I131" s="43"/>
      <c r="J131" s="43"/>
      <c r="K131" s="43"/>
      <c r="L131" s="38"/>
      <c r="M131" s="150"/>
      <c r="N131" s="151"/>
      <c r="O131" s="151"/>
      <c r="P131" s="43"/>
      <c r="Q131" s="43"/>
      <c r="R131" s="44"/>
    </row>
    <row r="132" spans="2:18" ht="12" hidden="1" customHeight="1" outlineLevel="1">
      <c r="B132" s="87" t="s">
        <v>980</v>
      </c>
      <c r="C132" s="38"/>
      <c r="D132" s="38"/>
      <c r="E132" s="124"/>
      <c r="F132" s="38"/>
      <c r="G132" s="38"/>
      <c r="H132" s="38"/>
      <c r="I132" s="43"/>
      <c r="J132" s="43"/>
      <c r="K132" s="43"/>
      <c r="L132" s="38"/>
      <c r="M132" s="150"/>
      <c r="N132" s="151"/>
      <c r="O132" s="151"/>
      <c r="P132" s="43"/>
      <c r="Q132" s="43"/>
      <c r="R132" s="44"/>
    </row>
    <row r="133" spans="2:18" ht="12" hidden="1" customHeight="1" outlineLevel="1">
      <c r="B133" s="87" t="s">
        <v>981</v>
      </c>
      <c r="C133" s="38"/>
      <c r="D133" s="38"/>
      <c r="E133" s="124"/>
      <c r="F133" s="38"/>
      <c r="G133" s="38"/>
      <c r="H133" s="38"/>
      <c r="I133" s="43"/>
      <c r="J133" s="43"/>
      <c r="K133" s="43"/>
      <c r="L133" s="38"/>
      <c r="M133" s="150"/>
      <c r="N133" s="151"/>
      <c r="O133" s="151"/>
      <c r="P133" s="43"/>
      <c r="Q133" s="43"/>
      <c r="R133" s="44"/>
    </row>
    <row r="134" spans="2:18" ht="12" hidden="1" customHeight="1" outlineLevel="1">
      <c r="B134" s="87" t="s">
        <v>982</v>
      </c>
      <c r="C134" s="38"/>
      <c r="D134" s="38"/>
      <c r="E134" s="124"/>
      <c r="F134" s="38"/>
      <c r="G134" s="38"/>
      <c r="H134" s="38"/>
      <c r="I134" s="43"/>
      <c r="J134" s="43"/>
      <c r="K134" s="43"/>
      <c r="L134" s="38"/>
      <c r="M134" s="150"/>
      <c r="N134" s="151"/>
      <c r="O134" s="151"/>
      <c r="P134" s="43"/>
      <c r="Q134" s="43"/>
      <c r="R134" s="44"/>
    </row>
    <row r="135" spans="2:18" ht="12" hidden="1" customHeight="1" outlineLevel="1">
      <c r="B135" s="87" t="s">
        <v>983</v>
      </c>
      <c r="C135" s="38"/>
      <c r="D135" s="38"/>
      <c r="E135" s="124"/>
      <c r="F135" s="38"/>
      <c r="G135" s="38"/>
      <c r="H135" s="38"/>
      <c r="I135" s="43"/>
      <c r="J135" s="43"/>
      <c r="K135" s="43"/>
      <c r="L135" s="38"/>
      <c r="M135" s="150"/>
      <c r="N135" s="151"/>
      <c r="O135" s="151"/>
      <c r="P135" s="43"/>
      <c r="Q135" s="43"/>
      <c r="R135" s="44"/>
    </row>
    <row r="136" spans="2:18" ht="12" hidden="1" customHeight="1" outlineLevel="1">
      <c r="B136" s="87" t="s">
        <v>984</v>
      </c>
      <c r="C136" s="38"/>
      <c r="D136" s="38"/>
      <c r="E136" s="124"/>
      <c r="F136" s="38"/>
      <c r="G136" s="38"/>
      <c r="H136" s="38"/>
      <c r="I136" s="43"/>
      <c r="J136" s="43"/>
      <c r="K136" s="43"/>
      <c r="L136" s="38"/>
      <c r="M136" s="150"/>
      <c r="N136" s="151"/>
      <c r="O136" s="151"/>
      <c r="P136" s="43"/>
      <c r="Q136" s="43"/>
      <c r="R136" s="44"/>
    </row>
    <row r="137" spans="2:18" ht="12" hidden="1" customHeight="1" outlineLevel="1">
      <c r="B137" s="87" t="s">
        <v>985</v>
      </c>
      <c r="C137" s="38"/>
      <c r="D137" s="38"/>
      <c r="E137" s="124"/>
      <c r="F137" s="38"/>
      <c r="G137" s="38"/>
      <c r="H137" s="38"/>
      <c r="I137" s="43"/>
      <c r="J137" s="43"/>
      <c r="K137" s="43"/>
      <c r="L137" s="38"/>
      <c r="M137" s="150"/>
      <c r="N137" s="151"/>
      <c r="O137" s="151"/>
      <c r="P137" s="43"/>
      <c r="Q137" s="43"/>
      <c r="R137" s="44"/>
    </row>
    <row r="138" spans="2:18" ht="12" hidden="1" customHeight="1" outlineLevel="1">
      <c r="B138" s="87" t="s">
        <v>986</v>
      </c>
      <c r="C138" s="38"/>
      <c r="D138" s="38"/>
      <c r="E138" s="124"/>
      <c r="F138" s="38"/>
      <c r="G138" s="38"/>
      <c r="H138" s="38"/>
      <c r="I138" s="43"/>
      <c r="J138" s="43"/>
      <c r="K138" s="43"/>
      <c r="L138" s="38"/>
      <c r="M138" s="150"/>
      <c r="N138" s="151"/>
      <c r="O138" s="151"/>
      <c r="P138" s="43"/>
      <c r="Q138" s="43"/>
      <c r="R138" s="44"/>
    </row>
    <row r="139" spans="2:18" ht="12" hidden="1" customHeight="1" outlineLevel="1">
      <c r="B139" s="87" t="s">
        <v>987</v>
      </c>
      <c r="C139" s="38"/>
      <c r="D139" s="38"/>
      <c r="E139" s="124"/>
      <c r="F139" s="38"/>
      <c r="G139" s="38"/>
      <c r="H139" s="38"/>
      <c r="I139" s="43"/>
      <c r="J139" s="43"/>
      <c r="K139" s="43"/>
      <c r="L139" s="38"/>
      <c r="M139" s="150"/>
      <c r="N139" s="151"/>
      <c r="O139" s="151"/>
      <c r="P139" s="43"/>
      <c r="Q139" s="43"/>
      <c r="R139" s="44"/>
    </row>
    <row r="140" spans="2:18" ht="12" hidden="1" customHeight="1" outlineLevel="1">
      <c r="B140" s="87" t="s">
        <v>988</v>
      </c>
      <c r="C140" s="38"/>
      <c r="D140" s="38"/>
      <c r="E140" s="124"/>
      <c r="F140" s="38"/>
      <c r="G140" s="38"/>
      <c r="H140" s="38"/>
      <c r="I140" s="43"/>
      <c r="J140" s="43"/>
      <c r="K140" s="43"/>
      <c r="L140" s="38"/>
      <c r="M140" s="150"/>
      <c r="N140" s="151"/>
      <c r="O140" s="151"/>
      <c r="P140" s="43"/>
      <c r="Q140" s="43"/>
      <c r="R140" s="44"/>
    </row>
    <row r="141" spans="2:18" ht="12" hidden="1" customHeight="1" outlineLevel="1">
      <c r="B141" s="87" t="s">
        <v>989</v>
      </c>
      <c r="C141" s="38"/>
      <c r="D141" s="38"/>
      <c r="E141" s="124"/>
      <c r="F141" s="38"/>
      <c r="G141" s="38"/>
      <c r="H141" s="38"/>
      <c r="I141" s="43"/>
      <c r="J141" s="43"/>
      <c r="K141" s="43"/>
      <c r="L141" s="38"/>
      <c r="M141" s="150"/>
      <c r="N141" s="151"/>
      <c r="O141" s="151"/>
      <c r="P141" s="43"/>
      <c r="Q141" s="43"/>
      <c r="R141" s="44"/>
    </row>
    <row r="142" spans="2:18" ht="12" hidden="1" customHeight="1" outlineLevel="1">
      <c r="B142" s="87" t="s">
        <v>990</v>
      </c>
      <c r="C142" s="38"/>
      <c r="D142" s="38"/>
      <c r="E142" s="124"/>
      <c r="F142" s="38"/>
      <c r="G142" s="38"/>
      <c r="H142" s="38"/>
      <c r="I142" s="43"/>
      <c r="J142" s="43"/>
      <c r="K142" s="43"/>
      <c r="L142" s="38"/>
      <c r="M142" s="150"/>
      <c r="N142" s="151"/>
      <c r="O142" s="151"/>
      <c r="P142" s="43"/>
      <c r="Q142" s="43"/>
      <c r="R142" s="44"/>
    </row>
    <row r="143" spans="2:18" ht="12" hidden="1" customHeight="1" outlineLevel="1">
      <c r="B143" s="87" t="s">
        <v>991</v>
      </c>
      <c r="C143" s="38"/>
      <c r="D143" s="38"/>
      <c r="E143" s="124"/>
      <c r="F143" s="38"/>
      <c r="G143" s="38"/>
      <c r="H143" s="38"/>
      <c r="I143" s="43"/>
      <c r="J143" s="43"/>
      <c r="K143" s="43"/>
      <c r="L143" s="38"/>
      <c r="M143" s="150"/>
      <c r="N143" s="151"/>
      <c r="O143" s="151"/>
      <c r="P143" s="43"/>
      <c r="Q143" s="43"/>
      <c r="R143" s="44"/>
    </row>
    <row r="144" spans="2:18" ht="12" hidden="1" customHeight="1" outlineLevel="1">
      <c r="B144" s="87" t="s">
        <v>992</v>
      </c>
      <c r="C144" s="38"/>
      <c r="D144" s="38"/>
      <c r="E144" s="124"/>
      <c r="F144" s="38"/>
      <c r="G144" s="38"/>
      <c r="H144" s="38"/>
      <c r="I144" s="43"/>
      <c r="J144" s="43"/>
      <c r="K144" s="43"/>
      <c r="L144" s="38"/>
      <c r="M144" s="150"/>
      <c r="N144" s="151"/>
      <c r="O144" s="151"/>
      <c r="P144" s="43"/>
      <c r="Q144" s="43"/>
      <c r="R144" s="44"/>
    </row>
    <row r="145" spans="2:18" ht="12" hidden="1" customHeight="1" outlineLevel="1">
      <c r="B145" s="87" t="s">
        <v>993</v>
      </c>
      <c r="C145" s="38"/>
      <c r="D145" s="38"/>
      <c r="E145" s="124"/>
      <c r="F145" s="38"/>
      <c r="G145" s="38"/>
      <c r="H145" s="38"/>
      <c r="I145" s="43"/>
      <c r="J145" s="43"/>
      <c r="K145" s="43"/>
      <c r="L145" s="38"/>
      <c r="M145" s="150"/>
      <c r="N145" s="151"/>
      <c r="O145" s="151"/>
      <c r="P145" s="43"/>
      <c r="Q145" s="43"/>
      <c r="R145" s="44"/>
    </row>
    <row r="146" spans="2:18" ht="12" hidden="1" customHeight="1" outlineLevel="1">
      <c r="B146" s="87" t="s">
        <v>994</v>
      </c>
      <c r="C146" s="38"/>
      <c r="D146" s="38"/>
      <c r="E146" s="124"/>
      <c r="F146" s="38"/>
      <c r="G146" s="38"/>
      <c r="H146" s="38"/>
      <c r="I146" s="43"/>
      <c r="J146" s="43"/>
      <c r="K146" s="43"/>
      <c r="L146" s="38"/>
      <c r="M146" s="150"/>
      <c r="N146" s="151"/>
      <c r="O146" s="151"/>
      <c r="P146" s="43"/>
      <c r="Q146" s="43"/>
      <c r="R146" s="44"/>
    </row>
    <row r="147" spans="2:18" ht="12" hidden="1" customHeight="1" outlineLevel="1">
      <c r="B147" s="87" t="s">
        <v>995</v>
      </c>
      <c r="C147" s="38"/>
      <c r="D147" s="38"/>
      <c r="E147" s="124"/>
      <c r="F147" s="38"/>
      <c r="G147" s="38"/>
      <c r="H147" s="38"/>
      <c r="I147" s="43"/>
      <c r="J147" s="43"/>
      <c r="K147" s="43"/>
      <c r="L147" s="38"/>
      <c r="M147" s="150"/>
      <c r="N147" s="151"/>
      <c r="O147" s="151"/>
      <c r="P147" s="43"/>
      <c r="Q147" s="43"/>
      <c r="R147" s="44"/>
    </row>
    <row r="148" spans="2:18" ht="12" hidden="1" customHeight="1" outlineLevel="1">
      <c r="B148" s="87" t="s">
        <v>996</v>
      </c>
      <c r="C148" s="38"/>
      <c r="D148" s="38"/>
      <c r="E148" s="124"/>
      <c r="F148" s="38"/>
      <c r="G148" s="38"/>
      <c r="H148" s="38"/>
      <c r="I148" s="43"/>
      <c r="J148" s="43"/>
      <c r="K148" s="43"/>
      <c r="L148" s="38"/>
      <c r="M148" s="150"/>
      <c r="N148" s="151"/>
      <c r="O148" s="151"/>
      <c r="P148" s="43"/>
      <c r="Q148" s="43"/>
      <c r="R148" s="44"/>
    </row>
    <row r="149" spans="2:18" ht="12" hidden="1" customHeight="1" outlineLevel="1" thickBot="1">
      <c r="B149" s="158" t="s">
        <v>997</v>
      </c>
      <c r="C149" s="152"/>
      <c r="D149" s="152"/>
      <c r="E149" s="153"/>
      <c r="F149" s="152"/>
      <c r="G149" s="152"/>
      <c r="H149" s="152"/>
      <c r="I149" s="154"/>
      <c r="J149" s="154"/>
      <c r="K149" s="154"/>
      <c r="L149" s="152"/>
      <c r="M149" s="155"/>
      <c r="N149" s="156"/>
      <c r="O149" s="156"/>
      <c r="P149" s="154"/>
      <c r="Q149" s="154"/>
      <c r="R149" s="157"/>
    </row>
    <row r="150" spans="2:18" ht="12" customHeight="1" collapsed="1" thickBot="1">
      <c r="B150" s="159" t="s">
        <v>1252</v>
      </c>
      <c r="C150" s="173"/>
      <c r="D150" s="173"/>
      <c r="E150" s="174"/>
      <c r="F150" s="173"/>
      <c r="G150" s="173"/>
      <c r="H150" s="173"/>
      <c r="I150" s="175"/>
      <c r="J150" s="175"/>
      <c r="K150" s="175"/>
      <c r="L150" s="173"/>
      <c r="M150" s="176"/>
      <c r="N150" s="177"/>
      <c r="O150" s="177"/>
      <c r="P150" s="175"/>
      <c r="Q150" s="178"/>
      <c r="R150" s="111">
        <v>0</v>
      </c>
    </row>
    <row r="151" spans="2:18" ht="12" hidden="1" customHeight="1" outlineLevel="1">
      <c r="B151" s="166" t="s">
        <v>928</v>
      </c>
      <c r="C151" s="167"/>
      <c r="D151" s="167"/>
      <c r="E151" s="168"/>
      <c r="F151" s="167"/>
      <c r="G151" s="167"/>
      <c r="H151" s="167"/>
      <c r="I151" s="169"/>
      <c r="J151" s="169"/>
      <c r="K151" s="169"/>
      <c r="L151" s="167"/>
      <c r="M151" s="170"/>
      <c r="N151" s="171"/>
      <c r="O151" s="171"/>
      <c r="P151" s="169"/>
      <c r="Q151" s="169"/>
      <c r="R151" s="172"/>
    </row>
    <row r="152" spans="2:18" ht="12" hidden="1" customHeight="1" outlineLevel="1">
      <c r="B152" s="87" t="s">
        <v>929</v>
      </c>
      <c r="C152" s="38"/>
      <c r="D152" s="38"/>
      <c r="E152" s="124"/>
      <c r="F152" s="38"/>
      <c r="G152" s="38"/>
      <c r="H152" s="38"/>
      <c r="I152" s="43"/>
      <c r="J152" s="43"/>
      <c r="K152" s="43"/>
      <c r="L152" s="38"/>
      <c r="M152" s="150"/>
      <c r="N152" s="151"/>
      <c r="O152" s="151"/>
      <c r="P152" s="43"/>
      <c r="Q152" s="43"/>
      <c r="R152" s="44"/>
    </row>
    <row r="153" spans="2:18" ht="12" hidden="1" customHeight="1" outlineLevel="1">
      <c r="B153" s="87" t="s">
        <v>930</v>
      </c>
      <c r="C153" s="38"/>
      <c r="D153" s="38"/>
      <c r="E153" s="124"/>
      <c r="F153" s="38"/>
      <c r="G153" s="38"/>
      <c r="H153" s="38"/>
      <c r="I153" s="43"/>
      <c r="J153" s="43"/>
      <c r="K153" s="43"/>
      <c r="L153" s="38"/>
      <c r="M153" s="150"/>
      <c r="N153" s="151"/>
      <c r="O153" s="151"/>
      <c r="P153" s="43"/>
      <c r="Q153" s="43"/>
      <c r="R153" s="44"/>
    </row>
    <row r="154" spans="2:18" ht="12" hidden="1" customHeight="1" outlineLevel="1">
      <c r="B154" s="87" t="s">
        <v>931</v>
      </c>
      <c r="C154" s="38"/>
      <c r="D154" s="38"/>
      <c r="E154" s="124"/>
      <c r="F154" s="38"/>
      <c r="G154" s="38"/>
      <c r="H154" s="38"/>
      <c r="I154" s="43"/>
      <c r="J154" s="43"/>
      <c r="K154" s="43"/>
      <c r="L154" s="38"/>
      <c r="M154" s="150"/>
      <c r="N154" s="151"/>
      <c r="O154" s="151"/>
      <c r="P154" s="43"/>
      <c r="Q154" s="43"/>
      <c r="R154" s="44"/>
    </row>
    <row r="155" spans="2:18" ht="12" hidden="1" customHeight="1" outlineLevel="1">
      <c r="B155" s="87" t="s">
        <v>932</v>
      </c>
      <c r="C155" s="38"/>
      <c r="D155" s="38"/>
      <c r="E155" s="124"/>
      <c r="F155" s="38"/>
      <c r="G155" s="38"/>
      <c r="H155" s="38"/>
      <c r="I155" s="43"/>
      <c r="J155" s="43"/>
      <c r="K155" s="43"/>
      <c r="L155" s="38"/>
      <c r="M155" s="150"/>
      <c r="N155" s="151"/>
      <c r="O155" s="151"/>
      <c r="P155" s="43"/>
      <c r="Q155" s="43"/>
      <c r="R155" s="44"/>
    </row>
    <row r="156" spans="2:18" ht="12" hidden="1" customHeight="1" outlineLevel="1">
      <c r="B156" s="87" t="s">
        <v>933</v>
      </c>
      <c r="C156" s="38"/>
      <c r="D156" s="38"/>
      <c r="E156" s="124"/>
      <c r="F156" s="38"/>
      <c r="G156" s="38"/>
      <c r="H156" s="38"/>
      <c r="I156" s="43"/>
      <c r="J156" s="43"/>
      <c r="K156" s="43"/>
      <c r="L156" s="38"/>
      <c r="M156" s="150"/>
      <c r="N156" s="151"/>
      <c r="O156" s="151"/>
      <c r="P156" s="43"/>
      <c r="Q156" s="43"/>
      <c r="R156" s="44"/>
    </row>
    <row r="157" spans="2:18" ht="12" hidden="1" customHeight="1" outlineLevel="1">
      <c r="B157" s="87" t="s">
        <v>934</v>
      </c>
      <c r="C157" s="38"/>
      <c r="D157" s="38"/>
      <c r="E157" s="124"/>
      <c r="F157" s="38"/>
      <c r="G157" s="38"/>
      <c r="H157" s="38"/>
      <c r="I157" s="43"/>
      <c r="J157" s="43"/>
      <c r="K157" s="43"/>
      <c r="L157" s="38"/>
      <c r="M157" s="150"/>
      <c r="N157" s="151"/>
      <c r="O157" s="151"/>
      <c r="P157" s="43"/>
      <c r="Q157" s="43"/>
      <c r="R157" s="44"/>
    </row>
    <row r="158" spans="2:18" ht="12" hidden="1" customHeight="1" outlineLevel="1">
      <c r="B158" s="87" t="s">
        <v>935</v>
      </c>
      <c r="C158" s="38"/>
      <c r="D158" s="38"/>
      <c r="E158" s="124"/>
      <c r="F158" s="38"/>
      <c r="G158" s="38"/>
      <c r="H158" s="38"/>
      <c r="I158" s="43"/>
      <c r="J158" s="43"/>
      <c r="K158" s="43"/>
      <c r="L158" s="38"/>
      <c r="M158" s="150"/>
      <c r="N158" s="151"/>
      <c r="O158" s="151"/>
      <c r="P158" s="43"/>
      <c r="Q158" s="43"/>
      <c r="R158" s="44"/>
    </row>
    <row r="159" spans="2:18" ht="12" hidden="1" customHeight="1" outlineLevel="1">
      <c r="B159" s="87" t="s">
        <v>936</v>
      </c>
      <c r="C159" s="38"/>
      <c r="D159" s="38"/>
      <c r="E159" s="124"/>
      <c r="F159" s="38"/>
      <c r="G159" s="38"/>
      <c r="H159" s="38"/>
      <c r="I159" s="43"/>
      <c r="J159" s="43"/>
      <c r="K159" s="43"/>
      <c r="L159" s="38"/>
      <c r="M159" s="150"/>
      <c r="N159" s="151"/>
      <c r="O159" s="151"/>
      <c r="P159" s="43"/>
      <c r="Q159" s="43"/>
      <c r="R159" s="44"/>
    </row>
    <row r="160" spans="2:18" ht="12" hidden="1" customHeight="1" outlineLevel="1">
      <c r="B160" s="87" t="s">
        <v>937</v>
      </c>
      <c r="C160" s="38"/>
      <c r="D160" s="38"/>
      <c r="E160" s="124"/>
      <c r="F160" s="38"/>
      <c r="G160" s="38"/>
      <c r="H160" s="38"/>
      <c r="I160" s="43"/>
      <c r="J160" s="43"/>
      <c r="K160" s="43"/>
      <c r="L160" s="38"/>
      <c r="M160" s="150"/>
      <c r="N160" s="151"/>
      <c r="O160" s="151"/>
      <c r="P160" s="43"/>
      <c r="Q160" s="43"/>
      <c r="R160" s="44"/>
    </row>
    <row r="161" spans="2:18" ht="12" hidden="1" customHeight="1" outlineLevel="1">
      <c r="B161" s="87" t="s">
        <v>938</v>
      </c>
      <c r="C161" s="38"/>
      <c r="D161" s="38"/>
      <c r="E161" s="124"/>
      <c r="F161" s="38"/>
      <c r="G161" s="38"/>
      <c r="H161" s="38"/>
      <c r="I161" s="43"/>
      <c r="J161" s="43"/>
      <c r="K161" s="43"/>
      <c r="L161" s="38"/>
      <c r="M161" s="150"/>
      <c r="N161" s="151"/>
      <c r="O161" s="151"/>
      <c r="P161" s="43"/>
      <c r="Q161" s="43"/>
      <c r="R161" s="44"/>
    </row>
    <row r="162" spans="2:18" ht="12" hidden="1" customHeight="1" outlineLevel="1">
      <c r="B162" s="87" t="s">
        <v>939</v>
      </c>
      <c r="C162" s="38"/>
      <c r="D162" s="38"/>
      <c r="E162" s="124"/>
      <c r="F162" s="38"/>
      <c r="G162" s="38"/>
      <c r="H162" s="38"/>
      <c r="I162" s="43"/>
      <c r="J162" s="43"/>
      <c r="K162" s="43"/>
      <c r="L162" s="38"/>
      <c r="M162" s="150"/>
      <c r="N162" s="151"/>
      <c r="O162" s="151"/>
      <c r="P162" s="43"/>
      <c r="Q162" s="43"/>
      <c r="R162" s="44"/>
    </row>
    <row r="163" spans="2:18" ht="12" hidden="1" customHeight="1" outlineLevel="1">
      <c r="B163" s="87" t="s">
        <v>940</v>
      </c>
      <c r="C163" s="38"/>
      <c r="D163" s="38"/>
      <c r="E163" s="124"/>
      <c r="F163" s="38"/>
      <c r="G163" s="38"/>
      <c r="H163" s="38"/>
      <c r="I163" s="43"/>
      <c r="J163" s="43"/>
      <c r="K163" s="43"/>
      <c r="L163" s="38"/>
      <c r="M163" s="150"/>
      <c r="N163" s="151"/>
      <c r="O163" s="151"/>
      <c r="P163" s="43"/>
      <c r="Q163" s="43"/>
      <c r="R163" s="44"/>
    </row>
    <row r="164" spans="2:18" ht="12" hidden="1" customHeight="1" outlineLevel="1">
      <c r="B164" s="87" t="s">
        <v>941</v>
      </c>
      <c r="C164" s="38"/>
      <c r="D164" s="38"/>
      <c r="E164" s="124"/>
      <c r="F164" s="38"/>
      <c r="G164" s="38"/>
      <c r="H164" s="38"/>
      <c r="I164" s="43"/>
      <c r="J164" s="43"/>
      <c r="K164" s="43"/>
      <c r="L164" s="38"/>
      <c r="M164" s="150"/>
      <c r="N164" s="151"/>
      <c r="O164" s="151"/>
      <c r="P164" s="43"/>
      <c r="Q164" s="43"/>
      <c r="R164" s="44"/>
    </row>
    <row r="165" spans="2:18" ht="12" hidden="1" customHeight="1" outlineLevel="1">
      <c r="B165" s="87" t="s">
        <v>942</v>
      </c>
      <c r="C165" s="38"/>
      <c r="D165" s="38"/>
      <c r="E165" s="124"/>
      <c r="F165" s="38"/>
      <c r="G165" s="38"/>
      <c r="H165" s="38"/>
      <c r="I165" s="43"/>
      <c r="J165" s="43"/>
      <c r="K165" s="43"/>
      <c r="L165" s="38"/>
      <c r="M165" s="150"/>
      <c r="N165" s="151"/>
      <c r="O165" s="151"/>
      <c r="P165" s="43"/>
      <c r="Q165" s="43"/>
      <c r="R165" s="44"/>
    </row>
    <row r="166" spans="2:18" ht="12" hidden="1" customHeight="1" outlineLevel="1">
      <c r="B166" s="87" t="s">
        <v>943</v>
      </c>
      <c r="C166" s="38"/>
      <c r="D166" s="38"/>
      <c r="E166" s="124"/>
      <c r="F166" s="38"/>
      <c r="G166" s="38"/>
      <c r="H166" s="38"/>
      <c r="I166" s="43"/>
      <c r="J166" s="43"/>
      <c r="K166" s="43"/>
      <c r="L166" s="38"/>
      <c r="M166" s="150"/>
      <c r="N166" s="151"/>
      <c r="O166" s="151"/>
      <c r="P166" s="43"/>
      <c r="Q166" s="43"/>
      <c r="R166" s="44"/>
    </row>
    <row r="167" spans="2:18" ht="12" hidden="1" customHeight="1" outlineLevel="1">
      <c r="B167" s="87" t="s">
        <v>944</v>
      </c>
      <c r="C167" s="38"/>
      <c r="D167" s="38"/>
      <c r="E167" s="124"/>
      <c r="F167" s="38"/>
      <c r="G167" s="38"/>
      <c r="H167" s="38"/>
      <c r="I167" s="43"/>
      <c r="J167" s="43"/>
      <c r="K167" s="43"/>
      <c r="L167" s="38"/>
      <c r="M167" s="150"/>
      <c r="N167" s="151"/>
      <c r="O167" s="151"/>
      <c r="P167" s="43"/>
      <c r="Q167" s="43"/>
      <c r="R167" s="44"/>
    </row>
    <row r="168" spans="2:18" ht="12" hidden="1" customHeight="1" outlineLevel="1">
      <c r="B168" s="87" t="s">
        <v>945</v>
      </c>
      <c r="C168" s="38"/>
      <c r="D168" s="38"/>
      <c r="E168" s="124"/>
      <c r="F168" s="38"/>
      <c r="G168" s="38"/>
      <c r="H168" s="38"/>
      <c r="I168" s="43"/>
      <c r="J168" s="43"/>
      <c r="K168" s="43"/>
      <c r="L168" s="38"/>
      <c r="M168" s="150"/>
      <c r="N168" s="151"/>
      <c r="O168" s="151"/>
      <c r="P168" s="43"/>
      <c r="Q168" s="43"/>
      <c r="R168" s="44"/>
    </row>
    <row r="169" spans="2:18" ht="12" hidden="1" customHeight="1" outlineLevel="1">
      <c r="B169" s="87" t="s">
        <v>946</v>
      </c>
      <c r="C169" s="38"/>
      <c r="D169" s="38"/>
      <c r="E169" s="124"/>
      <c r="F169" s="38"/>
      <c r="G169" s="38"/>
      <c r="H169" s="38"/>
      <c r="I169" s="43"/>
      <c r="J169" s="43"/>
      <c r="K169" s="43"/>
      <c r="L169" s="38"/>
      <c r="M169" s="150"/>
      <c r="N169" s="151"/>
      <c r="O169" s="151"/>
      <c r="P169" s="43"/>
      <c r="Q169" s="43"/>
      <c r="R169" s="44"/>
    </row>
    <row r="170" spans="2:18" ht="12" hidden="1" customHeight="1" outlineLevel="1">
      <c r="B170" s="87" t="s">
        <v>947</v>
      </c>
      <c r="C170" s="38"/>
      <c r="D170" s="38"/>
      <c r="E170" s="124"/>
      <c r="F170" s="38"/>
      <c r="G170" s="38"/>
      <c r="H170" s="38"/>
      <c r="I170" s="43"/>
      <c r="J170" s="43"/>
      <c r="K170" s="43"/>
      <c r="L170" s="38"/>
      <c r="M170" s="150"/>
      <c r="N170" s="151"/>
      <c r="O170" s="151"/>
      <c r="P170" s="43"/>
      <c r="Q170" s="43"/>
      <c r="R170" s="44"/>
    </row>
    <row r="171" spans="2:18" ht="12" hidden="1" customHeight="1" outlineLevel="1">
      <c r="B171" s="87" t="s">
        <v>948</v>
      </c>
      <c r="C171" s="38"/>
      <c r="D171" s="38"/>
      <c r="E171" s="124"/>
      <c r="F171" s="38"/>
      <c r="G171" s="38"/>
      <c r="H171" s="38"/>
      <c r="I171" s="43"/>
      <c r="J171" s="43"/>
      <c r="K171" s="43"/>
      <c r="L171" s="38"/>
      <c r="M171" s="150"/>
      <c r="N171" s="151"/>
      <c r="O171" s="151"/>
      <c r="P171" s="43"/>
      <c r="Q171" s="43"/>
      <c r="R171" s="44"/>
    </row>
    <row r="172" spans="2:18" ht="12" hidden="1" customHeight="1" outlineLevel="1">
      <c r="B172" s="87" t="s">
        <v>949</v>
      </c>
      <c r="C172" s="38"/>
      <c r="D172" s="38"/>
      <c r="E172" s="124"/>
      <c r="F172" s="38"/>
      <c r="G172" s="38"/>
      <c r="H172" s="38"/>
      <c r="I172" s="43"/>
      <c r="J172" s="43"/>
      <c r="K172" s="43"/>
      <c r="L172" s="38"/>
      <c r="M172" s="150"/>
      <c r="N172" s="151"/>
      <c r="O172" s="151"/>
      <c r="P172" s="43"/>
      <c r="Q172" s="43"/>
      <c r="R172" s="44"/>
    </row>
    <row r="173" spans="2:18" ht="12" hidden="1" customHeight="1" outlineLevel="1">
      <c r="B173" s="87" t="s">
        <v>950</v>
      </c>
      <c r="C173" s="38"/>
      <c r="D173" s="38"/>
      <c r="E173" s="124"/>
      <c r="F173" s="38"/>
      <c r="G173" s="38"/>
      <c r="H173" s="38"/>
      <c r="I173" s="43"/>
      <c r="J173" s="43"/>
      <c r="K173" s="43"/>
      <c r="L173" s="38"/>
      <c r="M173" s="150"/>
      <c r="N173" s="151"/>
      <c r="O173" s="151"/>
      <c r="P173" s="43"/>
      <c r="Q173" s="43"/>
      <c r="R173" s="44"/>
    </row>
    <row r="174" spans="2:18" ht="12" hidden="1" customHeight="1" outlineLevel="1">
      <c r="B174" s="87" t="s">
        <v>951</v>
      </c>
      <c r="C174" s="38"/>
      <c r="D174" s="38"/>
      <c r="E174" s="124"/>
      <c r="F174" s="38"/>
      <c r="G174" s="38"/>
      <c r="H174" s="38"/>
      <c r="I174" s="43"/>
      <c r="J174" s="43"/>
      <c r="K174" s="43"/>
      <c r="L174" s="38"/>
      <c r="M174" s="150"/>
      <c r="N174" s="151"/>
      <c r="O174" s="151"/>
      <c r="P174" s="43"/>
      <c r="Q174" s="43"/>
      <c r="R174" s="44"/>
    </row>
    <row r="175" spans="2:18" ht="12" hidden="1" customHeight="1" outlineLevel="1">
      <c r="B175" s="87" t="s">
        <v>952</v>
      </c>
      <c r="C175" s="38"/>
      <c r="D175" s="38"/>
      <c r="E175" s="124"/>
      <c r="F175" s="38"/>
      <c r="G175" s="38"/>
      <c r="H175" s="38"/>
      <c r="I175" s="43"/>
      <c r="J175" s="43"/>
      <c r="K175" s="43"/>
      <c r="L175" s="38"/>
      <c r="M175" s="150"/>
      <c r="N175" s="151"/>
      <c r="O175" s="151"/>
      <c r="P175" s="43"/>
      <c r="Q175" s="43"/>
      <c r="R175" s="44"/>
    </row>
    <row r="176" spans="2:18" ht="12" hidden="1" customHeight="1" outlineLevel="1">
      <c r="B176" s="87" t="s">
        <v>953</v>
      </c>
      <c r="C176" s="38"/>
      <c r="D176" s="38"/>
      <c r="E176" s="124"/>
      <c r="F176" s="38"/>
      <c r="G176" s="38"/>
      <c r="H176" s="38"/>
      <c r="I176" s="43"/>
      <c r="J176" s="43"/>
      <c r="K176" s="43"/>
      <c r="L176" s="38"/>
      <c r="M176" s="150"/>
      <c r="N176" s="151"/>
      <c r="O176" s="151"/>
      <c r="P176" s="43"/>
      <c r="Q176" s="43"/>
      <c r="R176" s="44"/>
    </row>
    <row r="177" spans="2:18" ht="12" hidden="1" customHeight="1" outlineLevel="1">
      <c r="B177" s="87" t="s">
        <v>954</v>
      </c>
      <c r="C177" s="38"/>
      <c r="D177" s="38"/>
      <c r="E177" s="124"/>
      <c r="F177" s="38"/>
      <c r="G177" s="38"/>
      <c r="H177" s="38"/>
      <c r="I177" s="43"/>
      <c r="J177" s="43"/>
      <c r="K177" s="43"/>
      <c r="L177" s="38"/>
      <c r="M177" s="150"/>
      <c r="N177" s="151"/>
      <c r="O177" s="151"/>
      <c r="P177" s="43"/>
      <c r="Q177" s="43"/>
      <c r="R177" s="44"/>
    </row>
    <row r="178" spans="2:18" ht="12" hidden="1" customHeight="1" outlineLevel="1">
      <c r="B178" s="87" t="s">
        <v>955</v>
      </c>
      <c r="C178" s="38"/>
      <c r="D178" s="38"/>
      <c r="E178" s="124"/>
      <c r="F178" s="38"/>
      <c r="G178" s="38"/>
      <c r="H178" s="38"/>
      <c r="I178" s="43"/>
      <c r="J178" s="43"/>
      <c r="K178" s="43"/>
      <c r="L178" s="38"/>
      <c r="M178" s="150"/>
      <c r="N178" s="151"/>
      <c r="O178" s="151"/>
      <c r="P178" s="43"/>
      <c r="Q178" s="43"/>
      <c r="R178" s="44"/>
    </row>
    <row r="179" spans="2:18" ht="12" hidden="1" customHeight="1" outlineLevel="1">
      <c r="B179" s="87" t="s">
        <v>956</v>
      </c>
      <c r="C179" s="38"/>
      <c r="D179" s="38"/>
      <c r="E179" s="124"/>
      <c r="F179" s="38"/>
      <c r="G179" s="38"/>
      <c r="H179" s="38"/>
      <c r="I179" s="43"/>
      <c r="J179" s="43"/>
      <c r="K179" s="43"/>
      <c r="L179" s="38"/>
      <c r="M179" s="150"/>
      <c r="N179" s="151"/>
      <c r="O179" s="151"/>
      <c r="P179" s="43"/>
      <c r="Q179" s="43"/>
      <c r="R179" s="44"/>
    </row>
    <row r="180" spans="2:18" ht="12" hidden="1" customHeight="1" outlineLevel="1">
      <c r="B180" s="87" t="s">
        <v>957</v>
      </c>
      <c r="C180" s="38"/>
      <c r="D180" s="38"/>
      <c r="E180" s="124"/>
      <c r="F180" s="38"/>
      <c r="G180" s="38"/>
      <c r="H180" s="38"/>
      <c r="I180" s="43"/>
      <c r="J180" s="43"/>
      <c r="K180" s="43"/>
      <c r="L180" s="38"/>
      <c r="M180" s="150"/>
      <c r="N180" s="151"/>
      <c r="O180" s="151"/>
      <c r="P180" s="43"/>
      <c r="Q180" s="43"/>
      <c r="R180" s="44"/>
    </row>
    <row r="181" spans="2:18" ht="12" hidden="1" customHeight="1" outlineLevel="1">
      <c r="B181" s="87" t="s">
        <v>958</v>
      </c>
      <c r="C181" s="38"/>
      <c r="D181" s="38"/>
      <c r="E181" s="124"/>
      <c r="F181" s="38"/>
      <c r="G181" s="38"/>
      <c r="H181" s="38"/>
      <c r="I181" s="43"/>
      <c r="J181" s="43"/>
      <c r="K181" s="43"/>
      <c r="L181" s="38"/>
      <c r="M181" s="150"/>
      <c r="N181" s="151"/>
      <c r="O181" s="151"/>
      <c r="P181" s="43"/>
      <c r="Q181" s="43"/>
      <c r="R181" s="44"/>
    </row>
    <row r="182" spans="2:18" ht="12" hidden="1" customHeight="1" outlineLevel="1">
      <c r="B182" s="87" t="s">
        <v>959</v>
      </c>
      <c r="C182" s="38"/>
      <c r="D182" s="38"/>
      <c r="E182" s="124"/>
      <c r="F182" s="38"/>
      <c r="G182" s="38"/>
      <c r="H182" s="38"/>
      <c r="I182" s="43"/>
      <c r="J182" s="43"/>
      <c r="K182" s="43"/>
      <c r="L182" s="38"/>
      <c r="M182" s="150"/>
      <c r="N182" s="151"/>
      <c r="O182" s="151"/>
      <c r="P182" s="43"/>
      <c r="Q182" s="43"/>
      <c r="R182" s="44"/>
    </row>
    <row r="183" spans="2:18" ht="12" hidden="1" customHeight="1" outlineLevel="1">
      <c r="B183" s="87" t="s">
        <v>960</v>
      </c>
      <c r="C183" s="38"/>
      <c r="D183" s="38"/>
      <c r="E183" s="124"/>
      <c r="F183" s="38"/>
      <c r="G183" s="38"/>
      <c r="H183" s="38"/>
      <c r="I183" s="43"/>
      <c r="J183" s="43"/>
      <c r="K183" s="43"/>
      <c r="L183" s="38"/>
      <c r="M183" s="150"/>
      <c r="N183" s="151"/>
      <c r="O183" s="151"/>
      <c r="P183" s="43"/>
      <c r="Q183" s="43"/>
      <c r="R183" s="44"/>
    </row>
    <row r="184" spans="2:18" ht="12" hidden="1" customHeight="1" outlineLevel="1">
      <c r="B184" s="87" t="s">
        <v>961</v>
      </c>
      <c r="C184" s="38"/>
      <c r="D184" s="38"/>
      <c r="E184" s="124"/>
      <c r="F184" s="38"/>
      <c r="G184" s="38"/>
      <c r="H184" s="38"/>
      <c r="I184" s="43"/>
      <c r="J184" s="43"/>
      <c r="K184" s="43"/>
      <c r="L184" s="38"/>
      <c r="M184" s="150"/>
      <c r="N184" s="151"/>
      <c r="O184" s="151"/>
      <c r="P184" s="43"/>
      <c r="Q184" s="43"/>
      <c r="R184" s="44"/>
    </row>
    <row r="185" spans="2:18" ht="12" hidden="1" customHeight="1" outlineLevel="1">
      <c r="B185" s="87" t="s">
        <v>962</v>
      </c>
      <c r="C185" s="38"/>
      <c r="D185" s="38"/>
      <c r="E185" s="124"/>
      <c r="F185" s="38"/>
      <c r="G185" s="38"/>
      <c r="H185" s="38"/>
      <c r="I185" s="43"/>
      <c r="J185" s="43"/>
      <c r="K185" s="43"/>
      <c r="L185" s="38"/>
      <c r="M185" s="150"/>
      <c r="N185" s="151"/>
      <c r="O185" s="151"/>
      <c r="P185" s="43"/>
      <c r="Q185" s="43"/>
      <c r="R185" s="44"/>
    </row>
    <row r="186" spans="2:18" ht="12" hidden="1" customHeight="1" outlineLevel="1">
      <c r="B186" s="87" t="s">
        <v>963</v>
      </c>
      <c r="C186" s="38"/>
      <c r="D186" s="38"/>
      <c r="E186" s="124"/>
      <c r="F186" s="38"/>
      <c r="G186" s="38"/>
      <c r="H186" s="38"/>
      <c r="I186" s="43"/>
      <c r="J186" s="43"/>
      <c r="K186" s="43"/>
      <c r="L186" s="38"/>
      <c r="M186" s="150"/>
      <c r="N186" s="151"/>
      <c r="O186" s="151"/>
      <c r="P186" s="43"/>
      <c r="Q186" s="43"/>
      <c r="R186" s="44"/>
    </row>
    <row r="187" spans="2:18" ht="12" hidden="1" customHeight="1" outlineLevel="1">
      <c r="B187" s="87" t="s">
        <v>964</v>
      </c>
      <c r="C187" s="38"/>
      <c r="D187" s="38"/>
      <c r="E187" s="124"/>
      <c r="F187" s="38"/>
      <c r="G187" s="38"/>
      <c r="H187" s="38"/>
      <c r="I187" s="43"/>
      <c r="J187" s="43"/>
      <c r="K187" s="43"/>
      <c r="L187" s="38"/>
      <c r="M187" s="150"/>
      <c r="N187" s="151"/>
      <c r="O187" s="151"/>
      <c r="P187" s="43"/>
      <c r="Q187" s="43"/>
      <c r="R187" s="44"/>
    </row>
    <row r="188" spans="2:18" ht="12" hidden="1" customHeight="1" outlineLevel="1">
      <c r="B188" s="87" t="s">
        <v>965</v>
      </c>
      <c r="C188" s="38"/>
      <c r="D188" s="38"/>
      <c r="E188" s="124"/>
      <c r="F188" s="38"/>
      <c r="G188" s="38"/>
      <c r="H188" s="38"/>
      <c r="I188" s="43"/>
      <c r="J188" s="43"/>
      <c r="K188" s="43"/>
      <c r="L188" s="38"/>
      <c r="M188" s="150"/>
      <c r="N188" s="151"/>
      <c r="O188" s="151"/>
      <c r="P188" s="43"/>
      <c r="Q188" s="43"/>
      <c r="R188" s="44"/>
    </row>
    <row r="189" spans="2:18" ht="12" hidden="1" customHeight="1" outlineLevel="1">
      <c r="B189" s="87" t="s">
        <v>966</v>
      </c>
      <c r="C189" s="38"/>
      <c r="D189" s="38"/>
      <c r="E189" s="124"/>
      <c r="F189" s="38"/>
      <c r="G189" s="38"/>
      <c r="H189" s="38"/>
      <c r="I189" s="43"/>
      <c r="J189" s="43"/>
      <c r="K189" s="43"/>
      <c r="L189" s="38"/>
      <c r="M189" s="150"/>
      <c r="N189" s="151"/>
      <c r="O189" s="151"/>
      <c r="P189" s="43"/>
      <c r="Q189" s="43"/>
      <c r="R189" s="44"/>
    </row>
    <row r="190" spans="2:18" ht="12" hidden="1" customHeight="1" outlineLevel="1">
      <c r="B190" s="87" t="s">
        <v>967</v>
      </c>
      <c r="C190" s="38"/>
      <c r="D190" s="38"/>
      <c r="E190" s="124"/>
      <c r="F190" s="38"/>
      <c r="G190" s="38"/>
      <c r="H190" s="38"/>
      <c r="I190" s="43"/>
      <c r="J190" s="43"/>
      <c r="K190" s="43"/>
      <c r="L190" s="38"/>
      <c r="M190" s="150"/>
      <c r="N190" s="151"/>
      <c r="O190" s="151"/>
      <c r="P190" s="43"/>
      <c r="Q190" s="43"/>
      <c r="R190" s="44"/>
    </row>
    <row r="191" spans="2:18" ht="12" hidden="1" customHeight="1" outlineLevel="1">
      <c r="B191" s="87" t="s">
        <v>968</v>
      </c>
      <c r="C191" s="38"/>
      <c r="D191" s="38"/>
      <c r="E191" s="124"/>
      <c r="F191" s="38"/>
      <c r="G191" s="38"/>
      <c r="H191" s="38"/>
      <c r="I191" s="43"/>
      <c r="J191" s="43"/>
      <c r="K191" s="43"/>
      <c r="L191" s="38"/>
      <c r="M191" s="150"/>
      <c r="N191" s="151"/>
      <c r="O191" s="151"/>
      <c r="P191" s="43"/>
      <c r="Q191" s="43"/>
      <c r="R191" s="44"/>
    </row>
    <row r="192" spans="2:18" ht="12" hidden="1" customHeight="1" outlineLevel="1">
      <c r="B192" s="87" t="s">
        <v>969</v>
      </c>
      <c r="C192" s="38"/>
      <c r="D192" s="38"/>
      <c r="E192" s="124"/>
      <c r="F192" s="38"/>
      <c r="G192" s="38"/>
      <c r="H192" s="38"/>
      <c r="I192" s="43"/>
      <c r="J192" s="43"/>
      <c r="K192" s="43"/>
      <c r="L192" s="38"/>
      <c r="M192" s="150"/>
      <c r="N192" s="151"/>
      <c r="O192" s="151"/>
      <c r="P192" s="43"/>
      <c r="Q192" s="43"/>
      <c r="R192" s="44"/>
    </row>
    <row r="193" spans="2:18" ht="12" hidden="1" customHeight="1" outlineLevel="1">
      <c r="B193" s="87" t="s">
        <v>970</v>
      </c>
      <c r="C193" s="38"/>
      <c r="D193" s="38"/>
      <c r="E193" s="124"/>
      <c r="F193" s="38"/>
      <c r="G193" s="38"/>
      <c r="H193" s="38"/>
      <c r="I193" s="43"/>
      <c r="J193" s="43"/>
      <c r="K193" s="43"/>
      <c r="L193" s="38"/>
      <c r="M193" s="150"/>
      <c r="N193" s="151"/>
      <c r="O193" s="151"/>
      <c r="P193" s="43"/>
      <c r="Q193" s="43"/>
      <c r="R193" s="44"/>
    </row>
    <row r="194" spans="2:18" ht="12" hidden="1" customHeight="1" outlineLevel="1">
      <c r="B194" s="87" t="s">
        <v>971</v>
      </c>
      <c r="C194" s="38"/>
      <c r="D194" s="38"/>
      <c r="E194" s="124"/>
      <c r="F194" s="38"/>
      <c r="G194" s="38"/>
      <c r="H194" s="38"/>
      <c r="I194" s="43"/>
      <c r="J194" s="43"/>
      <c r="K194" s="43"/>
      <c r="L194" s="38"/>
      <c r="M194" s="150"/>
      <c r="N194" s="151"/>
      <c r="O194" s="151"/>
      <c r="P194" s="43"/>
      <c r="Q194" s="43"/>
      <c r="R194" s="44"/>
    </row>
    <row r="195" spans="2:18" ht="12" hidden="1" customHeight="1" outlineLevel="1">
      <c r="B195" s="87" t="s">
        <v>972</v>
      </c>
      <c r="C195" s="38"/>
      <c r="D195" s="38"/>
      <c r="E195" s="124"/>
      <c r="F195" s="38"/>
      <c r="G195" s="38"/>
      <c r="H195" s="38"/>
      <c r="I195" s="43"/>
      <c r="J195" s="43"/>
      <c r="K195" s="43"/>
      <c r="L195" s="38"/>
      <c r="M195" s="150"/>
      <c r="N195" s="151"/>
      <c r="O195" s="151"/>
      <c r="P195" s="43"/>
      <c r="Q195" s="43"/>
      <c r="R195" s="44"/>
    </row>
    <row r="196" spans="2:18" ht="12" hidden="1" customHeight="1" outlineLevel="1">
      <c r="B196" s="87" t="s">
        <v>973</v>
      </c>
      <c r="C196" s="38"/>
      <c r="D196" s="38"/>
      <c r="E196" s="124"/>
      <c r="F196" s="38"/>
      <c r="G196" s="38"/>
      <c r="H196" s="38"/>
      <c r="I196" s="43"/>
      <c r="J196" s="43"/>
      <c r="K196" s="43"/>
      <c r="L196" s="38"/>
      <c r="M196" s="150"/>
      <c r="N196" s="151"/>
      <c r="O196" s="151"/>
      <c r="P196" s="43"/>
      <c r="Q196" s="43"/>
      <c r="R196" s="44"/>
    </row>
    <row r="197" spans="2:18" ht="12" hidden="1" customHeight="1" outlineLevel="1">
      <c r="B197" s="87" t="s">
        <v>974</v>
      </c>
      <c r="C197" s="38"/>
      <c r="D197" s="38"/>
      <c r="E197" s="124"/>
      <c r="F197" s="38"/>
      <c r="G197" s="38"/>
      <c r="H197" s="38"/>
      <c r="I197" s="43"/>
      <c r="J197" s="43"/>
      <c r="K197" s="43"/>
      <c r="L197" s="38"/>
      <c r="M197" s="150"/>
      <c r="N197" s="151"/>
      <c r="O197" s="151"/>
      <c r="P197" s="43"/>
      <c r="Q197" s="43"/>
      <c r="R197" s="44"/>
    </row>
    <row r="198" spans="2:18" ht="12" hidden="1" customHeight="1" outlineLevel="1">
      <c r="B198" s="87" t="s">
        <v>975</v>
      </c>
      <c r="C198" s="38"/>
      <c r="D198" s="38"/>
      <c r="E198" s="124"/>
      <c r="F198" s="38"/>
      <c r="G198" s="38"/>
      <c r="H198" s="38"/>
      <c r="I198" s="43"/>
      <c r="J198" s="43"/>
      <c r="K198" s="43"/>
      <c r="L198" s="38"/>
      <c r="M198" s="150"/>
      <c r="N198" s="151"/>
      <c r="O198" s="151"/>
      <c r="P198" s="43"/>
      <c r="Q198" s="43"/>
      <c r="R198" s="44"/>
    </row>
    <row r="199" spans="2:18" ht="12" hidden="1" customHeight="1" outlineLevel="1">
      <c r="B199" s="87" t="s">
        <v>976</v>
      </c>
      <c r="C199" s="38"/>
      <c r="D199" s="38"/>
      <c r="E199" s="124"/>
      <c r="F199" s="38"/>
      <c r="G199" s="38"/>
      <c r="H199" s="38"/>
      <c r="I199" s="43"/>
      <c r="J199" s="43"/>
      <c r="K199" s="43"/>
      <c r="L199" s="38"/>
      <c r="M199" s="150"/>
      <c r="N199" s="151"/>
      <c r="O199" s="151"/>
      <c r="P199" s="43"/>
      <c r="Q199" s="43"/>
      <c r="R199" s="44"/>
    </row>
    <row r="200" spans="2:18" ht="12" hidden="1" customHeight="1" outlineLevel="1">
      <c r="B200" s="87" t="s">
        <v>977</v>
      </c>
      <c r="C200" s="38"/>
      <c r="D200" s="38"/>
      <c r="E200" s="124"/>
      <c r="F200" s="38"/>
      <c r="G200" s="38"/>
      <c r="H200" s="38"/>
      <c r="I200" s="43"/>
      <c r="J200" s="43"/>
      <c r="K200" s="43"/>
      <c r="L200" s="38"/>
      <c r="M200" s="150"/>
      <c r="N200" s="151"/>
      <c r="O200" s="151"/>
      <c r="P200" s="43"/>
      <c r="Q200" s="43"/>
      <c r="R200" s="44"/>
    </row>
    <row r="201" spans="2:18" ht="12" hidden="1" customHeight="1" outlineLevel="1">
      <c r="B201" s="87" t="s">
        <v>978</v>
      </c>
      <c r="C201" s="38"/>
      <c r="D201" s="38"/>
      <c r="E201" s="124"/>
      <c r="F201" s="38"/>
      <c r="G201" s="38"/>
      <c r="H201" s="38"/>
      <c r="I201" s="43"/>
      <c r="J201" s="43"/>
      <c r="K201" s="43"/>
      <c r="L201" s="38"/>
      <c r="M201" s="150"/>
      <c r="N201" s="151"/>
      <c r="O201" s="151"/>
      <c r="P201" s="43"/>
      <c r="Q201" s="43"/>
      <c r="R201" s="44"/>
    </row>
    <row r="202" spans="2:18" ht="12" hidden="1" customHeight="1" outlineLevel="1">
      <c r="B202" s="87" t="s">
        <v>979</v>
      </c>
      <c r="C202" s="38"/>
      <c r="D202" s="38"/>
      <c r="E202" s="124"/>
      <c r="F202" s="38"/>
      <c r="G202" s="38"/>
      <c r="H202" s="38"/>
      <c r="I202" s="43"/>
      <c r="J202" s="43"/>
      <c r="K202" s="43"/>
      <c r="L202" s="38"/>
      <c r="M202" s="150"/>
      <c r="N202" s="151"/>
      <c r="O202" s="151"/>
      <c r="P202" s="43"/>
      <c r="Q202" s="43"/>
      <c r="R202" s="44"/>
    </row>
    <row r="203" spans="2:18" ht="12" hidden="1" customHeight="1" outlineLevel="1">
      <c r="B203" s="87" t="s">
        <v>980</v>
      </c>
      <c r="C203" s="38"/>
      <c r="D203" s="38"/>
      <c r="E203" s="124"/>
      <c r="F203" s="38"/>
      <c r="G203" s="38"/>
      <c r="H203" s="38"/>
      <c r="I203" s="43"/>
      <c r="J203" s="43"/>
      <c r="K203" s="43"/>
      <c r="L203" s="38"/>
      <c r="M203" s="150"/>
      <c r="N203" s="151"/>
      <c r="O203" s="151"/>
      <c r="P203" s="43"/>
      <c r="Q203" s="43"/>
      <c r="R203" s="44"/>
    </row>
    <row r="204" spans="2:18" ht="12" hidden="1" customHeight="1" outlineLevel="1">
      <c r="B204" s="87" t="s">
        <v>981</v>
      </c>
      <c r="C204" s="38"/>
      <c r="D204" s="38"/>
      <c r="E204" s="124"/>
      <c r="F204" s="38"/>
      <c r="G204" s="38"/>
      <c r="H204" s="38"/>
      <c r="I204" s="43"/>
      <c r="J204" s="43"/>
      <c r="K204" s="43"/>
      <c r="L204" s="38"/>
      <c r="M204" s="150"/>
      <c r="N204" s="151"/>
      <c r="O204" s="151"/>
      <c r="P204" s="43"/>
      <c r="Q204" s="43"/>
      <c r="R204" s="44"/>
    </row>
    <row r="205" spans="2:18" ht="12" hidden="1" customHeight="1" outlineLevel="1">
      <c r="B205" s="87" t="s">
        <v>982</v>
      </c>
      <c r="C205" s="38"/>
      <c r="D205" s="38"/>
      <c r="E205" s="124"/>
      <c r="F205" s="38"/>
      <c r="G205" s="38"/>
      <c r="H205" s="38"/>
      <c r="I205" s="43"/>
      <c r="J205" s="43"/>
      <c r="K205" s="43"/>
      <c r="L205" s="38"/>
      <c r="M205" s="150"/>
      <c r="N205" s="151"/>
      <c r="O205" s="151"/>
      <c r="P205" s="43"/>
      <c r="Q205" s="43"/>
      <c r="R205" s="44"/>
    </row>
    <row r="206" spans="2:18" ht="12" hidden="1" customHeight="1" outlineLevel="1">
      <c r="B206" s="87" t="s">
        <v>983</v>
      </c>
      <c r="C206" s="38"/>
      <c r="D206" s="38"/>
      <c r="E206" s="124"/>
      <c r="F206" s="38"/>
      <c r="G206" s="38"/>
      <c r="H206" s="38"/>
      <c r="I206" s="43"/>
      <c r="J206" s="43"/>
      <c r="K206" s="43"/>
      <c r="L206" s="38"/>
      <c r="M206" s="150"/>
      <c r="N206" s="151"/>
      <c r="O206" s="151"/>
      <c r="P206" s="43"/>
      <c r="Q206" s="43"/>
      <c r="R206" s="44"/>
    </row>
    <row r="207" spans="2:18" ht="12" hidden="1" customHeight="1" outlineLevel="1">
      <c r="B207" s="87" t="s">
        <v>984</v>
      </c>
      <c r="C207" s="38"/>
      <c r="D207" s="38"/>
      <c r="E207" s="124"/>
      <c r="F207" s="38"/>
      <c r="G207" s="38"/>
      <c r="H207" s="38"/>
      <c r="I207" s="43"/>
      <c r="J207" s="43"/>
      <c r="K207" s="43"/>
      <c r="L207" s="38"/>
      <c r="M207" s="150"/>
      <c r="N207" s="151"/>
      <c r="O207" s="151"/>
      <c r="P207" s="43"/>
      <c r="Q207" s="43"/>
      <c r="R207" s="44"/>
    </row>
    <row r="208" spans="2:18" ht="12" hidden="1" customHeight="1" outlineLevel="1">
      <c r="B208" s="87" t="s">
        <v>985</v>
      </c>
      <c r="C208" s="38"/>
      <c r="D208" s="38"/>
      <c r="E208" s="124"/>
      <c r="F208" s="38"/>
      <c r="G208" s="38"/>
      <c r="H208" s="38"/>
      <c r="I208" s="43"/>
      <c r="J208" s="43"/>
      <c r="K208" s="43"/>
      <c r="L208" s="38"/>
      <c r="M208" s="150"/>
      <c r="N208" s="151"/>
      <c r="O208" s="151"/>
      <c r="P208" s="43"/>
      <c r="Q208" s="43"/>
      <c r="R208" s="44"/>
    </row>
    <row r="209" spans="2:18" ht="12" hidden="1" customHeight="1" outlineLevel="1">
      <c r="B209" s="87" t="s">
        <v>986</v>
      </c>
      <c r="C209" s="38"/>
      <c r="D209" s="38"/>
      <c r="E209" s="124"/>
      <c r="F209" s="38"/>
      <c r="G209" s="38"/>
      <c r="H209" s="38"/>
      <c r="I209" s="43"/>
      <c r="J209" s="43"/>
      <c r="K209" s="43"/>
      <c r="L209" s="38"/>
      <c r="M209" s="150"/>
      <c r="N209" s="151"/>
      <c r="O209" s="151"/>
      <c r="P209" s="43"/>
      <c r="Q209" s="43"/>
      <c r="R209" s="44"/>
    </row>
    <row r="210" spans="2:18" ht="12" hidden="1" customHeight="1" outlineLevel="1">
      <c r="B210" s="87" t="s">
        <v>987</v>
      </c>
      <c r="C210" s="38"/>
      <c r="D210" s="38"/>
      <c r="E210" s="124"/>
      <c r="F210" s="38"/>
      <c r="G210" s="38"/>
      <c r="H210" s="38"/>
      <c r="I210" s="43"/>
      <c r="J210" s="43"/>
      <c r="K210" s="43"/>
      <c r="L210" s="38"/>
      <c r="M210" s="150"/>
      <c r="N210" s="151"/>
      <c r="O210" s="151"/>
      <c r="P210" s="43"/>
      <c r="Q210" s="43"/>
      <c r="R210" s="44"/>
    </row>
    <row r="211" spans="2:18" ht="12" hidden="1" customHeight="1" outlineLevel="1">
      <c r="B211" s="87" t="s">
        <v>988</v>
      </c>
      <c r="C211" s="38"/>
      <c r="D211" s="38"/>
      <c r="E211" s="124"/>
      <c r="F211" s="38"/>
      <c r="G211" s="38"/>
      <c r="H211" s="38"/>
      <c r="I211" s="43"/>
      <c r="J211" s="43"/>
      <c r="K211" s="43"/>
      <c r="L211" s="38"/>
      <c r="M211" s="150"/>
      <c r="N211" s="151"/>
      <c r="O211" s="151"/>
      <c r="P211" s="43"/>
      <c r="Q211" s="43"/>
      <c r="R211" s="44"/>
    </row>
    <row r="212" spans="2:18" ht="12" hidden="1" customHeight="1" outlineLevel="1">
      <c r="B212" s="87" t="s">
        <v>989</v>
      </c>
      <c r="C212" s="38"/>
      <c r="D212" s="38"/>
      <c r="E212" s="124"/>
      <c r="F212" s="38"/>
      <c r="G212" s="38"/>
      <c r="H212" s="38"/>
      <c r="I212" s="43"/>
      <c r="J212" s="43"/>
      <c r="K212" s="43"/>
      <c r="L212" s="38"/>
      <c r="M212" s="150"/>
      <c r="N212" s="151"/>
      <c r="O212" s="151"/>
      <c r="P212" s="43"/>
      <c r="Q212" s="43"/>
      <c r="R212" s="44"/>
    </row>
    <row r="213" spans="2:18" ht="12" hidden="1" customHeight="1" outlineLevel="1">
      <c r="B213" s="87" t="s">
        <v>990</v>
      </c>
      <c r="C213" s="38"/>
      <c r="D213" s="38"/>
      <c r="E213" s="124"/>
      <c r="F213" s="38"/>
      <c r="G213" s="38"/>
      <c r="H213" s="38"/>
      <c r="I213" s="43"/>
      <c r="J213" s="43"/>
      <c r="K213" s="43"/>
      <c r="L213" s="38"/>
      <c r="M213" s="150"/>
      <c r="N213" s="151"/>
      <c r="O213" s="151"/>
      <c r="P213" s="43"/>
      <c r="Q213" s="43"/>
      <c r="R213" s="44"/>
    </row>
    <row r="214" spans="2:18" ht="12" hidden="1" customHeight="1" outlineLevel="1">
      <c r="B214" s="87" t="s">
        <v>991</v>
      </c>
      <c r="C214" s="38"/>
      <c r="D214" s="38"/>
      <c r="E214" s="124"/>
      <c r="F214" s="38"/>
      <c r="G214" s="38"/>
      <c r="H214" s="38"/>
      <c r="I214" s="43"/>
      <c r="J214" s="43"/>
      <c r="K214" s="43"/>
      <c r="L214" s="38"/>
      <c r="M214" s="150"/>
      <c r="N214" s="151"/>
      <c r="O214" s="151"/>
      <c r="P214" s="43"/>
      <c r="Q214" s="43"/>
      <c r="R214" s="44"/>
    </row>
    <row r="215" spans="2:18" ht="12" hidden="1" customHeight="1" outlineLevel="1">
      <c r="B215" s="87" t="s">
        <v>992</v>
      </c>
      <c r="C215" s="38"/>
      <c r="D215" s="38"/>
      <c r="E215" s="124"/>
      <c r="F215" s="38"/>
      <c r="G215" s="38"/>
      <c r="H215" s="38"/>
      <c r="I215" s="43"/>
      <c r="J215" s="43"/>
      <c r="K215" s="43"/>
      <c r="L215" s="38"/>
      <c r="M215" s="150"/>
      <c r="N215" s="151"/>
      <c r="O215" s="151"/>
      <c r="P215" s="43"/>
      <c r="Q215" s="43"/>
      <c r="R215" s="44"/>
    </row>
    <row r="216" spans="2:18" ht="12" hidden="1" customHeight="1" outlineLevel="1">
      <c r="B216" s="87" t="s">
        <v>993</v>
      </c>
      <c r="C216" s="38"/>
      <c r="D216" s="38"/>
      <c r="E216" s="124"/>
      <c r="F216" s="38"/>
      <c r="G216" s="38"/>
      <c r="H216" s="38"/>
      <c r="I216" s="43"/>
      <c r="J216" s="43"/>
      <c r="K216" s="43"/>
      <c r="L216" s="38"/>
      <c r="M216" s="150"/>
      <c r="N216" s="151"/>
      <c r="O216" s="151"/>
      <c r="P216" s="43"/>
      <c r="Q216" s="43"/>
      <c r="R216" s="44"/>
    </row>
    <row r="217" spans="2:18" ht="12" hidden="1" customHeight="1" outlineLevel="1">
      <c r="B217" s="87" t="s">
        <v>994</v>
      </c>
      <c r="C217" s="38"/>
      <c r="D217" s="38"/>
      <c r="E217" s="124"/>
      <c r="F217" s="38"/>
      <c r="G217" s="38"/>
      <c r="H217" s="38"/>
      <c r="I217" s="43"/>
      <c r="J217" s="43"/>
      <c r="K217" s="43"/>
      <c r="L217" s="38"/>
      <c r="M217" s="150"/>
      <c r="N217" s="151"/>
      <c r="O217" s="151"/>
      <c r="P217" s="43"/>
      <c r="Q217" s="43"/>
      <c r="R217" s="44"/>
    </row>
    <row r="218" spans="2:18" ht="12" hidden="1" customHeight="1" outlineLevel="1">
      <c r="B218" s="87" t="s">
        <v>995</v>
      </c>
      <c r="C218" s="38"/>
      <c r="D218" s="38"/>
      <c r="E218" s="124"/>
      <c r="F218" s="38"/>
      <c r="G218" s="38"/>
      <c r="H218" s="38"/>
      <c r="I218" s="43"/>
      <c r="J218" s="43"/>
      <c r="K218" s="43"/>
      <c r="L218" s="38"/>
      <c r="M218" s="150"/>
      <c r="N218" s="151"/>
      <c r="O218" s="151"/>
      <c r="P218" s="43"/>
      <c r="Q218" s="43"/>
      <c r="R218" s="44"/>
    </row>
    <row r="219" spans="2:18" ht="12" hidden="1" customHeight="1" outlineLevel="1">
      <c r="B219" s="87" t="s">
        <v>996</v>
      </c>
      <c r="C219" s="38"/>
      <c r="D219" s="38"/>
      <c r="E219" s="124"/>
      <c r="F219" s="38"/>
      <c r="G219" s="38"/>
      <c r="H219" s="38"/>
      <c r="I219" s="43"/>
      <c r="J219" s="43"/>
      <c r="K219" s="43"/>
      <c r="L219" s="38"/>
      <c r="M219" s="150"/>
      <c r="N219" s="151"/>
      <c r="O219" s="151"/>
      <c r="P219" s="43"/>
      <c r="Q219" s="43"/>
      <c r="R219" s="44"/>
    </row>
    <row r="220" spans="2:18" ht="12" hidden="1" customHeight="1" outlineLevel="1" thickBot="1">
      <c r="B220" s="158" t="s">
        <v>997</v>
      </c>
      <c r="C220" s="152"/>
      <c r="D220" s="152"/>
      <c r="E220" s="153"/>
      <c r="F220" s="152"/>
      <c r="G220" s="152"/>
      <c r="H220" s="152"/>
      <c r="I220" s="154"/>
      <c r="J220" s="154"/>
      <c r="K220" s="154"/>
      <c r="L220" s="152"/>
      <c r="M220" s="155"/>
      <c r="N220" s="156"/>
      <c r="O220" s="156"/>
      <c r="P220" s="154"/>
      <c r="Q220" s="154"/>
      <c r="R220" s="157"/>
    </row>
    <row r="221" spans="2:18" ht="12" customHeight="1" collapsed="1" thickBot="1">
      <c r="B221" s="159" t="s">
        <v>1253</v>
      </c>
      <c r="C221" s="173"/>
      <c r="D221" s="173"/>
      <c r="E221" s="174"/>
      <c r="F221" s="173"/>
      <c r="G221" s="173"/>
      <c r="H221" s="173"/>
      <c r="I221" s="175"/>
      <c r="J221" s="175"/>
      <c r="K221" s="175"/>
      <c r="L221" s="173"/>
      <c r="M221" s="176"/>
      <c r="N221" s="177"/>
      <c r="O221" s="177"/>
      <c r="P221" s="175"/>
      <c r="Q221" s="178"/>
      <c r="R221" s="111">
        <v>0</v>
      </c>
    </row>
    <row r="222" spans="2:18" ht="12" hidden="1" customHeight="1" outlineLevel="1">
      <c r="B222" s="166" t="s">
        <v>928</v>
      </c>
      <c r="C222" s="167"/>
      <c r="D222" s="167"/>
      <c r="E222" s="168"/>
      <c r="F222" s="167"/>
      <c r="G222" s="167"/>
      <c r="H222" s="167"/>
      <c r="I222" s="169"/>
      <c r="J222" s="169"/>
      <c r="K222" s="169"/>
      <c r="L222" s="167"/>
      <c r="M222" s="170"/>
      <c r="N222" s="171"/>
      <c r="O222" s="171"/>
      <c r="P222" s="169"/>
      <c r="Q222" s="169"/>
      <c r="R222" s="172"/>
    </row>
    <row r="223" spans="2:18" ht="12" hidden="1" customHeight="1" outlineLevel="1">
      <c r="B223" s="87" t="s">
        <v>929</v>
      </c>
      <c r="C223" s="38"/>
      <c r="D223" s="38"/>
      <c r="E223" s="124"/>
      <c r="F223" s="38"/>
      <c r="G223" s="38"/>
      <c r="H223" s="38"/>
      <c r="I223" s="43"/>
      <c r="J223" s="43"/>
      <c r="K223" s="43"/>
      <c r="L223" s="38"/>
      <c r="M223" s="150"/>
      <c r="N223" s="151"/>
      <c r="O223" s="151"/>
      <c r="P223" s="43"/>
      <c r="Q223" s="43"/>
      <c r="R223" s="44"/>
    </row>
    <row r="224" spans="2:18" ht="12" hidden="1" customHeight="1" outlineLevel="1">
      <c r="B224" s="87" t="s">
        <v>930</v>
      </c>
      <c r="C224" s="38"/>
      <c r="D224" s="38"/>
      <c r="E224" s="124"/>
      <c r="F224" s="38"/>
      <c r="G224" s="38"/>
      <c r="H224" s="38"/>
      <c r="I224" s="43"/>
      <c r="J224" s="43"/>
      <c r="K224" s="43"/>
      <c r="L224" s="38"/>
      <c r="M224" s="150"/>
      <c r="N224" s="151"/>
      <c r="O224" s="151"/>
      <c r="P224" s="43"/>
      <c r="Q224" s="43"/>
      <c r="R224" s="44"/>
    </row>
    <row r="225" spans="2:18" ht="12" hidden="1" customHeight="1" outlineLevel="1">
      <c r="B225" s="87" t="s">
        <v>931</v>
      </c>
      <c r="C225" s="38"/>
      <c r="D225" s="38"/>
      <c r="E225" s="124"/>
      <c r="F225" s="38"/>
      <c r="G225" s="38"/>
      <c r="H225" s="38"/>
      <c r="I225" s="43"/>
      <c r="J225" s="43"/>
      <c r="K225" s="43"/>
      <c r="L225" s="38"/>
      <c r="M225" s="150"/>
      <c r="N225" s="151"/>
      <c r="O225" s="151"/>
      <c r="P225" s="43"/>
      <c r="Q225" s="43"/>
      <c r="R225" s="44"/>
    </row>
    <row r="226" spans="2:18" ht="12" hidden="1" customHeight="1" outlineLevel="1">
      <c r="B226" s="87" t="s">
        <v>932</v>
      </c>
      <c r="C226" s="38"/>
      <c r="D226" s="38"/>
      <c r="E226" s="124"/>
      <c r="F226" s="38"/>
      <c r="G226" s="38"/>
      <c r="H226" s="38"/>
      <c r="I226" s="43"/>
      <c r="J226" s="43"/>
      <c r="K226" s="43"/>
      <c r="L226" s="38"/>
      <c r="M226" s="150"/>
      <c r="N226" s="151"/>
      <c r="O226" s="151"/>
      <c r="P226" s="43"/>
      <c r="Q226" s="43"/>
      <c r="R226" s="44"/>
    </row>
    <row r="227" spans="2:18" ht="12" hidden="1" customHeight="1" outlineLevel="1">
      <c r="B227" s="87" t="s">
        <v>933</v>
      </c>
      <c r="C227" s="38"/>
      <c r="D227" s="38"/>
      <c r="E227" s="124"/>
      <c r="F227" s="38"/>
      <c r="G227" s="38"/>
      <c r="H227" s="38"/>
      <c r="I227" s="43"/>
      <c r="J227" s="43"/>
      <c r="K227" s="43"/>
      <c r="L227" s="38"/>
      <c r="M227" s="150"/>
      <c r="N227" s="151"/>
      <c r="O227" s="151"/>
      <c r="P227" s="43"/>
      <c r="Q227" s="43"/>
      <c r="R227" s="44"/>
    </row>
    <row r="228" spans="2:18" ht="12" hidden="1" customHeight="1" outlineLevel="1">
      <c r="B228" s="87" t="s">
        <v>934</v>
      </c>
      <c r="C228" s="38"/>
      <c r="D228" s="38"/>
      <c r="E228" s="124"/>
      <c r="F228" s="38"/>
      <c r="G228" s="38"/>
      <c r="H228" s="38"/>
      <c r="I228" s="43"/>
      <c r="J228" s="43"/>
      <c r="K228" s="43"/>
      <c r="L228" s="38"/>
      <c r="M228" s="150"/>
      <c r="N228" s="151"/>
      <c r="O228" s="151"/>
      <c r="P228" s="43"/>
      <c r="Q228" s="43"/>
      <c r="R228" s="44"/>
    </row>
    <row r="229" spans="2:18" ht="12" hidden="1" customHeight="1" outlineLevel="1">
      <c r="B229" s="87" t="s">
        <v>935</v>
      </c>
      <c r="C229" s="38"/>
      <c r="D229" s="38"/>
      <c r="E229" s="124"/>
      <c r="F229" s="38"/>
      <c r="G229" s="38"/>
      <c r="H229" s="38"/>
      <c r="I229" s="43"/>
      <c r="J229" s="43"/>
      <c r="K229" s="43"/>
      <c r="L229" s="38"/>
      <c r="M229" s="150"/>
      <c r="N229" s="151"/>
      <c r="O229" s="151"/>
      <c r="P229" s="43"/>
      <c r="Q229" s="43"/>
      <c r="R229" s="44"/>
    </row>
    <row r="230" spans="2:18" ht="12" hidden="1" customHeight="1" outlineLevel="1">
      <c r="B230" s="87" t="s">
        <v>936</v>
      </c>
      <c r="C230" s="38"/>
      <c r="D230" s="38"/>
      <c r="E230" s="124"/>
      <c r="F230" s="38"/>
      <c r="G230" s="38"/>
      <c r="H230" s="38"/>
      <c r="I230" s="43"/>
      <c r="J230" s="43"/>
      <c r="K230" s="43"/>
      <c r="L230" s="38"/>
      <c r="M230" s="150"/>
      <c r="N230" s="151"/>
      <c r="O230" s="151"/>
      <c r="P230" s="43"/>
      <c r="Q230" s="43"/>
      <c r="R230" s="44"/>
    </row>
    <row r="231" spans="2:18" ht="12" hidden="1" customHeight="1" outlineLevel="1">
      <c r="B231" s="87" t="s">
        <v>937</v>
      </c>
      <c r="C231" s="38"/>
      <c r="D231" s="38"/>
      <c r="E231" s="124"/>
      <c r="F231" s="38"/>
      <c r="G231" s="38"/>
      <c r="H231" s="38"/>
      <c r="I231" s="43"/>
      <c r="J231" s="43"/>
      <c r="K231" s="43"/>
      <c r="L231" s="38"/>
      <c r="M231" s="150"/>
      <c r="N231" s="151"/>
      <c r="O231" s="151"/>
      <c r="P231" s="43"/>
      <c r="Q231" s="43"/>
      <c r="R231" s="44"/>
    </row>
    <row r="232" spans="2:18" ht="12" hidden="1" customHeight="1" outlineLevel="1">
      <c r="B232" s="87" t="s">
        <v>938</v>
      </c>
      <c r="C232" s="38"/>
      <c r="D232" s="38"/>
      <c r="E232" s="124"/>
      <c r="F232" s="38"/>
      <c r="G232" s="38"/>
      <c r="H232" s="38"/>
      <c r="I232" s="43"/>
      <c r="J232" s="43"/>
      <c r="K232" s="43"/>
      <c r="L232" s="38"/>
      <c r="M232" s="150"/>
      <c r="N232" s="151"/>
      <c r="O232" s="151"/>
      <c r="P232" s="43"/>
      <c r="Q232" s="43"/>
      <c r="R232" s="44"/>
    </row>
    <row r="233" spans="2:18" ht="12" hidden="1" customHeight="1" outlineLevel="1">
      <c r="B233" s="87" t="s">
        <v>939</v>
      </c>
      <c r="C233" s="38"/>
      <c r="D233" s="38"/>
      <c r="E233" s="124"/>
      <c r="F233" s="38"/>
      <c r="G233" s="38"/>
      <c r="H233" s="38"/>
      <c r="I233" s="43"/>
      <c r="J233" s="43"/>
      <c r="K233" s="43"/>
      <c r="L233" s="38"/>
      <c r="M233" s="150"/>
      <c r="N233" s="151"/>
      <c r="O233" s="151"/>
      <c r="P233" s="43"/>
      <c r="Q233" s="43"/>
      <c r="R233" s="44"/>
    </row>
    <row r="234" spans="2:18" ht="12" hidden="1" customHeight="1" outlineLevel="1">
      <c r="B234" s="87" t="s">
        <v>940</v>
      </c>
      <c r="C234" s="38"/>
      <c r="D234" s="38"/>
      <c r="E234" s="124"/>
      <c r="F234" s="38"/>
      <c r="G234" s="38"/>
      <c r="H234" s="38"/>
      <c r="I234" s="43"/>
      <c r="J234" s="43"/>
      <c r="K234" s="43"/>
      <c r="L234" s="38"/>
      <c r="M234" s="150"/>
      <c r="N234" s="151"/>
      <c r="O234" s="151"/>
      <c r="P234" s="43"/>
      <c r="Q234" s="43"/>
      <c r="R234" s="44"/>
    </row>
    <row r="235" spans="2:18" ht="12" hidden="1" customHeight="1" outlineLevel="1">
      <c r="B235" s="87" t="s">
        <v>941</v>
      </c>
      <c r="C235" s="38"/>
      <c r="D235" s="38"/>
      <c r="E235" s="124"/>
      <c r="F235" s="38"/>
      <c r="G235" s="38"/>
      <c r="H235" s="38"/>
      <c r="I235" s="43"/>
      <c r="J235" s="43"/>
      <c r="K235" s="43"/>
      <c r="L235" s="38"/>
      <c r="M235" s="150"/>
      <c r="N235" s="151"/>
      <c r="O235" s="151"/>
      <c r="P235" s="43"/>
      <c r="Q235" s="43"/>
      <c r="R235" s="44"/>
    </row>
    <row r="236" spans="2:18" ht="12" hidden="1" customHeight="1" outlineLevel="1">
      <c r="B236" s="87" t="s">
        <v>942</v>
      </c>
      <c r="C236" s="38"/>
      <c r="D236" s="38"/>
      <c r="E236" s="124"/>
      <c r="F236" s="38"/>
      <c r="G236" s="38"/>
      <c r="H236" s="38"/>
      <c r="I236" s="43"/>
      <c r="J236" s="43"/>
      <c r="K236" s="43"/>
      <c r="L236" s="38"/>
      <c r="M236" s="150"/>
      <c r="N236" s="151"/>
      <c r="O236" s="151"/>
      <c r="P236" s="43"/>
      <c r="Q236" s="43"/>
      <c r="R236" s="44"/>
    </row>
    <row r="237" spans="2:18" ht="12" hidden="1" customHeight="1" outlineLevel="1">
      <c r="B237" s="87" t="s">
        <v>943</v>
      </c>
      <c r="C237" s="38"/>
      <c r="D237" s="38"/>
      <c r="E237" s="124"/>
      <c r="F237" s="38"/>
      <c r="G237" s="38"/>
      <c r="H237" s="38"/>
      <c r="I237" s="43"/>
      <c r="J237" s="43"/>
      <c r="K237" s="43"/>
      <c r="L237" s="38"/>
      <c r="M237" s="150"/>
      <c r="N237" s="151"/>
      <c r="O237" s="151"/>
      <c r="P237" s="43"/>
      <c r="Q237" s="43"/>
      <c r="R237" s="44"/>
    </row>
    <row r="238" spans="2:18" ht="12" hidden="1" customHeight="1" outlineLevel="1">
      <c r="B238" s="87" t="s">
        <v>944</v>
      </c>
      <c r="C238" s="38"/>
      <c r="D238" s="38"/>
      <c r="E238" s="124"/>
      <c r="F238" s="38"/>
      <c r="G238" s="38"/>
      <c r="H238" s="38"/>
      <c r="I238" s="43"/>
      <c r="J238" s="43"/>
      <c r="K238" s="43"/>
      <c r="L238" s="38"/>
      <c r="M238" s="150"/>
      <c r="N238" s="151"/>
      <c r="O238" s="151"/>
      <c r="P238" s="43"/>
      <c r="Q238" s="43"/>
      <c r="R238" s="44"/>
    </row>
    <row r="239" spans="2:18" ht="12" hidden="1" customHeight="1" outlineLevel="1">
      <c r="B239" s="87" t="s">
        <v>945</v>
      </c>
      <c r="C239" s="38"/>
      <c r="D239" s="38"/>
      <c r="E239" s="124"/>
      <c r="F239" s="38"/>
      <c r="G239" s="38"/>
      <c r="H239" s="38"/>
      <c r="I239" s="43"/>
      <c r="J239" s="43"/>
      <c r="K239" s="43"/>
      <c r="L239" s="38"/>
      <c r="M239" s="150"/>
      <c r="N239" s="151"/>
      <c r="O239" s="151"/>
      <c r="P239" s="43"/>
      <c r="Q239" s="43"/>
      <c r="R239" s="44"/>
    </row>
    <row r="240" spans="2:18" ht="12" hidden="1" customHeight="1" outlineLevel="1">
      <c r="B240" s="87" t="s">
        <v>946</v>
      </c>
      <c r="C240" s="38"/>
      <c r="D240" s="38"/>
      <c r="E240" s="124"/>
      <c r="F240" s="38"/>
      <c r="G240" s="38"/>
      <c r="H240" s="38"/>
      <c r="I240" s="43"/>
      <c r="J240" s="43"/>
      <c r="K240" s="43"/>
      <c r="L240" s="38"/>
      <c r="M240" s="150"/>
      <c r="N240" s="151"/>
      <c r="O240" s="151"/>
      <c r="P240" s="43"/>
      <c r="Q240" s="43"/>
      <c r="R240" s="44"/>
    </row>
    <row r="241" spans="2:18" ht="12" hidden="1" customHeight="1" outlineLevel="1">
      <c r="B241" s="87" t="s">
        <v>947</v>
      </c>
      <c r="C241" s="38"/>
      <c r="D241" s="38"/>
      <c r="E241" s="124"/>
      <c r="F241" s="38"/>
      <c r="G241" s="38"/>
      <c r="H241" s="38"/>
      <c r="I241" s="43"/>
      <c r="J241" s="43"/>
      <c r="K241" s="43"/>
      <c r="L241" s="38"/>
      <c r="M241" s="150"/>
      <c r="N241" s="151"/>
      <c r="O241" s="151"/>
      <c r="P241" s="43"/>
      <c r="Q241" s="43"/>
      <c r="R241" s="44"/>
    </row>
    <row r="242" spans="2:18" ht="12" hidden="1" customHeight="1" outlineLevel="1">
      <c r="B242" s="87" t="s">
        <v>948</v>
      </c>
      <c r="C242" s="38"/>
      <c r="D242" s="38"/>
      <c r="E242" s="124"/>
      <c r="F242" s="38"/>
      <c r="G242" s="38"/>
      <c r="H242" s="38"/>
      <c r="I242" s="43"/>
      <c r="J242" s="43"/>
      <c r="K242" s="43"/>
      <c r="L242" s="38"/>
      <c r="M242" s="150"/>
      <c r="N242" s="151"/>
      <c r="O242" s="151"/>
      <c r="P242" s="43"/>
      <c r="Q242" s="43"/>
      <c r="R242" s="44"/>
    </row>
    <row r="243" spans="2:18" ht="12" hidden="1" customHeight="1" outlineLevel="1">
      <c r="B243" s="87" t="s">
        <v>949</v>
      </c>
      <c r="C243" s="38"/>
      <c r="D243" s="38"/>
      <c r="E243" s="124"/>
      <c r="F243" s="38"/>
      <c r="G243" s="38"/>
      <c r="H243" s="38"/>
      <c r="I243" s="43"/>
      <c r="J243" s="43"/>
      <c r="K243" s="43"/>
      <c r="L243" s="38"/>
      <c r="M243" s="150"/>
      <c r="N243" s="151"/>
      <c r="O243" s="151"/>
      <c r="P243" s="43"/>
      <c r="Q243" s="43"/>
      <c r="R243" s="44"/>
    </row>
    <row r="244" spans="2:18" ht="12" hidden="1" customHeight="1" outlineLevel="1">
      <c r="B244" s="87" t="s">
        <v>950</v>
      </c>
      <c r="C244" s="38"/>
      <c r="D244" s="38"/>
      <c r="E244" s="124"/>
      <c r="F244" s="38"/>
      <c r="G244" s="38"/>
      <c r="H244" s="38"/>
      <c r="I244" s="43"/>
      <c r="J244" s="43"/>
      <c r="K244" s="43"/>
      <c r="L244" s="38"/>
      <c r="M244" s="150"/>
      <c r="N244" s="151"/>
      <c r="O244" s="151"/>
      <c r="P244" s="43"/>
      <c r="Q244" s="43"/>
      <c r="R244" s="44"/>
    </row>
    <row r="245" spans="2:18" ht="12" hidden="1" customHeight="1" outlineLevel="1">
      <c r="B245" s="87" t="s">
        <v>951</v>
      </c>
      <c r="C245" s="38"/>
      <c r="D245" s="38"/>
      <c r="E245" s="124"/>
      <c r="F245" s="38"/>
      <c r="G245" s="38"/>
      <c r="H245" s="38"/>
      <c r="I245" s="43"/>
      <c r="J245" s="43"/>
      <c r="K245" s="43"/>
      <c r="L245" s="38"/>
      <c r="M245" s="150"/>
      <c r="N245" s="151"/>
      <c r="O245" s="151"/>
      <c r="P245" s="43"/>
      <c r="Q245" s="43"/>
      <c r="R245" s="44"/>
    </row>
    <row r="246" spans="2:18" ht="12" hidden="1" customHeight="1" outlineLevel="1">
      <c r="B246" s="87" t="s">
        <v>952</v>
      </c>
      <c r="C246" s="38"/>
      <c r="D246" s="38"/>
      <c r="E246" s="124"/>
      <c r="F246" s="38"/>
      <c r="G246" s="38"/>
      <c r="H246" s="38"/>
      <c r="I246" s="43"/>
      <c r="J246" s="43"/>
      <c r="K246" s="43"/>
      <c r="L246" s="38"/>
      <c r="M246" s="150"/>
      <c r="N246" s="151"/>
      <c r="O246" s="151"/>
      <c r="P246" s="43"/>
      <c r="Q246" s="43"/>
      <c r="R246" s="44"/>
    </row>
    <row r="247" spans="2:18" ht="12" hidden="1" customHeight="1" outlineLevel="1">
      <c r="B247" s="87" t="s">
        <v>953</v>
      </c>
      <c r="C247" s="38"/>
      <c r="D247" s="38"/>
      <c r="E247" s="124"/>
      <c r="F247" s="38"/>
      <c r="G247" s="38"/>
      <c r="H247" s="38"/>
      <c r="I247" s="43"/>
      <c r="J247" s="43"/>
      <c r="K247" s="43"/>
      <c r="L247" s="38"/>
      <c r="M247" s="150"/>
      <c r="N247" s="151"/>
      <c r="O247" s="151"/>
      <c r="P247" s="43"/>
      <c r="Q247" s="43"/>
      <c r="R247" s="44"/>
    </row>
    <row r="248" spans="2:18" ht="12" hidden="1" customHeight="1" outlineLevel="1">
      <c r="B248" s="87" t="s">
        <v>954</v>
      </c>
      <c r="C248" s="38"/>
      <c r="D248" s="38"/>
      <c r="E248" s="124"/>
      <c r="F248" s="38"/>
      <c r="G248" s="38"/>
      <c r="H248" s="38"/>
      <c r="I248" s="43"/>
      <c r="J248" s="43"/>
      <c r="K248" s="43"/>
      <c r="L248" s="38"/>
      <c r="M248" s="150"/>
      <c r="N248" s="151"/>
      <c r="O248" s="151"/>
      <c r="P248" s="43"/>
      <c r="Q248" s="43"/>
      <c r="R248" s="44"/>
    </row>
    <row r="249" spans="2:18" ht="12" hidden="1" customHeight="1" outlineLevel="1">
      <c r="B249" s="87" t="s">
        <v>955</v>
      </c>
      <c r="C249" s="38"/>
      <c r="D249" s="38"/>
      <c r="E249" s="124"/>
      <c r="F249" s="38"/>
      <c r="G249" s="38"/>
      <c r="H249" s="38"/>
      <c r="I249" s="43"/>
      <c r="J249" s="43"/>
      <c r="K249" s="43"/>
      <c r="L249" s="38"/>
      <c r="M249" s="150"/>
      <c r="N249" s="151"/>
      <c r="O249" s="151"/>
      <c r="P249" s="43"/>
      <c r="Q249" s="43"/>
      <c r="R249" s="44"/>
    </row>
    <row r="250" spans="2:18" ht="12" hidden="1" customHeight="1" outlineLevel="1">
      <c r="B250" s="87" t="s">
        <v>956</v>
      </c>
      <c r="C250" s="38"/>
      <c r="D250" s="38"/>
      <c r="E250" s="124"/>
      <c r="F250" s="38"/>
      <c r="G250" s="38"/>
      <c r="H250" s="38"/>
      <c r="I250" s="43"/>
      <c r="J250" s="43"/>
      <c r="K250" s="43"/>
      <c r="L250" s="38"/>
      <c r="M250" s="150"/>
      <c r="N250" s="151"/>
      <c r="O250" s="151"/>
      <c r="P250" s="43"/>
      <c r="Q250" s="43"/>
      <c r="R250" s="44"/>
    </row>
    <row r="251" spans="2:18" ht="12" hidden="1" customHeight="1" outlineLevel="1">
      <c r="B251" s="87" t="s">
        <v>957</v>
      </c>
      <c r="C251" s="38"/>
      <c r="D251" s="38"/>
      <c r="E251" s="124"/>
      <c r="F251" s="38"/>
      <c r="G251" s="38"/>
      <c r="H251" s="38"/>
      <c r="I251" s="43"/>
      <c r="J251" s="43"/>
      <c r="K251" s="43"/>
      <c r="L251" s="38"/>
      <c r="M251" s="150"/>
      <c r="N251" s="151"/>
      <c r="O251" s="151"/>
      <c r="P251" s="43"/>
      <c r="Q251" s="43"/>
      <c r="R251" s="44"/>
    </row>
    <row r="252" spans="2:18" ht="12" hidden="1" customHeight="1" outlineLevel="1">
      <c r="B252" s="87" t="s">
        <v>958</v>
      </c>
      <c r="C252" s="38"/>
      <c r="D252" s="38"/>
      <c r="E252" s="124"/>
      <c r="F252" s="38"/>
      <c r="G252" s="38"/>
      <c r="H252" s="38"/>
      <c r="I252" s="43"/>
      <c r="J252" s="43"/>
      <c r="K252" s="43"/>
      <c r="L252" s="38"/>
      <c r="M252" s="150"/>
      <c r="N252" s="151"/>
      <c r="O252" s="151"/>
      <c r="P252" s="43"/>
      <c r="Q252" s="43"/>
      <c r="R252" s="44"/>
    </row>
    <row r="253" spans="2:18" ht="12" hidden="1" customHeight="1" outlineLevel="1">
      <c r="B253" s="87" t="s">
        <v>959</v>
      </c>
      <c r="C253" s="38"/>
      <c r="D253" s="38"/>
      <c r="E253" s="124"/>
      <c r="F253" s="38"/>
      <c r="G253" s="38"/>
      <c r="H253" s="38"/>
      <c r="I253" s="43"/>
      <c r="J253" s="43"/>
      <c r="K253" s="43"/>
      <c r="L253" s="38"/>
      <c r="M253" s="150"/>
      <c r="N253" s="151"/>
      <c r="O253" s="151"/>
      <c r="P253" s="43"/>
      <c r="Q253" s="43"/>
      <c r="R253" s="44"/>
    </row>
    <row r="254" spans="2:18" ht="12" hidden="1" customHeight="1" outlineLevel="1">
      <c r="B254" s="87" t="s">
        <v>960</v>
      </c>
      <c r="C254" s="38"/>
      <c r="D254" s="38"/>
      <c r="E254" s="124"/>
      <c r="F254" s="38"/>
      <c r="G254" s="38"/>
      <c r="H254" s="38"/>
      <c r="I254" s="43"/>
      <c r="J254" s="43"/>
      <c r="K254" s="43"/>
      <c r="L254" s="38"/>
      <c r="M254" s="150"/>
      <c r="N254" s="151"/>
      <c r="O254" s="151"/>
      <c r="P254" s="43"/>
      <c r="Q254" s="43"/>
      <c r="R254" s="44"/>
    </row>
    <row r="255" spans="2:18" ht="12" hidden="1" customHeight="1" outlineLevel="1">
      <c r="B255" s="87" t="s">
        <v>961</v>
      </c>
      <c r="C255" s="38"/>
      <c r="D255" s="38"/>
      <c r="E255" s="124"/>
      <c r="F255" s="38"/>
      <c r="G255" s="38"/>
      <c r="H255" s="38"/>
      <c r="I255" s="43"/>
      <c r="J255" s="43"/>
      <c r="K255" s="43"/>
      <c r="L255" s="38"/>
      <c r="M255" s="150"/>
      <c r="N255" s="151"/>
      <c r="O255" s="151"/>
      <c r="P255" s="43"/>
      <c r="Q255" s="43"/>
      <c r="R255" s="44"/>
    </row>
    <row r="256" spans="2:18" ht="12" hidden="1" customHeight="1" outlineLevel="1">
      <c r="B256" s="87" t="s">
        <v>962</v>
      </c>
      <c r="C256" s="38"/>
      <c r="D256" s="38"/>
      <c r="E256" s="124"/>
      <c r="F256" s="38"/>
      <c r="G256" s="38"/>
      <c r="H256" s="38"/>
      <c r="I256" s="43"/>
      <c r="J256" s="43"/>
      <c r="K256" s="43"/>
      <c r="L256" s="38"/>
      <c r="M256" s="150"/>
      <c r="N256" s="151"/>
      <c r="O256" s="151"/>
      <c r="P256" s="43"/>
      <c r="Q256" s="43"/>
      <c r="R256" s="44"/>
    </row>
    <row r="257" spans="2:18" ht="12" hidden="1" customHeight="1" outlineLevel="1">
      <c r="B257" s="87" t="s">
        <v>963</v>
      </c>
      <c r="C257" s="38"/>
      <c r="D257" s="38"/>
      <c r="E257" s="124"/>
      <c r="F257" s="38"/>
      <c r="G257" s="38"/>
      <c r="H257" s="38"/>
      <c r="I257" s="43"/>
      <c r="J257" s="43"/>
      <c r="K257" s="43"/>
      <c r="L257" s="38"/>
      <c r="M257" s="150"/>
      <c r="N257" s="151"/>
      <c r="O257" s="151"/>
      <c r="P257" s="43"/>
      <c r="Q257" s="43"/>
      <c r="R257" s="44"/>
    </row>
    <row r="258" spans="2:18" ht="12" hidden="1" customHeight="1" outlineLevel="1">
      <c r="B258" s="87" t="s">
        <v>964</v>
      </c>
      <c r="C258" s="38"/>
      <c r="D258" s="38"/>
      <c r="E258" s="124"/>
      <c r="F258" s="38"/>
      <c r="G258" s="38"/>
      <c r="H258" s="38"/>
      <c r="I258" s="43"/>
      <c r="J258" s="43"/>
      <c r="K258" s="43"/>
      <c r="L258" s="38"/>
      <c r="M258" s="150"/>
      <c r="N258" s="151"/>
      <c r="O258" s="151"/>
      <c r="P258" s="43"/>
      <c r="Q258" s="43"/>
      <c r="R258" s="44"/>
    </row>
    <row r="259" spans="2:18" ht="12" hidden="1" customHeight="1" outlineLevel="1">
      <c r="B259" s="87" t="s">
        <v>965</v>
      </c>
      <c r="C259" s="38"/>
      <c r="D259" s="38"/>
      <c r="E259" s="124"/>
      <c r="F259" s="38"/>
      <c r="G259" s="38"/>
      <c r="H259" s="38"/>
      <c r="I259" s="43"/>
      <c r="J259" s="43"/>
      <c r="K259" s="43"/>
      <c r="L259" s="38"/>
      <c r="M259" s="150"/>
      <c r="N259" s="151"/>
      <c r="O259" s="151"/>
      <c r="P259" s="43"/>
      <c r="Q259" s="43"/>
      <c r="R259" s="44"/>
    </row>
    <row r="260" spans="2:18" ht="12" hidden="1" customHeight="1" outlineLevel="1">
      <c r="B260" s="87" t="s">
        <v>966</v>
      </c>
      <c r="C260" s="38"/>
      <c r="D260" s="38"/>
      <c r="E260" s="124"/>
      <c r="F260" s="38"/>
      <c r="G260" s="38"/>
      <c r="H260" s="38"/>
      <c r="I260" s="43"/>
      <c r="J260" s="43"/>
      <c r="K260" s="43"/>
      <c r="L260" s="38"/>
      <c r="M260" s="150"/>
      <c r="N260" s="151"/>
      <c r="O260" s="151"/>
      <c r="P260" s="43"/>
      <c r="Q260" s="43"/>
      <c r="R260" s="44"/>
    </row>
    <row r="261" spans="2:18" ht="12" hidden="1" customHeight="1" outlineLevel="1">
      <c r="B261" s="87" t="s">
        <v>967</v>
      </c>
      <c r="C261" s="38"/>
      <c r="D261" s="38"/>
      <c r="E261" s="124"/>
      <c r="F261" s="38"/>
      <c r="G261" s="38"/>
      <c r="H261" s="38"/>
      <c r="I261" s="43"/>
      <c r="J261" s="43"/>
      <c r="K261" s="43"/>
      <c r="L261" s="38"/>
      <c r="M261" s="150"/>
      <c r="N261" s="151"/>
      <c r="O261" s="151"/>
      <c r="P261" s="43"/>
      <c r="Q261" s="43"/>
      <c r="R261" s="44"/>
    </row>
    <row r="262" spans="2:18" ht="12" hidden="1" customHeight="1" outlineLevel="1">
      <c r="B262" s="87" t="s">
        <v>968</v>
      </c>
      <c r="C262" s="38"/>
      <c r="D262" s="38"/>
      <c r="E262" s="124"/>
      <c r="F262" s="38"/>
      <c r="G262" s="38"/>
      <c r="H262" s="38"/>
      <c r="I262" s="43"/>
      <c r="J262" s="43"/>
      <c r="K262" s="43"/>
      <c r="L262" s="38"/>
      <c r="M262" s="150"/>
      <c r="N262" s="151"/>
      <c r="O262" s="151"/>
      <c r="P262" s="43"/>
      <c r="Q262" s="43"/>
      <c r="R262" s="44"/>
    </row>
    <row r="263" spans="2:18" ht="12" hidden="1" customHeight="1" outlineLevel="1">
      <c r="B263" s="87" t="s">
        <v>969</v>
      </c>
      <c r="C263" s="38"/>
      <c r="D263" s="38"/>
      <c r="E263" s="124"/>
      <c r="F263" s="38"/>
      <c r="G263" s="38"/>
      <c r="H263" s="38"/>
      <c r="I263" s="43"/>
      <c r="J263" s="43"/>
      <c r="K263" s="43"/>
      <c r="L263" s="38"/>
      <c r="M263" s="150"/>
      <c r="N263" s="151"/>
      <c r="O263" s="151"/>
      <c r="P263" s="43"/>
      <c r="Q263" s="43"/>
      <c r="R263" s="44"/>
    </row>
    <row r="264" spans="2:18" ht="12" hidden="1" customHeight="1" outlineLevel="1">
      <c r="B264" s="87" t="s">
        <v>970</v>
      </c>
      <c r="C264" s="38"/>
      <c r="D264" s="38"/>
      <c r="E264" s="124"/>
      <c r="F264" s="38"/>
      <c r="G264" s="38"/>
      <c r="H264" s="38"/>
      <c r="I264" s="43"/>
      <c r="J264" s="43"/>
      <c r="K264" s="43"/>
      <c r="L264" s="38"/>
      <c r="M264" s="150"/>
      <c r="N264" s="151"/>
      <c r="O264" s="151"/>
      <c r="P264" s="43"/>
      <c r="Q264" s="43"/>
      <c r="R264" s="44"/>
    </row>
    <row r="265" spans="2:18" ht="12" hidden="1" customHeight="1" outlineLevel="1">
      <c r="B265" s="87" t="s">
        <v>971</v>
      </c>
      <c r="C265" s="38"/>
      <c r="D265" s="38"/>
      <c r="E265" s="124"/>
      <c r="F265" s="38"/>
      <c r="G265" s="38"/>
      <c r="H265" s="38"/>
      <c r="I265" s="43"/>
      <c r="J265" s="43"/>
      <c r="K265" s="43"/>
      <c r="L265" s="38"/>
      <c r="M265" s="150"/>
      <c r="N265" s="151"/>
      <c r="O265" s="151"/>
      <c r="P265" s="43"/>
      <c r="Q265" s="43"/>
      <c r="R265" s="44"/>
    </row>
    <row r="266" spans="2:18" ht="12" hidden="1" customHeight="1" outlineLevel="1">
      <c r="B266" s="87" t="s">
        <v>972</v>
      </c>
      <c r="C266" s="38"/>
      <c r="D266" s="38"/>
      <c r="E266" s="124"/>
      <c r="F266" s="38"/>
      <c r="G266" s="38"/>
      <c r="H266" s="38"/>
      <c r="I266" s="43"/>
      <c r="J266" s="43"/>
      <c r="K266" s="43"/>
      <c r="L266" s="38"/>
      <c r="M266" s="150"/>
      <c r="N266" s="151"/>
      <c r="O266" s="151"/>
      <c r="P266" s="43"/>
      <c r="Q266" s="43"/>
      <c r="R266" s="44"/>
    </row>
    <row r="267" spans="2:18" ht="12" hidden="1" customHeight="1" outlineLevel="1">
      <c r="B267" s="87" t="s">
        <v>973</v>
      </c>
      <c r="C267" s="38"/>
      <c r="D267" s="38"/>
      <c r="E267" s="124"/>
      <c r="F267" s="38"/>
      <c r="G267" s="38"/>
      <c r="H267" s="38"/>
      <c r="I267" s="43"/>
      <c r="J267" s="43"/>
      <c r="K267" s="43"/>
      <c r="L267" s="38"/>
      <c r="M267" s="150"/>
      <c r="N267" s="151"/>
      <c r="O267" s="151"/>
      <c r="P267" s="43"/>
      <c r="Q267" s="43"/>
      <c r="R267" s="44"/>
    </row>
    <row r="268" spans="2:18" ht="12" hidden="1" customHeight="1" outlineLevel="1">
      <c r="B268" s="87" t="s">
        <v>974</v>
      </c>
      <c r="C268" s="38"/>
      <c r="D268" s="38"/>
      <c r="E268" s="124"/>
      <c r="F268" s="38"/>
      <c r="G268" s="38"/>
      <c r="H268" s="38"/>
      <c r="I268" s="43"/>
      <c r="J268" s="43"/>
      <c r="K268" s="43"/>
      <c r="L268" s="38"/>
      <c r="M268" s="150"/>
      <c r="N268" s="151"/>
      <c r="O268" s="151"/>
      <c r="P268" s="43"/>
      <c r="Q268" s="43"/>
      <c r="R268" s="44"/>
    </row>
    <row r="269" spans="2:18" ht="12" hidden="1" customHeight="1" outlineLevel="1">
      <c r="B269" s="87" t="s">
        <v>975</v>
      </c>
      <c r="C269" s="38"/>
      <c r="D269" s="38"/>
      <c r="E269" s="124"/>
      <c r="F269" s="38"/>
      <c r="G269" s="38"/>
      <c r="H269" s="38"/>
      <c r="I269" s="43"/>
      <c r="J269" s="43"/>
      <c r="K269" s="43"/>
      <c r="L269" s="38"/>
      <c r="M269" s="150"/>
      <c r="N269" s="151"/>
      <c r="O269" s="151"/>
      <c r="P269" s="43"/>
      <c r="Q269" s="43"/>
      <c r="R269" s="44"/>
    </row>
    <row r="270" spans="2:18" ht="12" hidden="1" customHeight="1" outlineLevel="1">
      <c r="B270" s="87" t="s">
        <v>976</v>
      </c>
      <c r="C270" s="38"/>
      <c r="D270" s="38"/>
      <c r="E270" s="124"/>
      <c r="F270" s="38"/>
      <c r="G270" s="38"/>
      <c r="H270" s="38"/>
      <c r="I270" s="43"/>
      <c r="J270" s="43"/>
      <c r="K270" s="43"/>
      <c r="L270" s="38"/>
      <c r="M270" s="150"/>
      <c r="N270" s="151"/>
      <c r="O270" s="151"/>
      <c r="P270" s="43"/>
      <c r="Q270" s="43"/>
      <c r="R270" s="44"/>
    </row>
    <row r="271" spans="2:18" ht="12" hidden="1" customHeight="1" outlineLevel="1">
      <c r="B271" s="87" t="s">
        <v>977</v>
      </c>
      <c r="C271" s="38"/>
      <c r="D271" s="38"/>
      <c r="E271" s="124"/>
      <c r="F271" s="38"/>
      <c r="G271" s="38"/>
      <c r="H271" s="38"/>
      <c r="I271" s="43"/>
      <c r="J271" s="43"/>
      <c r="K271" s="43"/>
      <c r="L271" s="38"/>
      <c r="M271" s="150"/>
      <c r="N271" s="151"/>
      <c r="O271" s="151"/>
      <c r="P271" s="43"/>
      <c r="Q271" s="43"/>
      <c r="R271" s="44"/>
    </row>
    <row r="272" spans="2:18" ht="12" hidden="1" customHeight="1" outlineLevel="1">
      <c r="B272" s="87" t="s">
        <v>978</v>
      </c>
      <c r="C272" s="38"/>
      <c r="D272" s="38"/>
      <c r="E272" s="124"/>
      <c r="F272" s="38"/>
      <c r="G272" s="38"/>
      <c r="H272" s="38"/>
      <c r="I272" s="43"/>
      <c r="J272" s="43"/>
      <c r="K272" s="43"/>
      <c r="L272" s="38"/>
      <c r="M272" s="150"/>
      <c r="N272" s="151"/>
      <c r="O272" s="151"/>
      <c r="P272" s="43"/>
      <c r="Q272" s="43"/>
      <c r="R272" s="44"/>
    </row>
    <row r="273" spans="2:18" ht="12" hidden="1" customHeight="1" outlineLevel="1">
      <c r="B273" s="87" t="s">
        <v>979</v>
      </c>
      <c r="C273" s="38"/>
      <c r="D273" s="38"/>
      <c r="E273" s="124"/>
      <c r="F273" s="38"/>
      <c r="G273" s="38"/>
      <c r="H273" s="38"/>
      <c r="I273" s="43"/>
      <c r="J273" s="43"/>
      <c r="K273" s="43"/>
      <c r="L273" s="38"/>
      <c r="M273" s="150"/>
      <c r="N273" s="151"/>
      <c r="O273" s="151"/>
      <c r="P273" s="43"/>
      <c r="Q273" s="43"/>
      <c r="R273" s="44"/>
    </row>
    <row r="274" spans="2:18" ht="12" hidden="1" customHeight="1" outlineLevel="1">
      <c r="B274" s="87" t="s">
        <v>980</v>
      </c>
      <c r="C274" s="38"/>
      <c r="D274" s="38"/>
      <c r="E274" s="124"/>
      <c r="F274" s="38"/>
      <c r="G274" s="38"/>
      <c r="H274" s="38"/>
      <c r="I274" s="43"/>
      <c r="J274" s="43"/>
      <c r="K274" s="43"/>
      <c r="L274" s="38"/>
      <c r="M274" s="150"/>
      <c r="N274" s="151"/>
      <c r="O274" s="151"/>
      <c r="P274" s="43"/>
      <c r="Q274" s="43"/>
      <c r="R274" s="44"/>
    </row>
    <row r="275" spans="2:18" ht="12" hidden="1" customHeight="1" outlineLevel="1">
      <c r="B275" s="87" t="s">
        <v>981</v>
      </c>
      <c r="C275" s="38"/>
      <c r="D275" s="38"/>
      <c r="E275" s="124"/>
      <c r="F275" s="38"/>
      <c r="G275" s="38"/>
      <c r="H275" s="38"/>
      <c r="I275" s="43"/>
      <c r="J275" s="43"/>
      <c r="K275" s="43"/>
      <c r="L275" s="38"/>
      <c r="M275" s="150"/>
      <c r="N275" s="151"/>
      <c r="O275" s="151"/>
      <c r="P275" s="43"/>
      <c r="Q275" s="43"/>
      <c r="R275" s="44"/>
    </row>
    <row r="276" spans="2:18" ht="12" hidden="1" customHeight="1" outlineLevel="1">
      <c r="B276" s="87" t="s">
        <v>982</v>
      </c>
      <c r="C276" s="38"/>
      <c r="D276" s="38"/>
      <c r="E276" s="124"/>
      <c r="F276" s="38"/>
      <c r="G276" s="38"/>
      <c r="H276" s="38"/>
      <c r="I276" s="43"/>
      <c r="J276" s="43"/>
      <c r="K276" s="43"/>
      <c r="L276" s="38"/>
      <c r="M276" s="150"/>
      <c r="N276" s="151"/>
      <c r="O276" s="151"/>
      <c r="P276" s="43"/>
      <c r="Q276" s="43"/>
      <c r="R276" s="44"/>
    </row>
    <row r="277" spans="2:18" ht="12" hidden="1" customHeight="1" outlineLevel="1">
      <c r="B277" s="87" t="s">
        <v>983</v>
      </c>
      <c r="C277" s="38"/>
      <c r="D277" s="38"/>
      <c r="E277" s="124"/>
      <c r="F277" s="38"/>
      <c r="G277" s="38"/>
      <c r="H277" s="38"/>
      <c r="I277" s="43"/>
      <c r="J277" s="43"/>
      <c r="K277" s="43"/>
      <c r="L277" s="38"/>
      <c r="M277" s="150"/>
      <c r="N277" s="151"/>
      <c r="O277" s="151"/>
      <c r="P277" s="43"/>
      <c r="Q277" s="43"/>
      <c r="R277" s="44"/>
    </row>
    <row r="278" spans="2:18" ht="12" hidden="1" customHeight="1" outlineLevel="1">
      <c r="B278" s="87" t="s">
        <v>984</v>
      </c>
      <c r="C278" s="38"/>
      <c r="D278" s="38"/>
      <c r="E278" s="124"/>
      <c r="F278" s="38"/>
      <c r="G278" s="38"/>
      <c r="H278" s="38"/>
      <c r="I278" s="43"/>
      <c r="J278" s="43"/>
      <c r="K278" s="43"/>
      <c r="L278" s="38"/>
      <c r="M278" s="150"/>
      <c r="N278" s="151"/>
      <c r="O278" s="151"/>
      <c r="P278" s="43"/>
      <c r="Q278" s="43"/>
      <c r="R278" s="44"/>
    </row>
    <row r="279" spans="2:18" ht="12" hidden="1" customHeight="1" outlineLevel="1">
      <c r="B279" s="87" t="s">
        <v>985</v>
      </c>
      <c r="C279" s="38"/>
      <c r="D279" s="38"/>
      <c r="E279" s="124"/>
      <c r="F279" s="38"/>
      <c r="G279" s="38"/>
      <c r="H279" s="38"/>
      <c r="I279" s="43"/>
      <c r="J279" s="43"/>
      <c r="K279" s="43"/>
      <c r="L279" s="38"/>
      <c r="M279" s="150"/>
      <c r="N279" s="151"/>
      <c r="O279" s="151"/>
      <c r="P279" s="43"/>
      <c r="Q279" s="43"/>
      <c r="R279" s="44"/>
    </row>
    <row r="280" spans="2:18" ht="12" hidden="1" customHeight="1" outlineLevel="1">
      <c r="B280" s="87" t="s">
        <v>986</v>
      </c>
      <c r="C280" s="38"/>
      <c r="D280" s="38"/>
      <c r="E280" s="124"/>
      <c r="F280" s="38"/>
      <c r="G280" s="38"/>
      <c r="H280" s="38"/>
      <c r="I280" s="43"/>
      <c r="J280" s="43"/>
      <c r="K280" s="43"/>
      <c r="L280" s="38"/>
      <c r="M280" s="150"/>
      <c r="N280" s="151"/>
      <c r="O280" s="151"/>
      <c r="P280" s="43"/>
      <c r="Q280" s="43"/>
      <c r="R280" s="44"/>
    </row>
    <row r="281" spans="2:18" ht="12" hidden="1" customHeight="1" outlineLevel="1">
      <c r="B281" s="87" t="s">
        <v>987</v>
      </c>
      <c r="C281" s="38"/>
      <c r="D281" s="38"/>
      <c r="E281" s="124"/>
      <c r="F281" s="38"/>
      <c r="G281" s="38"/>
      <c r="H281" s="38"/>
      <c r="I281" s="43"/>
      <c r="J281" s="43"/>
      <c r="K281" s="43"/>
      <c r="L281" s="38"/>
      <c r="M281" s="150"/>
      <c r="N281" s="151"/>
      <c r="O281" s="151"/>
      <c r="P281" s="43"/>
      <c r="Q281" s="43"/>
      <c r="R281" s="44"/>
    </row>
    <row r="282" spans="2:18" ht="12" hidden="1" customHeight="1" outlineLevel="1">
      <c r="B282" s="87" t="s">
        <v>988</v>
      </c>
      <c r="C282" s="38"/>
      <c r="D282" s="38"/>
      <c r="E282" s="124"/>
      <c r="F282" s="38"/>
      <c r="G282" s="38"/>
      <c r="H282" s="38"/>
      <c r="I282" s="43"/>
      <c r="J282" s="43"/>
      <c r="K282" s="43"/>
      <c r="L282" s="38"/>
      <c r="M282" s="150"/>
      <c r="N282" s="151"/>
      <c r="O282" s="151"/>
      <c r="P282" s="43"/>
      <c r="Q282" s="43"/>
      <c r="R282" s="44"/>
    </row>
    <row r="283" spans="2:18" ht="12" hidden="1" customHeight="1" outlineLevel="1">
      <c r="B283" s="87" t="s">
        <v>989</v>
      </c>
      <c r="C283" s="38"/>
      <c r="D283" s="38"/>
      <c r="E283" s="124"/>
      <c r="F283" s="38"/>
      <c r="G283" s="38"/>
      <c r="H283" s="38"/>
      <c r="I283" s="43"/>
      <c r="J283" s="43"/>
      <c r="K283" s="43"/>
      <c r="L283" s="38"/>
      <c r="M283" s="150"/>
      <c r="N283" s="151"/>
      <c r="O283" s="151"/>
      <c r="P283" s="43"/>
      <c r="Q283" s="43"/>
      <c r="R283" s="44"/>
    </row>
    <row r="284" spans="2:18" ht="12" hidden="1" customHeight="1" outlineLevel="1">
      <c r="B284" s="87" t="s">
        <v>990</v>
      </c>
      <c r="C284" s="38"/>
      <c r="D284" s="38"/>
      <c r="E284" s="124"/>
      <c r="F284" s="38"/>
      <c r="G284" s="38"/>
      <c r="H284" s="38"/>
      <c r="I284" s="43"/>
      <c r="J284" s="43"/>
      <c r="K284" s="43"/>
      <c r="L284" s="38"/>
      <c r="M284" s="150"/>
      <c r="N284" s="151"/>
      <c r="O284" s="151"/>
      <c r="P284" s="43"/>
      <c r="Q284" s="43"/>
      <c r="R284" s="44"/>
    </row>
    <row r="285" spans="2:18" ht="12" hidden="1" customHeight="1" outlineLevel="1">
      <c r="B285" s="87" t="s">
        <v>991</v>
      </c>
      <c r="C285" s="38"/>
      <c r="D285" s="38"/>
      <c r="E285" s="124"/>
      <c r="F285" s="38"/>
      <c r="G285" s="38"/>
      <c r="H285" s="38"/>
      <c r="I285" s="43"/>
      <c r="J285" s="43"/>
      <c r="K285" s="43"/>
      <c r="L285" s="38"/>
      <c r="M285" s="150"/>
      <c r="N285" s="151"/>
      <c r="O285" s="151"/>
      <c r="P285" s="43"/>
      <c r="Q285" s="43"/>
      <c r="R285" s="44"/>
    </row>
    <row r="286" spans="2:18" ht="12" hidden="1" customHeight="1" outlineLevel="1">
      <c r="B286" s="87" t="s">
        <v>992</v>
      </c>
      <c r="C286" s="38"/>
      <c r="D286" s="38"/>
      <c r="E286" s="124"/>
      <c r="F286" s="38"/>
      <c r="G286" s="38"/>
      <c r="H286" s="38"/>
      <c r="I286" s="43"/>
      <c r="J286" s="43"/>
      <c r="K286" s="43"/>
      <c r="L286" s="38"/>
      <c r="M286" s="150"/>
      <c r="N286" s="151"/>
      <c r="O286" s="151"/>
      <c r="P286" s="43"/>
      <c r="Q286" s="43"/>
      <c r="R286" s="44"/>
    </row>
    <row r="287" spans="2:18" ht="12" hidden="1" customHeight="1" outlineLevel="1">
      <c r="B287" s="87" t="s">
        <v>993</v>
      </c>
      <c r="C287" s="38"/>
      <c r="D287" s="38"/>
      <c r="E287" s="124"/>
      <c r="F287" s="38"/>
      <c r="G287" s="38"/>
      <c r="H287" s="38"/>
      <c r="I287" s="43"/>
      <c r="J287" s="43"/>
      <c r="K287" s="43"/>
      <c r="L287" s="38"/>
      <c r="M287" s="150"/>
      <c r="N287" s="151"/>
      <c r="O287" s="151"/>
      <c r="P287" s="43"/>
      <c r="Q287" s="43"/>
      <c r="R287" s="44"/>
    </row>
    <row r="288" spans="2:18" ht="12" hidden="1" customHeight="1" outlineLevel="1">
      <c r="B288" s="87" t="s">
        <v>994</v>
      </c>
      <c r="C288" s="38"/>
      <c r="D288" s="38"/>
      <c r="E288" s="124"/>
      <c r="F288" s="38"/>
      <c r="G288" s="38"/>
      <c r="H288" s="38"/>
      <c r="I288" s="43"/>
      <c r="J288" s="43"/>
      <c r="K288" s="43"/>
      <c r="L288" s="38"/>
      <c r="M288" s="150"/>
      <c r="N288" s="151"/>
      <c r="O288" s="151"/>
      <c r="P288" s="43"/>
      <c r="Q288" s="43"/>
      <c r="R288" s="44"/>
    </row>
    <row r="289" spans="2:18" ht="12" hidden="1" customHeight="1" outlineLevel="1">
      <c r="B289" s="87" t="s">
        <v>995</v>
      </c>
      <c r="C289" s="38"/>
      <c r="D289" s="38"/>
      <c r="E289" s="124"/>
      <c r="F289" s="38"/>
      <c r="G289" s="38"/>
      <c r="H289" s="38"/>
      <c r="I289" s="43"/>
      <c r="J289" s="43"/>
      <c r="K289" s="43"/>
      <c r="L289" s="38"/>
      <c r="M289" s="150"/>
      <c r="N289" s="151"/>
      <c r="O289" s="151"/>
      <c r="P289" s="43"/>
      <c r="Q289" s="43"/>
      <c r="R289" s="44"/>
    </row>
    <row r="290" spans="2:18" ht="12" hidden="1" customHeight="1" outlineLevel="1">
      <c r="B290" s="87" t="s">
        <v>996</v>
      </c>
      <c r="C290" s="38"/>
      <c r="D290" s="38"/>
      <c r="E290" s="124"/>
      <c r="F290" s="38"/>
      <c r="G290" s="38"/>
      <c r="H290" s="38"/>
      <c r="I290" s="43"/>
      <c r="J290" s="43"/>
      <c r="K290" s="43"/>
      <c r="L290" s="38"/>
      <c r="M290" s="150"/>
      <c r="N290" s="151"/>
      <c r="O290" s="151"/>
      <c r="P290" s="43"/>
      <c r="Q290" s="43"/>
      <c r="R290" s="44"/>
    </row>
    <row r="291" spans="2:18" ht="12" hidden="1" customHeight="1" outlineLevel="1" thickBot="1">
      <c r="B291" s="158" t="s">
        <v>997</v>
      </c>
      <c r="C291" s="152"/>
      <c r="D291" s="152"/>
      <c r="E291" s="153"/>
      <c r="F291" s="152"/>
      <c r="G291" s="152"/>
      <c r="H291" s="152"/>
      <c r="I291" s="154"/>
      <c r="J291" s="154"/>
      <c r="K291" s="154"/>
      <c r="L291" s="152"/>
      <c r="M291" s="155"/>
      <c r="N291" s="156"/>
      <c r="O291" s="156"/>
      <c r="P291" s="154"/>
      <c r="Q291" s="154"/>
      <c r="R291" s="157"/>
    </row>
    <row r="292" spans="2:18" ht="12" customHeight="1" thickBot="1">
      <c r="B292" s="159" t="s">
        <v>385</v>
      </c>
      <c r="C292" s="173"/>
      <c r="D292" s="173"/>
      <c r="E292" s="174"/>
      <c r="F292" s="173"/>
      <c r="G292" s="173"/>
      <c r="H292" s="173"/>
      <c r="I292" s="175"/>
      <c r="J292" s="175"/>
      <c r="K292" s="175"/>
      <c r="L292" s="173"/>
      <c r="M292" s="176"/>
      <c r="N292" s="177"/>
      <c r="O292" s="177"/>
      <c r="P292" s="175"/>
      <c r="Q292" s="178"/>
      <c r="R292" s="111">
        <v>0</v>
      </c>
    </row>
  </sheetData>
  <mergeCells count="8">
    <mergeCell ref="C4:R4"/>
    <mergeCell ref="C5:R5"/>
    <mergeCell ref="C6:R6"/>
    <mergeCell ref="C7:C8"/>
    <mergeCell ref="D7:D8"/>
    <mergeCell ref="E7:F7"/>
    <mergeCell ref="G7:O7"/>
    <mergeCell ref="P7:R7"/>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heetPr>
  <dimension ref="A1:H19"/>
  <sheetViews>
    <sheetView showGridLines="0" workbookViewId="0"/>
  </sheetViews>
  <sheetFormatPr baseColWidth="10" defaultColWidth="9.140625" defaultRowHeight="15"/>
  <cols>
    <col min="1" max="3" width="2.42578125" customWidth="1"/>
    <col min="4" max="4" width="39.28515625" customWidth="1"/>
    <col min="5" max="8" width="15.7109375" customWidth="1"/>
    <col min="9" max="10" width="10" customWidth="1"/>
  </cols>
  <sheetData>
    <row r="1" spans="1:8" ht="15" customHeight="1"/>
    <row r="2" spans="1:8" s="1" customFormat="1" ht="15" customHeight="1">
      <c r="C2" s="1" t="s">
        <v>1254</v>
      </c>
    </row>
    <row r="3" spans="1:8" ht="15" customHeight="1"/>
    <row r="4" spans="1:8" s="182" customFormat="1" ht="12.75" customHeight="1" thickBot="1">
      <c r="A4" s="183"/>
      <c r="B4" s="184"/>
      <c r="C4" s="186"/>
      <c r="D4" s="186"/>
      <c r="E4" s="1633"/>
      <c r="F4" s="1633"/>
      <c r="G4" s="1633"/>
      <c r="H4" s="1633"/>
    </row>
    <row r="5" spans="1:8" s="182" customFormat="1" ht="12.75" customHeight="1">
      <c r="A5" s="183"/>
      <c r="B5" s="184"/>
      <c r="C5" s="187"/>
      <c r="D5" s="187"/>
      <c r="E5" s="1607" t="s">
        <v>1259</v>
      </c>
      <c r="F5" s="1607" t="s">
        <v>1235</v>
      </c>
      <c r="G5" s="1607" t="s">
        <v>1260</v>
      </c>
      <c r="H5" s="1602" t="s">
        <v>1233</v>
      </c>
    </row>
    <row r="6" spans="1:8" s="182" customFormat="1" ht="54.95" customHeight="1" thickBot="1">
      <c r="A6" s="183"/>
      <c r="B6" s="184"/>
      <c r="C6" s="186"/>
      <c r="D6" s="186"/>
      <c r="E6" s="1608"/>
      <c r="F6" s="1608"/>
      <c r="G6" s="1608"/>
      <c r="H6" s="1603"/>
    </row>
    <row r="7" spans="1:8" ht="12" customHeight="1">
      <c r="A7" s="146"/>
      <c r="B7" s="4"/>
      <c r="C7" s="1566" t="s">
        <v>386</v>
      </c>
      <c r="D7" s="1566"/>
      <c r="E7" s="65">
        <v>2508900</v>
      </c>
      <c r="F7" s="65">
        <v>0</v>
      </c>
      <c r="G7" s="65">
        <f>+E7-F7</f>
        <v>2508900</v>
      </c>
      <c r="H7" s="66">
        <v>2475326</v>
      </c>
    </row>
    <row r="8" spans="1:8" ht="12" customHeight="1" thickBot="1">
      <c r="A8" s="146"/>
      <c r="B8" s="4"/>
      <c r="C8" s="1566" t="s">
        <v>387</v>
      </c>
      <c r="D8" s="1566"/>
      <c r="E8" s="154">
        <v>8555751</v>
      </c>
      <c r="F8" s="154">
        <v>464407</v>
      </c>
      <c r="G8" s="154">
        <f>+E8-F8</f>
        <v>8091344</v>
      </c>
      <c r="H8" s="157">
        <v>8091344</v>
      </c>
    </row>
    <row r="9" spans="1:8" ht="12" customHeight="1" thickBot="1">
      <c r="A9" s="146"/>
      <c r="B9" s="4"/>
      <c r="C9" s="1621" t="s">
        <v>1255</v>
      </c>
      <c r="D9" s="1621"/>
      <c r="E9" s="175">
        <f>SUM(E7:E8)</f>
        <v>11064651</v>
      </c>
      <c r="F9" s="175">
        <f>SUM(F7:F8)</f>
        <v>464407</v>
      </c>
      <c r="G9" s="175">
        <f>SUM(G7:G8)</f>
        <v>10600244</v>
      </c>
      <c r="H9" s="175">
        <f>SUM(H7:H8)</f>
        <v>10566670</v>
      </c>
    </row>
    <row r="12" spans="1:8">
      <c r="C12" t="s">
        <v>1256</v>
      </c>
    </row>
    <row r="14" spans="1:8">
      <c r="D14" s="190" t="s">
        <v>1257</v>
      </c>
      <c r="E14" s="143">
        <v>465424</v>
      </c>
    </row>
    <row r="15" spans="1:8">
      <c r="D15" s="190" t="s">
        <v>1243</v>
      </c>
      <c r="E15" s="143">
        <f>-1017</f>
        <v>-1017</v>
      </c>
      <c r="G15" s="1192" t="s">
        <v>3729</v>
      </c>
    </row>
    <row r="16" spans="1:8">
      <c r="D16" s="190" t="s">
        <v>389</v>
      </c>
      <c r="E16" s="143"/>
    </row>
    <row r="17" spans="4:5">
      <c r="D17" s="190" t="s">
        <v>1245</v>
      </c>
      <c r="E17" s="143"/>
    </row>
    <row r="18" spans="4:5" ht="15.75" thickBot="1">
      <c r="D18" s="190" t="s">
        <v>604</v>
      </c>
      <c r="E18" s="193"/>
    </row>
    <row r="19" spans="4:5" ht="15.75" thickBot="1">
      <c r="D19" s="191" t="s">
        <v>1258</v>
      </c>
      <c r="E19" s="194">
        <f>SUM(E14:E18)</f>
        <v>464407</v>
      </c>
    </row>
  </sheetData>
  <mergeCells count="8">
    <mergeCell ref="E4:H4"/>
    <mergeCell ref="G5:G6"/>
    <mergeCell ref="H5:H6"/>
    <mergeCell ref="C9:D9"/>
    <mergeCell ref="E5:E6"/>
    <mergeCell ref="F5:F6"/>
    <mergeCell ref="C7:D7"/>
    <mergeCell ref="C8:D8"/>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heetPr>
  <dimension ref="B1:AE48"/>
  <sheetViews>
    <sheetView showGridLines="0" topLeftCell="L1" workbookViewId="0">
      <selection activeCell="Y14" sqref="Y14"/>
    </sheetView>
  </sheetViews>
  <sheetFormatPr baseColWidth="10" defaultColWidth="9.140625" defaultRowHeight="15"/>
  <cols>
    <col min="1" max="4" width="2.42578125" customWidth="1"/>
    <col min="5" max="5" width="35.7109375" customWidth="1"/>
    <col min="6" max="22" width="13.7109375" customWidth="1"/>
    <col min="23" max="31" width="12.42578125" customWidth="1"/>
  </cols>
  <sheetData>
    <row r="1" spans="2:31" ht="15" customHeight="1"/>
    <row r="2" spans="2:31" s="1" customFormat="1" ht="15" customHeight="1">
      <c r="B2" s="1" t="s">
        <v>1267</v>
      </c>
    </row>
    <row r="3" spans="2:31" ht="15" customHeight="1"/>
    <row r="4" spans="2:31" ht="12.75" customHeight="1">
      <c r="B4" s="2"/>
      <c r="C4" s="2"/>
      <c r="D4" s="2"/>
      <c r="E4" s="2"/>
      <c r="F4" s="4"/>
      <c r="G4" s="4"/>
      <c r="H4" s="4"/>
      <c r="I4" s="4"/>
      <c r="J4" s="4"/>
      <c r="K4" s="4"/>
      <c r="L4" s="4"/>
      <c r="M4" s="4"/>
      <c r="N4" s="4"/>
      <c r="O4" s="4"/>
      <c r="P4" s="4"/>
      <c r="Q4" s="4"/>
      <c r="R4" s="4"/>
      <c r="S4" s="4"/>
      <c r="T4" s="4"/>
      <c r="U4" s="4"/>
      <c r="V4" s="4"/>
      <c r="W4" s="4"/>
      <c r="X4" s="4"/>
      <c r="Y4" s="4"/>
      <c r="Z4" s="4"/>
      <c r="AA4" s="4"/>
      <c r="AB4" s="4"/>
      <c r="AC4" s="4"/>
      <c r="AD4" s="4"/>
      <c r="AE4" s="4"/>
    </row>
    <row r="5" spans="2:31" ht="12.75" customHeight="1" thickBot="1">
      <c r="B5" s="2"/>
      <c r="C5" s="2"/>
      <c r="D5" s="2"/>
      <c r="E5" s="2"/>
      <c r="F5" s="4"/>
      <c r="G5" s="4"/>
      <c r="H5" s="4"/>
      <c r="I5" s="4"/>
      <c r="J5" s="4"/>
      <c r="K5" s="4"/>
      <c r="L5" s="4"/>
      <c r="M5" s="4"/>
      <c r="N5" s="4"/>
      <c r="O5" s="4"/>
      <c r="P5" s="4"/>
      <c r="Q5" s="4"/>
      <c r="R5" s="4"/>
      <c r="S5" s="4"/>
      <c r="T5" s="4"/>
      <c r="U5" s="4"/>
      <c r="V5" s="4"/>
      <c r="W5" s="4"/>
      <c r="X5" s="4"/>
      <c r="Y5" s="4"/>
      <c r="Z5" s="4"/>
      <c r="AA5" s="4"/>
      <c r="AB5" s="4"/>
      <c r="AC5" s="4"/>
      <c r="AD5" s="4"/>
      <c r="AE5" s="4"/>
    </row>
    <row r="6" spans="2:31" ht="12.75" customHeight="1">
      <c r="B6" s="195"/>
      <c r="C6" s="195"/>
      <c r="D6" s="195"/>
      <c r="E6" s="195"/>
      <c r="F6" s="1637" t="s">
        <v>1264</v>
      </c>
      <c r="G6" s="1637"/>
      <c r="H6" s="1637"/>
      <c r="I6" s="1637"/>
      <c r="J6" s="1637"/>
      <c r="K6" s="1637"/>
      <c r="L6" s="1637"/>
      <c r="M6" s="1637"/>
      <c r="N6" s="1637" t="s">
        <v>1265</v>
      </c>
      <c r="O6" s="1637"/>
      <c r="P6" s="1637"/>
      <c r="Q6" s="1637"/>
      <c r="R6" s="1637"/>
      <c r="S6" s="1637"/>
      <c r="T6" s="1637"/>
      <c r="U6" s="1637"/>
      <c r="V6" s="1612" t="s">
        <v>1266</v>
      </c>
      <c r="W6" s="4"/>
      <c r="X6" s="4"/>
      <c r="Y6" s="4"/>
      <c r="Z6" s="4"/>
      <c r="AA6" s="4"/>
      <c r="AB6" s="4"/>
      <c r="AC6" s="4"/>
      <c r="AD6" s="4"/>
      <c r="AE6" s="4"/>
    </row>
    <row r="7" spans="2:31" ht="12.75" customHeight="1">
      <c r="B7" s="2"/>
      <c r="C7" s="2"/>
      <c r="D7" s="2"/>
      <c r="E7" s="2"/>
      <c r="F7" s="1609" t="s">
        <v>904</v>
      </c>
      <c r="G7" s="1609" t="s">
        <v>905</v>
      </c>
      <c r="H7" s="1609" t="s">
        <v>906</v>
      </c>
      <c r="I7" s="1609" t="s">
        <v>1262</v>
      </c>
      <c r="J7" s="1609" t="s">
        <v>907</v>
      </c>
      <c r="K7" s="1609" t="s">
        <v>1235</v>
      </c>
      <c r="L7" s="1609" t="s">
        <v>1261</v>
      </c>
      <c r="M7" s="1609" t="s">
        <v>1263</v>
      </c>
      <c r="N7" s="1609" t="s">
        <v>904</v>
      </c>
      <c r="O7" s="1609" t="s">
        <v>905</v>
      </c>
      <c r="P7" s="1609" t="s">
        <v>906</v>
      </c>
      <c r="Q7" s="1609" t="s">
        <v>1262</v>
      </c>
      <c r="R7" s="1609" t="s">
        <v>907</v>
      </c>
      <c r="S7" s="1609" t="s">
        <v>1235</v>
      </c>
      <c r="T7" s="1609" t="s">
        <v>1261</v>
      </c>
      <c r="U7" s="1609" t="s">
        <v>1263</v>
      </c>
      <c r="V7" s="1609"/>
      <c r="W7" s="3"/>
      <c r="X7" s="1628" t="s">
        <v>390</v>
      </c>
      <c r="Y7" s="1628"/>
      <c r="Z7" s="1628"/>
      <c r="AA7" s="1628"/>
      <c r="AB7" s="1628"/>
      <c r="AC7" s="1628"/>
      <c r="AD7" s="1628"/>
      <c r="AE7" s="1628" t="s">
        <v>1266</v>
      </c>
    </row>
    <row r="8" spans="2:31" ht="12.75" customHeight="1">
      <c r="B8" s="2"/>
      <c r="C8" s="2"/>
      <c r="D8" s="2"/>
      <c r="E8" s="2"/>
      <c r="F8" s="1609"/>
      <c r="G8" s="1609"/>
      <c r="H8" s="1609"/>
      <c r="I8" s="1609"/>
      <c r="J8" s="1609"/>
      <c r="K8" s="1609"/>
      <c r="L8" s="1609"/>
      <c r="M8" s="1609"/>
      <c r="N8" s="1609"/>
      <c r="O8" s="1609"/>
      <c r="P8" s="1609"/>
      <c r="Q8" s="1609"/>
      <c r="R8" s="1609"/>
      <c r="S8" s="1609"/>
      <c r="T8" s="1609"/>
      <c r="U8" s="1609"/>
      <c r="V8" s="1609"/>
      <c r="W8" s="3"/>
      <c r="X8" s="1628" t="s">
        <v>391</v>
      </c>
      <c r="Y8" s="1628"/>
      <c r="Z8" s="1628"/>
      <c r="AA8" s="1628"/>
      <c r="AB8" s="1628" t="s">
        <v>392</v>
      </c>
      <c r="AC8" s="1628"/>
      <c r="AD8" s="1628"/>
      <c r="AE8" s="1628"/>
    </row>
    <row r="9" spans="2:31" ht="54.95" customHeight="1" thickBot="1">
      <c r="B9" s="35"/>
      <c r="C9" s="35"/>
      <c r="D9" s="35"/>
      <c r="E9" s="35"/>
      <c r="F9" s="1610"/>
      <c r="G9" s="1610"/>
      <c r="H9" s="1610"/>
      <c r="I9" s="1610"/>
      <c r="J9" s="1610"/>
      <c r="K9" s="1610"/>
      <c r="L9" s="1610"/>
      <c r="M9" s="1610"/>
      <c r="N9" s="1610"/>
      <c r="O9" s="1610"/>
      <c r="P9" s="1610"/>
      <c r="Q9" s="1610"/>
      <c r="R9" s="1610"/>
      <c r="S9" s="1610"/>
      <c r="T9" s="1610"/>
      <c r="U9" s="1610"/>
      <c r="V9" s="1610"/>
      <c r="W9" s="3"/>
      <c r="X9" s="3" t="s">
        <v>316</v>
      </c>
      <c r="Y9" s="3" t="s">
        <v>317</v>
      </c>
      <c r="Z9" s="3" t="s">
        <v>318</v>
      </c>
      <c r="AA9" s="1628"/>
      <c r="AB9" s="3" t="s">
        <v>315</v>
      </c>
      <c r="AC9" s="3" t="s">
        <v>393</v>
      </c>
      <c r="AD9" s="1628"/>
      <c r="AE9" s="1628"/>
    </row>
    <row r="10" spans="2:31" ht="15" customHeight="1">
      <c r="B10" s="1557" t="s">
        <v>909</v>
      </c>
      <c r="C10" s="1557"/>
      <c r="D10" s="1557"/>
      <c r="E10" s="1557"/>
      <c r="F10" s="53"/>
      <c r="G10" s="48"/>
      <c r="H10" s="48"/>
      <c r="I10" s="48"/>
      <c r="J10" s="48"/>
      <c r="K10" s="48"/>
      <c r="L10" s="48"/>
      <c r="M10" s="48"/>
      <c r="N10" s="48"/>
      <c r="O10" s="48"/>
      <c r="P10" s="48"/>
      <c r="Q10" s="48"/>
      <c r="R10" s="48"/>
      <c r="S10" s="48"/>
      <c r="T10" s="48"/>
      <c r="U10" s="48"/>
      <c r="V10" s="49"/>
      <c r="W10" s="85"/>
      <c r="X10" s="85"/>
      <c r="Y10" s="85"/>
      <c r="Z10" s="85"/>
      <c r="AA10" s="85"/>
      <c r="AB10" s="85"/>
      <c r="AC10" s="85"/>
      <c r="AD10" s="85"/>
      <c r="AE10" s="85"/>
    </row>
    <row r="11" spans="2:31" s="197" customFormat="1" ht="15" customHeight="1">
      <c r="B11" s="200"/>
      <c r="C11" s="1636" t="s">
        <v>899</v>
      </c>
      <c r="D11" s="1636"/>
      <c r="E11" s="1636"/>
      <c r="F11" s="61">
        <f>F12+F18+F24</f>
        <v>0</v>
      </c>
      <c r="G11" s="60">
        <f t="shared" ref="G11:U11" si="0">G12+G18+G24</f>
        <v>0</v>
      </c>
      <c r="H11" s="60">
        <f t="shared" si="0"/>
        <v>0</v>
      </c>
      <c r="I11" s="60">
        <f t="shared" si="0"/>
        <v>0</v>
      </c>
      <c r="J11" s="60">
        <f t="shared" si="0"/>
        <v>73900070</v>
      </c>
      <c r="K11" s="60">
        <f t="shared" si="0"/>
        <v>9611</v>
      </c>
      <c r="L11" s="60">
        <f t="shared" si="0"/>
        <v>73890459</v>
      </c>
      <c r="M11" s="60">
        <f t="shared" si="0"/>
        <v>73890459</v>
      </c>
      <c r="N11" s="60">
        <f t="shared" si="0"/>
        <v>109566497</v>
      </c>
      <c r="O11" s="60">
        <f t="shared" si="0"/>
        <v>0</v>
      </c>
      <c r="P11" s="60">
        <f t="shared" si="0"/>
        <v>0</v>
      </c>
      <c r="Q11" s="60">
        <f t="shared" si="0"/>
        <v>109566497</v>
      </c>
      <c r="R11" s="60">
        <f t="shared" si="0"/>
        <v>0</v>
      </c>
      <c r="S11" s="60">
        <f t="shared" si="0"/>
        <v>0</v>
      </c>
      <c r="T11" s="60">
        <f t="shared" si="0"/>
        <v>0</v>
      </c>
      <c r="U11" s="60">
        <f t="shared" si="0"/>
        <v>109566497</v>
      </c>
      <c r="V11" s="62">
        <f>U11+M11</f>
        <v>183456956</v>
      </c>
      <c r="W11" s="196"/>
      <c r="X11" s="196"/>
      <c r="Y11" s="196"/>
      <c r="Z11" s="196"/>
      <c r="AA11" s="196"/>
      <c r="AB11" s="196"/>
      <c r="AC11" s="196"/>
      <c r="AD11" s="196"/>
      <c r="AE11" s="196"/>
    </row>
    <row r="12" spans="2:31" s="197" customFormat="1" ht="15" customHeight="1">
      <c r="B12" s="200"/>
      <c r="C12" s="200"/>
      <c r="D12" s="1636" t="s">
        <v>900</v>
      </c>
      <c r="E12" s="1636"/>
      <c r="F12" s="61">
        <f>SUM(F13:F17)</f>
        <v>0</v>
      </c>
      <c r="G12" s="60">
        <f t="shared" ref="G12:U12" si="1">SUM(G13:G17)</f>
        <v>0</v>
      </c>
      <c r="H12" s="60">
        <f t="shared" si="1"/>
        <v>0</v>
      </c>
      <c r="I12" s="60">
        <f t="shared" si="1"/>
        <v>0</v>
      </c>
      <c r="J12" s="60">
        <f>SUM(J14:J17)</f>
        <v>73900070</v>
      </c>
      <c r="K12" s="60">
        <f t="shared" si="1"/>
        <v>9611</v>
      </c>
      <c r="L12" s="60">
        <f>SUM(L14:L17)</f>
        <v>73890459</v>
      </c>
      <c r="M12" s="60">
        <f>SUM(M14:M17)</f>
        <v>73890459</v>
      </c>
      <c r="N12" s="60">
        <f t="shared" si="1"/>
        <v>0</v>
      </c>
      <c r="O12" s="60">
        <f t="shared" si="1"/>
        <v>0</v>
      </c>
      <c r="P12" s="60">
        <f t="shared" si="1"/>
        <v>0</v>
      </c>
      <c r="Q12" s="60">
        <f t="shared" si="1"/>
        <v>0</v>
      </c>
      <c r="R12" s="60">
        <f t="shared" si="1"/>
        <v>0</v>
      </c>
      <c r="S12" s="60">
        <f t="shared" si="1"/>
        <v>0</v>
      </c>
      <c r="T12" s="60">
        <f t="shared" si="1"/>
        <v>0</v>
      </c>
      <c r="U12" s="60">
        <f t="shared" si="1"/>
        <v>0</v>
      </c>
      <c r="V12" s="62">
        <f t="shared" ref="V12:V41" si="2">U12+M12</f>
        <v>73890459</v>
      </c>
      <c r="W12" s="196"/>
      <c r="X12" s="196"/>
      <c r="Y12" s="196"/>
      <c r="Z12" s="196"/>
      <c r="AA12" s="196"/>
      <c r="AB12" s="196"/>
      <c r="AC12" s="196"/>
      <c r="AD12" s="196"/>
      <c r="AE12" s="196"/>
    </row>
    <row r="13" spans="2:31" ht="15" customHeight="1">
      <c r="B13" s="12"/>
      <c r="C13" s="12"/>
      <c r="D13" s="12"/>
      <c r="E13" s="82" t="s">
        <v>394</v>
      </c>
      <c r="F13" s="54"/>
      <c r="G13" s="43"/>
      <c r="H13" s="43"/>
      <c r="I13" s="43"/>
      <c r="K13" s="43"/>
      <c r="N13" s="43"/>
      <c r="O13" s="43"/>
      <c r="P13" s="43"/>
      <c r="Q13" s="43"/>
      <c r="R13" s="43"/>
      <c r="S13" s="43"/>
      <c r="T13" s="43"/>
      <c r="U13" s="43"/>
      <c r="V13" s="204">
        <v>0</v>
      </c>
      <c r="W13" s="185"/>
      <c r="X13" s="185"/>
      <c r="Y13" s="185"/>
      <c r="Z13" s="185"/>
      <c r="AA13" s="185"/>
      <c r="AB13" s="185"/>
      <c r="AC13" s="185"/>
      <c r="AD13" s="185"/>
      <c r="AE13" s="185"/>
    </row>
    <row r="14" spans="2:31" ht="15" customHeight="1">
      <c r="B14" s="12"/>
      <c r="C14" s="12"/>
      <c r="D14" s="12"/>
      <c r="E14" s="82" t="s">
        <v>395</v>
      </c>
      <c r="F14" s="54"/>
      <c r="G14" s="43"/>
      <c r="H14" s="43"/>
      <c r="I14" s="43"/>
      <c r="J14" s="1541">
        <v>14892445</v>
      </c>
      <c r="K14" s="43"/>
      <c r="L14" s="1541">
        <v>14892445</v>
      </c>
      <c r="M14" s="1541">
        <v>14892445</v>
      </c>
      <c r="N14" s="43"/>
      <c r="O14" s="43"/>
      <c r="P14" s="43"/>
      <c r="Q14" s="43"/>
      <c r="R14" s="43"/>
      <c r="S14" s="43"/>
      <c r="T14" s="43"/>
      <c r="U14" s="43"/>
      <c r="V14" s="1521">
        <f>+U14+M14</f>
        <v>14892445</v>
      </c>
      <c r="W14" s="185"/>
      <c r="X14" s="185"/>
      <c r="Y14" s="185"/>
      <c r="Z14" s="185"/>
      <c r="AA14" s="185"/>
      <c r="AB14" s="185"/>
      <c r="AC14" s="185"/>
      <c r="AD14" s="185"/>
      <c r="AE14" s="185"/>
    </row>
    <row r="15" spans="2:31" ht="15" customHeight="1">
      <c r="B15" s="12"/>
      <c r="C15" s="12"/>
      <c r="D15" s="12"/>
      <c r="E15" s="82" t="s">
        <v>396</v>
      </c>
      <c r="F15" s="54"/>
      <c r="G15" s="43"/>
      <c r="H15" s="43"/>
      <c r="I15" s="43"/>
      <c r="J15" s="1541">
        <v>53801517</v>
      </c>
      <c r="K15" s="43"/>
      <c r="L15" s="1541">
        <v>53801517</v>
      </c>
      <c r="M15" s="1541">
        <v>53801517</v>
      </c>
      <c r="N15" s="43"/>
      <c r="O15" s="43"/>
      <c r="P15" s="43"/>
      <c r="Q15" s="43"/>
      <c r="R15" s="43"/>
      <c r="S15" s="43"/>
      <c r="T15" s="43"/>
      <c r="U15" s="43"/>
      <c r="V15" s="1521">
        <f>+U15+M15</f>
        <v>53801517</v>
      </c>
      <c r="W15" s="185"/>
      <c r="X15" s="185"/>
      <c r="Y15" s="185"/>
      <c r="Z15" s="185"/>
      <c r="AA15" s="185"/>
      <c r="AB15" s="185"/>
      <c r="AC15" s="185"/>
      <c r="AD15" s="185"/>
      <c r="AE15" s="185"/>
    </row>
    <row r="16" spans="2:31" ht="15" customHeight="1">
      <c r="B16" s="12"/>
      <c r="C16" s="12"/>
      <c r="D16" s="12"/>
      <c r="E16" s="82" t="s">
        <v>397</v>
      </c>
      <c r="F16" s="54"/>
      <c r="G16" s="43"/>
      <c r="H16" s="43"/>
      <c r="I16" s="43"/>
      <c r="J16" s="43"/>
      <c r="K16" s="43"/>
      <c r="L16" s="43"/>
      <c r="M16" s="43"/>
      <c r="N16" s="43"/>
      <c r="O16" s="43"/>
      <c r="P16" s="43"/>
      <c r="Q16" s="43"/>
      <c r="R16" s="43"/>
      <c r="S16" s="43"/>
      <c r="T16" s="43"/>
      <c r="U16" s="43"/>
      <c r="V16" s="204">
        <f t="shared" si="2"/>
        <v>0</v>
      </c>
      <c r="W16" s="185"/>
      <c r="X16" s="185"/>
      <c r="Y16" s="185"/>
      <c r="Z16" s="185"/>
      <c r="AA16" s="185"/>
      <c r="AB16" s="185"/>
      <c r="AC16" s="185"/>
      <c r="AD16" s="185"/>
      <c r="AE16" s="185"/>
    </row>
    <row r="17" spans="2:31" ht="15" customHeight="1">
      <c r="B17" s="12"/>
      <c r="C17" s="12"/>
      <c r="D17" s="12"/>
      <c r="E17" s="82" t="s">
        <v>604</v>
      </c>
      <c r="F17" s="54"/>
      <c r="G17" s="43"/>
      <c r="H17" s="43"/>
      <c r="I17" s="43"/>
      <c r="J17" s="43">
        <v>5206108</v>
      </c>
      <c r="K17" s="43">
        <v>9611</v>
      </c>
      <c r="L17" s="43">
        <v>5196497</v>
      </c>
      <c r="M17" s="43">
        <v>5196497</v>
      </c>
      <c r="N17" s="43"/>
      <c r="O17" s="43"/>
      <c r="P17" s="43"/>
      <c r="Q17" s="43"/>
      <c r="R17" s="43"/>
      <c r="S17" s="43"/>
      <c r="T17" s="43"/>
      <c r="U17" s="43"/>
      <c r="V17" s="204">
        <f t="shared" si="2"/>
        <v>5196497</v>
      </c>
      <c r="W17" s="185"/>
      <c r="X17" s="185"/>
      <c r="Y17" s="185"/>
      <c r="Z17" s="185"/>
      <c r="AA17" s="185"/>
      <c r="AB17" s="185"/>
      <c r="AC17" s="185"/>
      <c r="AD17" s="185"/>
      <c r="AE17" s="185"/>
    </row>
    <row r="18" spans="2:31" s="197" customFormat="1" ht="15" customHeight="1">
      <c r="B18" s="200"/>
      <c r="C18" s="200"/>
      <c r="D18" s="1636" t="s">
        <v>902</v>
      </c>
      <c r="E18" s="1636"/>
      <c r="F18" s="61">
        <f>SUM(F19:F23)</f>
        <v>0</v>
      </c>
      <c r="G18" s="60">
        <f t="shared" ref="G18:U18" si="3">SUM(G19:G23)</f>
        <v>0</v>
      </c>
      <c r="H18" s="60">
        <f t="shared" si="3"/>
        <v>0</v>
      </c>
      <c r="I18" s="60">
        <f t="shared" si="3"/>
        <v>0</v>
      </c>
      <c r="J18" s="60">
        <f t="shared" si="3"/>
        <v>0</v>
      </c>
      <c r="K18" s="60">
        <f t="shared" si="3"/>
        <v>0</v>
      </c>
      <c r="L18" s="60">
        <f t="shared" si="3"/>
        <v>0</v>
      </c>
      <c r="M18" s="60">
        <f t="shared" si="3"/>
        <v>0</v>
      </c>
      <c r="N18" s="60">
        <f t="shared" si="3"/>
        <v>109566497</v>
      </c>
      <c r="O18" s="60">
        <f t="shared" si="3"/>
        <v>0</v>
      </c>
      <c r="P18" s="60">
        <f t="shared" si="3"/>
        <v>0</v>
      </c>
      <c r="Q18" s="60">
        <f t="shared" si="3"/>
        <v>109566497</v>
      </c>
      <c r="R18" s="60">
        <f t="shared" si="3"/>
        <v>0</v>
      </c>
      <c r="S18" s="60">
        <f t="shared" si="3"/>
        <v>0</v>
      </c>
      <c r="T18" s="60">
        <f t="shared" si="3"/>
        <v>0</v>
      </c>
      <c r="U18" s="60">
        <f t="shared" si="3"/>
        <v>109566497</v>
      </c>
      <c r="V18" s="62">
        <f t="shared" si="2"/>
        <v>109566497</v>
      </c>
      <c r="W18" s="196"/>
      <c r="X18" s="196"/>
      <c r="Y18" s="196"/>
      <c r="Z18" s="196"/>
      <c r="AA18" s="196"/>
      <c r="AB18" s="196"/>
      <c r="AC18" s="196"/>
      <c r="AD18" s="196"/>
      <c r="AE18" s="196"/>
    </row>
    <row r="19" spans="2:31" ht="15" customHeight="1">
      <c r="B19" s="12"/>
      <c r="C19" s="12"/>
      <c r="D19" s="12"/>
      <c r="E19" s="82" t="s">
        <v>319</v>
      </c>
      <c r="F19" s="54"/>
      <c r="G19" s="43"/>
      <c r="H19" s="43"/>
      <c r="I19" s="43"/>
      <c r="J19" s="43"/>
      <c r="K19" s="43"/>
      <c r="L19" s="43"/>
      <c r="M19" s="43"/>
      <c r="N19" s="43"/>
      <c r="O19" s="43"/>
      <c r="P19" s="43"/>
      <c r="Q19" s="43"/>
      <c r="R19" s="43"/>
      <c r="S19" s="43"/>
      <c r="T19" s="43"/>
      <c r="U19" s="43"/>
      <c r="V19" s="204">
        <f t="shared" si="2"/>
        <v>0</v>
      </c>
      <c r="W19" s="185"/>
      <c r="X19" s="185"/>
      <c r="Y19" s="185"/>
      <c r="Z19" s="185"/>
      <c r="AA19" s="185"/>
      <c r="AB19" s="185"/>
      <c r="AC19" s="185"/>
      <c r="AD19" s="185"/>
      <c r="AE19" s="185"/>
    </row>
    <row r="20" spans="2:31" ht="15" customHeight="1">
      <c r="B20" s="12"/>
      <c r="C20" s="12"/>
      <c r="D20" s="12"/>
      <c r="E20" s="82" t="s">
        <v>320</v>
      </c>
      <c r="F20" s="54"/>
      <c r="G20" s="43"/>
      <c r="H20" s="43"/>
      <c r="I20" s="43"/>
      <c r="J20" s="43"/>
      <c r="K20" s="43"/>
      <c r="L20" s="43"/>
      <c r="M20" s="43"/>
      <c r="N20" s="43"/>
      <c r="O20" s="43"/>
      <c r="P20" s="43"/>
      <c r="Q20" s="43"/>
      <c r="R20" s="43"/>
      <c r="S20" s="43"/>
      <c r="T20" s="43"/>
      <c r="U20" s="43"/>
      <c r="V20" s="204">
        <f t="shared" si="2"/>
        <v>0</v>
      </c>
      <c r="W20" s="185"/>
      <c r="X20" s="185"/>
      <c r="Y20" s="185"/>
      <c r="Z20" s="185"/>
      <c r="AA20" s="185"/>
      <c r="AB20" s="185"/>
      <c r="AC20" s="185"/>
      <c r="AD20" s="185"/>
      <c r="AE20" s="185"/>
    </row>
    <row r="21" spans="2:31" ht="15" customHeight="1">
      <c r="B21" s="12"/>
      <c r="C21" s="12"/>
      <c r="D21" s="12"/>
      <c r="E21" s="82" t="s">
        <v>321</v>
      </c>
      <c r="F21" s="54"/>
      <c r="G21" s="43"/>
      <c r="H21" s="43"/>
      <c r="I21" s="43"/>
      <c r="J21" s="43"/>
      <c r="K21" s="43"/>
      <c r="L21" s="43"/>
      <c r="M21" s="43"/>
      <c r="N21" s="43"/>
      <c r="O21" s="43"/>
      <c r="P21" s="43"/>
      <c r="Q21" s="43"/>
      <c r="R21" s="43"/>
      <c r="S21" s="43"/>
      <c r="T21" s="43"/>
      <c r="U21" s="43"/>
      <c r="V21" s="204">
        <f t="shared" si="2"/>
        <v>0</v>
      </c>
      <c r="W21" s="185"/>
      <c r="X21" s="185"/>
      <c r="Y21" s="185"/>
      <c r="Z21" s="185"/>
      <c r="AA21" s="185"/>
      <c r="AB21" s="185"/>
      <c r="AC21" s="185"/>
      <c r="AD21" s="185"/>
      <c r="AE21" s="185"/>
    </row>
    <row r="22" spans="2:31" ht="15" customHeight="1">
      <c r="B22" s="12"/>
      <c r="C22" s="12"/>
      <c r="D22" s="12"/>
      <c r="E22" s="82" t="s">
        <v>322</v>
      </c>
      <c r="F22" s="54"/>
      <c r="G22" s="43"/>
      <c r="H22" s="43"/>
      <c r="I22" s="43"/>
      <c r="J22" s="43"/>
      <c r="K22" s="43"/>
      <c r="L22" s="43"/>
      <c r="M22" s="43"/>
      <c r="N22" s="43">
        <v>109566497</v>
      </c>
      <c r="O22" s="43"/>
      <c r="P22" s="43"/>
      <c r="Q22" s="43">
        <v>109566497</v>
      </c>
      <c r="R22" s="43"/>
      <c r="S22" s="43"/>
      <c r="T22" s="43"/>
      <c r="U22" s="43">
        <v>109566497</v>
      </c>
      <c r="V22" s="204">
        <f t="shared" si="2"/>
        <v>109566497</v>
      </c>
      <c r="W22" s="185"/>
      <c r="X22" s="185"/>
      <c r="Y22" s="185"/>
      <c r="Z22" s="185"/>
      <c r="AA22" s="185"/>
      <c r="AB22" s="185"/>
      <c r="AC22" s="185"/>
      <c r="AD22" s="185"/>
      <c r="AE22" s="185"/>
    </row>
    <row r="23" spans="2:31" ht="15" customHeight="1">
      <c r="B23" s="12"/>
      <c r="C23" s="12"/>
      <c r="D23" s="12"/>
      <c r="E23" s="82" t="s">
        <v>604</v>
      </c>
      <c r="F23" s="54"/>
      <c r="G23" s="43"/>
      <c r="H23" s="43"/>
      <c r="I23" s="43"/>
      <c r="J23" s="43"/>
      <c r="K23" s="43"/>
      <c r="L23" s="43"/>
      <c r="M23" s="43"/>
      <c r="N23" s="43"/>
      <c r="O23" s="43"/>
      <c r="P23" s="43"/>
      <c r="Q23" s="43"/>
      <c r="R23" s="43"/>
      <c r="S23" s="43"/>
      <c r="T23" s="43"/>
      <c r="U23" s="43"/>
      <c r="V23" s="204">
        <f t="shared" si="2"/>
        <v>0</v>
      </c>
      <c r="W23" s="185"/>
      <c r="X23" s="185"/>
      <c r="Y23" s="185"/>
      <c r="Z23" s="185"/>
      <c r="AA23" s="185"/>
      <c r="AB23" s="185"/>
      <c r="AC23" s="185"/>
      <c r="AD23" s="185"/>
      <c r="AE23" s="185"/>
    </row>
    <row r="24" spans="2:31" ht="15" customHeight="1">
      <c r="B24" s="12"/>
      <c r="C24" s="12"/>
      <c r="D24" s="1555" t="s">
        <v>398</v>
      </c>
      <c r="E24" s="1555"/>
      <c r="F24" s="54"/>
      <c r="G24" s="43"/>
      <c r="H24" s="43"/>
      <c r="I24" s="43"/>
      <c r="J24" s="43"/>
      <c r="K24" s="43"/>
      <c r="L24" s="43"/>
      <c r="M24" s="43"/>
      <c r="N24" s="43"/>
      <c r="O24" s="43"/>
      <c r="P24" s="43"/>
      <c r="Q24" s="43"/>
      <c r="R24" s="43"/>
      <c r="S24" s="43"/>
      <c r="T24" s="43"/>
      <c r="U24" s="43"/>
      <c r="V24" s="204">
        <f t="shared" si="2"/>
        <v>0</v>
      </c>
      <c r="W24" s="185"/>
      <c r="X24" s="185"/>
      <c r="Y24" s="185"/>
      <c r="Z24" s="185"/>
      <c r="AA24" s="185"/>
      <c r="AB24" s="185"/>
      <c r="AC24" s="185"/>
      <c r="AD24" s="185"/>
      <c r="AE24" s="185"/>
    </row>
    <row r="25" spans="2:31" s="197" customFormat="1" ht="15" customHeight="1">
      <c r="B25" s="200"/>
      <c r="C25" s="1636" t="s">
        <v>399</v>
      </c>
      <c r="D25" s="1636"/>
      <c r="E25" s="1636"/>
      <c r="F25" s="61">
        <f>F26+F31+F38</f>
        <v>0</v>
      </c>
      <c r="G25" s="60">
        <f t="shared" ref="G25:U25" si="4">G26+G31+G38</f>
        <v>0</v>
      </c>
      <c r="H25" s="60">
        <f t="shared" si="4"/>
        <v>0</v>
      </c>
      <c r="I25" s="60">
        <f t="shared" si="4"/>
        <v>0</v>
      </c>
      <c r="J25" s="60">
        <f t="shared" si="4"/>
        <v>691487</v>
      </c>
      <c r="K25" s="60">
        <f t="shared" si="4"/>
        <v>0</v>
      </c>
      <c r="L25" s="60">
        <f t="shared" si="4"/>
        <v>691487</v>
      </c>
      <c r="M25" s="60">
        <f t="shared" si="4"/>
        <v>691487</v>
      </c>
      <c r="N25" s="60">
        <f t="shared" si="4"/>
        <v>48335126</v>
      </c>
      <c r="O25" s="60">
        <f t="shared" si="4"/>
        <v>0</v>
      </c>
      <c r="P25" s="60">
        <f t="shared" si="4"/>
        <v>0</v>
      </c>
      <c r="Q25" s="60">
        <f t="shared" si="4"/>
        <v>48335126</v>
      </c>
      <c r="R25" s="60">
        <f t="shared" si="4"/>
        <v>0</v>
      </c>
      <c r="S25" s="60">
        <f t="shared" si="4"/>
        <v>0</v>
      </c>
      <c r="T25" s="60">
        <f t="shared" si="4"/>
        <v>0</v>
      </c>
      <c r="U25" s="60">
        <f t="shared" si="4"/>
        <v>48335126</v>
      </c>
      <c r="V25" s="62">
        <f t="shared" si="2"/>
        <v>49026613</v>
      </c>
      <c r="W25" s="196"/>
      <c r="X25" s="196"/>
      <c r="Y25" s="196"/>
      <c r="Z25" s="196"/>
      <c r="AA25" s="196"/>
      <c r="AB25" s="196"/>
      <c r="AC25" s="196"/>
      <c r="AD25" s="196"/>
      <c r="AE25" s="196"/>
    </row>
    <row r="26" spans="2:31" s="197" customFormat="1" ht="15" customHeight="1">
      <c r="B26" s="200"/>
      <c r="C26" s="200"/>
      <c r="D26" s="1636" t="s">
        <v>900</v>
      </c>
      <c r="E26" s="1636"/>
      <c r="F26" s="61">
        <f>SUM(F27:F30)</f>
        <v>0</v>
      </c>
      <c r="G26" s="60">
        <f t="shared" ref="G26:U26" si="5">SUM(G27:G30)</f>
        <v>0</v>
      </c>
      <c r="H26" s="60">
        <f t="shared" si="5"/>
        <v>0</v>
      </c>
      <c r="I26" s="60">
        <f t="shared" si="5"/>
        <v>0</v>
      </c>
      <c r="J26" s="60">
        <f t="shared" si="5"/>
        <v>691487</v>
      </c>
      <c r="K26" s="60">
        <f t="shared" si="5"/>
        <v>0</v>
      </c>
      <c r="L26" s="60">
        <f t="shared" si="5"/>
        <v>691487</v>
      </c>
      <c r="M26" s="60">
        <f t="shared" si="5"/>
        <v>691487</v>
      </c>
      <c r="N26" s="60">
        <f t="shared" si="5"/>
        <v>0</v>
      </c>
      <c r="O26" s="60">
        <f t="shared" si="5"/>
        <v>0</v>
      </c>
      <c r="P26" s="60">
        <f t="shared" si="5"/>
        <v>0</v>
      </c>
      <c r="Q26" s="60">
        <f t="shared" si="5"/>
        <v>0</v>
      </c>
      <c r="R26" s="60">
        <f t="shared" si="5"/>
        <v>0</v>
      </c>
      <c r="S26" s="60">
        <f t="shared" si="5"/>
        <v>0</v>
      </c>
      <c r="T26" s="60">
        <f t="shared" si="5"/>
        <v>0</v>
      </c>
      <c r="U26" s="60">
        <f t="shared" si="5"/>
        <v>0</v>
      </c>
      <c r="V26" s="62">
        <f t="shared" si="2"/>
        <v>691487</v>
      </c>
      <c r="W26" s="196"/>
      <c r="X26" s="196"/>
      <c r="Y26" s="196"/>
      <c r="Z26" s="196"/>
      <c r="AA26" s="196"/>
      <c r="AB26" s="196"/>
      <c r="AC26" s="196"/>
      <c r="AD26" s="196"/>
      <c r="AE26" s="196"/>
    </row>
    <row r="27" spans="2:31" ht="15" customHeight="1">
      <c r="B27" s="12"/>
      <c r="C27" s="12"/>
      <c r="D27" s="12"/>
      <c r="E27" s="82" t="s">
        <v>400</v>
      </c>
      <c r="F27" s="54"/>
      <c r="G27" s="43"/>
      <c r="H27" s="43"/>
      <c r="I27" s="43"/>
      <c r="J27" s="43"/>
      <c r="K27" s="43"/>
      <c r="L27" s="43"/>
      <c r="M27" s="43"/>
      <c r="N27" s="43"/>
      <c r="O27" s="43"/>
      <c r="P27" s="43"/>
      <c r="Q27" s="43"/>
      <c r="R27" s="43"/>
      <c r="S27" s="43"/>
      <c r="T27" s="43"/>
      <c r="U27" s="43"/>
      <c r="V27" s="204">
        <f t="shared" si="2"/>
        <v>0</v>
      </c>
      <c r="W27" s="185"/>
      <c r="X27" s="185"/>
      <c r="Y27" s="185"/>
      <c r="Z27" s="185"/>
      <c r="AA27" s="185"/>
      <c r="AB27" s="185"/>
      <c r="AC27" s="185"/>
      <c r="AD27" s="185"/>
      <c r="AE27" s="185"/>
    </row>
    <row r="28" spans="2:31" ht="15" customHeight="1">
      <c r="B28" s="12"/>
      <c r="C28" s="12"/>
      <c r="D28" s="12"/>
      <c r="E28" s="82" t="s">
        <v>401</v>
      </c>
      <c r="F28" s="54"/>
      <c r="G28" s="43"/>
      <c r="H28" s="43"/>
      <c r="I28" s="43"/>
      <c r="J28" s="43"/>
      <c r="K28" s="43"/>
      <c r="L28" s="43"/>
      <c r="M28" s="43"/>
      <c r="N28" s="43"/>
      <c r="O28" s="43"/>
      <c r="P28" s="43"/>
      <c r="Q28" s="43"/>
      <c r="R28" s="43"/>
      <c r="S28" s="43"/>
      <c r="T28" s="43"/>
      <c r="U28" s="43"/>
      <c r="V28" s="204">
        <f t="shared" si="2"/>
        <v>0</v>
      </c>
      <c r="W28" s="185"/>
      <c r="X28" s="185"/>
      <c r="Y28" s="185"/>
      <c r="Z28" s="185"/>
      <c r="AA28" s="185"/>
      <c r="AB28" s="185"/>
      <c r="AC28" s="185"/>
      <c r="AD28" s="185"/>
      <c r="AE28" s="185"/>
    </row>
    <row r="29" spans="2:31" ht="15" customHeight="1">
      <c r="B29" s="12"/>
      <c r="C29" s="12"/>
      <c r="D29" s="12"/>
      <c r="E29" s="82" t="s">
        <v>402</v>
      </c>
      <c r="F29" s="54"/>
      <c r="G29" s="43"/>
      <c r="H29" s="43"/>
      <c r="I29" s="43"/>
      <c r="J29" s="43">
        <v>691487</v>
      </c>
      <c r="K29" s="43"/>
      <c r="L29" s="43">
        <v>691487</v>
      </c>
      <c r="M29" s="43">
        <v>691487</v>
      </c>
      <c r="N29" s="43"/>
      <c r="O29" s="43"/>
      <c r="P29" s="43"/>
      <c r="Q29" s="43"/>
      <c r="R29" s="43"/>
      <c r="S29" s="43"/>
      <c r="T29" s="43"/>
      <c r="U29" s="43"/>
      <c r="V29" s="204">
        <f t="shared" si="2"/>
        <v>691487</v>
      </c>
      <c r="W29" s="185"/>
      <c r="X29" s="185"/>
      <c r="Y29" s="185"/>
      <c r="Z29" s="185"/>
      <c r="AA29" s="185"/>
      <c r="AB29" s="185"/>
      <c r="AC29" s="185"/>
      <c r="AD29" s="185"/>
      <c r="AE29" s="185"/>
    </row>
    <row r="30" spans="2:31" ht="15" customHeight="1">
      <c r="B30" s="12"/>
      <c r="C30" s="12"/>
      <c r="D30" s="12"/>
      <c r="E30" s="82" t="s">
        <v>604</v>
      </c>
      <c r="F30" s="54"/>
      <c r="G30" s="43"/>
      <c r="H30" s="43"/>
      <c r="I30" s="43"/>
      <c r="J30" s="43"/>
      <c r="K30" s="43"/>
      <c r="L30" s="43"/>
      <c r="M30" s="43"/>
      <c r="N30" s="43"/>
      <c r="O30" s="43"/>
      <c r="P30" s="43"/>
      <c r="Q30" s="43"/>
      <c r="R30" s="43"/>
      <c r="S30" s="43"/>
      <c r="T30" s="43"/>
      <c r="U30" s="43"/>
      <c r="V30" s="204">
        <f t="shared" si="2"/>
        <v>0</v>
      </c>
      <c r="W30" s="185"/>
      <c r="X30" s="185"/>
      <c r="Y30" s="185"/>
      <c r="Z30" s="185"/>
      <c r="AA30" s="185"/>
      <c r="AB30" s="185"/>
      <c r="AC30" s="185"/>
      <c r="AD30" s="185"/>
      <c r="AE30" s="185"/>
    </row>
    <row r="31" spans="2:31" s="197" customFormat="1" ht="15" customHeight="1">
      <c r="B31" s="200"/>
      <c r="C31" s="200"/>
      <c r="D31" s="1636" t="s">
        <v>902</v>
      </c>
      <c r="E31" s="1636"/>
      <c r="F31" s="61">
        <f>SUM(F32:F37)</f>
        <v>0</v>
      </c>
      <c r="G31" s="60">
        <f t="shared" ref="G31:U31" si="6">SUM(G32:G37)</f>
        <v>0</v>
      </c>
      <c r="H31" s="60">
        <f t="shared" si="6"/>
        <v>0</v>
      </c>
      <c r="I31" s="60">
        <f t="shared" si="6"/>
        <v>0</v>
      </c>
      <c r="J31" s="60">
        <f t="shared" si="6"/>
        <v>0</v>
      </c>
      <c r="K31" s="60">
        <f t="shared" si="6"/>
        <v>0</v>
      </c>
      <c r="L31" s="60">
        <f t="shared" si="6"/>
        <v>0</v>
      </c>
      <c r="M31" s="60">
        <f t="shared" si="6"/>
        <v>0</v>
      </c>
      <c r="N31" s="60">
        <f t="shared" si="6"/>
        <v>48335126</v>
      </c>
      <c r="O31" s="60">
        <f t="shared" si="6"/>
        <v>0</v>
      </c>
      <c r="P31" s="60">
        <f t="shared" si="6"/>
        <v>0</v>
      </c>
      <c r="Q31" s="60">
        <f t="shared" si="6"/>
        <v>48335126</v>
      </c>
      <c r="R31" s="60">
        <f t="shared" si="6"/>
        <v>0</v>
      </c>
      <c r="S31" s="60">
        <f t="shared" si="6"/>
        <v>0</v>
      </c>
      <c r="T31" s="60">
        <f t="shared" si="6"/>
        <v>0</v>
      </c>
      <c r="U31" s="60">
        <f t="shared" si="6"/>
        <v>48335126</v>
      </c>
      <c r="V31" s="62">
        <f t="shared" si="2"/>
        <v>48335126</v>
      </c>
      <c r="W31" s="196"/>
      <c r="X31" s="196"/>
      <c r="Y31" s="196"/>
      <c r="Z31" s="196"/>
      <c r="AA31" s="196"/>
      <c r="AB31" s="196"/>
      <c r="AC31" s="196"/>
      <c r="AD31" s="196"/>
      <c r="AE31" s="196"/>
    </row>
    <row r="32" spans="2:31" ht="15" customHeight="1">
      <c r="B32" s="12"/>
      <c r="C32" s="12"/>
      <c r="D32" s="12"/>
      <c r="E32" s="84" t="s">
        <v>323</v>
      </c>
      <c r="F32" s="54"/>
      <c r="G32" s="43"/>
      <c r="H32" s="43"/>
      <c r="I32" s="43"/>
      <c r="J32" s="43"/>
      <c r="K32" s="43"/>
      <c r="L32" s="43"/>
      <c r="M32" s="43"/>
      <c r="N32" s="43"/>
      <c r="O32" s="43"/>
      <c r="P32" s="43"/>
      <c r="Q32" s="43"/>
      <c r="R32" s="43"/>
      <c r="S32" s="43"/>
      <c r="T32" s="43"/>
      <c r="U32" s="43"/>
      <c r="V32" s="204">
        <f t="shared" si="2"/>
        <v>0</v>
      </c>
      <c r="W32" s="185"/>
      <c r="X32" s="185"/>
      <c r="Y32" s="185"/>
      <c r="Z32" s="185"/>
      <c r="AA32" s="185"/>
      <c r="AB32" s="185"/>
      <c r="AC32" s="185"/>
      <c r="AD32" s="185"/>
      <c r="AE32" s="185"/>
    </row>
    <row r="33" spans="2:31" ht="15" customHeight="1">
      <c r="B33" s="12"/>
      <c r="C33" s="12"/>
      <c r="D33" s="12"/>
      <c r="E33" s="84" t="s">
        <v>324</v>
      </c>
      <c r="F33" s="54"/>
      <c r="G33" s="43"/>
      <c r="H33" s="43"/>
      <c r="I33" s="43"/>
      <c r="J33" s="43"/>
      <c r="K33" s="43"/>
      <c r="L33" s="43"/>
      <c r="M33" s="43"/>
      <c r="N33" s="43"/>
      <c r="O33" s="43"/>
      <c r="P33" s="43"/>
      <c r="Q33" s="43"/>
      <c r="R33" s="43"/>
      <c r="S33" s="43"/>
      <c r="T33" s="43"/>
      <c r="U33" s="43"/>
      <c r="V33" s="204">
        <f t="shared" si="2"/>
        <v>0</v>
      </c>
      <c r="W33" s="185"/>
      <c r="X33" s="185"/>
      <c r="Y33" s="185"/>
      <c r="Z33" s="185"/>
      <c r="AA33" s="185"/>
      <c r="AB33" s="185"/>
      <c r="AC33" s="185"/>
      <c r="AD33" s="185"/>
      <c r="AE33" s="185"/>
    </row>
    <row r="34" spans="2:31" ht="15" customHeight="1">
      <c r="B34" s="12"/>
      <c r="C34" s="12"/>
      <c r="D34" s="12"/>
      <c r="E34" s="84" t="s">
        <v>325</v>
      </c>
      <c r="F34" s="54"/>
      <c r="G34" s="43"/>
      <c r="H34" s="43"/>
      <c r="I34" s="43"/>
      <c r="J34" s="43"/>
      <c r="K34" s="43"/>
      <c r="L34" s="43"/>
      <c r="M34" s="43"/>
      <c r="N34" s="43"/>
      <c r="O34" s="43"/>
      <c r="P34" s="43"/>
      <c r="Q34" s="43"/>
      <c r="R34" s="43"/>
      <c r="S34" s="43"/>
      <c r="T34" s="43"/>
      <c r="U34" s="43"/>
      <c r="V34" s="204">
        <f t="shared" si="2"/>
        <v>0</v>
      </c>
      <c r="W34" s="185"/>
      <c r="X34" s="185"/>
      <c r="Y34" s="185"/>
      <c r="Z34" s="185"/>
      <c r="AA34" s="185"/>
      <c r="AB34" s="185"/>
      <c r="AC34" s="185"/>
      <c r="AD34" s="185"/>
      <c r="AE34" s="185"/>
    </row>
    <row r="35" spans="2:31" ht="15" customHeight="1">
      <c r="B35" s="12"/>
      <c r="C35" s="12"/>
      <c r="D35" s="12"/>
      <c r="E35" s="84" t="s">
        <v>326</v>
      </c>
      <c r="F35" s="54"/>
      <c r="G35" s="43"/>
      <c r="H35" s="43"/>
      <c r="I35" s="43"/>
      <c r="J35" s="43"/>
      <c r="K35" s="43"/>
      <c r="L35" s="43"/>
      <c r="M35" s="43"/>
      <c r="N35" s="43">
        <v>1648278</v>
      </c>
      <c r="O35" s="43"/>
      <c r="P35" s="43"/>
      <c r="Q35" s="43">
        <v>1648278</v>
      </c>
      <c r="R35" s="43"/>
      <c r="S35" s="43"/>
      <c r="T35" s="43"/>
      <c r="U35" s="43">
        <v>1648278</v>
      </c>
      <c r="V35" s="204">
        <f t="shared" si="2"/>
        <v>1648278</v>
      </c>
      <c r="W35" s="185"/>
      <c r="X35" s="185"/>
      <c r="Y35" s="185"/>
      <c r="Z35" s="185"/>
      <c r="AA35" s="185"/>
      <c r="AB35" s="185"/>
      <c r="AC35" s="185"/>
      <c r="AD35" s="185"/>
      <c r="AE35" s="185"/>
    </row>
    <row r="36" spans="2:31" ht="15" customHeight="1">
      <c r="B36" s="12"/>
      <c r="C36" s="12"/>
      <c r="D36" s="12"/>
      <c r="E36" s="84" t="s">
        <v>403</v>
      </c>
      <c r="F36" s="54"/>
      <c r="G36" s="43"/>
      <c r="H36" s="43"/>
      <c r="I36" s="43"/>
      <c r="J36" s="43"/>
      <c r="K36" s="43"/>
      <c r="L36" s="43"/>
      <c r="M36" s="43"/>
      <c r="N36" s="43">
        <v>46686848</v>
      </c>
      <c r="O36" s="43"/>
      <c r="P36" s="43"/>
      <c r="Q36" s="43">
        <v>46686848</v>
      </c>
      <c r="R36" s="43"/>
      <c r="S36" s="43"/>
      <c r="T36" s="43"/>
      <c r="U36" s="43">
        <v>46686848</v>
      </c>
      <c r="V36" s="204">
        <f t="shared" si="2"/>
        <v>46686848</v>
      </c>
      <c r="W36" s="185"/>
      <c r="X36" s="185"/>
      <c r="Y36" s="185"/>
      <c r="Z36" s="185"/>
      <c r="AA36" s="185"/>
      <c r="AB36" s="185"/>
      <c r="AC36" s="185"/>
      <c r="AD36" s="185"/>
      <c r="AE36" s="185"/>
    </row>
    <row r="37" spans="2:31" ht="15" customHeight="1">
      <c r="B37" s="12"/>
      <c r="C37" s="12"/>
      <c r="D37" s="12"/>
      <c r="E37" s="82" t="s">
        <v>604</v>
      </c>
      <c r="F37" s="54"/>
      <c r="G37" s="43"/>
      <c r="H37" s="43"/>
      <c r="I37" s="43"/>
      <c r="J37" s="43"/>
      <c r="K37" s="43"/>
      <c r="L37" s="43"/>
      <c r="M37" s="43"/>
      <c r="N37" s="43"/>
      <c r="O37" s="43"/>
      <c r="P37" s="43"/>
      <c r="Q37" s="43"/>
      <c r="R37" s="43"/>
      <c r="S37" s="43"/>
      <c r="T37" s="43"/>
      <c r="U37" s="43"/>
      <c r="V37" s="204">
        <f t="shared" si="2"/>
        <v>0</v>
      </c>
      <c r="W37" s="185"/>
      <c r="X37" s="185"/>
      <c r="Y37" s="185"/>
      <c r="Z37" s="185"/>
      <c r="AA37" s="185"/>
      <c r="AB37" s="185"/>
      <c r="AC37" s="185"/>
      <c r="AD37" s="185"/>
      <c r="AE37" s="185"/>
    </row>
    <row r="38" spans="2:31" ht="15" customHeight="1">
      <c r="B38" s="12"/>
      <c r="C38" s="12"/>
      <c r="D38" s="1555" t="s">
        <v>404</v>
      </c>
      <c r="E38" s="1555"/>
      <c r="F38" s="54"/>
      <c r="G38" s="43"/>
      <c r="H38" s="43"/>
      <c r="I38" s="43"/>
      <c r="J38" s="43"/>
      <c r="K38" s="43"/>
      <c r="L38" s="43"/>
      <c r="M38" s="43"/>
      <c r="N38" s="43"/>
      <c r="O38" s="43"/>
      <c r="P38" s="43"/>
      <c r="Q38" s="43"/>
      <c r="R38" s="43"/>
      <c r="S38" s="43"/>
      <c r="T38" s="43"/>
      <c r="U38" s="43"/>
      <c r="V38" s="204">
        <f t="shared" si="2"/>
        <v>0</v>
      </c>
      <c r="W38" s="185"/>
      <c r="X38" s="185"/>
      <c r="Y38" s="185"/>
      <c r="Z38" s="185"/>
      <c r="AA38" s="185"/>
      <c r="AB38" s="185"/>
      <c r="AC38" s="185"/>
      <c r="AD38" s="185"/>
      <c r="AE38" s="185"/>
    </row>
    <row r="39" spans="2:31" ht="15" customHeight="1">
      <c r="B39" s="12"/>
      <c r="C39" s="1555" t="s">
        <v>405</v>
      </c>
      <c r="D39" s="1555"/>
      <c r="E39" s="1555"/>
      <c r="F39" s="54"/>
      <c r="G39" s="43"/>
      <c r="H39" s="43"/>
      <c r="I39" s="43"/>
      <c r="J39" s="43"/>
      <c r="K39" s="43"/>
      <c r="L39" s="43"/>
      <c r="M39" s="43"/>
      <c r="N39" s="43">
        <v>487796</v>
      </c>
      <c r="O39" s="43"/>
      <c r="P39" s="43"/>
      <c r="Q39" s="43">
        <v>487796</v>
      </c>
      <c r="R39" s="43"/>
      <c r="S39" s="43"/>
      <c r="T39" s="43"/>
      <c r="U39" s="43">
        <v>487796</v>
      </c>
      <c r="V39" s="204">
        <f t="shared" si="2"/>
        <v>487796</v>
      </c>
      <c r="W39" s="185"/>
      <c r="X39" s="185"/>
      <c r="Y39" s="185"/>
      <c r="Z39" s="185"/>
      <c r="AA39" s="185"/>
      <c r="AB39" s="185"/>
      <c r="AC39" s="185"/>
      <c r="AD39" s="185"/>
      <c r="AE39" s="185"/>
    </row>
    <row r="40" spans="2:31" ht="15" customHeight="1" thickBot="1">
      <c r="B40" s="12"/>
      <c r="C40" s="1555" t="s">
        <v>406</v>
      </c>
      <c r="D40" s="1555"/>
      <c r="E40" s="1555"/>
      <c r="F40" s="189"/>
      <c r="G40" s="154"/>
      <c r="H40" s="154"/>
      <c r="I40" s="154"/>
      <c r="J40" s="154">
        <v>8026550</v>
      </c>
      <c r="K40" s="154">
        <v>12938</v>
      </c>
      <c r="L40" s="154">
        <v>8013612</v>
      </c>
      <c r="M40" s="154">
        <v>8013612</v>
      </c>
      <c r="N40" s="154"/>
      <c r="O40" s="154"/>
      <c r="P40" s="154"/>
      <c r="Q40" s="154"/>
      <c r="R40" s="154"/>
      <c r="S40" s="154"/>
      <c r="T40" s="154"/>
      <c r="U40" s="154"/>
      <c r="V40" s="205">
        <f t="shared" si="2"/>
        <v>8013612</v>
      </c>
      <c r="W40" s="185"/>
      <c r="X40" s="185"/>
      <c r="Y40" s="185"/>
      <c r="Z40" s="185"/>
      <c r="AA40" s="185"/>
      <c r="AB40" s="185"/>
      <c r="AC40" s="185"/>
      <c r="AD40" s="185"/>
      <c r="AE40" s="185"/>
    </row>
    <row r="41" spans="2:31" s="197" customFormat="1" ht="15" customHeight="1" thickBot="1">
      <c r="B41" s="1635" t="s">
        <v>432</v>
      </c>
      <c r="C41" s="1635"/>
      <c r="D41" s="1635"/>
      <c r="E41" s="1635"/>
      <c r="F41" s="56">
        <f>F11+F25+F39+F40</f>
        <v>0</v>
      </c>
      <c r="G41" s="201">
        <f t="shared" ref="G41:U41" si="7">G11+G25+G39+G40</f>
        <v>0</v>
      </c>
      <c r="H41" s="201">
        <f t="shared" si="7"/>
        <v>0</v>
      </c>
      <c r="I41" s="201">
        <f t="shared" si="7"/>
        <v>0</v>
      </c>
      <c r="J41" s="201">
        <f t="shared" si="7"/>
        <v>82618107</v>
      </c>
      <c r="K41" s="201">
        <f t="shared" si="7"/>
        <v>22549</v>
      </c>
      <c r="L41" s="201">
        <f t="shared" si="7"/>
        <v>82595558</v>
      </c>
      <c r="M41" s="201">
        <f t="shared" si="7"/>
        <v>82595558</v>
      </c>
      <c r="N41" s="201">
        <f t="shared" si="7"/>
        <v>158389419</v>
      </c>
      <c r="O41" s="201">
        <f t="shared" si="7"/>
        <v>0</v>
      </c>
      <c r="P41" s="201">
        <f t="shared" si="7"/>
        <v>0</v>
      </c>
      <c r="Q41" s="201">
        <f t="shared" si="7"/>
        <v>158389419</v>
      </c>
      <c r="R41" s="201">
        <f t="shared" si="7"/>
        <v>0</v>
      </c>
      <c r="S41" s="201">
        <f t="shared" si="7"/>
        <v>0</v>
      </c>
      <c r="T41" s="201">
        <f t="shared" si="7"/>
        <v>0</v>
      </c>
      <c r="U41" s="201">
        <f t="shared" si="7"/>
        <v>158389419</v>
      </c>
      <c r="V41" s="202">
        <f t="shared" si="2"/>
        <v>240984977</v>
      </c>
      <c r="W41" s="196"/>
      <c r="X41" s="196">
        <v>0</v>
      </c>
      <c r="Y41" s="196">
        <v>0</v>
      </c>
      <c r="Z41" s="196">
        <v>0</v>
      </c>
      <c r="AA41" s="196">
        <v>0</v>
      </c>
      <c r="AB41" s="196">
        <v>0</v>
      </c>
      <c r="AC41" s="196">
        <v>0</v>
      </c>
      <c r="AD41" s="196">
        <v>0</v>
      </c>
      <c r="AE41" s="196">
        <v>0</v>
      </c>
    </row>
    <row r="44" spans="2:31" s="207" customFormat="1">
      <c r="B44" s="206" t="s">
        <v>1268</v>
      </c>
      <c r="C44" s="206"/>
      <c r="D44" s="206"/>
      <c r="E44" s="206"/>
      <c r="F44" s="206"/>
      <c r="G44" s="206"/>
      <c r="H44" s="206"/>
      <c r="I44" s="206"/>
      <c r="J44" s="206"/>
    </row>
    <row r="45" spans="2:31" s="207" customFormat="1">
      <c r="B45" s="206" t="s">
        <v>1269</v>
      </c>
      <c r="C45" s="206"/>
      <c r="D45" s="206"/>
      <c r="E45" s="206"/>
      <c r="F45" s="206"/>
      <c r="G45" s="206"/>
      <c r="H45" s="206"/>
      <c r="I45" s="206"/>
      <c r="J45" s="206"/>
    </row>
    <row r="46" spans="2:31" s="207" customFormat="1">
      <c r="B46" s="1634" t="s">
        <v>1270</v>
      </c>
      <c r="C46" s="1634"/>
      <c r="D46" s="1634"/>
      <c r="E46" s="1634"/>
      <c r="F46" s="1634"/>
      <c r="G46" s="1634"/>
      <c r="H46" s="1634"/>
      <c r="I46" s="1634"/>
      <c r="J46" s="1634"/>
    </row>
    <row r="47" spans="2:31" s="207" customFormat="1"/>
    <row r="48" spans="2:31" s="207" customFormat="1">
      <c r="B48" s="206" t="s">
        <v>1271</v>
      </c>
    </row>
  </sheetData>
  <mergeCells count="38">
    <mergeCell ref="AE7:AE9"/>
    <mergeCell ref="AA8:AA9"/>
    <mergeCell ref="AB8:AC8"/>
    <mergeCell ref="AD8:AD9"/>
    <mergeCell ref="F6:M6"/>
    <mergeCell ref="N6:U6"/>
    <mergeCell ref="M7:M9"/>
    <mergeCell ref="U7:U9"/>
    <mergeCell ref="X7:AD7"/>
    <mergeCell ref="D26:E26"/>
    <mergeCell ref="D31:E31"/>
    <mergeCell ref="X8:Z8"/>
    <mergeCell ref="Q7:Q9"/>
    <mergeCell ref="R7:R9"/>
    <mergeCell ref="S7:S9"/>
    <mergeCell ref="T7:T9"/>
    <mergeCell ref="V6:V9"/>
    <mergeCell ref="K7:K9"/>
    <mergeCell ref="L7:L9"/>
    <mergeCell ref="N7:N9"/>
    <mergeCell ref="O7:O9"/>
    <mergeCell ref="P7:P9"/>
    <mergeCell ref="B46:J46"/>
    <mergeCell ref="F7:F9"/>
    <mergeCell ref="G7:G9"/>
    <mergeCell ref="H7:H9"/>
    <mergeCell ref="I7:I9"/>
    <mergeCell ref="J7:J9"/>
    <mergeCell ref="D38:E38"/>
    <mergeCell ref="C39:E39"/>
    <mergeCell ref="C40:E40"/>
    <mergeCell ref="B41:E41"/>
    <mergeCell ref="B10:E10"/>
    <mergeCell ref="C11:E11"/>
    <mergeCell ref="D12:E12"/>
    <mergeCell ref="D18:E18"/>
    <mergeCell ref="D24:E24"/>
    <mergeCell ref="C25:E2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B1:D459"/>
  <sheetViews>
    <sheetView showGridLines="0" tabSelected="1" workbookViewId="0">
      <selection activeCell="C4" sqref="C4"/>
    </sheetView>
  </sheetViews>
  <sheetFormatPr baseColWidth="10" defaultColWidth="9.140625" defaultRowHeight="15"/>
  <cols>
    <col min="1" max="2" width="2.42578125" customWidth="1"/>
    <col min="3" max="3" width="46.140625" customWidth="1"/>
    <col min="4" max="4" width="67.85546875" customWidth="1"/>
    <col min="5" max="10" width="10" customWidth="1"/>
  </cols>
  <sheetData>
    <row r="1" spans="2:4" ht="15" customHeight="1"/>
    <row r="2" spans="2:4" s="1" customFormat="1" ht="15" customHeight="1"/>
    <row r="3" spans="2:4" ht="15" customHeight="1"/>
    <row r="4" spans="2:4" ht="12.75" customHeight="1">
      <c r="B4" s="2"/>
      <c r="C4" s="2" t="s">
        <v>4148</v>
      </c>
      <c r="D4" s="3"/>
    </row>
    <row r="5" spans="2:4" ht="12" customHeight="1">
      <c r="B5" s="4"/>
      <c r="C5" s="4"/>
      <c r="D5" s="5"/>
    </row>
    <row r="6" spans="2:4" ht="15" customHeight="1">
      <c r="B6" s="4"/>
      <c r="C6" s="7" t="s">
        <v>0</v>
      </c>
      <c r="D6" s="31" t="str">
        <f>'Nota 1'!E6</f>
        <v>Chilena Consolidada Seguros de Vida S.A.</v>
      </c>
    </row>
    <row r="7" spans="2:4" ht="15" customHeight="1">
      <c r="B7" s="4"/>
      <c r="C7" s="7" t="s">
        <v>1</v>
      </c>
      <c r="D7" s="32" t="str">
        <f>'Nota 1'!E7</f>
        <v>99185000-7</v>
      </c>
    </row>
    <row r="8" spans="2:4" ht="15" customHeight="1">
      <c r="B8" s="4"/>
      <c r="C8" s="7" t="s">
        <v>2</v>
      </c>
      <c r="D8" s="26">
        <v>2</v>
      </c>
    </row>
    <row r="9" spans="2:4" ht="15" customHeight="1">
      <c r="B9" s="4"/>
      <c r="C9" s="7" t="s">
        <v>3</v>
      </c>
      <c r="D9" s="26" t="s">
        <v>2774</v>
      </c>
    </row>
    <row r="10" spans="2:4" ht="15" customHeight="1">
      <c r="B10" s="4"/>
      <c r="C10" s="7" t="s">
        <v>4</v>
      </c>
      <c r="D10" s="32" t="str">
        <f>'2. Estado de situación'!I4</f>
        <v>31.03.2018</v>
      </c>
    </row>
    <row r="11" spans="2:4" ht="15" customHeight="1">
      <c r="B11" s="4"/>
      <c r="C11" s="7" t="s">
        <v>5</v>
      </c>
      <c r="D11" s="26" t="s">
        <v>870</v>
      </c>
    </row>
    <row r="12" spans="2:4">
      <c r="C12" s="8"/>
    </row>
    <row r="20" spans="3:3">
      <c r="C20" s="777" t="s">
        <v>872</v>
      </c>
    </row>
    <row r="21" spans="3:3">
      <c r="C21" s="777" t="s">
        <v>873</v>
      </c>
    </row>
    <row r="22" spans="3:3">
      <c r="C22" s="777" t="s">
        <v>875</v>
      </c>
    </row>
    <row r="23" spans="3:3">
      <c r="C23" s="777" t="s">
        <v>874</v>
      </c>
    </row>
    <row r="24" spans="3:3">
      <c r="C24" s="777" t="s">
        <v>876</v>
      </c>
    </row>
    <row r="25" spans="3:3">
      <c r="C25" s="777" t="s">
        <v>877</v>
      </c>
    </row>
    <row r="26" spans="3:3">
      <c r="C26" s="777" t="s">
        <v>878</v>
      </c>
    </row>
    <row r="27" spans="3:3">
      <c r="C27" s="777" t="s">
        <v>879</v>
      </c>
    </row>
    <row r="28" spans="3:3">
      <c r="C28" s="777" t="s">
        <v>880</v>
      </c>
    </row>
    <row r="29" spans="3:3">
      <c r="C29" s="777" t="s">
        <v>1685</v>
      </c>
    </row>
    <row r="30" spans="3:3">
      <c r="C30" s="777" t="s">
        <v>1686</v>
      </c>
    </row>
    <row r="31" spans="3:3">
      <c r="C31" s="777"/>
    </row>
    <row r="32" spans="3:3">
      <c r="C32" s="778" t="s">
        <v>1992</v>
      </c>
    </row>
    <row r="33" spans="3:3">
      <c r="C33" s="778" t="s">
        <v>2011</v>
      </c>
    </row>
    <row r="34" spans="3:3">
      <c r="C34" s="778" t="s">
        <v>2013</v>
      </c>
    </row>
    <row r="35" spans="3:3">
      <c r="C35" s="778" t="s">
        <v>2031</v>
      </c>
    </row>
    <row r="36" spans="3:3">
      <c r="C36" s="778" t="s">
        <v>2028</v>
      </c>
    </row>
    <row r="37" spans="3:3">
      <c r="C37" s="778" t="s">
        <v>2156</v>
      </c>
    </row>
    <row r="38" spans="3:3">
      <c r="C38" s="778" t="s">
        <v>2216</v>
      </c>
    </row>
    <row r="39" spans="3:3">
      <c r="C39" s="778" t="s">
        <v>1983</v>
      </c>
    </row>
    <row r="40" spans="3:3">
      <c r="C40" s="778" t="s">
        <v>1984</v>
      </c>
    </row>
    <row r="41" spans="3:3">
      <c r="C41" s="778" t="s">
        <v>1985</v>
      </c>
    </row>
    <row r="42" spans="3:3">
      <c r="C42" s="778" t="s">
        <v>1986</v>
      </c>
    </row>
    <row r="43" spans="3:3">
      <c r="C43" s="778" t="s">
        <v>1987</v>
      </c>
    </row>
    <row r="44" spans="3:3">
      <c r="C44" s="778" t="s">
        <v>1988</v>
      </c>
    </row>
    <row r="45" spans="3:3">
      <c r="C45" s="778" t="s">
        <v>1989</v>
      </c>
    </row>
    <row r="46" spans="3:3">
      <c r="C46" s="778" t="s">
        <v>1990</v>
      </c>
    </row>
    <row r="47" spans="3:3">
      <c r="C47" s="778" t="s">
        <v>1991</v>
      </c>
    </row>
    <row r="48" spans="3:3">
      <c r="C48" s="778" t="s">
        <v>1993</v>
      </c>
    </row>
    <row r="49" spans="3:3">
      <c r="C49" s="778" t="s">
        <v>1994</v>
      </c>
    </row>
    <row r="50" spans="3:3">
      <c r="C50" s="778" t="s">
        <v>1995</v>
      </c>
    </row>
    <row r="51" spans="3:3">
      <c r="C51" s="778" t="s">
        <v>1996</v>
      </c>
    </row>
    <row r="52" spans="3:3">
      <c r="C52" s="778" t="s">
        <v>1997</v>
      </c>
    </row>
    <row r="53" spans="3:3">
      <c r="C53" s="778" t="s">
        <v>1998</v>
      </c>
    </row>
    <row r="54" spans="3:3">
      <c r="C54" s="778" t="s">
        <v>1999</v>
      </c>
    </row>
    <row r="55" spans="3:3">
      <c r="C55" s="778" t="s">
        <v>2000</v>
      </c>
    </row>
    <row r="56" spans="3:3">
      <c r="C56" s="778" t="s">
        <v>2001</v>
      </c>
    </row>
    <row r="57" spans="3:3">
      <c r="C57" s="778" t="s">
        <v>2002</v>
      </c>
    </row>
    <row r="58" spans="3:3">
      <c r="C58" s="778" t="s">
        <v>2003</v>
      </c>
    </row>
    <row r="59" spans="3:3">
      <c r="C59" s="778" t="s">
        <v>2004</v>
      </c>
    </row>
    <row r="60" spans="3:3">
      <c r="C60" s="778" t="s">
        <v>2005</v>
      </c>
    </row>
    <row r="61" spans="3:3">
      <c r="C61" s="778" t="s">
        <v>2006</v>
      </c>
    </row>
    <row r="62" spans="3:3">
      <c r="C62" s="778" t="s">
        <v>2007</v>
      </c>
    </row>
    <row r="63" spans="3:3">
      <c r="C63" s="778" t="s">
        <v>2008</v>
      </c>
    </row>
    <row r="64" spans="3:3">
      <c r="C64" s="778" t="s">
        <v>2009</v>
      </c>
    </row>
    <row r="65" spans="3:3">
      <c r="C65" s="778" t="s">
        <v>2010</v>
      </c>
    </row>
    <row r="66" spans="3:3">
      <c r="C66" s="778" t="s">
        <v>2012</v>
      </c>
    </row>
    <row r="67" spans="3:3">
      <c r="C67" s="778" t="s">
        <v>2014</v>
      </c>
    </row>
    <row r="68" spans="3:3">
      <c r="C68" s="778" t="s">
        <v>2015</v>
      </c>
    </row>
    <row r="69" spans="3:3">
      <c r="C69" s="778" t="s">
        <v>2016</v>
      </c>
    </row>
    <row r="70" spans="3:3">
      <c r="C70" s="778" t="s">
        <v>2017</v>
      </c>
    </row>
    <row r="71" spans="3:3">
      <c r="C71" s="778" t="s">
        <v>2018</v>
      </c>
    </row>
    <row r="72" spans="3:3">
      <c r="C72" s="778" t="s">
        <v>2019</v>
      </c>
    </row>
    <row r="73" spans="3:3">
      <c r="C73" s="778" t="s">
        <v>2020</v>
      </c>
    </row>
    <row r="74" spans="3:3">
      <c r="C74" s="778" t="s">
        <v>2021</v>
      </c>
    </row>
    <row r="75" spans="3:3">
      <c r="C75" s="778" t="s">
        <v>2022</v>
      </c>
    </row>
    <row r="76" spans="3:3">
      <c r="C76" s="778" t="s">
        <v>2023</v>
      </c>
    </row>
    <row r="77" spans="3:3">
      <c r="C77" s="778" t="s">
        <v>2024</v>
      </c>
    </row>
    <row r="78" spans="3:3">
      <c r="C78" s="778" t="s">
        <v>2025</v>
      </c>
    </row>
    <row r="79" spans="3:3">
      <c r="C79" s="778" t="s">
        <v>2026</v>
      </c>
    </row>
    <row r="80" spans="3:3">
      <c r="C80" s="778" t="s">
        <v>2027</v>
      </c>
    </row>
    <row r="81" spans="3:3">
      <c r="C81" s="778" t="s">
        <v>2029</v>
      </c>
    </row>
    <row r="82" spans="3:3">
      <c r="C82" s="778" t="s">
        <v>2030</v>
      </c>
    </row>
    <row r="83" spans="3:3">
      <c r="C83" s="778" t="s">
        <v>2032</v>
      </c>
    </row>
    <row r="84" spans="3:3">
      <c r="C84" s="778" t="s">
        <v>2033</v>
      </c>
    </row>
    <row r="85" spans="3:3">
      <c r="C85" s="778" t="s">
        <v>2034</v>
      </c>
    </row>
    <row r="86" spans="3:3">
      <c r="C86" s="778" t="s">
        <v>2035</v>
      </c>
    </row>
    <row r="87" spans="3:3">
      <c r="C87" s="778" t="s">
        <v>2036</v>
      </c>
    </row>
    <row r="88" spans="3:3">
      <c r="C88" s="778" t="s">
        <v>2037</v>
      </c>
    </row>
    <row r="89" spans="3:3">
      <c r="C89" s="778" t="s">
        <v>2038</v>
      </c>
    </row>
    <row r="90" spans="3:3">
      <c r="C90" s="778" t="s">
        <v>2039</v>
      </c>
    </row>
    <row r="91" spans="3:3">
      <c r="C91" s="778" t="s">
        <v>2040</v>
      </c>
    </row>
    <row r="92" spans="3:3">
      <c r="C92" s="778" t="s">
        <v>2041</v>
      </c>
    </row>
    <row r="93" spans="3:3">
      <c r="C93" s="778" t="s">
        <v>2042</v>
      </c>
    </row>
    <row r="94" spans="3:3">
      <c r="C94" s="778" t="s">
        <v>2043</v>
      </c>
    </row>
    <row r="95" spans="3:3">
      <c r="C95" s="778" t="s">
        <v>2044</v>
      </c>
    </row>
    <row r="96" spans="3:3">
      <c r="C96" s="778" t="s">
        <v>2045</v>
      </c>
    </row>
    <row r="97" spans="3:3">
      <c r="C97" s="778" t="s">
        <v>2046</v>
      </c>
    </row>
    <row r="98" spans="3:3">
      <c r="C98" s="778" t="s">
        <v>2047</v>
      </c>
    </row>
    <row r="99" spans="3:3">
      <c r="C99" s="778" t="s">
        <v>2048</v>
      </c>
    </row>
    <row r="100" spans="3:3">
      <c r="C100" s="778" t="s">
        <v>2049</v>
      </c>
    </row>
    <row r="101" spans="3:3">
      <c r="C101" s="778" t="s">
        <v>2050</v>
      </c>
    </row>
    <row r="102" spans="3:3">
      <c r="C102" s="778" t="s">
        <v>2051</v>
      </c>
    </row>
    <row r="103" spans="3:3">
      <c r="C103" s="778" t="s">
        <v>2052</v>
      </c>
    </row>
    <row r="104" spans="3:3">
      <c r="C104" s="778" t="s">
        <v>2053</v>
      </c>
    </row>
    <row r="105" spans="3:3">
      <c r="C105" s="778" t="s">
        <v>2054</v>
      </c>
    </row>
    <row r="106" spans="3:3">
      <c r="C106" s="778" t="s">
        <v>2055</v>
      </c>
    </row>
    <row r="107" spans="3:3">
      <c r="C107" s="778" t="s">
        <v>2056</v>
      </c>
    </row>
    <row r="108" spans="3:3">
      <c r="C108" s="778" t="s">
        <v>2057</v>
      </c>
    </row>
    <row r="109" spans="3:3">
      <c r="C109" s="778" t="s">
        <v>2058</v>
      </c>
    </row>
    <row r="110" spans="3:3">
      <c r="C110" s="778" t="s">
        <v>2059</v>
      </c>
    </row>
    <row r="111" spans="3:3">
      <c r="C111" s="778" t="s">
        <v>2060</v>
      </c>
    </row>
    <row r="112" spans="3:3">
      <c r="C112" s="778" t="s">
        <v>2061</v>
      </c>
    </row>
    <row r="113" spans="3:3">
      <c r="C113" s="778" t="s">
        <v>2062</v>
      </c>
    </row>
    <row r="114" spans="3:3">
      <c r="C114" s="778" t="s">
        <v>2063</v>
      </c>
    </row>
    <row r="115" spans="3:3">
      <c r="C115" s="778" t="s">
        <v>2064</v>
      </c>
    </row>
    <row r="116" spans="3:3">
      <c r="C116" s="778" t="s">
        <v>2065</v>
      </c>
    </row>
    <row r="117" spans="3:3">
      <c r="C117" s="778" t="s">
        <v>2066</v>
      </c>
    </row>
    <row r="118" spans="3:3">
      <c r="C118" s="778" t="s">
        <v>2067</v>
      </c>
    </row>
    <row r="119" spans="3:3">
      <c r="C119" s="778" t="s">
        <v>2068</v>
      </c>
    </row>
    <row r="120" spans="3:3">
      <c r="C120" s="778" t="s">
        <v>2069</v>
      </c>
    </row>
    <row r="121" spans="3:3">
      <c r="C121" s="778" t="s">
        <v>2070</v>
      </c>
    </row>
    <row r="122" spans="3:3">
      <c r="C122" s="778" t="s">
        <v>2071</v>
      </c>
    </row>
    <row r="123" spans="3:3">
      <c r="C123" s="778" t="s">
        <v>2072</v>
      </c>
    </row>
    <row r="124" spans="3:3">
      <c r="C124" s="778" t="s">
        <v>2073</v>
      </c>
    </row>
    <row r="125" spans="3:3">
      <c r="C125" s="778" t="s">
        <v>2074</v>
      </c>
    </row>
    <row r="126" spans="3:3">
      <c r="C126" s="778" t="s">
        <v>2075</v>
      </c>
    </row>
    <row r="127" spans="3:3">
      <c r="C127" s="778" t="s">
        <v>2076</v>
      </c>
    </row>
    <row r="128" spans="3:3">
      <c r="C128" s="778" t="s">
        <v>2077</v>
      </c>
    </row>
    <row r="129" spans="3:3">
      <c r="C129" s="778" t="s">
        <v>2078</v>
      </c>
    </row>
    <row r="130" spans="3:3">
      <c r="C130" s="778" t="s">
        <v>2079</v>
      </c>
    </row>
    <row r="131" spans="3:3">
      <c r="C131" s="778" t="s">
        <v>2080</v>
      </c>
    </row>
    <row r="132" spans="3:3">
      <c r="C132" s="778" t="s">
        <v>2081</v>
      </c>
    </row>
    <row r="133" spans="3:3">
      <c r="C133" s="778" t="s">
        <v>2082</v>
      </c>
    </row>
    <row r="134" spans="3:3">
      <c r="C134" s="778" t="s">
        <v>2083</v>
      </c>
    </row>
    <row r="135" spans="3:3">
      <c r="C135" s="778" t="s">
        <v>2084</v>
      </c>
    </row>
    <row r="136" spans="3:3">
      <c r="C136" s="778" t="s">
        <v>2085</v>
      </c>
    </row>
    <row r="137" spans="3:3">
      <c r="C137" s="778" t="s">
        <v>2086</v>
      </c>
    </row>
    <row r="138" spans="3:3">
      <c r="C138" s="778" t="s">
        <v>2087</v>
      </c>
    </row>
    <row r="139" spans="3:3">
      <c r="C139" s="778" t="s">
        <v>2088</v>
      </c>
    </row>
    <row r="140" spans="3:3">
      <c r="C140" s="778" t="s">
        <v>2089</v>
      </c>
    </row>
    <row r="141" spans="3:3">
      <c r="C141" s="778" t="s">
        <v>2090</v>
      </c>
    </row>
    <row r="142" spans="3:3">
      <c r="C142" s="778" t="s">
        <v>2091</v>
      </c>
    </row>
    <row r="143" spans="3:3">
      <c r="C143" s="778" t="s">
        <v>2092</v>
      </c>
    </row>
    <row r="144" spans="3:3">
      <c r="C144" s="778" t="s">
        <v>2093</v>
      </c>
    </row>
    <row r="145" spans="3:3">
      <c r="C145" s="778" t="s">
        <v>2094</v>
      </c>
    </row>
    <row r="146" spans="3:3">
      <c r="C146" s="778" t="s">
        <v>2095</v>
      </c>
    </row>
    <row r="147" spans="3:3">
      <c r="C147" s="778" t="s">
        <v>2096</v>
      </c>
    </row>
    <row r="148" spans="3:3">
      <c r="C148" s="778" t="s">
        <v>2097</v>
      </c>
    </row>
    <row r="149" spans="3:3">
      <c r="C149" s="778" t="s">
        <v>2098</v>
      </c>
    </row>
    <row r="150" spans="3:3">
      <c r="C150" s="778" t="s">
        <v>2099</v>
      </c>
    </row>
    <row r="151" spans="3:3">
      <c r="C151" s="778" t="s">
        <v>2100</v>
      </c>
    </row>
    <row r="152" spans="3:3">
      <c r="C152" s="778" t="s">
        <v>2101</v>
      </c>
    </row>
    <row r="153" spans="3:3">
      <c r="C153" s="778" t="s">
        <v>2102</v>
      </c>
    </row>
    <row r="154" spans="3:3">
      <c r="C154" s="778" t="s">
        <v>2103</v>
      </c>
    </row>
    <row r="155" spans="3:3">
      <c r="C155" s="778" t="s">
        <v>2104</v>
      </c>
    </row>
    <row r="156" spans="3:3">
      <c r="C156" s="778" t="s">
        <v>2105</v>
      </c>
    </row>
    <row r="157" spans="3:3">
      <c r="C157" s="778" t="s">
        <v>2106</v>
      </c>
    </row>
    <row r="158" spans="3:3">
      <c r="C158" s="778" t="s">
        <v>2107</v>
      </c>
    </row>
    <row r="159" spans="3:3">
      <c r="C159" s="778" t="s">
        <v>2108</v>
      </c>
    </row>
    <row r="160" spans="3:3">
      <c r="C160" s="778" t="s">
        <v>2109</v>
      </c>
    </row>
    <row r="161" spans="3:3">
      <c r="C161" s="778" t="s">
        <v>2110</v>
      </c>
    </row>
    <row r="162" spans="3:3">
      <c r="C162" s="778" t="s">
        <v>2111</v>
      </c>
    </row>
    <row r="163" spans="3:3">
      <c r="C163" s="778" t="s">
        <v>2112</v>
      </c>
    </row>
    <row r="164" spans="3:3">
      <c r="C164" s="778" t="s">
        <v>2113</v>
      </c>
    </row>
    <row r="165" spans="3:3">
      <c r="C165" s="778" t="s">
        <v>2114</v>
      </c>
    </row>
    <row r="166" spans="3:3">
      <c r="C166" s="778" t="s">
        <v>2115</v>
      </c>
    </row>
    <row r="167" spans="3:3">
      <c r="C167" s="778" t="s">
        <v>2116</v>
      </c>
    </row>
    <row r="168" spans="3:3">
      <c r="C168" s="778" t="s">
        <v>2117</v>
      </c>
    </row>
    <row r="169" spans="3:3">
      <c r="C169" s="778" t="s">
        <v>2118</v>
      </c>
    </row>
    <row r="170" spans="3:3">
      <c r="C170" s="778" t="s">
        <v>2119</v>
      </c>
    </row>
    <row r="171" spans="3:3">
      <c r="C171" s="778" t="s">
        <v>2120</v>
      </c>
    </row>
    <row r="172" spans="3:3">
      <c r="C172" s="778" t="s">
        <v>2121</v>
      </c>
    </row>
    <row r="173" spans="3:3">
      <c r="C173" s="778" t="s">
        <v>2122</v>
      </c>
    </row>
    <row r="174" spans="3:3">
      <c r="C174" s="778" t="s">
        <v>2123</v>
      </c>
    </row>
    <row r="175" spans="3:3">
      <c r="C175" s="778" t="s">
        <v>2124</v>
      </c>
    </row>
    <row r="176" spans="3:3">
      <c r="C176" s="778" t="s">
        <v>2125</v>
      </c>
    </row>
    <row r="177" spans="3:3">
      <c r="C177" s="778" t="s">
        <v>2126</v>
      </c>
    </row>
    <row r="178" spans="3:3">
      <c r="C178" s="778" t="s">
        <v>2127</v>
      </c>
    </row>
    <row r="179" spans="3:3">
      <c r="C179" s="778" t="s">
        <v>2128</v>
      </c>
    </row>
    <row r="180" spans="3:3">
      <c r="C180" s="778" t="s">
        <v>2129</v>
      </c>
    </row>
    <row r="181" spans="3:3">
      <c r="C181" s="778" t="s">
        <v>2130</v>
      </c>
    </row>
    <row r="182" spans="3:3">
      <c r="C182" s="778" t="s">
        <v>2131</v>
      </c>
    </row>
    <row r="183" spans="3:3">
      <c r="C183" s="778" t="s">
        <v>2132</v>
      </c>
    </row>
    <row r="184" spans="3:3">
      <c r="C184" s="778" t="s">
        <v>2133</v>
      </c>
    </row>
    <row r="185" spans="3:3">
      <c r="C185" s="778" t="s">
        <v>2134</v>
      </c>
    </row>
    <row r="186" spans="3:3">
      <c r="C186" s="778" t="s">
        <v>2135</v>
      </c>
    </row>
    <row r="187" spans="3:3">
      <c r="C187" s="778" t="s">
        <v>2136</v>
      </c>
    </row>
    <row r="188" spans="3:3">
      <c r="C188" s="778" t="s">
        <v>2137</v>
      </c>
    </row>
    <row r="189" spans="3:3">
      <c r="C189" s="778" t="s">
        <v>2138</v>
      </c>
    </row>
    <row r="190" spans="3:3">
      <c r="C190" s="778" t="s">
        <v>2139</v>
      </c>
    </row>
    <row r="191" spans="3:3">
      <c r="C191" s="778" t="s">
        <v>2140</v>
      </c>
    </row>
    <row r="192" spans="3:3">
      <c r="C192" s="778" t="s">
        <v>2141</v>
      </c>
    </row>
    <row r="193" spans="3:3">
      <c r="C193" s="778" t="s">
        <v>2142</v>
      </c>
    </row>
    <row r="194" spans="3:3">
      <c r="C194" s="778" t="s">
        <v>2143</v>
      </c>
    </row>
    <row r="195" spans="3:3">
      <c r="C195" s="778" t="s">
        <v>2144</v>
      </c>
    </row>
    <row r="196" spans="3:3">
      <c r="C196" s="778" t="s">
        <v>2145</v>
      </c>
    </row>
    <row r="197" spans="3:3">
      <c r="C197" s="778" t="s">
        <v>2146</v>
      </c>
    </row>
    <row r="198" spans="3:3">
      <c r="C198" s="778" t="s">
        <v>2147</v>
      </c>
    </row>
    <row r="199" spans="3:3">
      <c r="C199" s="778" t="s">
        <v>2148</v>
      </c>
    </row>
    <row r="200" spans="3:3">
      <c r="C200" s="778" t="s">
        <v>2149</v>
      </c>
    </row>
    <row r="201" spans="3:3">
      <c r="C201" s="778" t="s">
        <v>2150</v>
      </c>
    </row>
    <row r="202" spans="3:3">
      <c r="C202" s="778" t="s">
        <v>2151</v>
      </c>
    </row>
    <row r="203" spans="3:3">
      <c r="C203" s="778" t="s">
        <v>2152</v>
      </c>
    </row>
    <row r="204" spans="3:3">
      <c r="C204" s="778" t="s">
        <v>2153</v>
      </c>
    </row>
    <row r="205" spans="3:3">
      <c r="C205" s="778" t="s">
        <v>2154</v>
      </c>
    </row>
    <row r="206" spans="3:3">
      <c r="C206" s="778" t="s">
        <v>2155</v>
      </c>
    </row>
    <row r="207" spans="3:3">
      <c r="C207" s="778" t="s">
        <v>2157</v>
      </c>
    </row>
    <row r="208" spans="3:3">
      <c r="C208" s="778" t="s">
        <v>2158</v>
      </c>
    </row>
    <row r="209" spans="3:3">
      <c r="C209" s="778" t="s">
        <v>2159</v>
      </c>
    </row>
    <row r="210" spans="3:3">
      <c r="C210" s="778" t="s">
        <v>2160</v>
      </c>
    </row>
    <row r="211" spans="3:3">
      <c r="C211" s="778" t="s">
        <v>2161</v>
      </c>
    </row>
    <row r="212" spans="3:3">
      <c r="C212" s="778" t="s">
        <v>2162</v>
      </c>
    </row>
    <row r="213" spans="3:3">
      <c r="C213" s="778" t="s">
        <v>2163</v>
      </c>
    </row>
    <row r="214" spans="3:3">
      <c r="C214" s="778" t="s">
        <v>2164</v>
      </c>
    </row>
    <row r="215" spans="3:3">
      <c r="C215" s="778" t="s">
        <v>2165</v>
      </c>
    </row>
    <row r="216" spans="3:3">
      <c r="C216" s="778" t="s">
        <v>2166</v>
      </c>
    </row>
    <row r="217" spans="3:3">
      <c r="C217" s="778" t="s">
        <v>2167</v>
      </c>
    </row>
    <row r="218" spans="3:3">
      <c r="C218" s="778" t="s">
        <v>2168</v>
      </c>
    </row>
    <row r="219" spans="3:3">
      <c r="C219" s="778" t="s">
        <v>2169</v>
      </c>
    </row>
    <row r="220" spans="3:3">
      <c r="C220" s="778" t="s">
        <v>2170</v>
      </c>
    </row>
    <row r="221" spans="3:3">
      <c r="C221" s="778" t="s">
        <v>2171</v>
      </c>
    </row>
    <row r="222" spans="3:3">
      <c r="C222" s="778" t="s">
        <v>2172</v>
      </c>
    </row>
    <row r="223" spans="3:3">
      <c r="C223" s="778" t="s">
        <v>2173</v>
      </c>
    </row>
    <row r="224" spans="3:3">
      <c r="C224" s="778" t="s">
        <v>2174</v>
      </c>
    </row>
    <row r="225" spans="3:3">
      <c r="C225" s="778" t="s">
        <v>2175</v>
      </c>
    </row>
    <row r="226" spans="3:3">
      <c r="C226" s="778" t="s">
        <v>2176</v>
      </c>
    </row>
    <row r="227" spans="3:3">
      <c r="C227" s="778" t="s">
        <v>2177</v>
      </c>
    </row>
    <row r="228" spans="3:3">
      <c r="C228" s="778" t="s">
        <v>2178</v>
      </c>
    </row>
    <row r="229" spans="3:3">
      <c r="C229" s="778" t="s">
        <v>2179</v>
      </c>
    </row>
    <row r="230" spans="3:3">
      <c r="C230" s="778" t="s">
        <v>2180</v>
      </c>
    </row>
    <row r="231" spans="3:3">
      <c r="C231" s="778" t="s">
        <v>2181</v>
      </c>
    </row>
    <row r="232" spans="3:3">
      <c r="C232" s="778" t="s">
        <v>2182</v>
      </c>
    </row>
    <row r="233" spans="3:3">
      <c r="C233" s="778" t="s">
        <v>2183</v>
      </c>
    </row>
    <row r="234" spans="3:3">
      <c r="C234" s="778" t="s">
        <v>2184</v>
      </c>
    </row>
    <row r="235" spans="3:3">
      <c r="C235" s="778" t="s">
        <v>2185</v>
      </c>
    </row>
    <row r="236" spans="3:3">
      <c r="C236" s="778" t="s">
        <v>2186</v>
      </c>
    </row>
    <row r="237" spans="3:3">
      <c r="C237" s="778" t="s">
        <v>2187</v>
      </c>
    </row>
    <row r="238" spans="3:3">
      <c r="C238" s="778" t="s">
        <v>2188</v>
      </c>
    </row>
    <row r="239" spans="3:3">
      <c r="C239" s="778" t="s">
        <v>2189</v>
      </c>
    </row>
    <row r="240" spans="3:3">
      <c r="C240" s="778" t="s">
        <v>2190</v>
      </c>
    </row>
    <row r="241" spans="3:3">
      <c r="C241" s="778" t="s">
        <v>2191</v>
      </c>
    </row>
    <row r="242" spans="3:3">
      <c r="C242" s="778" t="s">
        <v>2192</v>
      </c>
    </row>
    <row r="243" spans="3:3">
      <c r="C243" s="778" t="s">
        <v>2193</v>
      </c>
    </row>
    <row r="244" spans="3:3">
      <c r="C244" s="778" t="s">
        <v>2194</v>
      </c>
    </row>
    <row r="245" spans="3:3">
      <c r="C245" s="778" t="s">
        <v>2195</v>
      </c>
    </row>
    <row r="246" spans="3:3">
      <c r="C246" s="778" t="s">
        <v>2196</v>
      </c>
    </row>
    <row r="247" spans="3:3">
      <c r="C247" s="778" t="s">
        <v>2197</v>
      </c>
    </row>
    <row r="248" spans="3:3">
      <c r="C248" s="778" t="s">
        <v>2198</v>
      </c>
    </row>
    <row r="249" spans="3:3">
      <c r="C249" s="778" t="s">
        <v>2199</v>
      </c>
    </row>
    <row r="250" spans="3:3">
      <c r="C250" s="778" t="s">
        <v>2200</v>
      </c>
    </row>
    <row r="251" spans="3:3">
      <c r="C251" s="778" t="s">
        <v>2201</v>
      </c>
    </row>
    <row r="252" spans="3:3">
      <c r="C252" s="778" t="s">
        <v>2202</v>
      </c>
    </row>
    <row r="253" spans="3:3">
      <c r="C253" s="778" t="s">
        <v>2203</v>
      </c>
    </row>
    <row r="254" spans="3:3">
      <c r="C254" s="778" t="s">
        <v>2204</v>
      </c>
    </row>
    <row r="255" spans="3:3">
      <c r="C255" s="778" t="s">
        <v>2205</v>
      </c>
    </row>
    <row r="256" spans="3:3">
      <c r="C256" s="778" t="s">
        <v>2206</v>
      </c>
    </row>
    <row r="257" spans="3:3">
      <c r="C257" s="778" t="s">
        <v>2207</v>
      </c>
    </row>
    <row r="258" spans="3:3">
      <c r="C258" s="778" t="s">
        <v>2208</v>
      </c>
    </row>
    <row r="259" spans="3:3">
      <c r="C259" s="778" t="s">
        <v>2209</v>
      </c>
    </row>
    <row r="260" spans="3:3">
      <c r="C260" s="778" t="s">
        <v>2210</v>
      </c>
    </row>
    <row r="261" spans="3:3">
      <c r="C261" s="778" t="s">
        <v>2211</v>
      </c>
    </row>
    <row r="262" spans="3:3">
      <c r="C262" s="778" t="s">
        <v>2212</v>
      </c>
    </row>
    <row r="263" spans="3:3">
      <c r="C263" s="778" t="s">
        <v>2213</v>
      </c>
    </row>
    <row r="264" spans="3:3">
      <c r="C264" s="778" t="s">
        <v>2214</v>
      </c>
    </row>
    <row r="265" spans="3:3">
      <c r="C265" s="778" t="s">
        <v>2215</v>
      </c>
    </row>
    <row r="266" spans="3:3">
      <c r="C266" s="778" t="s">
        <v>2217</v>
      </c>
    </row>
    <row r="267" spans="3:3">
      <c r="C267" s="778" t="s">
        <v>2218</v>
      </c>
    </row>
    <row r="268" spans="3:3">
      <c r="C268" s="778" t="s">
        <v>2219</v>
      </c>
    </row>
    <row r="269" spans="3:3">
      <c r="C269" s="778" t="s">
        <v>2220</v>
      </c>
    </row>
    <row r="270" spans="3:3">
      <c r="C270" s="778" t="s">
        <v>2221</v>
      </c>
    </row>
    <row r="271" spans="3:3">
      <c r="C271" s="778" t="s">
        <v>2222</v>
      </c>
    </row>
    <row r="272" spans="3:3">
      <c r="C272" s="778" t="s">
        <v>2223</v>
      </c>
    </row>
    <row r="273" spans="3:3">
      <c r="C273" s="778" t="s">
        <v>2224</v>
      </c>
    </row>
    <row r="274" spans="3:3">
      <c r="C274" s="778" t="s">
        <v>2225</v>
      </c>
    </row>
    <row r="275" spans="3:3">
      <c r="C275" s="778" t="s">
        <v>2226</v>
      </c>
    </row>
    <row r="276" spans="3:3">
      <c r="C276" s="778" t="s">
        <v>2227</v>
      </c>
    </row>
    <row r="277" spans="3:3">
      <c r="C277" s="778" t="s">
        <v>2228</v>
      </c>
    </row>
    <row r="278" spans="3:3">
      <c r="C278" s="778" t="s">
        <v>2229</v>
      </c>
    </row>
    <row r="279" spans="3:3">
      <c r="C279" s="778" t="s">
        <v>2230</v>
      </c>
    </row>
    <row r="280" spans="3:3">
      <c r="C280" s="778" t="s">
        <v>2231</v>
      </c>
    </row>
    <row r="281" spans="3:3">
      <c r="C281" s="777"/>
    </row>
    <row r="282" spans="3:3">
      <c r="C282" s="778" t="s">
        <v>2248</v>
      </c>
    </row>
    <row r="283" spans="3:3">
      <c r="C283" s="778" t="s">
        <v>2238</v>
      </c>
    </row>
    <row r="284" spans="3:3">
      <c r="C284" s="778" t="s">
        <v>2235</v>
      </c>
    </row>
    <row r="285" spans="3:3">
      <c r="C285" s="778" t="s">
        <v>2236</v>
      </c>
    </row>
    <row r="286" spans="3:3">
      <c r="C286" s="778" t="s">
        <v>2232</v>
      </c>
    </row>
    <row r="287" spans="3:3">
      <c r="C287" s="778" t="s">
        <v>2233</v>
      </c>
    </row>
    <row r="288" spans="3:3">
      <c r="C288" s="778" t="s">
        <v>2234</v>
      </c>
    </row>
    <row r="289" spans="3:3">
      <c r="C289" s="778" t="s">
        <v>2237</v>
      </c>
    </row>
    <row r="290" spans="3:3">
      <c r="C290" s="778" t="s">
        <v>2239</v>
      </c>
    </row>
    <row r="291" spans="3:3">
      <c r="C291" s="778" t="s">
        <v>2240</v>
      </c>
    </row>
    <row r="292" spans="3:3">
      <c r="C292" s="778" t="s">
        <v>2241</v>
      </c>
    </row>
    <row r="293" spans="3:3">
      <c r="C293" s="778" t="s">
        <v>2242</v>
      </c>
    </row>
    <row r="294" spans="3:3">
      <c r="C294" s="778" t="s">
        <v>2243</v>
      </c>
    </row>
    <row r="295" spans="3:3">
      <c r="C295" s="778" t="s">
        <v>2244</v>
      </c>
    </row>
    <row r="296" spans="3:3">
      <c r="C296" s="778" t="s">
        <v>2245</v>
      </c>
    </row>
    <row r="297" spans="3:3">
      <c r="C297" s="778" t="s">
        <v>2246</v>
      </c>
    </row>
    <row r="298" spans="3:3">
      <c r="C298" s="778" t="s">
        <v>2247</v>
      </c>
    </row>
    <row r="299" spans="3:3">
      <c r="C299" s="778" t="s">
        <v>2249</v>
      </c>
    </row>
    <row r="300" spans="3:3">
      <c r="C300" s="778" t="s">
        <v>2250</v>
      </c>
    </row>
    <row r="301" spans="3:3">
      <c r="C301" s="778" t="s">
        <v>2251</v>
      </c>
    </row>
    <row r="302" spans="3:3">
      <c r="C302" s="778" t="s">
        <v>2252</v>
      </c>
    </row>
    <row r="303" spans="3:3">
      <c r="C303" s="778" t="s">
        <v>2253</v>
      </c>
    </row>
    <row r="304" spans="3:3">
      <c r="C304" s="778" t="s">
        <v>2254</v>
      </c>
    </row>
    <row r="305" spans="3:3">
      <c r="C305" s="778" t="s">
        <v>2255</v>
      </c>
    </row>
    <row r="306" spans="3:3">
      <c r="C306" s="778" t="s">
        <v>2256</v>
      </c>
    </row>
    <row r="307" spans="3:3">
      <c r="C307" s="778" t="s">
        <v>2257</v>
      </c>
    </row>
    <row r="308" spans="3:3">
      <c r="C308" s="778" t="s">
        <v>2258</v>
      </c>
    </row>
    <row r="309" spans="3:3">
      <c r="C309" s="778" t="s">
        <v>2259</v>
      </c>
    </row>
    <row r="310" spans="3:3">
      <c r="C310" s="778" t="s">
        <v>2260</v>
      </c>
    </row>
    <row r="311" spans="3:3">
      <c r="C311" s="778" t="s">
        <v>2261</v>
      </c>
    </row>
    <row r="312" spans="3:3">
      <c r="C312" s="778" t="s">
        <v>2262</v>
      </c>
    </row>
    <row r="313" spans="3:3">
      <c r="C313" s="778" t="s">
        <v>2263</v>
      </c>
    </row>
    <row r="314" spans="3:3">
      <c r="C314" s="778" t="s">
        <v>2264</v>
      </c>
    </row>
    <row r="315" spans="3:3">
      <c r="C315" s="778" t="s">
        <v>2265</v>
      </c>
    </row>
    <row r="316" spans="3:3">
      <c r="C316" s="778" t="s">
        <v>2266</v>
      </c>
    </row>
    <row r="317" spans="3:3">
      <c r="C317" s="778" t="s">
        <v>2267</v>
      </c>
    </row>
    <row r="318" spans="3:3">
      <c r="C318" s="778" t="s">
        <v>2268</v>
      </c>
    </row>
    <row r="319" spans="3:3">
      <c r="C319" s="778" t="s">
        <v>2269</v>
      </c>
    </row>
    <row r="320" spans="3:3">
      <c r="C320" s="778" t="s">
        <v>2270</v>
      </c>
    </row>
    <row r="321" spans="3:3">
      <c r="C321" s="778" t="s">
        <v>2271</v>
      </c>
    </row>
    <row r="322" spans="3:3">
      <c r="C322" s="778" t="s">
        <v>2272</v>
      </c>
    </row>
    <row r="323" spans="3:3">
      <c r="C323" s="778" t="s">
        <v>2273</v>
      </c>
    </row>
    <row r="324" spans="3:3">
      <c r="C324" s="778" t="s">
        <v>2274</v>
      </c>
    </row>
    <row r="325" spans="3:3">
      <c r="C325" s="778" t="s">
        <v>2275</v>
      </c>
    </row>
    <row r="326" spans="3:3">
      <c r="C326" s="778" t="s">
        <v>2276</v>
      </c>
    </row>
    <row r="327" spans="3:3">
      <c r="C327" s="778" t="s">
        <v>2277</v>
      </c>
    </row>
    <row r="328" spans="3:3">
      <c r="C328" s="778" t="s">
        <v>2278</v>
      </c>
    </row>
    <row r="329" spans="3:3">
      <c r="C329" s="778" t="s">
        <v>2279</v>
      </c>
    </row>
    <row r="330" spans="3:3">
      <c r="C330" s="778" t="s">
        <v>2280</v>
      </c>
    </row>
    <row r="331" spans="3:3">
      <c r="C331" s="778" t="s">
        <v>2281</v>
      </c>
    </row>
    <row r="332" spans="3:3">
      <c r="C332" s="778" t="s">
        <v>2282</v>
      </c>
    </row>
    <row r="333" spans="3:3">
      <c r="C333" s="778" t="s">
        <v>2283</v>
      </c>
    </row>
    <row r="334" spans="3:3">
      <c r="C334" s="778" t="s">
        <v>2284</v>
      </c>
    </row>
    <row r="335" spans="3:3">
      <c r="C335" s="778" t="s">
        <v>2285</v>
      </c>
    </row>
    <row r="336" spans="3:3">
      <c r="C336" s="778" t="s">
        <v>2286</v>
      </c>
    </row>
    <row r="337" spans="3:3">
      <c r="C337" s="778" t="s">
        <v>2287</v>
      </c>
    </row>
    <row r="338" spans="3:3">
      <c r="C338" s="778" t="s">
        <v>2288</v>
      </c>
    </row>
    <row r="339" spans="3:3">
      <c r="C339" s="778" t="s">
        <v>2289</v>
      </c>
    </row>
    <row r="340" spans="3:3">
      <c r="C340" s="778" t="s">
        <v>2290</v>
      </c>
    </row>
    <row r="341" spans="3:3">
      <c r="C341" s="778" t="s">
        <v>2291</v>
      </c>
    </row>
    <row r="342" spans="3:3">
      <c r="C342" s="778" t="s">
        <v>2292</v>
      </c>
    </row>
    <row r="343" spans="3:3">
      <c r="C343" s="778" t="s">
        <v>2293</v>
      </c>
    </row>
    <row r="344" spans="3:3">
      <c r="C344" s="778" t="s">
        <v>2294</v>
      </c>
    </row>
    <row r="345" spans="3:3">
      <c r="C345" s="778" t="s">
        <v>2295</v>
      </c>
    </row>
    <row r="346" spans="3:3">
      <c r="C346" s="778" t="s">
        <v>2296</v>
      </c>
    </row>
    <row r="347" spans="3:3">
      <c r="C347" s="778" t="s">
        <v>2297</v>
      </c>
    </row>
    <row r="348" spans="3:3">
      <c r="C348" s="778" t="s">
        <v>2298</v>
      </c>
    </row>
    <row r="349" spans="3:3">
      <c r="C349" s="778" t="s">
        <v>2299</v>
      </c>
    </row>
    <row r="350" spans="3:3">
      <c r="C350" s="778" t="s">
        <v>2300</v>
      </c>
    </row>
    <row r="351" spans="3:3">
      <c r="C351" s="778" t="s">
        <v>2301</v>
      </c>
    </row>
    <row r="352" spans="3:3">
      <c r="C352" s="778" t="s">
        <v>2302</v>
      </c>
    </row>
    <row r="353" spans="3:3">
      <c r="C353" s="778" t="s">
        <v>2303</v>
      </c>
    </row>
    <row r="354" spans="3:3">
      <c r="C354" s="778" t="s">
        <v>2304</v>
      </c>
    </row>
    <row r="355" spans="3:3">
      <c r="C355" s="778" t="s">
        <v>2305</v>
      </c>
    </row>
    <row r="356" spans="3:3">
      <c r="C356" s="778" t="s">
        <v>2306</v>
      </c>
    </row>
    <row r="357" spans="3:3">
      <c r="C357" s="778" t="s">
        <v>2307</v>
      </c>
    </row>
    <row r="358" spans="3:3">
      <c r="C358" s="778" t="s">
        <v>2308</v>
      </c>
    </row>
    <row r="359" spans="3:3">
      <c r="C359" s="778" t="s">
        <v>2309</v>
      </c>
    </row>
    <row r="360" spans="3:3">
      <c r="C360" s="778" t="s">
        <v>2310</v>
      </c>
    </row>
    <row r="361" spans="3:3">
      <c r="C361" s="778" t="s">
        <v>2311</v>
      </c>
    </row>
    <row r="362" spans="3:3">
      <c r="C362" s="778" t="s">
        <v>2312</v>
      </c>
    </row>
    <row r="363" spans="3:3">
      <c r="C363" s="778" t="s">
        <v>2313</v>
      </c>
    </row>
    <row r="364" spans="3:3">
      <c r="C364" s="778" t="s">
        <v>2314</v>
      </c>
    </row>
    <row r="365" spans="3:3">
      <c r="C365" s="778" t="s">
        <v>2315</v>
      </c>
    </row>
    <row r="366" spans="3:3">
      <c r="C366" s="778" t="s">
        <v>2316</v>
      </c>
    </row>
    <row r="367" spans="3:3">
      <c r="C367" s="778" t="s">
        <v>2317</v>
      </c>
    </row>
    <row r="368" spans="3:3">
      <c r="C368" s="778" t="s">
        <v>2318</v>
      </c>
    </row>
    <row r="369" spans="3:3">
      <c r="C369" s="778" t="s">
        <v>2319</v>
      </c>
    </row>
    <row r="370" spans="3:3">
      <c r="C370" s="778" t="s">
        <v>2320</v>
      </c>
    </row>
    <row r="371" spans="3:3">
      <c r="C371" s="778" t="s">
        <v>2321</v>
      </c>
    </row>
    <row r="372" spans="3:3">
      <c r="C372" s="778" t="s">
        <v>2322</v>
      </c>
    </row>
    <row r="373" spans="3:3">
      <c r="C373" s="778" t="s">
        <v>2323</v>
      </c>
    </row>
    <row r="374" spans="3:3">
      <c r="C374" s="778" t="s">
        <v>2324</v>
      </c>
    </row>
    <row r="375" spans="3:3">
      <c r="C375" s="778" t="s">
        <v>2325</v>
      </c>
    </row>
    <row r="376" spans="3:3">
      <c r="C376" s="778" t="s">
        <v>2326</v>
      </c>
    </row>
    <row r="377" spans="3:3">
      <c r="C377" s="778" t="s">
        <v>2327</v>
      </c>
    </row>
    <row r="378" spans="3:3">
      <c r="C378" s="778" t="s">
        <v>2328</v>
      </c>
    </row>
    <row r="379" spans="3:3">
      <c r="C379" s="778" t="s">
        <v>2329</v>
      </c>
    </row>
    <row r="380" spans="3:3">
      <c r="C380" s="778" t="s">
        <v>2330</v>
      </c>
    </row>
    <row r="381" spans="3:3">
      <c r="C381" s="778" t="s">
        <v>2331</v>
      </c>
    </row>
    <row r="382" spans="3:3">
      <c r="C382" s="778" t="s">
        <v>2332</v>
      </c>
    </row>
    <row r="383" spans="3:3">
      <c r="C383" s="778" t="s">
        <v>2333</v>
      </c>
    </row>
    <row r="384" spans="3:3">
      <c r="C384" s="778" t="s">
        <v>2334</v>
      </c>
    </row>
    <row r="385" spans="3:3">
      <c r="C385" s="778" t="s">
        <v>2335</v>
      </c>
    </row>
    <row r="386" spans="3:3">
      <c r="C386" s="778" t="s">
        <v>2336</v>
      </c>
    </row>
    <row r="387" spans="3:3">
      <c r="C387" s="778" t="s">
        <v>2337</v>
      </c>
    </row>
    <row r="388" spans="3:3">
      <c r="C388" s="778" t="s">
        <v>2338</v>
      </c>
    </row>
    <row r="389" spans="3:3">
      <c r="C389" s="778" t="s">
        <v>2339</v>
      </c>
    </row>
    <row r="390" spans="3:3">
      <c r="C390" s="778" t="s">
        <v>2340</v>
      </c>
    </row>
    <row r="391" spans="3:3">
      <c r="C391" s="778" t="s">
        <v>2341</v>
      </c>
    </row>
    <row r="392" spans="3:3">
      <c r="C392" s="778" t="s">
        <v>2342</v>
      </c>
    </row>
    <row r="393" spans="3:3">
      <c r="C393" s="778" t="s">
        <v>2343</v>
      </c>
    </row>
    <row r="394" spans="3:3">
      <c r="C394" s="778" t="s">
        <v>2344</v>
      </c>
    </row>
    <row r="395" spans="3:3">
      <c r="C395" s="778" t="s">
        <v>2345</v>
      </c>
    </row>
    <row r="396" spans="3:3">
      <c r="C396" s="778" t="s">
        <v>2346</v>
      </c>
    </row>
    <row r="397" spans="3:3">
      <c r="C397" s="778" t="s">
        <v>2347</v>
      </c>
    </row>
    <row r="398" spans="3:3">
      <c r="C398" s="778" t="s">
        <v>2348</v>
      </c>
    </row>
    <row r="399" spans="3:3">
      <c r="C399" s="778" t="s">
        <v>2349</v>
      </c>
    </row>
    <row r="400" spans="3:3">
      <c r="C400" s="778" t="s">
        <v>2350</v>
      </c>
    </row>
    <row r="401" spans="3:3">
      <c r="C401" s="778" t="s">
        <v>2351</v>
      </c>
    </row>
    <row r="402" spans="3:3">
      <c r="C402" s="778" t="s">
        <v>2352</v>
      </c>
    </row>
    <row r="403" spans="3:3">
      <c r="C403" s="778" t="s">
        <v>2353</v>
      </c>
    </row>
    <row r="404" spans="3:3">
      <c r="C404" s="778" t="s">
        <v>2354</v>
      </c>
    </row>
    <row r="405" spans="3:3">
      <c r="C405" s="778" t="s">
        <v>2355</v>
      </c>
    </row>
    <row r="406" spans="3:3">
      <c r="C406" s="778" t="s">
        <v>2356</v>
      </c>
    </row>
    <row r="407" spans="3:3">
      <c r="C407" s="778" t="s">
        <v>2357</v>
      </c>
    </row>
    <row r="408" spans="3:3">
      <c r="C408" s="778" t="s">
        <v>2358</v>
      </c>
    </row>
    <row r="409" spans="3:3">
      <c r="C409" s="778" t="s">
        <v>2359</v>
      </c>
    </row>
    <row r="410" spans="3:3">
      <c r="C410" s="778" t="s">
        <v>2360</v>
      </c>
    </row>
    <row r="411" spans="3:3">
      <c r="C411" s="778" t="s">
        <v>2361</v>
      </c>
    </row>
    <row r="412" spans="3:3">
      <c r="C412" s="778" t="s">
        <v>2362</v>
      </c>
    </row>
    <row r="413" spans="3:3">
      <c r="C413" s="778" t="s">
        <v>2363</v>
      </c>
    </row>
    <row r="414" spans="3:3">
      <c r="C414" s="778" t="s">
        <v>2364</v>
      </c>
    </row>
    <row r="415" spans="3:3">
      <c r="C415" s="778" t="s">
        <v>2365</v>
      </c>
    </row>
    <row r="416" spans="3:3">
      <c r="C416" s="778" t="s">
        <v>2366</v>
      </c>
    </row>
    <row r="417" spans="3:3">
      <c r="C417" s="778" t="s">
        <v>2367</v>
      </c>
    </row>
    <row r="418" spans="3:3">
      <c r="C418" s="778" t="s">
        <v>2368</v>
      </c>
    </row>
    <row r="419" spans="3:3">
      <c r="C419" s="778" t="s">
        <v>2369</v>
      </c>
    </row>
    <row r="420" spans="3:3">
      <c r="C420" s="778" t="s">
        <v>2370</v>
      </c>
    </row>
    <row r="421" spans="3:3">
      <c r="C421" s="778" t="s">
        <v>2371</v>
      </c>
    </row>
    <row r="422" spans="3:3">
      <c r="C422" s="778" t="s">
        <v>2372</v>
      </c>
    </row>
    <row r="423" spans="3:3">
      <c r="C423" s="778" t="s">
        <v>2373</v>
      </c>
    </row>
    <row r="424" spans="3:3">
      <c r="C424" s="778" t="s">
        <v>2374</v>
      </c>
    </row>
    <row r="425" spans="3:3">
      <c r="C425" s="778" t="s">
        <v>2375</v>
      </c>
    </row>
    <row r="426" spans="3:3">
      <c r="C426" s="778" t="s">
        <v>2376</v>
      </c>
    </row>
    <row r="427" spans="3:3">
      <c r="C427" s="778" t="s">
        <v>2377</v>
      </c>
    </row>
    <row r="428" spans="3:3">
      <c r="C428" s="778" t="s">
        <v>2378</v>
      </c>
    </row>
    <row r="429" spans="3:3">
      <c r="C429" s="778" t="s">
        <v>2379</v>
      </c>
    </row>
    <row r="430" spans="3:3">
      <c r="C430" s="778" t="s">
        <v>2380</v>
      </c>
    </row>
    <row r="431" spans="3:3">
      <c r="C431" s="778" t="s">
        <v>2381</v>
      </c>
    </row>
    <row r="432" spans="3:3">
      <c r="C432" s="778" t="s">
        <v>2382</v>
      </c>
    </row>
    <row r="433" spans="3:3">
      <c r="C433" s="778" t="s">
        <v>2383</v>
      </c>
    </row>
    <row r="434" spans="3:3">
      <c r="C434" s="778" t="s">
        <v>2384</v>
      </c>
    </row>
    <row r="435" spans="3:3">
      <c r="C435" s="778" t="s">
        <v>2385</v>
      </c>
    </row>
    <row r="436" spans="3:3">
      <c r="C436" s="778" t="s">
        <v>2386</v>
      </c>
    </row>
    <row r="437" spans="3:3">
      <c r="C437" s="778" t="s">
        <v>2387</v>
      </c>
    </row>
    <row r="438" spans="3:3">
      <c r="C438" s="778" t="s">
        <v>2388</v>
      </c>
    </row>
    <row r="439" spans="3:3">
      <c r="C439" s="778" t="s">
        <v>2389</v>
      </c>
    </row>
    <row r="440" spans="3:3">
      <c r="C440" s="778" t="s">
        <v>2390</v>
      </c>
    </row>
    <row r="441" spans="3:3">
      <c r="C441" s="778" t="s">
        <v>2391</v>
      </c>
    </row>
    <row r="442" spans="3:3">
      <c r="C442" s="778" t="s">
        <v>2392</v>
      </c>
    </row>
    <row r="443" spans="3:3">
      <c r="C443" s="778" t="s">
        <v>2393</v>
      </c>
    </row>
    <row r="444" spans="3:3">
      <c r="C444" s="778" t="s">
        <v>2394</v>
      </c>
    </row>
    <row r="445" spans="3:3">
      <c r="C445" s="778" t="s">
        <v>2395</v>
      </c>
    </row>
    <row r="446" spans="3:3">
      <c r="C446" s="778" t="s">
        <v>2396</v>
      </c>
    </row>
    <row r="447" spans="3:3">
      <c r="C447" s="778" t="s">
        <v>2397</v>
      </c>
    </row>
    <row r="448" spans="3:3">
      <c r="C448" s="778" t="s">
        <v>2398</v>
      </c>
    </row>
    <row r="449" spans="3:3">
      <c r="C449" s="778" t="s">
        <v>2399</v>
      </c>
    </row>
    <row r="450" spans="3:3">
      <c r="C450" s="778" t="s">
        <v>2400</v>
      </c>
    </row>
    <row r="451" spans="3:3">
      <c r="C451" s="778" t="s">
        <v>2401</v>
      </c>
    </row>
    <row r="452" spans="3:3">
      <c r="C452" s="778" t="s">
        <v>2402</v>
      </c>
    </row>
    <row r="453" spans="3:3">
      <c r="C453" s="778" t="s">
        <v>2403</v>
      </c>
    </row>
    <row r="454" spans="3:3">
      <c r="C454" s="778" t="s">
        <v>2404</v>
      </c>
    </row>
    <row r="455" spans="3:3">
      <c r="C455" s="778" t="s">
        <v>2405</v>
      </c>
    </row>
    <row r="456" spans="3:3">
      <c r="C456" s="778" t="s">
        <v>2406</v>
      </c>
    </row>
    <row r="457" spans="3:3">
      <c r="C457" s="778" t="s">
        <v>2407</v>
      </c>
    </row>
    <row r="458" spans="3:3">
      <c r="C458" s="778" t="s">
        <v>2408</v>
      </c>
    </row>
    <row r="459" spans="3:3">
      <c r="C459" s="778" t="s">
        <v>2409</v>
      </c>
    </row>
  </sheetData>
  <sheetProtection sheet="1" objects="1" scenarios="1" selectLockedCells="1"/>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heetPr>
  <dimension ref="B1:P107"/>
  <sheetViews>
    <sheetView showGridLines="0" topLeftCell="E31" workbookViewId="0">
      <selection activeCell="K96" sqref="K96"/>
    </sheetView>
  </sheetViews>
  <sheetFormatPr baseColWidth="10" defaultRowHeight="15" outlineLevelRow="1"/>
  <cols>
    <col min="1" max="1" width="2.42578125" customWidth="1"/>
    <col min="2" max="2" width="25" customWidth="1"/>
    <col min="3" max="3" width="14.7109375" customWidth="1"/>
    <col min="4" max="4" width="35.7109375" customWidth="1"/>
    <col min="5" max="15" width="14.7109375" customWidth="1"/>
    <col min="16" max="16" width="12.140625" bestFit="1" customWidth="1"/>
  </cols>
  <sheetData>
    <row r="1" spans="2:16" ht="15" customHeight="1"/>
    <row r="2" spans="2:16" s="1" customFormat="1" ht="15" customHeight="1"/>
    <row r="3" spans="2:16" ht="15" customHeight="1">
      <c r="B3" s="209" t="s">
        <v>1272</v>
      </c>
    </row>
    <row r="4" spans="2:16" ht="12.75" customHeight="1">
      <c r="B4" s="2"/>
      <c r="C4" s="1628"/>
      <c r="D4" s="1628"/>
      <c r="E4" s="1628"/>
      <c r="F4" s="1628"/>
      <c r="G4" s="1628"/>
      <c r="H4" s="1628"/>
      <c r="I4" s="1628"/>
      <c r="J4" s="1628"/>
      <c r="K4" s="1628"/>
      <c r="L4" s="1628"/>
      <c r="M4" s="1628"/>
      <c r="N4" s="1628"/>
    </row>
    <row r="5" spans="2:16" ht="12.75" customHeight="1">
      <c r="B5" s="210" t="s">
        <v>1273</v>
      </c>
      <c r="C5" s="4"/>
      <c r="D5" s="4"/>
      <c r="E5" s="4"/>
      <c r="F5" s="4"/>
      <c r="G5" s="4"/>
      <c r="H5" s="4"/>
      <c r="I5" s="4"/>
      <c r="J5" s="4"/>
      <c r="K5" s="4"/>
      <c r="L5" s="4"/>
      <c r="M5" s="4"/>
      <c r="N5" s="4"/>
    </row>
    <row r="6" spans="2:16" ht="12.75" customHeight="1" thickBot="1">
      <c r="B6" s="2"/>
      <c r="C6" s="1628"/>
      <c r="D6" s="1628"/>
      <c r="E6" s="1628"/>
      <c r="F6" s="1628"/>
      <c r="G6" s="1628"/>
      <c r="H6" s="1628"/>
      <c r="I6" s="1628"/>
      <c r="J6" s="1628"/>
      <c r="K6" s="1628"/>
      <c r="L6" s="1628"/>
      <c r="M6" s="1628"/>
      <c r="N6" s="1628"/>
    </row>
    <row r="7" spans="2:16" s="9" customFormat="1" ht="54.95" customHeight="1" thickBot="1">
      <c r="B7" s="211"/>
      <c r="C7" s="217" t="s">
        <v>226</v>
      </c>
      <c r="D7" s="217" t="s">
        <v>1274</v>
      </c>
      <c r="E7" s="217" t="s">
        <v>1275</v>
      </c>
      <c r="F7" s="217" t="s">
        <v>1276</v>
      </c>
      <c r="G7" s="217" t="s">
        <v>1277</v>
      </c>
      <c r="H7" s="217" t="s">
        <v>1278</v>
      </c>
      <c r="I7" s="217" t="s">
        <v>1279</v>
      </c>
      <c r="J7" s="217" t="s">
        <v>1280</v>
      </c>
      <c r="K7" s="217" t="s">
        <v>1284</v>
      </c>
      <c r="L7" s="217" t="s">
        <v>1281</v>
      </c>
      <c r="M7" s="217" t="s">
        <v>1282</v>
      </c>
      <c r="N7" s="218" t="s">
        <v>1283</v>
      </c>
    </row>
    <row r="8" spans="2:16" ht="14.1" customHeight="1" outlineLevel="1" thickBot="1">
      <c r="B8" s="88" t="s">
        <v>928</v>
      </c>
      <c r="C8" s="37" t="s">
        <v>3730</v>
      </c>
      <c r="D8" s="67" t="s">
        <v>3731</v>
      </c>
      <c r="E8" s="37" t="s">
        <v>3732</v>
      </c>
      <c r="F8" s="37" t="s">
        <v>3733</v>
      </c>
      <c r="G8" s="37"/>
      <c r="H8" s="213">
        <v>187444</v>
      </c>
      <c r="I8" s="214">
        <v>0.99970000000000003</v>
      </c>
      <c r="J8" s="65">
        <v>2934988</v>
      </c>
      <c r="K8" s="65">
        <v>159351</v>
      </c>
      <c r="L8" s="66">
        <v>2934111</v>
      </c>
      <c r="M8" s="65">
        <v>0</v>
      </c>
      <c r="N8" s="66">
        <v>2934111</v>
      </c>
      <c r="O8" s="192"/>
      <c r="P8" s="1280"/>
    </row>
    <row r="9" spans="2:16" ht="14.1" hidden="1" customHeight="1" outlineLevel="1">
      <c r="B9" s="87" t="s">
        <v>929</v>
      </c>
      <c r="C9" s="38"/>
      <c r="D9" s="68"/>
      <c r="E9" s="38"/>
      <c r="F9" s="38"/>
      <c r="G9" s="38"/>
      <c r="H9" s="215"/>
      <c r="I9" s="216"/>
      <c r="J9" s="43"/>
      <c r="K9" s="43"/>
      <c r="L9" s="43"/>
      <c r="M9" s="43"/>
      <c r="N9" s="44"/>
      <c r="P9" s="1280"/>
    </row>
    <row r="10" spans="2:16" ht="14.1" hidden="1" customHeight="1" outlineLevel="1">
      <c r="B10" s="87" t="s">
        <v>930</v>
      </c>
      <c r="C10" s="38"/>
      <c r="D10" s="68"/>
      <c r="E10" s="38"/>
      <c r="F10" s="38"/>
      <c r="G10" s="38"/>
      <c r="H10" s="215"/>
      <c r="I10" s="216"/>
      <c r="J10" s="43"/>
      <c r="K10" s="43"/>
      <c r="L10" s="43"/>
      <c r="M10" s="43"/>
      <c r="N10" s="44"/>
    </row>
    <row r="11" spans="2:16" ht="14.1" hidden="1" customHeight="1" outlineLevel="1">
      <c r="B11" s="87" t="s">
        <v>931</v>
      </c>
      <c r="C11" s="38"/>
      <c r="D11" s="68"/>
      <c r="E11" s="38"/>
      <c r="F11" s="38"/>
      <c r="G11" s="38"/>
      <c r="H11" s="215"/>
      <c r="I11" s="216"/>
      <c r="J11" s="43"/>
      <c r="K11" s="43"/>
      <c r="L11" s="43"/>
      <c r="M11" s="43"/>
      <c r="N11" s="44"/>
    </row>
    <row r="12" spans="2:16" ht="14.1" hidden="1" customHeight="1" outlineLevel="1">
      <c r="B12" s="87" t="s">
        <v>932</v>
      </c>
      <c r="C12" s="38"/>
      <c r="D12" s="68"/>
      <c r="E12" s="38"/>
      <c r="F12" s="38"/>
      <c r="G12" s="38"/>
      <c r="H12" s="215"/>
      <c r="I12" s="216"/>
      <c r="J12" s="43"/>
      <c r="K12" s="43"/>
      <c r="L12" s="43"/>
      <c r="M12" s="43"/>
      <c r="N12" s="44"/>
    </row>
    <row r="13" spans="2:16" ht="14.1" hidden="1" customHeight="1" outlineLevel="1">
      <c r="B13" s="87" t="s">
        <v>933</v>
      </c>
      <c r="C13" s="38"/>
      <c r="D13" s="68"/>
      <c r="E13" s="38"/>
      <c r="F13" s="38"/>
      <c r="G13" s="38"/>
      <c r="H13" s="215"/>
      <c r="I13" s="216"/>
      <c r="J13" s="43"/>
      <c r="K13" s="43"/>
      <c r="L13" s="43"/>
      <c r="M13" s="43"/>
      <c r="N13" s="44"/>
    </row>
    <row r="14" spans="2:16" ht="14.1" hidden="1" customHeight="1" outlineLevel="1">
      <c r="B14" s="87" t="s">
        <v>934</v>
      </c>
      <c r="C14" s="38"/>
      <c r="D14" s="68"/>
      <c r="E14" s="38"/>
      <c r="F14" s="38"/>
      <c r="G14" s="38"/>
      <c r="H14" s="215"/>
      <c r="I14" s="216"/>
      <c r="J14" s="43"/>
      <c r="K14" s="43"/>
      <c r="L14" s="43"/>
      <c r="M14" s="43"/>
      <c r="N14" s="44"/>
    </row>
    <row r="15" spans="2:16" ht="14.1" hidden="1" customHeight="1" outlineLevel="1">
      <c r="B15" s="87" t="s">
        <v>935</v>
      </c>
      <c r="C15" s="38"/>
      <c r="D15" s="68"/>
      <c r="E15" s="38"/>
      <c r="F15" s="38"/>
      <c r="G15" s="38"/>
      <c r="H15" s="215"/>
      <c r="I15" s="216"/>
      <c r="J15" s="43"/>
      <c r="K15" s="43"/>
      <c r="L15" s="43"/>
      <c r="M15" s="43"/>
      <c r="N15" s="44"/>
    </row>
    <row r="16" spans="2:16" ht="14.1" hidden="1" customHeight="1" outlineLevel="1">
      <c r="B16" s="87" t="s">
        <v>936</v>
      </c>
      <c r="C16" s="38"/>
      <c r="D16" s="68"/>
      <c r="E16" s="38"/>
      <c r="F16" s="38"/>
      <c r="G16" s="38"/>
      <c r="H16" s="215"/>
      <c r="I16" s="216"/>
      <c r="J16" s="43"/>
      <c r="K16" s="43"/>
      <c r="L16" s="43"/>
      <c r="M16" s="43"/>
      <c r="N16" s="44"/>
    </row>
    <row r="17" spans="2:14" ht="14.1" hidden="1" customHeight="1" outlineLevel="1">
      <c r="B17" s="87" t="s">
        <v>937</v>
      </c>
      <c r="C17" s="38"/>
      <c r="D17" s="68"/>
      <c r="E17" s="38"/>
      <c r="F17" s="38"/>
      <c r="G17" s="38"/>
      <c r="H17" s="215"/>
      <c r="I17" s="216"/>
      <c r="J17" s="43"/>
      <c r="K17" s="43"/>
      <c r="L17" s="43"/>
      <c r="M17" s="43"/>
      <c r="N17" s="44"/>
    </row>
    <row r="18" spans="2:14" ht="14.1" hidden="1" customHeight="1" outlineLevel="1">
      <c r="B18" s="87" t="s">
        <v>938</v>
      </c>
      <c r="C18" s="38"/>
      <c r="D18" s="68"/>
      <c r="E18" s="38"/>
      <c r="F18" s="38"/>
      <c r="G18" s="38"/>
      <c r="H18" s="215"/>
      <c r="I18" s="216"/>
      <c r="J18" s="43"/>
      <c r="K18" s="43"/>
      <c r="L18" s="43"/>
      <c r="M18" s="43"/>
      <c r="N18" s="44"/>
    </row>
    <row r="19" spans="2:14" ht="14.1" hidden="1" customHeight="1" outlineLevel="1">
      <c r="B19" s="87" t="s">
        <v>939</v>
      </c>
      <c r="C19" s="38"/>
      <c r="D19" s="68"/>
      <c r="E19" s="38"/>
      <c r="F19" s="38"/>
      <c r="G19" s="38"/>
      <c r="H19" s="215"/>
      <c r="I19" s="216"/>
      <c r="J19" s="43"/>
      <c r="K19" s="43"/>
      <c r="L19" s="43"/>
      <c r="M19" s="43"/>
      <c r="N19" s="44"/>
    </row>
    <row r="20" spans="2:14" ht="14.1" hidden="1" customHeight="1" outlineLevel="1">
      <c r="B20" s="87" t="s">
        <v>940</v>
      </c>
      <c r="C20" s="38"/>
      <c r="D20" s="68"/>
      <c r="E20" s="38"/>
      <c r="F20" s="38"/>
      <c r="G20" s="38"/>
      <c r="H20" s="215"/>
      <c r="I20" s="216"/>
      <c r="J20" s="43"/>
      <c r="K20" s="43"/>
      <c r="L20" s="43"/>
      <c r="M20" s="43"/>
      <c r="N20" s="44"/>
    </row>
    <row r="21" spans="2:14" ht="14.1" hidden="1" customHeight="1" outlineLevel="1">
      <c r="B21" s="87" t="s">
        <v>941</v>
      </c>
      <c r="C21" s="38"/>
      <c r="D21" s="68"/>
      <c r="E21" s="38"/>
      <c r="F21" s="38"/>
      <c r="G21" s="38"/>
      <c r="H21" s="215"/>
      <c r="I21" s="216"/>
      <c r="J21" s="43"/>
      <c r="K21" s="43"/>
      <c r="L21" s="43"/>
      <c r="M21" s="43"/>
      <c r="N21" s="44"/>
    </row>
    <row r="22" spans="2:14" ht="14.1" hidden="1" customHeight="1" outlineLevel="1">
      <c r="B22" s="87" t="s">
        <v>942</v>
      </c>
      <c r="C22" s="38"/>
      <c r="D22" s="68"/>
      <c r="E22" s="38"/>
      <c r="F22" s="38"/>
      <c r="G22" s="38"/>
      <c r="H22" s="215"/>
      <c r="I22" s="216"/>
      <c r="J22" s="43"/>
      <c r="K22" s="43"/>
      <c r="L22" s="43"/>
      <c r="M22" s="43"/>
      <c r="N22" s="44"/>
    </row>
    <row r="23" spans="2:14" ht="14.1" hidden="1" customHeight="1" outlineLevel="1">
      <c r="B23" s="87" t="s">
        <v>943</v>
      </c>
      <c r="C23" s="38"/>
      <c r="D23" s="68"/>
      <c r="E23" s="38"/>
      <c r="F23" s="38"/>
      <c r="G23" s="38"/>
      <c r="H23" s="215"/>
      <c r="I23" s="216"/>
      <c r="J23" s="43"/>
      <c r="K23" s="43"/>
      <c r="L23" s="43"/>
      <c r="M23" s="43"/>
      <c r="N23" s="44"/>
    </row>
    <row r="24" spans="2:14" ht="14.1" hidden="1" customHeight="1" outlineLevel="1">
      <c r="B24" s="87" t="s">
        <v>944</v>
      </c>
      <c r="C24" s="38"/>
      <c r="D24" s="68"/>
      <c r="E24" s="38"/>
      <c r="F24" s="38"/>
      <c r="G24" s="38"/>
      <c r="H24" s="215"/>
      <c r="I24" s="216"/>
      <c r="J24" s="43"/>
      <c r="K24" s="43"/>
      <c r="L24" s="43"/>
      <c r="M24" s="43"/>
      <c r="N24" s="44"/>
    </row>
    <row r="25" spans="2:14" ht="14.1" hidden="1" customHeight="1" outlineLevel="1">
      <c r="B25" s="87" t="s">
        <v>945</v>
      </c>
      <c r="C25" s="38"/>
      <c r="D25" s="68"/>
      <c r="E25" s="38"/>
      <c r="F25" s="38"/>
      <c r="G25" s="38"/>
      <c r="H25" s="215"/>
      <c r="I25" s="216"/>
      <c r="J25" s="43"/>
      <c r="K25" s="43"/>
      <c r="L25" s="43"/>
      <c r="M25" s="43"/>
      <c r="N25" s="44"/>
    </row>
    <row r="26" spans="2:14" ht="14.1" hidden="1" customHeight="1" outlineLevel="1">
      <c r="B26" s="87" t="s">
        <v>946</v>
      </c>
      <c r="C26" s="38"/>
      <c r="D26" s="68"/>
      <c r="E26" s="38"/>
      <c r="F26" s="38"/>
      <c r="G26" s="38"/>
      <c r="H26" s="215"/>
      <c r="I26" s="216"/>
      <c r="J26" s="43"/>
      <c r="K26" s="43"/>
      <c r="L26" s="43"/>
      <c r="M26" s="43"/>
      <c r="N26" s="44"/>
    </row>
    <row r="27" spans="2:14" ht="14.1" hidden="1" customHeight="1" outlineLevel="1" thickBot="1">
      <c r="B27" s="158" t="s">
        <v>947</v>
      </c>
      <c r="C27" s="152"/>
      <c r="D27" s="219"/>
      <c r="E27" s="152"/>
      <c r="F27" s="152"/>
      <c r="G27" s="152"/>
      <c r="H27" s="220"/>
      <c r="I27" s="221"/>
      <c r="J27" s="154"/>
      <c r="K27" s="154"/>
      <c r="L27" s="154"/>
      <c r="M27" s="154"/>
      <c r="N27" s="157"/>
    </row>
    <row r="28" spans="2:14" ht="14.1" customHeight="1" thickBot="1">
      <c r="B28" s="159" t="s">
        <v>432</v>
      </c>
      <c r="C28" s="173"/>
      <c r="D28" s="222"/>
      <c r="E28" s="173"/>
      <c r="F28" s="173"/>
      <c r="G28" s="173"/>
      <c r="H28" s="226">
        <f>SUM(H8:H27)</f>
        <v>187444</v>
      </c>
      <c r="I28" s="225">
        <f t="shared" ref="I28:N28" si="0">SUM(I8:I27)</f>
        <v>0.99970000000000003</v>
      </c>
      <c r="J28" s="201">
        <f>SUM(J8:J27)</f>
        <v>2934988</v>
      </c>
      <c r="K28" s="201">
        <f t="shared" si="0"/>
        <v>159351</v>
      </c>
      <c r="L28" s="201">
        <f t="shared" si="0"/>
        <v>2934111</v>
      </c>
      <c r="M28" s="201">
        <f t="shared" si="0"/>
        <v>0</v>
      </c>
      <c r="N28" s="202">
        <f t="shared" si="0"/>
        <v>2934111</v>
      </c>
    </row>
    <row r="31" spans="2:14">
      <c r="B31" s="224" t="s">
        <v>1285</v>
      </c>
    </row>
    <row r="33" spans="2:16">
      <c r="B33" s="210" t="s">
        <v>1286</v>
      </c>
    </row>
    <row r="34" spans="2:16" ht="15.75" thickBot="1"/>
    <row r="35" spans="2:16" s="9" customFormat="1" ht="54.95" customHeight="1" thickBot="1">
      <c r="B35" s="1644"/>
      <c r="C35" s="1645"/>
      <c r="D35" s="217" t="s">
        <v>1274</v>
      </c>
      <c r="E35" s="217" t="s">
        <v>1287</v>
      </c>
      <c r="F35" s="217" t="s">
        <v>1276</v>
      </c>
      <c r="G35" s="217" t="s">
        <v>1277</v>
      </c>
      <c r="H35" s="217" t="s">
        <v>1278</v>
      </c>
      <c r="I35" s="217" t="s">
        <v>1279</v>
      </c>
      <c r="J35" s="217" t="s">
        <v>1280</v>
      </c>
      <c r="K35" s="217" t="s">
        <v>1284</v>
      </c>
      <c r="L35" s="217" t="s">
        <v>1281</v>
      </c>
      <c r="M35" s="217" t="s">
        <v>1282</v>
      </c>
      <c r="N35" s="218" t="s">
        <v>1283</v>
      </c>
    </row>
    <row r="36" spans="2:16" ht="14.1" customHeight="1" outlineLevel="1">
      <c r="B36" s="1646" t="s">
        <v>928</v>
      </c>
      <c r="C36" s="1647"/>
      <c r="D36" s="1193" t="s">
        <v>3734</v>
      </c>
      <c r="E36" s="37" t="s">
        <v>3732</v>
      </c>
      <c r="F36" s="37" t="s">
        <v>3737</v>
      </c>
      <c r="G36" s="37"/>
      <c r="H36" s="1195">
        <v>6069914</v>
      </c>
      <c r="I36" s="214">
        <v>7.4099999999999999E-2</v>
      </c>
      <c r="J36" s="65">
        <v>34021160</v>
      </c>
      <c r="K36" s="65">
        <v>969453</v>
      </c>
      <c r="L36" s="65">
        <v>2519351</v>
      </c>
      <c r="M36" s="65"/>
      <c r="N36" s="66">
        <v>2519351</v>
      </c>
      <c r="P36" s="192"/>
    </row>
    <row r="37" spans="2:16" ht="14.1" customHeight="1" outlineLevel="1">
      <c r="B37" s="1596" t="s">
        <v>929</v>
      </c>
      <c r="C37" s="1597"/>
      <c r="D37" s="1194" t="s">
        <v>3735</v>
      </c>
      <c r="E37" s="38" t="s">
        <v>3732</v>
      </c>
      <c r="F37" s="38" t="s">
        <v>3738</v>
      </c>
      <c r="G37" s="38"/>
      <c r="H37" s="1196">
        <v>2810</v>
      </c>
      <c r="I37" s="216">
        <v>0.01</v>
      </c>
      <c r="J37" s="43">
        <v>1000922</v>
      </c>
      <c r="K37" s="43">
        <v>2987</v>
      </c>
      <c r="L37" s="43">
        <v>10009</v>
      </c>
      <c r="M37" s="43"/>
      <c r="N37" s="44">
        <v>10009</v>
      </c>
    </row>
    <row r="38" spans="2:16" ht="14.1" customHeight="1" outlineLevel="1" thickBot="1">
      <c r="B38" s="1596" t="s">
        <v>930</v>
      </c>
      <c r="C38" s="1597"/>
      <c r="D38" s="1194" t="s">
        <v>3736</v>
      </c>
      <c r="E38" s="38" t="s">
        <v>3732</v>
      </c>
      <c r="F38" s="38" t="s">
        <v>3738</v>
      </c>
      <c r="G38" s="38"/>
      <c r="H38" s="1196">
        <v>1</v>
      </c>
      <c r="I38" s="216">
        <v>1E-4</v>
      </c>
      <c r="J38" s="43">
        <v>1189290</v>
      </c>
      <c r="K38" s="43">
        <v>-19739</v>
      </c>
      <c r="L38" s="43">
        <v>119</v>
      </c>
      <c r="M38" s="43"/>
      <c r="N38" s="44">
        <v>119</v>
      </c>
    </row>
    <row r="39" spans="2:16" ht="14.1" hidden="1" customHeight="1" outlineLevel="1">
      <c r="B39" s="1596" t="s">
        <v>931</v>
      </c>
      <c r="C39" s="1597"/>
      <c r="D39" s="68"/>
      <c r="E39" s="38"/>
      <c r="F39" s="38"/>
      <c r="G39" s="38"/>
      <c r="H39" s="215"/>
      <c r="I39" s="216"/>
      <c r="J39" s="43"/>
      <c r="K39" s="43"/>
      <c r="L39" s="43"/>
      <c r="M39" s="43"/>
      <c r="N39" s="44"/>
    </row>
    <row r="40" spans="2:16" ht="14.1" hidden="1" customHeight="1" outlineLevel="1">
      <c r="B40" s="1596" t="s">
        <v>932</v>
      </c>
      <c r="C40" s="1597"/>
      <c r="D40" s="68"/>
      <c r="E40" s="38"/>
      <c r="F40" s="38"/>
      <c r="G40" s="38"/>
      <c r="H40" s="215"/>
      <c r="I40" s="216"/>
      <c r="J40" s="43"/>
      <c r="K40" s="43"/>
      <c r="L40" s="43"/>
      <c r="M40" s="43"/>
      <c r="N40" s="44"/>
    </row>
    <row r="41" spans="2:16" ht="14.1" hidden="1" customHeight="1" outlineLevel="1">
      <c r="B41" s="1596" t="s">
        <v>933</v>
      </c>
      <c r="C41" s="1597"/>
      <c r="D41" s="68"/>
      <c r="E41" s="38"/>
      <c r="F41" s="38"/>
      <c r="G41" s="38"/>
      <c r="H41" s="215"/>
      <c r="I41" s="216"/>
      <c r="J41" s="43"/>
      <c r="K41" s="43"/>
      <c r="L41" s="43"/>
      <c r="M41" s="43"/>
      <c r="N41" s="44"/>
    </row>
    <row r="42" spans="2:16" ht="14.1" hidden="1" customHeight="1" outlineLevel="1">
      <c r="B42" s="1596" t="s">
        <v>934</v>
      </c>
      <c r="C42" s="1597"/>
      <c r="D42" s="68"/>
      <c r="E42" s="38"/>
      <c r="F42" s="38"/>
      <c r="G42" s="38"/>
      <c r="H42" s="215"/>
      <c r="I42" s="216"/>
      <c r="J42" s="43"/>
      <c r="K42" s="43"/>
      <c r="L42" s="43"/>
      <c r="M42" s="43"/>
      <c r="N42" s="44"/>
    </row>
    <row r="43" spans="2:16" ht="14.1" hidden="1" customHeight="1" outlineLevel="1">
      <c r="B43" s="1596" t="s">
        <v>935</v>
      </c>
      <c r="C43" s="1597"/>
      <c r="D43" s="68"/>
      <c r="E43" s="38"/>
      <c r="F43" s="38"/>
      <c r="G43" s="38"/>
      <c r="H43" s="215"/>
      <c r="I43" s="216"/>
      <c r="J43" s="43"/>
      <c r="K43" s="43"/>
      <c r="L43" s="43"/>
      <c r="M43" s="43"/>
      <c r="N43" s="44"/>
    </row>
    <row r="44" spans="2:16" ht="14.1" hidden="1" customHeight="1" outlineLevel="1">
      <c r="B44" s="1596" t="s">
        <v>936</v>
      </c>
      <c r="C44" s="1597"/>
      <c r="D44" s="68"/>
      <c r="E44" s="38"/>
      <c r="F44" s="38"/>
      <c r="G44" s="38"/>
      <c r="H44" s="215"/>
      <c r="I44" s="216"/>
      <c r="J44" s="43"/>
      <c r="K44" s="43"/>
      <c r="L44" s="43"/>
      <c r="M44" s="43"/>
      <c r="N44" s="44"/>
    </row>
    <row r="45" spans="2:16" ht="14.1" hidden="1" customHeight="1" outlineLevel="1">
      <c r="B45" s="1596" t="s">
        <v>937</v>
      </c>
      <c r="C45" s="1597"/>
      <c r="D45" s="68"/>
      <c r="E45" s="38"/>
      <c r="F45" s="38"/>
      <c r="G45" s="38"/>
      <c r="H45" s="215"/>
      <c r="I45" s="216"/>
      <c r="J45" s="43"/>
      <c r="K45" s="43"/>
      <c r="L45" s="43"/>
      <c r="M45" s="43"/>
      <c r="N45" s="44"/>
    </row>
    <row r="46" spans="2:16" ht="14.1" hidden="1" customHeight="1" outlineLevel="1">
      <c r="B46" s="1596" t="s">
        <v>938</v>
      </c>
      <c r="C46" s="1597"/>
      <c r="D46" s="68"/>
      <c r="E46" s="38"/>
      <c r="F46" s="38"/>
      <c r="G46" s="38"/>
      <c r="H46" s="215"/>
      <c r="I46" s="216"/>
      <c r="J46" s="43"/>
      <c r="K46" s="43"/>
      <c r="L46" s="43"/>
      <c r="M46" s="43"/>
      <c r="N46" s="44"/>
    </row>
    <row r="47" spans="2:16" ht="14.1" hidden="1" customHeight="1" outlineLevel="1">
      <c r="B47" s="1596" t="s">
        <v>939</v>
      </c>
      <c r="C47" s="1597"/>
      <c r="D47" s="68"/>
      <c r="E47" s="38"/>
      <c r="F47" s="38"/>
      <c r="G47" s="38"/>
      <c r="H47" s="215"/>
      <c r="I47" s="216"/>
      <c r="J47" s="43"/>
      <c r="K47" s="43"/>
      <c r="L47" s="43"/>
      <c r="M47" s="43"/>
      <c r="N47" s="44"/>
    </row>
    <row r="48" spans="2:16" ht="14.1" hidden="1" customHeight="1" outlineLevel="1">
      <c r="B48" s="1596" t="s">
        <v>940</v>
      </c>
      <c r="C48" s="1597"/>
      <c r="D48" s="68"/>
      <c r="E48" s="38"/>
      <c r="F48" s="38"/>
      <c r="G48" s="38"/>
      <c r="H48" s="215"/>
      <c r="I48" s="216"/>
      <c r="J48" s="43"/>
      <c r="K48" s="43"/>
      <c r="L48" s="43"/>
      <c r="M48" s="43"/>
      <c r="N48" s="44"/>
    </row>
    <row r="49" spans="2:14" ht="14.1" hidden="1" customHeight="1" outlineLevel="1">
      <c r="B49" s="1596" t="s">
        <v>941</v>
      </c>
      <c r="C49" s="1597"/>
      <c r="D49" s="68"/>
      <c r="E49" s="38"/>
      <c r="F49" s="38"/>
      <c r="G49" s="38"/>
      <c r="H49" s="215"/>
      <c r="I49" s="216"/>
      <c r="J49" s="43"/>
      <c r="K49" s="43"/>
      <c r="L49" s="43"/>
      <c r="M49" s="43"/>
      <c r="N49" s="44"/>
    </row>
    <row r="50" spans="2:14" ht="14.1" hidden="1" customHeight="1" outlineLevel="1">
      <c r="B50" s="1596" t="s">
        <v>942</v>
      </c>
      <c r="C50" s="1597"/>
      <c r="D50" s="68"/>
      <c r="E50" s="38"/>
      <c r="F50" s="38"/>
      <c r="G50" s="38"/>
      <c r="H50" s="215"/>
      <c r="I50" s="216"/>
      <c r="J50" s="43"/>
      <c r="K50" s="43"/>
      <c r="L50" s="43"/>
      <c r="M50" s="43"/>
      <c r="N50" s="44"/>
    </row>
    <row r="51" spans="2:14" ht="14.1" hidden="1" customHeight="1" outlineLevel="1">
      <c r="B51" s="1596" t="s">
        <v>943</v>
      </c>
      <c r="C51" s="1597"/>
      <c r="D51" s="68"/>
      <c r="E51" s="38"/>
      <c r="F51" s="38"/>
      <c r="G51" s="38"/>
      <c r="H51" s="215"/>
      <c r="I51" s="216"/>
      <c r="J51" s="43"/>
      <c r="K51" s="43"/>
      <c r="L51" s="43"/>
      <c r="M51" s="43"/>
      <c r="N51" s="44"/>
    </row>
    <row r="52" spans="2:14" ht="14.1" hidden="1" customHeight="1" outlineLevel="1">
      <c r="B52" s="1596" t="s">
        <v>944</v>
      </c>
      <c r="C52" s="1597"/>
      <c r="D52" s="68"/>
      <c r="E52" s="38"/>
      <c r="F52" s="38"/>
      <c r="G52" s="38"/>
      <c r="H52" s="215"/>
      <c r="I52" s="216"/>
      <c r="J52" s="43"/>
      <c r="K52" s="43"/>
      <c r="L52" s="43"/>
      <c r="M52" s="43"/>
      <c r="N52" s="44"/>
    </row>
    <row r="53" spans="2:14" ht="14.1" hidden="1" customHeight="1" outlineLevel="1">
      <c r="B53" s="1596" t="s">
        <v>945</v>
      </c>
      <c r="C53" s="1597"/>
      <c r="D53" s="68"/>
      <c r="E53" s="38"/>
      <c r="F53" s="38"/>
      <c r="G53" s="38"/>
      <c r="H53" s="215"/>
      <c r="I53" s="216"/>
      <c r="J53" s="43"/>
      <c r="K53" s="43"/>
      <c r="L53" s="43"/>
      <c r="M53" s="43"/>
      <c r="N53" s="44"/>
    </row>
    <row r="54" spans="2:14" ht="14.1" hidden="1" customHeight="1" outlineLevel="1">
      <c r="B54" s="1596" t="s">
        <v>946</v>
      </c>
      <c r="C54" s="1597"/>
      <c r="D54" s="68"/>
      <c r="E54" s="38"/>
      <c r="F54" s="38"/>
      <c r="G54" s="38"/>
      <c r="H54" s="215"/>
      <c r="I54" s="216"/>
      <c r="J54" s="43"/>
      <c r="K54" s="43"/>
      <c r="L54" s="43"/>
      <c r="M54" s="43"/>
      <c r="N54" s="44"/>
    </row>
    <row r="55" spans="2:14" ht="14.1" hidden="1" customHeight="1" outlineLevel="1">
      <c r="B55" s="1596" t="s">
        <v>947</v>
      </c>
      <c r="C55" s="1597"/>
      <c r="D55" s="68"/>
      <c r="E55" s="152"/>
      <c r="F55" s="152"/>
      <c r="G55" s="152"/>
      <c r="H55" s="220"/>
      <c r="I55" s="221"/>
      <c r="J55" s="154"/>
      <c r="K55" s="154"/>
      <c r="L55" s="154"/>
      <c r="M55" s="154"/>
      <c r="N55" s="157"/>
    </row>
    <row r="56" spans="2:14" ht="14.1" hidden="1" customHeight="1" outlineLevel="1">
      <c r="B56" s="1596" t="s">
        <v>948</v>
      </c>
      <c r="C56" s="1597"/>
      <c r="D56" s="68"/>
      <c r="E56" s="152"/>
      <c r="F56" s="152"/>
      <c r="G56" s="152"/>
      <c r="H56" s="220"/>
      <c r="I56" s="221"/>
      <c r="J56" s="154"/>
      <c r="K56" s="154"/>
      <c r="L56" s="154"/>
      <c r="M56" s="154"/>
      <c r="N56" s="157"/>
    </row>
    <row r="57" spans="2:14" ht="14.1" hidden="1" customHeight="1" outlineLevel="1">
      <c r="B57" s="1596" t="s">
        <v>949</v>
      </c>
      <c r="C57" s="1597"/>
      <c r="D57" s="68"/>
      <c r="E57" s="152"/>
      <c r="F57" s="152"/>
      <c r="G57" s="152"/>
      <c r="H57" s="220"/>
      <c r="I57" s="221"/>
      <c r="J57" s="154"/>
      <c r="K57" s="154"/>
      <c r="L57" s="154"/>
      <c r="M57" s="154"/>
      <c r="N57" s="157"/>
    </row>
    <row r="58" spans="2:14" ht="14.1" hidden="1" customHeight="1" outlineLevel="1">
      <c r="B58" s="1596" t="s">
        <v>950</v>
      </c>
      <c r="C58" s="1597"/>
      <c r="D58" s="68"/>
      <c r="E58" s="152"/>
      <c r="F58" s="152"/>
      <c r="G58" s="152"/>
      <c r="H58" s="220"/>
      <c r="I58" s="221"/>
      <c r="J58" s="154"/>
      <c r="K58" s="154"/>
      <c r="L58" s="154"/>
      <c r="M58" s="154"/>
      <c r="N58" s="157"/>
    </row>
    <row r="59" spans="2:14" ht="14.1" hidden="1" customHeight="1" outlineLevel="1">
      <c r="B59" s="1596" t="s">
        <v>951</v>
      </c>
      <c r="C59" s="1597"/>
      <c r="D59" s="68"/>
      <c r="E59" s="152"/>
      <c r="F59" s="152"/>
      <c r="G59" s="152"/>
      <c r="H59" s="220"/>
      <c r="I59" s="221"/>
      <c r="J59" s="154"/>
      <c r="K59" s="154"/>
      <c r="L59" s="154"/>
      <c r="M59" s="154"/>
      <c r="N59" s="157"/>
    </row>
    <row r="60" spans="2:14" ht="14.1" hidden="1" customHeight="1" outlineLevel="1">
      <c r="B60" s="1596" t="s">
        <v>952</v>
      </c>
      <c r="C60" s="1597"/>
      <c r="D60" s="68"/>
      <c r="E60" s="152"/>
      <c r="F60" s="152"/>
      <c r="G60" s="152"/>
      <c r="H60" s="220"/>
      <c r="I60" s="221"/>
      <c r="J60" s="154"/>
      <c r="K60" s="154"/>
      <c r="L60" s="154"/>
      <c r="M60" s="154"/>
      <c r="N60" s="157"/>
    </row>
    <row r="61" spans="2:14" ht="14.1" hidden="1" customHeight="1" outlineLevel="1">
      <c r="B61" s="1596" t="s">
        <v>953</v>
      </c>
      <c r="C61" s="1597"/>
      <c r="D61" s="68"/>
      <c r="E61" s="152"/>
      <c r="F61" s="152"/>
      <c r="G61" s="152"/>
      <c r="H61" s="220"/>
      <c r="I61" s="221"/>
      <c r="J61" s="154"/>
      <c r="K61" s="154"/>
      <c r="L61" s="154"/>
      <c r="M61" s="154"/>
      <c r="N61" s="157"/>
    </row>
    <row r="62" spans="2:14" ht="14.1" hidden="1" customHeight="1" outlineLevel="1">
      <c r="B62" s="1596" t="s">
        <v>954</v>
      </c>
      <c r="C62" s="1597"/>
      <c r="D62" s="68"/>
      <c r="E62" s="152"/>
      <c r="F62" s="152"/>
      <c r="G62" s="152"/>
      <c r="H62" s="220"/>
      <c r="I62" s="221"/>
      <c r="J62" s="154"/>
      <c r="K62" s="154"/>
      <c r="L62" s="154"/>
      <c r="M62" s="154"/>
      <c r="N62" s="157"/>
    </row>
    <row r="63" spans="2:14" ht="14.1" hidden="1" customHeight="1" outlineLevel="1">
      <c r="B63" s="1596" t="s">
        <v>955</v>
      </c>
      <c r="C63" s="1597"/>
      <c r="D63" s="68"/>
      <c r="E63" s="152"/>
      <c r="F63" s="152"/>
      <c r="G63" s="152"/>
      <c r="H63" s="220"/>
      <c r="I63" s="221"/>
      <c r="J63" s="154"/>
      <c r="K63" s="154"/>
      <c r="L63" s="154"/>
      <c r="M63" s="154"/>
      <c r="N63" s="157"/>
    </row>
    <row r="64" spans="2:14" ht="14.1" hidden="1" customHeight="1" outlineLevel="1">
      <c r="B64" s="1596" t="s">
        <v>956</v>
      </c>
      <c r="C64" s="1597"/>
      <c r="D64" s="68"/>
      <c r="E64" s="152"/>
      <c r="F64" s="152"/>
      <c r="G64" s="152"/>
      <c r="H64" s="220"/>
      <c r="I64" s="221"/>
      <c r="J64" s="154"/>
      <c r="K64" s="154"/>
      <c r="L64" s="154"/>
      <c r="M64" s="154"/>
      <c r="N64" s="157"/>
    </row>
    <row r="65" spans="2:14" ht="14.1" hidden="1" customHeight="1" outlineLevel="1">
      <c r="B65" s="1596" t="s">
        <v>957</v>
      </c>
      <c r="C65" s="1597"/>
      <c r="D65" s="68"/>
      <c r="E65" s="152"/>
      <c r="F65" s="152"/>
      <c r="G65" s="152"/>
      <c r="H65" s="220"/>
      <c r="I65" s="221"/>
      <c r="J65" s="154"/>
      <c r="K65" s="154"/>
      <c r="L65" s="154"/>
      <c r="M65" s="154"/>
      <c r="N65" s="157"/>
    </row>
    <row r="66" spans="2:14" ht="14.1" hidden="1" customHeight="1" outlineLevel="1">
      <c r="B66" s="1596" t="s">
        <v>958</v>
      </c>
      <c r="C66" s="1597"/>
      <c r="D66" s="68"/>
      <c r="E66" s="152"/>
      <c r="F66" s="152"/>
      <c r="G66" s="152"/>
      <c r="H66" s="220"/>
      <c r="I66" s="221"/>
      <c r="J66" s="154"/>
      <c r="K66" s="154"/>
      <c r="L66" s="154"/>
      <c r="M66" s="154"/>
      <c r="N66" s="157"/>
    </row>
    <row r="67" spans="2:14" ht="14.1" hidden="1" customHeight="1" outlineLevel="1">
      <c r="B67" s="1596" t="s">
        <v>959</v>
      </c>
      <c r="C67" s="1597"/>
      <c r="D67" s="68"/>
      <c r="E67" s="152"/>
      <c r="F67" s="152"/>
      <c r="G67" s="152"/>
      <c r="H67" s="220"/>
      <c r="I67" s="221"/>
      <c r="J67" s="154"/>
      <c r="K67" s="154"/>
      <c r="L67" s="154"/>
      <c r="M67" s="154"/>
      <c r="N67" s="157"/>
    </row>
    <row r="68" spans="2:14" ht="14.1" hidden="1" customHeight="1" outlineLevel="1">
      <c r="B68" s="1596" t="s">
        <v>960</v>
      </c>
      <c r="C68" s="1597"/>
      <c r="D68" s="68"/>
      <c r="E68" s="152"/>
      <c r="F68" s="152"/>
      <c r="G68" s="152"/>
      <c r="H68" s="220"/>
      <c r="I68" s="221"/>
      <c r="J68" s="154"/>
      <c r="K68" s="154"/>
      <c r="L68" s="154"/>
      <c r="M68" s="154"/>
      <c r="N68" s="157"/>
    </row>
    <row r="69" spans="2:14" ht="14.1" hidden="1" customHeight="1" outlineLevel="1">
      <c r="B69" s="1596" t="s">
        <v>961</v>
      </c>
      <c r="C69" s="1597"/>
      <c r="D69" s="68"/>
      <c r="E69" s="152"/>
      <c r="F69" s="152"/>
      <c r="G69" s="152"/>
      <c r="H69" s="220"/>
      <c r="I69" s="221"/>
      <c r="J69" s="154"/>
      <c r="K69" s="154"/>
      <c r="L69" s="154"/>
      <c r="M69" s="154"/>
      <c r="N69" s="157"/>
    </row>
    <row r="70" spans="2:14" ht="14.1" hidden="1" customHeight="1" outlineLevel="1">
      <c r="B70" s="1596" t="s">
        <v>962</v>
      </c>
      <c r="C70" s="1597"/>
      <c r="D70" s="68"/>
      <c r="E70" s="152"/>
      <c r="F70" s="152"/>
      <c r="G70" s="152"/>
      <c r="H70" s="220"/>
      <c r="I70" s="221"/>
      <c r="J70" s="154"/>
      <c r="K70" s="154"/>
      <c r="L70" s="154"/>
      <c r="M70" s="154"/>
      <c r="N70" s="157"/>
    </row>
    <row r="71" spans="2:14" ht="14.1" hidden="1" customHeight="1" outlineLevel="1">
      <c r="B71" s="1596" t="s">
        <v>963</v>
      </c>
      <c r="C71" s="1597"/>
      <c r="D71" s="68"/>
      <c r="E71" s="152"/>
      <c r="F71" s="152"/>
      <c r="G71" s="152"/>
      <c r="H71" s="220"/>
      <c r="I71" s="221"/>
      <c r="J71" s="154"/>
      <c r="K71" s="154"/>
      <c r="L71" s="154"/>
      <c r="M71" s="154"/>
      <c r="N71" s="157"/>
    </row>
    <row r="72" spans="2:14" ht="14.1" hidden="1" customHeight="1" outlineLevel="1">
      <c r="B72" s="1596" t="s">
        <v>964</v>
      </c>
      <c r="C72" s="1597"/>
      <c r="D72" s="68"/>
      <c r="E72" s="152"/>
      <c r="F72" s="152"/>
      <c r="G72" s="152"/>
      <c r="H72" s="220"/>
      <c r="I72" s="221"/>
      <c r="J72" s="154"/>
      <c r="K72" s="154"/>
      <c r="L72" s="154"/>
      <c r="M72" s="154"/>
      <c r="N72" s="157"/>
    </row>
    <row r="73" spans="2:14" ht="14.1" hidden="1" customHeight="1" outlineLevel="1">
      <c r="B73" s="1596" t="s">
        <v>965</v>
      </c>
      <c r="C73" s="1597"/>
      <c r="D73" s="68"/>
      <c r="E73" s="152"/>
      <c r="F73" s="152"/>
      <c r="G73" s="152"/>
      <c r="H73" s="220"/>
      <c r="I73" s="221"/>
      <c r="J73" s="154"/>
      <c r="K73" s="154"/>
      <c r="L73" s="154"/>
      <c r="M73" s="154"/>
      <c r="N73" s="157"/>
    </row>
    <row r="74" spans="2:14" ht="14.1" hidden="1" customHeight="1" outlineLevel="1">
      <c r="B74" s="1596" t="s">
        <v>966</v>
      </c>
      <c r="C74" s="1597"/>
      <c r="D74" s="68"/>
      <c r="E74" s="152"/>
      <c r="F74" s="152"/>
      <c r="G74" s="152"/>
      <c r="H74" s="220"/>
      <c r="I74" s="221"/>
      <c r="J74" s="154"/>
      <c r="K74" s="154"/>
      <c r="L74" s="154"/>
      <c r="M74" s="154"/>
      <c r="N74" s="157"/>
    </row>
    <row r="75" spans="2:14" ht="14.1" hidden="1" customHeight="1" outlineLevel="1">
      <c r="B75" s="1596" t="s">
        <v>967</v>
      </c>
      <c r="C75" s="1597"/>
      <c r="D75" s="68"/>
      <c r="E75" s="152"/>
      <c r="F75" s="152"/>
      <c r="G75" s="152"/>
      <c r="H75" s="220"/>
      <c r="I75" s="221"/>
      <c r="J75" s="154"/>
      <c r="K75" s="154"/>
      <c r="L75" s="154"/>
      <c r="M75" s="154"/>
      <c r="N75" s="157"/>
    </row>
    <row r="76" spans="2:14" ht="14.1" hidden="1" customHeight="1" outlineLevel="1">
      <c r="B76" s="1596" t="s">
        <v>968</v>
      </c>
      <c r="C76" s="1597"/>
      <c r="D76" s="68"/>
      <c r="E76" s="152"/>
      <c r="F76" s="152"/>
      <c r="G76" s="152"/>
      <c r="H76" s="220"/>
      <c r="I76" s="221"/>
      <c r="J76" s="154"/>
      <c r="K76" s="154"/>
      <c r="L76" s="154"/>
      <c r="M76" s="154"/>
      <c r="N76" s="157"/>
    </row>
    <row r="77" spans="2:14" ht="14.1" hidden="1" customHeight="1" outlineLevel="1">
      <c r="B77" s="1596" t="s">
        <v>969</v>
      </c>
      <c r="C77" s="1597"/>
      <c r="D77" s="68"/>
      <c r="E77" s="152"/>
      <c r="F77" s="152"/>
      <c r="G77" s="152"/>
      <c r="H77" s="220"/>
      <c r="I77" s="221"/>
      <c r="J77" s="154"/>
      <c r="K77" s="154"/>
      <c r="L77" s="154"/>
      <c r="M77" s="154"/>
      <c r="N77" s="157"/>
    </row>
    <row r="78" spans="2:14" ht="14.1" hidden="1" customHeight="1" outlineLevel="1">
      <c r="B78" s="1596" t="s">
        <v>970</v>
      </c>
      <c r="C78" s="1597"/>
      <c r="D78" s="68"/>
      <c r="E78" s="152"/>
      <c r="F78" s="152"/>
      <c r="G78" s="152"/>
      <c r="H78" s="220"/>
      <c r="I78" s="221"/>
      <c r="J78" s="154"/>
      <c r="K78" s="154"/>
      <c r="L78" s="154"/>
      <c r="M78" s="154"/>
      <c r="N78" s="157"/>
    </row>
    <row r="79" spans="2:14" ht="14.1" hidden="1" customHeight="1" outlineLevel="1">
      <c r="B79" s="1596" t="s">
        <v>971</v>
      </c>
      <c r="C79" s="1597"/>
      <c r="D79" s="68"/>
      <c r="E79" s="152"/>
      <c r="F79" s="152"/>
      <c r="G79" s="152"/>
      <c r="H79" s="220"/>
      <c r="I79" s="221"/>
      <c r="J79" s="154"/>
      <c r="K79" s="154"/>
      <c r="L79" s="154"/>
      <c r="M79" s="154"/>
      <c r="N79" s="157"/>
    </row>
    <row r="80" spans="2:14" ht="14.1" hidden="1" customHeight="1" outlineLevel="1">
      <c r="B80" s="1596" t="s">
        <v>972</v>
      </c>
      <c r="C80" s="1597"/>
      <c r="D80" s="68"/>
      <c r="E80" s="152"/>
      <c r="F80" s="152"/>
      <c r="G80" s="152"/>
      <c r="H80" s="220"/>
      <c r="I80" s="221"/>
      <c r="J80" s="154"/>
      <c r="K80" s="154"/>
      <c r="L80" s="154"/>
      <c r="M80" s="154"/>
      <c r="N80" s="157"/>
    </row>
    <row r="81" spans="2:14" ht="14.1" hidden="1" customHeight="1" outlineLevel="1">
      <c r="B81" s="1596" t="s">
        <v>973</v>
      </c>
      <c r="C81" s="1597"/>
      <c r="D81" s="68"/>
      <c r="E81" s="152"/>
      <c r="F81" s="152"/>
      <c r="G81" s="152"/>
      <c r="H81" s="220"/>
      <c r="I81" s="221"/>
      <c r="J81" s="154"/>
      <c r="K81" s="154"/>
      <c r="L81" s="154"/>
      <c r="M81" s="154"/>
      <c r="N81" s="157"/>
    </row>
    <row r="82" spans="2:14" ht="14.1" hidden="1" customHeight="1" outlineLevel="1">
      <c r="B82" s="1596" t="s">
        <v>974</v>
      </c>
      <c r="C82" s="1597"/>
      <c r="D82" s="68"/>
      <c r="E82" s="152"/>
      <c r="F82" s="152"/>
      <c r="G82" s="152"/>
      <c r="H82" s="220"/>
      <c r="I82" s="221"/>
      <c r="J82" s="154"/>
      <c r="K82" s="154"/>
      <c r="L82" s="154"/>
      <c r="M82" s="154"/>
      <c r="N82" s="157"/>
    </row>
    <row r="83" spans="2:14" ht="14.1" hidden="1" customHeight="1" outlineLevel="1">
      <c r="B83" s="1596" t="s">
        <v>975</v>
      </c>
      <c r="C83" s="1597"/>
      <c r="D83" s="68"/>
      <c r="E83" s="152"/>
      <c r="F83" s="152"/>
      <c r="G83" s="152"/>
      <c r="H83" s="220"/>
      <c r="I83" s="221"/>
      <c r="J83" s="154"/>
      <c r="K83" s="154"/>
      <c r="L83" s="154"/>
      <c r="M83" s="154"/>
      <c r="N83" s="157"/>
    </row>
    <row r="84" spans="2:14" ht="14.1" hidden="1" customHeight="1" outlineLevel="1">
      <c r="B84" s="1596" t="s">
        <v>976</v>
      </c>
      <c r="C84" s="1597"/>
      <c r="D84" s="68"/>
      <c r="E84" s="152"/>
      <c r="F84" s="152"/>
      <c r="G84" s="152"/>
      <c r="H84" s="220"/>
      <c r="I84" s="221"/>
      <c r="J84" s="154"/>
      <c r="K84" s="154"/>
      <c r="L84" s="154"/>
      <c r="M84" s="154"/>
      <c r="N84" s="157"/>
    </row>
    <row r="85" spans="2:14" ht="14.1" hidden="1" customHeight="1" outlineLevel="1" thickBot="1">
      <c r="B85" s="1638" t="s">
        <v>977</v>
      </c>
      <c r="C85" s="1639"/>
      <c r="D85" s="219"/>
      <c r="E85" s="152"/>
      <c r="F85" s="152"/>
      <c r="G85" s="152"/>
      <c r="H85" s="220"/>
      <c r="I85" s="221"/>
      <c r="J85" s="154"/>
      <c r="K85" s="154"/>
      <c r="L85" s="154"/>
      <c r="M85" s="154"/>
      <c r="N85" s="157"/>
    </row>
    <row r="86" spans="2:14" ht="14.1" customHeight="1" thickBot="1">
      <c r="B86" s="1621" t="s">
        <v>432</v>
      </c>
      <c r="C86" s="1640"/>
      <c r="D86" s="222"/>
      <c r="E86" s="173"/>
      <c r="F86" s="173"/>
      <c r="G86" s="173"/>
      <c r="H86" s="223">
        <f>SUM(H36:H85)</f>
        <v>6072725</v>
      </c>
      <c r="I86" s="225">
        <f t="shared" ref="I86:N86" si="1">SUM(I36:I85)</f>
        <v>8.4199999999999997E-2</v>
      </c>
      <c r="J86" s="201">
        <f t="shared" si="1"/>
        <v>36211372</v>
      </c>
      <c r="K86" s="201">
        <f>SUM(K36:K85)</f>
        <v>952701</v>
      </c>
      <c r="L86" s="201">
        <f t="shared" si="1"/>
        <v>2529479</v>
      </c>
      <c r="M86" s="201">
        <f t="shared" si="1"/>
        <v>0</v>
      </c>
      <c r="N86" s="202">
        <f t="shared" si="1"/>
        <v>2529479</v>
      </c>
    </row>
    <row r="89" spans="2:14">
      <c r="B89" s="8" t="s">
        <v>1288</v>
      </c>
    </row>
    <row r="91" spans="2:14">
      <c r="B91" t="s">
        <v>3962</v>
      </c>
    </row>
    <row r="92" spans="2:14" ht="15.75" thickBot="1"/>
    <row r="93" spans="2:14">
      <c r="D93" s="195"/>
      <c r="E93" s="1605" t="s">
        <v>1289</v>
      </c>
      <c r="F93" s="1607" t="s">
        <v>1290</v>
      </c>
      <c r="G93" s="1602" t="s">
        <v>432</v>
      </c>
    </row>
    <row r="94" spans="2:14">
      <c r="D94" s="2"/>
      <c r="E94" s="1641"/>
      <c r="F94" s="1642"/>
      <c r="G94" s="1643"/>
    </row>
    <row r="95" spans="2:14" ht="54.95" customHeight="1" thickBot="1">
      <c r="D95" s="227"/>
      <c r="E95" s="1606"/>
      <c r="F95" s="1608"/>
      <c r="G95" s="1603"/>
    </row>
    <row r="96" spans="2:14">
      <c r="D96" s="228" t="s">
        <v>1257</v>
      </c>
      <c r="E96" s="53">
        <v>2774807</v>
      </c>
      <c r="F96" s="48">
        <v>2479226</v>
      </c>
      <c r="G96" s="231">
        <f>E96+F96</f>
        <v>5254033</v>
      </c>
    </row>
    <row r="97" spans="4:7">
      <c r="D97" s="229" t="s">
        <v>1291</v>
      </c>
      <c r="E97" s="54"/>
      <c r="F97" s="43"/>
      <c r="G97" s="204">
        <f t="shared" ref="G97:G103" si="2">E97+F97</f>
        <v>0</v>
      </c>
    </row>
    <row r="98" spans="4:7">
      <c r="D98" s="229" t="s">
        <v>1292</v>
      </c>
      <c r="E98" s="54"/>
      <c r="F98" s="43"/>
      <c r="G98" s="204">
        <f t="shared" si="2"/>
        <v>0</v>
      </c>
    </row>
    <row r="99" spans="4:7">
      <c r="D99" s="229" t="s">
        <v>1293</v>
      </c>
      <c r="E99" s="54">
        <v>159304</v>
      </c>
      <c r="F99" s="43">
        <v>71790</v>
      </c>
      <c r="G99" s="204">
        <f>E99+F99</f>
        <v>231094</v>
      </c>
    </row>
    <row r="100" spans="4:7">
      <c r="D100" s="229" t="s">
        <v>1294</v>
      </c>
      <c r="E100" s="54"/>
      <c r="F100" s="43"/>
      <c r="G100" s="204">
        <f t="shared" si="2"/>
        <v>0</v>
      </c>
    </row>
    <row r="101" spans="4:7">
      <c r="D101" s="229" t="s">
        <v>1235</v>
      </c>
      <c r="E101" s="54"/>
      <c r="F101" s="43"/>
      <c r="G101" s="204">
        <f t="shared" si="2"/>
        <v>0</v>
      </c>
    </row>
    <row r="102" spans="4:7">
      <c r="D102" s="229" t="s">
        <v>652</v>
      </c>
      <c r="E102" s="54"/>
      <c r="F102" s="43"/>
      <c r="G102" s="204">
        <f t="shared" si="2"/>
        <v>0</v>
      </c>
    </row>
    <row r="103" spans="4:7" ht="15.75" thickBot="1">
      <c r="D103" s="229" t="s">
        <v>604</v>
      </c>
      <c r="E103" s="189"/>
      <c r="F103" s="154">
        <v>-21537</v>
      </c>
      <c r="G103" s="205">
        <f t="shared" si="2"/>
        <v>-21537</v>
      </c>
    </row>
    <row r="104" spans="4:7" ht="15.75" thickBot="1">
      <c r="D104" s="230" t="s">
        <v>1295</v>
      </c>
      <c r="E104" s="56">
        <f>SUM(E96:E103)</f>
        <v>2934111</v>
      </c>
      <c r="F104" s="201">
        <f t="shared" ref="F104" si="3">SUM(F96:F103)</f>
        <v>2529479</v>
      </c>
      <c r="G104" s="202">
        <f>SUM(G96:G103)</f>
        <v>5463590</v>
      </c>
    </row>
    <row r="107" spans="4:7">
      <c r="E107" s="192">
        <f>+E104-N28</f>
        <v>0</v>
      </c>
      <c r="F107" s="192">
        <f>+F104-N86</f>
        <v>0</v>
      </c>
    </row>
  </sheetData>
  <mergeCells count="57">
    <mergeCell ref="C4:N4"/>
    <mergeCell ref="C6:N6"/>
    <mergeCell ref="B40:C40"/>
    <mergeCell ref="B41:C41"/>
    <mergeCell ref="B42:C42"/>
    <mergeCell ref="B43:C43"/>
    <mergeCell ref="B44:C44"/>
    <mergeCell ref="B35:C35"/>
    <mergeCell ref="B36:C36"/>
    <mergeCell ref="B37:C37"/>
    <mergeCell ref="B38:C38"/>
    <mergeCell ref="B39:C39"/>
    <mergeCell ref="B45:C45"/>
    <mergeCell ref="B46:C46"/>
    <mergeCell ref="B47:C47"/>
    <mergeCell ref="B48:C48"/>
    <mergeCell ref="B49:C49"/>
    <mergeCell ref="B50:C50"/>
    <mergeCell ref="B51:C51"/>
    <mergeCell ref="B52:C52"/>
    <mergeCell ref="B53:C53"/>
    <mergeCell ref="B54:C54"/>
    <mergeCell ref="B55:C55"/>
    <mergeCell ref="B56:C56"/>
    <mergeCell ref="B57:C57"/>
    <mergeCell ref="B58:C58"/>
    <mergeCell ref="B59:C59"/>
    <mergeCell ref="B60:C60"/>
    <mergeCell ref="B61:C61"/>
    <mergeCell ref="B62:C62"/>
    <mergeCell ref="B63:C63"/>
    <mergeCell ref="B64:C64"/>
    <mergeCell ref="B65:C65"/>
    <mergeCell ref="B66:C66"/>
    <mergeCell ref="B67:C67"/>
    <mergeCell ref="B68:C68"/>
    <mergeCell ref="B69:C69"/>
    <mergeCell ref="B80:C80"/>
    <mergeCell ref="B81:C81"/>
    <mergeCell ref="B82:C82"/>
    <mergeCell ref="B83:C83"/>
    <mergeCell ref="B84:C84"/>
    <mergeCell ref="B75:C75"/>
    <mergeCell ref="B76:C76"/>
    <mergeCell ref="B77:C77"/>
    <mergeCell ref="B78:C78"/>
    <mergeCell ref="B79:C79"/>
    <mergeCell ref="B70:C70"/>
    <mergeCell ref="B71:C71"/>
    <mergeCell ref="B72:C72"/>
    <mergeCell ref="B73:C73"/>
    <mergeCell ref="B74:C74"/>
    <mergeCell ref="B85:C85"/>
    <mergeCell ref="B86:C86"/>
    <mergeCell ref="E93:E95"/>
    <mergeCell ref="F93:F95"/>
    <mergeCell ref="G93:G95"/>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heetPr>
  <dimension ref="B1:I39"/>
  <sheetViews>
    <sheetView showGridLines="0" workbookViewId="0">
      <selection activeCell="I12" sqref="I12"/>
    </sheetView>
  </sheetViews>
  <sheetFormatPr baseColWidth="10" defaultColWidth="9.140625" defaultRowHeight="15"/>
  <cols>
    <col min="1" max="2" width="2.42578125" customWidth="1"/>
    <col min="3" max="3" width="37.42578125" customWidth="1"/>
    <col min="4" max="7" width="14.7109375" customWidth="1"/>
    <col min="8" max="8" width="12" customWidth="1"/>
    <col min="9" max="9" width="11.28515625" bestFit="1" customWidth="1"/>
  </cols>
  <sheetData>
    <row r="1" spans="2:6" ht="15" customHeight="1"/>
    <row r="2" spans="2:6" s="1" customFormat="1" ht="15" customHeight="1">
      <c r="B2" s="50" t="s">
        <v>1297</v>
      </c>
    </row>
    <row r="3" spans="2:6" ht="15" customHeight="1" thickBot="1"/>
    <row r="4" spans="2:6" ht="12.75" customHeight="1">
      <c r="B4" s="195"/>
      <c r="C4" s="195"/>
      <c r="D4" s="1652" t="s">
        <v>1233</v>
      </c>
      <c r="E4" s="1652" t="s">
        <v>1259</v>
      </c>
      <c r="F4" s="1652" t="s">
        <v>1296</v>
      </c>
    </row>
    <row r="5" spans="2:6" ht="54.95" customHeight="1" thickBot="1">
      <c r="B5" s="35"/>
      <c r="C5" s="35"/>
      <c r="D5" s="1653"/>
      <c r="E5" s="1653"/>
      <c r="F5" s="1653"/>
    </row>
    <row r="6" spans="2:6" ht="14.1" customHeight="1">
      <c r="B6" s="1566" t="s">
        <v>1257</v>
      </c>
      <c r="C6" s="1566"/>
      <c r="D6" s="53">
        <v>31499367</v>
      </c>
      <c r="E6" s="48">
        <v>1348784137</v>
      </c>
      <c r="F6" s="49">
        <v>243690240</v>
      </c>
    </row>
    <row r="7" spans="2:6" ht="14.1" customHeight="1">
      <c r="B7" s="1566" t="s">
        <v>1298</v>
      </c>
      <c r="C7" s="1566"/>
      <c r="D7" s="54">
        <v>8750969</v>
      </c>
      <c r="E7" s="43">
        <v>179331458</v>
      </c>
      <c r="F7" s="44">
        <v>5562267</v>
      </c>
    </row>
    <row r="8" spans="2:6" ht="14.1" customHeight="1">
      <c r="B8" s="1566" t="s">
        <v>1299</v>
      </c>
      <c r="C8" s="1566"/>
      <c r="D8" s="54">
        <v>-2422263</v>
      </c>
      <c r="E8" s="43">
        <v>-120401735</v>
      </c>
      <c r="F8" s="44">
        <v>-8738233</v>
      </c>
    </row>
    <row r="9" spans="2:6" ht="14.1" customHeight="1">
      <c r="B9" s="1566" t="s">
        <v>832</v>
      </c>
      <c r="C9" s="1566"/>
      <c r="D9" s="54">
        <v>0</v>
      </c>
      <c r="E9" s="43">
        <v>-33396073</v>
      </c>
      <c r="F9" s="44">
        <v>-994355</v>
      </c>
    </row>
    <row r="10" spans="2:6" ht="14.1" customHeight="1">
      <c r="B10" s="1566" t="s">
        <v>1300</v>
      </c>
      <c r="C10" s="1566"/>
      <c r="D10" s="54">
        <v>0</v>
      </c>
      <c r="E10" s="43">
        <v>13373488</v>
      </c>
      <c r="F10" s="44">
        <v>822355</v>
      </c>
    </row>
    <row r="11" spans="2:6" ht="14.1" customHeight="1">
      <c r="B11" s="1566" t="s">
        <v>1301</v>
      </c>
      <c r="C11" s="1566"/>
      <c r="D11" s="54">
        <v>0</v>
      </c>
      <c r="E11" s="43">
        <v>-9209702</v>
      </c>
      <c r="F11" s="44">
        <v>-5005</v>
      </c>
    </row>
    <row r="12" spans="2:6" ht="14.1" customHeight="1">
      <c r="B12" s="1566" t="s">
        <v>610</v>
      </c>
      <c r="C12" s="1566"/>
      <c r="D12" s="54">
        <v>121993</v>
      </c>
      <c r="E12" s="43"/>
      <c r="F12" s="44">
        <v>20364</v>
      </c>
    </row>
    <row r="13" spans="2:6" ht="14.1" customHeight="1">
      <c r="B13" s="1566" t="s">
        <v>1302</v>
      </c>
      <c r="C13" s="1566"/>
      <c r="D13" s="54">
        <v>0</v>
      </c>
      <c r="E13" s="43">
        <v>-31241</v>
      </c>
      <c r="F13" s="44">
        <v>0</v>
      </c>
    </row>
    <row r="14" spans="2:6" ht="14.1" customHeight="1">
      <c r="B14" s="1585" t="s">
        <v>1303</v>
      </c>
      <c r="C14" s="1585"/>
      <c r="D14" s="232"/>
      <c r="E14" s="233"/>
      <c r="F14" s="234"/>
    </row>
    <row r="15" spans="2:6" ht="14.1" customHeight="1">
      <c r="B15" s="4"/>
      <c r="C15" s="84" t="s">
        <v>1304</v>
      </c>
      <c r="D15" s="54">
        <v>-1172294</v>
      </c>
      <c r="E15" s="43"/>
      <c r="F15" s="44">
        <v>-55000</v>
      </c>
    </row>
    <row r="16" spans="2:6" ht="14.1" customHeight="1">
      <c r="B16" s="4"/>
      <c r="C16" s="84" t="s">
        <v>224</v>
      </c>
      <c r="D16" s="54">
        <v>0</v>
      </c>
      <c r="E16" s="43"/>
      <c r="F16" s="44">
        <v>0</v>
      </c>
    </row>
    <row r="17" spans="2:9" ht="14.1" customHeight="1">
      <c r="B17" s="1566" t="s">
        <v>407</v>
      </c>
      <c r="C17" s="1566"/>
      <c r="D17" s="54">
        <v>0</v>
      </c>
      <c r="E17" s="43">
        <v>-38394</v>
      </c>
      <c r="F17" s="44">
        <v>125</v>
      </c>
    </row>
    <row r="18" spans="2:9" ht="14.1" customHeight="1">
      <c r="B18" s="1566" t="s">
        <v>1305</v>
      </c>
      <c r="C18" s="1566"/>
      <c r="D18" s="54">
        <v>0</v>
      </c>
      <c r="E18" s="43">
        <v>0</v>
      </c>
      <c r="F18" s="44">
        <v>-26455</v>
      </c>
    </row>
    <row r="19" spans="2:9" ht="14.1" customHeight="1">
      <c r="B19" s="1566" t="s">
        <v>1306</v>
      </c>
      <c r="C19" s="1566"/>
      <c r="D19" s="54">
        <v>0</v>
      </c>
      <c r="E19" s="43">
        <v>8458478</v>
      </c>
      <c r="F19" s="44">
        <v>517002</v>
      </c>
    </row>
    <row r="20" spans="2:9" ht="14.1" customHeight="1">
      <c r="B20" s="1566" t="s">
        <v>1307</v>
      </c>
      <c r="C20" s="1566"/>
      <c r="D20" s="54">
        <v>0</v>
      </c>
      <c r="E20" s="43"/>
      <c r="F20" s="44">
        <v>0</v>
      </c>
    </row>
    <row r="21" spans="2:9" ht="14.1" customHeight="1" thickBot="1">
      <c r="B21" s="1566" t="s">
        <v>1308</v>
      </c>
      <c r="C21" s="1566"/>
      <c r="D21" s="189">
        <v>472169</v>
      </c>
      <c r="E21" s="154">
        <v>289745</v>
      </c>
      <c r="F21" s="157">
        <v>212036</v>
      </c>
      <c r="H21" s="1271" t="s">
        <v>3941</v>
      </c>
      <c r="I21" s="1274" t="s">
        <v>3942</v>
      </c>
    </row>
    <row r="22" spans="2:9" s="8" customFormat="1" ht="14.1" customHeight="1" thickBot="1">
      <c r="B22" s="1583" t="s">
        <v>1295</v>
      </c>
      <c r="C22" s="1583"/>
      <c r="D22" s="56">
        <f>D6+D7+D8+D9+D10+D11+D12+D13+D15+D16+D17+D18+D19+D20+D21-D12</f>
        <v>37127948</v>
      </c>
      <c r="E22" s="201">
        <f t="shared" ref="E22:F22" si="0">E6+E7+E8+E9+E10+E11+E12+E13+E15+E16+E17+E18+E19+E20+E21-E12</f>
        <v>1387160161</v>
      </c>
      <c r="F22" s="202">
        <f t="shared" si="0"/>
        <v>240984977</v>
      </c>
      <c r="H22" s="1272">
        <f ca="1">+Activo!Z15</f>
        <v>37127948</v>
      </c>
      <c r="I22" s="1272">
        <f ca="1">+Activo!Z17</f>
        <v>1387160161</v>
      </c>
    </row>
    <row r="23" spans="2:9">
      <c r="H23" s="1273">
        <f ca="1">+H22-D22</f>
        <v>0</v>
      </c>
      <c r="I23" s="1273">
        <f ca="1">+I22-E22</f>
        <v>0</v>
      </c>
    </row>
    <row r="25" spans="2:9">
      <c r="B25" s="8" t="s">
        <v>1309</v>
      </c>
    </row>
    <row r="27" spans="2:9" s="245" customFormat="1" ht="12.75">
      <c r="B27" s="235" t="s">
        <v>1310</v>
      </c>
    </row>
    <row r="28" spans="2:9" ht="15.75" thickBot="1"/>
    <row r="29" spans="2:9">
      <c r="C29" s="1648" t="s">
        <v>1311</v>
      </c>
    </row>
    <row r="30" spans="2:9" ht="15.75" thickBot="1">
      <c r="C30" s="1649"/>
    </row>
    <row r="31" spans="2:9">
      <c r="C31" s="236">
        <v>3696905.58</v>
      </c>
    </row>
    <row r="32" spans="2:9" ht="15.75" thickBot="1"/>
    <row r="33" spans="3:3">
      <c r="C33" s="1650" t="s">
        <v>1312</v>
      </c>
    </row>
    <row r="34" spans="3:3" ht="15.75" thickBot="1">
      <c r="C34" s="1651"/>
    </row>
    <row r="35" spans="3:3">
      <c r="C35" s="237">
        <v>0.01</v>
      </c>
    </row>
    <row r="38" spans="3:3" s="245" customFormat="1" ht="12.75">
      <c r="C38" s="245" t="s">
        <v>1313</v>
      </c>
    </row>
    <row r="39" spans="3:3" s="245" customFormat="1" ht="12.75">
      <c r="C39" s="245" t="s">
        <v>1314</v>
      </c>
    </row>
  </sheetData>
  <mergeCells count="20">
    <mergeCell ref="F4:F5"/>
    <mergeCell ref="B6:C6"/>
    <mergeCell ref="B22:C22"/>
    <mergeCell ref="B17:C17"/>
    <mergeCell ref="B18:C18"/>
    <mergeCell ref="B19:C19"/>
    <mergeCell ref="B20:C20"/>
    <mergeCell ref="B21:C21"/>
    <mergeCell ref="B7:C7"/>
    <mergeCell ref="B8:C8"/>
    <mergeCell ref="B9:C9"/>
    <mergeCell ref="B10:C10"/>
    <mergeCell ref="B11:C11"/>
    <mergeCell ref="B12:C12"/>
    <mergeCell ref="B13:C13"/>
    <mergeCell ref="B14:C14"/>
    <mergeCell ref="C29:C30"/>
    <mergeCell ref="C33:C34"/>
    <mergeCell ref="D4:D5"/>
    <mergeCell ref="E4:E5"/>
  </mergeCells>
  <hyperlinks>
    <hyperlink ref="I21" location="Activo!A1" display="#Activo!A1"/>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heetPr>
  <dimension ref="A1:V39"/>
  <sheetViews>
    <sheetView showGridLines="0" topLeftCell="J1" workbookViewId="0">
      <selection activeCell="W11" sqref="W11"/>
    </sheetView>
  </sheetViews>
  <sheetFormatPr baseColWidth="10" defaultColWidth="9.140625" defaultRowHeight="15"/>
  <cols>
    <col min="1" max="1" width="5.140625" customWidth="1"/>
    <col min="2" max="2" width="2.42578125" customWidth="1"/>
    <col min="3" max="3" width="35.7109375" customWidth="1"/>
    <col min="4" max="13" width="13.7109375" customWidth="1"/>
    <col min="14" max="14" width="15.7109375" customWidth="1"/>
    <col min="15" max="16" width="13.7109375" customWidth="1"/>
    <col min="17" max="17" width="15.7109375" customWidth="1"/>
    <col min="18" max="19" width="13.7109375" customWidth="1"/>
    <col min="20" max="20" width="15.7109375" customWidth="1"/>
    <col min="21" max="23" width="13.7109375" customWidth="1"/>
  </cols>
  <sheetData>
    <row r="1" spans="2:22" ht="15" customHeight="1"/>
    <row r="2" spans="2:22" s="1" customFormat="1" ht="15" customHeight="1">
      <c r="B2" s="50" t="s">
        <v>1315</v>
      </c>
    </row>
    <row r="3" spans="2:22" ht="12.75" customHeight="1">
      <c r="B3" s="2"/>
      <c r="C3" s="2"/>
      <c r="D3" s="4"/>
      <c r="E3" s="4"/>
      <c r="F3" s="4"/>
      <c r="G3" s="4"/>
      <c r="H3" s="4"/>
      <c r="I3" s="4"/>
      <c r="J3" s="4"/>
      <c r="K3" s="4"/>
      <c r="L3" s="4"/>
      <c r="M3" s="4"/>
      <c r="N3" s="4"/>
      <c r="O3" s="4"/>
      <c r="P3" s="4"/>
      <c r="Q3" s="4"/>
      <c r="R3" s="4"/>
      <c r="S3" s="4"/>
      <c r="T3" s="4"/>
      <c r="U3" s="4"/>
      <c r="V3" s="4"/>
    </row>
    <row r="4" spans="2:22" ht="12.75" customHeight="1" thickBot="1">
      <c r="B4" s="2"/>
      <c r="C4" s="2"/>
      <c r="D4" s="4"/>
      <c r="E4" s="4"/>
      <c r="F4" s="4"/>
      <c r="G4" s="4"/>
      <c r="H4" s="4"/>
      <c r="I4" s="4"/>
      <c r="J4" s="4"/>
      <c r="K4" s="4"/>
      <c r="L4" s="4"/>
      <c r="M4" s="4"/>
      <c r="N4" s="4"/>
      <c r="O4" s="4"/>
      <c r="P4" s="4"/>
      <c r="Q4" s="4"/>
      <c r="R4" s="4"/>
      <c r="S4" s="4"/>
      <c r="T4" s="4"/>
      <c r="U4" s="4"/>
      <c r="V4" s="4"/>
    </row>
    <row r="5" spans="2:22" s="9" customFormat="1" ht="12.75" customHeight="1" thickBot="1">
      <c r="B5" s="130"/>
      <c r="C5" s="239"/>
      <c r="D5" s="1630" t="s">
        <v>3817</v>
      </c>
      <c r="E5" s="1612"/>
      <c r="F5" s="1632"/>
      <c r="G5" s="1654" t="s">
        <v>1323</v>
      </c>
      <c r="H5" s="1607" t="s">
        <v>1324</v>
      </c>
      <c r="I5" s="1607" t="s">
        <v>1325</v>
      </c>
      <c r="J5" s="1657" t="s">
        <v>1326</v>
      </c>
      <c r="K5" s="1660" t="s">
        <v>1327</v>
      </c>
      <c r="L5" s="1661"/>
      <c r="M5" s="1661"/>
      <c r="N5" s="1661"/>
      <c r="O5" s="1661"/>
      <c r="P5" s="1661"/>
      <c r="Q5" s="1661"/>
      <c r="R5" s="1661"/>
      <c r="S5" s="1661"/>
      <c r="T5" s="1661"/>
      <c r="U5" s="1661"/>
      <c r="V5" s="1662"/>
    </row>
    <row r="6" spans="2:22" s="9" customFormat="1" ht="12.75" customHeight="1">
      <c r="B6" s="130"/>
      <c r="C6" s="130"/>
      <c r="D6" s="1663" t="s">
        <v>1320</v>
      </c>
      <c r="E6" s="1609" t="s">
        <v>1321</v>
      </c>
      <c r="F6" s="1664" t="s">
        <v>1322</v>
      </c>
      <c r="G6" s="1655"/>
      <c r="H6" s="1642"/>
      <c r="I6" s="1642"/>
      <c r="J6" s="1658"/>
      <c r="K6" s="1630" t="s">
        <v>1328</v>
      </c>
      <c r="L6" s="1612"/>
      <c r="M6" s="1612"/>
      <c r="N6" s="1632"/>
      <c r="O6" s="1630" t="s">
        <v>405</v>
      </c>
      <c r="P6" s="1612"/>
      <c r="Q6" s="1632"/>
      <c r="R6" s="1630" t="s">
        <v>1336</v>
      </c>
      <c r="S6" s="1612"/>
      <c r="T6" s="1632"/>
      <c r="U6" s="1630" t="s">
        <v>1340</v>
      </c>
      <c r="V6" s="1632"/>
    </row>
    <row r="7" spans="2:22" s="9" customFormat="1" ht="54.95" customHeight="1" thickBot="1">
      <c r="B7" s="130"/>
      <c r="C7" s="132"/>
      <c r="D7" s="1631"/>
      <c r="E7" s="1610"/>
      <c r="F7" s="1665"/>
      <c r="G7" s="1656"/>
      <c r="H7" s="1608"/>
      <c r="I7" s="1608"/>
      <c r="J7" s="1659"/>
      <c r="K7" s="180" t="s">
        <v>1329</v>
      </c>
      <c r="L7" s="139" t="s">
        <v>1330</v>
      </c>
      <c r="M7" s="139" t="s">
        <v>1331</v>
      </c>
      <c r="N7" s="179" t="s">
        <v>1332</v>
      </c>
      <c r="O7" s="180" t="s">
        <v>1333</v>
      </c>
      <c r="P7" s="139" t="s">
        <v>1334</v>
      </c>
      <c r="Q7" s="179" t="s">
        <v>1335</v>
      </c>
      <c r="R7" s="180" t="s">
        <v>1337</v>
      </c>
      <c r="S7" s="139" t="s">
        <v>1338</v>
      </c>
      <c r="T7" s="179" t="s">
        <v>1339</v>
      </c>
      <c r="U7" s="180" t="s">
        <v>1341</v>
      </c>
      <c r="V7" s="179" t="s">
        <v>1342</v>
      </c>
    </row>
    <row r="8" spans="2:22" ht="14.1" customHeight="1">
      <c r="B8" s="4"/>
      <c r="C8" s="84" t="s">
        <v>394</v>
      </c>
      <c r="D8" s="64">
        <v>75457564</v>
      </c>
      <c r="E8" s="65"/>
      <c r="F8" s="65">
        <f>+D8+E8</f>
        <v>75457564</v>
      </c>
      <c r="G8" s="65">
        <v>0</v>
      </c>
      <c r="H8" s="65">
        <f>+F8+G8</f>
        <v>75457564</v>
      </c>
      <c r="I8" s="65">
        <v>74618712</v>
      </c>
      <c r="J8" s="1221">
        <v>0.98888312899999997</v>
      </c>
      <c r="K8" s="65">
        <v>74618712</v>
      </c>
      <c r="L8" s="1217">
        <v>0.98888312899999997</v>
      </c>
      <c r="M8" s="1217">
        <v>1</v>
      </c>
      <c r="N8" s="89" t="s">
        <v>3819</v>
      </c>
      <c r="O8" s="65"/>
      <c r="P8" s="123"/>
      <c r="Q8" s="89"/>
      <c r="R8" s="65"/>
      <c r="S8" s="123"/>
      <c r="T8" s="89"/>
      <c r="U8" s="65">
        <v>838852</v>
      </c>
      <c r="V8" s="1226">
        <v>1.1116871E-2</v>
      </c>
    </row>
    <row r="9" spans="2:22" ht="14.1" customHeight="1">
      <c r="B9" s="4"/>
      <c r="C9" s="84" t="s">
        <v>1316</v>
      </c>
      <c r="D9" s="54">
        <v>262254339</v>
      </c>
      <c r="E9" s="43"/>
      <c r="F9" s="43">
        <f>+D9+E9</f>
        <v>262254339</v>
      </c>
      <c r="G9" s="43">
        <v>14892445</v>
      </c>
      <c r="H9" s="43">
        <f>+G9+F9</f>
        <v>277146784</v>
      </c>
      <c r="I9" s="43">
        <v>277146784</v>
      </c>
      <c r="J9" s="1222">
        <v>1</v>
      </c>
      <c r="K9" s="43">
        <v>277146784</v>
      </c>
      <c r="L9" s="1218">
        <v>1</v>
      </c>
      <c r="M9" s="1218">
        <v>1</v>
      </c>
      <c r="N9" s="95" t="s">
        <v>3819</v>
      </c>
      <c r="O9" s="43"/>
      <c r="P9" s="126"/>
      <c r="Q9" s="95"/>
      <c r="R9" s="43"/>
      <c r="S9" s="126"/>
      <c r="T9" s="95"/>
      <c r="U9" s="43" t="s">
        <v>3818</v>
      </c>
      <c r="V9" s="1190">
        <v>0</v>
      </c>
    </row>
    <row r="10" spans="2:22" ht="14.1" customHeight="1">
      <c r="B10" s="4"/>
      <c r="C10" s="84" t="s">
        <v>1317</v>
      </c>
      <c r="D10" s="54">
        <v>823778514</v>
      </c>
      <c r="E10" s="43"/>
      <c r="F10" s="43">
        <f>+E10+D10</f>
        <v>823778514</v>
      </c>
      <c r="G10" s="43">
        <v>53801517</v>
      </c>
      <c r="H10" s="43">
        <f t="shared" ref="H10:H14" si="0">+G10+F10</f>
        <v>877580031</v>
      </c>
      <c r="I10" s="43">
        <v>869817137</v>
      </c>
      <c r="J10" s="1222">
        <v>0.99115420399999998</v>
      </c>
      <c r="K10" s="43">
        <v>869817137</v>
      </c>
      <c r="L10" s="1218">
        <v>0.99115420399999998</v>
      </c>
      <c r="M10" s="1218">
        <v>1</v>
      </c>
      <c r="N10" s="95" t="s">
        <v>3819</v>
      </c>
      <c r="O10" s="43"/>
      <c r="P10" s="126"/>
      <c r="Q10" s="95"/>
      <c r="R10" s="43"/>
      <c r="S10" s="126"/>
      <c r="T10" s="95"/>
      <c r="U10" s="43">
        <v>7762894</v>
      </c>
      <c r="V10" s="1190">
        <v>8.8457959999999995E-3</v>
      </c>
    </row>
    <row r="11" spans="2:22" ht="14.1" customHeight="1">
      <c r="B11" s="4"/>
      <c r="C11" s="84" t="s">
        <v>901</v>
      </c>
      <c r="D11" s="54">
        <v>127603623</v>
      </c>
      <c r="E11" s="43"/>
      <c r="F11" s="43">
        <f>+E11+D11</f>
        <v>127603623</v>
      </c>
      <c r="G11" s="43">
        <v>5196497</v>
      </c>
      <c r="H11" s="43">
        <f t="shared" si="0"/>
        <v>132800120</v>
      </c>
      <c r="I11" s="43">
        <v>0</v>
      </c>
      <c r="J11" s="1222">
        <v>0</v>
      </c>
      <c r="K11" s="43" t="s">
        <v>3818</v>
      </c>
      <c r="L11" s="1218">
        <v>0</v>
      </c>
      <c r="M11" s="1218">
        <v>0</v>
      </c>
      <c r="N11" s="95"/>
      <c r="O11" s="43"/>
      <c r="P11" s="126"/>
      <c r="Q11" s="95"/>
      <c r="R11" s="43">
        <v>1458734</v>
      </c>
      <c r="S11" s="126">
        <v>1.0999999999999999E-2</v>
      </c>
      <c r="T11" s="95" t="s">
        <v>3820</v>
      </c>
      <c r="U11" s="43">
        <v>131341386</v>
      </c>
      <c r="V11" s="1190">
        <v>0.98901556700000004</v>
      </c>
    </row>
    <row r="12" spans="2:22" ht="14.1" customHeight="1">
      <c r="B12" s="4"/>
      <c r="C12" s="84" t="s">
        <v>1318</v>
      </c>
      <c r="D12" s="54"/>
      <c r="E12" s="43">
        <v>39518620</v>
      </c>
      <c r="F12" s="43">
        <f t="shared" ref="F12:F13" si="1">+E12+D12</f>
        <v>39518620</v>
      </c>
      <c r="G12" s="43">
        <v>0</v>
      </c>
      <c r="H12" s="43">
        <f t="shared" si="0"/>
        <v>39518620</v>
      </c>
      <c r="I12" s="43">
        <v>39518620</v>
      </c>
      <c r="J12" s="1222">
        <v>1</v>
      </c>
      <c r="K12" s="43">
        <v>39518620</v>
      </c>
      <c r="L12" s="1218">
        <v>1</v>
      </c>
      <c r="M12" s="1218">
        <v>1</v>
      </c>
      <c r="N12" s="95" t="s">
        <v>3819</v>
      </c>
      <c r="O12" s="43"/>
      <c r="P12" s="126"/>
      <c r="Q12" s="95"/>
      <c r="R12" s="43"/>
      <c r="S12" s="126"/>
      <c r="T12" s="95"/>
      <c r="U12" s="43" t="s">
        <v>3818</v>
      </c>
      <c r="V12" s="1190">
        <v>0</v>
      </c>
    </row>
    <row r="13" spans="2:22" ht="14.1" customHeight="1">
      <c r="B13" s="4"/>
      <c r="C13" s="84" t="s">
        <v>1319</v>
      </c>
      <c r="D13" s="54"/>
      <c r="E13" s="43">
        <v>2992394</v>
      </c>
      <c r="F13" s="43">
        <f t="shared" si="1"/>
        <v>2992394</v>
      </c>
      <c r="G13" s="43">
        <v>0</v>
      </c>
      <c r="H13" s="43">
        <f t="shared" si="0"/>
        <v>2992394</v>
      </c>
      <c r="I13" s="43">
        <v>0</v>
      </c>
      <c r="J13" s="1222">
        <v>0</v>
      </c>
      <c r="K13" s="43" t="s">
        <v>3818</v>
      </c>
      <c r="L13" s="1218">
        <v>0</v>
      </c>
      <c r="M13" s="1218">
        <v>0</v>
      </c>
      <c r="N13" s="95"/>
      <c r="O13" s="43"/>
      <c r="P13" s="126"/>
      <c r="Q13" s="95"/>
      <c r="R13" s="43"/>
      <c r="S13" s="126"/>
      <c r="T13" s="95"/>
      <c r="U13" s="43">
        <v>2992394</v>
      </c>
      <c r="V13" s="1190">
        <v>1</v>
      </c>
    </row>
    <row r="14" spans="2:22" ht="14.1" customHeight="1">
      <c r="B14" s="4"/>
      <c r="C14" s="84" t="s">
        <v>321</v>
      </c>
      <c r="D14" s="54"/>
      <c r="E14" s="43">
        <v>81196</v>
      </c>
      <c r="F14" s="43">
        <f>+E14+D14</f>
        <v>81196</v>
      </c>
      <c r="G14" s="43">
        <v>0</v>
      </c>
      <c r="H14" s="43">
        <f t="shared" si="0"/>
        <v>81196</v>
      </c>
      <c r="I14" s="43">
        <v>81196</v>
      </c>
      <c r="J14" s="1222">
        <v>1</v>
      </c>
      <c r="K14" s="43">
        <v>81196</v>
      </c>
      <c r="L14" s="1218">
        <v>1</v>
      </c>
      <c r="M14" s="1218">
        <v>1</v>
      </c>
      <c r="N14" s="95" t="s">
        <v>3819</v>
      </c>
      <c r="O14" s="43"/>
      <c r="P14" s="126"/>
      <c r="Q14" s="95"/>
      <c r="R14" s="43"/>
      <c r="S14" s="126"/>
      <c r="T14" s="95"/>
      <c r="U14" s="43" t="s">
        <v>3818</v>
      </c>
      <c r="V14" s="1190">
        <v>0</v>
      </c>
    </row>
    <row r="15" spans="2:22" ht="14.1" customHeight="1" thickBot="1">
      <c r="B15" s="4"/>
      <c r="C15" s="84" t="s">
        <v>322</v>
      </c>
      <c r="D15" s="189"/>
      <c r="E15" s="154">
        <v>0</v>
      </c>
      <c r="F15" s="154">
        <f>+E15+D15</f>
        <v>0</v>
      </c>
      <c r="G15" s="154">
        <v>109566497</v>
      </c>
      <c r="H15" s="154">
        <f>+G15+F15</f>
        <v>109566497</v>
      </c>
      <c r="I15" s="154">
        <v>109566497</v>
      </c>
      <c r="J15" s="1223">
        <v>1</v>
      </c>
      <c r="K15" s="154">
        <v>108933458</v>
      </c>
      <c r="L15" s="1224">
        <v>0.99422233299999996</v>
      </c>
      <c r="M15" s="1224">
        <v>0.99422233299999996</v>
      </c>
      <c r="N15" s="242" t="s">
        <v>3819</v>
      </c>
      <c r="O15" s="154"/>
      <c r="P15" s="241"/>
      <c r="Q15" s="242"/>
      <c r="R15" s="154">
        <v>633038.72014782368</v>
      </c>
      <c r="S15" s="126">
        <v>5.7999999999999996E-3</v>
      </c>
      <c r="T15" s="242" t="s">
        <v>3944</v>
      </c>
      <c r="U15" s="154"/>
      <c r="V15" s="1227"/>
    </row>
    <row r="16" spans="2:22" s="30" customFormat="1" ht="14.1" customHeight="1" thickBot="1">
      <c r="B16" s="238"/>
      <c r="C16" s="240" t="s">
        <v>432</v>
      </c>
      <c r="D16" s="56">
        <f>SUM(D8:D15)</f>
        <v>1289094040</v>
      </c>
      <c r="E16" s="201">
        <f t="shared" ref="E16:K16" si="2">SUM(E8:E15)</f>
        <v>42592210</v>
      </c>
      <c r="F16" s="201">
        <f t="shared" si="2"/>
        <v>1331686250</v>
      </c>
      <c r="G16" s="201">
        <f t="shared" si="2"/>
        <v>183456956</v>
      </c>
      <c r="H16" s="201">
        <f t="shared" si="2"/>
        <v>1515143206</v>
      </c>
      <c r="I16" s="201">
        <f t="shared" si="2"/>
        <v>1370748946</v>
      </c>
      <c r="J16" s="225"/>
      <c r="K16" s="201">
        <f t="shared" si="2"/>
        <v>1370115907</v>
      </c>
      <c r="L16" s="1225">
        <v>0.90439999999999998</v>
      </c>
      <c r="M16" s="1225">
        <v>0.99950000000000006</v>
      </c>
      <c r="N16" s="244"/>
      <c r="O16" s="201">
        <f t="shared" ref="O16" si="3">SUM(O8:O15)</f>
        <v>0</v>
      </c>
      <c r="P16" s="243"/>
      <c r="Q16" s="244"/>
      <c r="R16" s="201">
        <f t="shared" ref="R16" si="4">SUM(R8:R15)</f>
        <v>2091772.7201478237</v>
      </c>
      <c r="S16" s="243"/>
      <c r="T16" s="244"/>
      <c r="U16" s="201">
        <f t="shared" ref="U16" si="5">SUM(U8:U15)</f>
        <v>142935526</v>
      </c>
      <c r="V16" s="1228">
        <v>9.4200000000000006E-2</v>
      </c>
    </row>
    <row r="19" spans="1:2" s="245" customFormat="1" ht="12.75">
      <c r="B19" s="245" t="s">
        <v>1343</v>
      </c>
    </row>
    <row r="20" spans="1:2" s="245" customFormat="1" ht="12.75"/>
    <row r="21" spans="1:2" s="245" customFormat="1" ht="12.75">
      <c r="A21" s="245" t="s">
        <v>1344</v>
      </c>
      <c r="B21" s="245" t="s">
        <v>1345</v>
      </c>
    </row>
    <row r="22" spans="1:2" s="245" customFormat="1" ht="12.75">
      <c r="A22" s="245" t="s">
        <v>1346</v>
      </c>
      <c r="B22" s="245" t="s">
        <v>1347</v>
      </c>
    </row>
    <row r="23" spans="1:2" s="245" customFormat="1" ht="12.75">
      <c r="B23" s="245" t="s">
        <v>1348</v>
      </c>
    </row>
    <row r="24" spans="1:2" s="245" customFormat="1" ht="12.75">
      <c r="A24" s="245" t="s">
        <v>1349</v>
      </c>
      <c r="B24" s="245" t="s">
        <v>1350</v>
      </c>
    </row>
    <row r="25" spans="1:2" s="245" customFormat="1" ht="12.75">
      <c r="A25" s="245" t="s">
        <v>1351</v>
      </c>
      <c r="B25" s="245" t="s">
        <v>1352</v>
      </c>
    </row>
    <row r="26" spans="1:2" s="245" customFormat="1" ht="12.75">
      <c r="A26" s="245" t="s">
        <v>1353</v>
      </c>
      <c r="B26" s="245" t="s">
        <v>1354</v>
      </c>
    </row>
    <row r="27" spans="1:2" s="245" customFormat="1" ht="12.75">
      <c r="A27" s="245" t="s">
        <v>1355</v>
      </c>
      <c r="B27" s="245" t="s">
        <v>1356</v>
      </c>
    </row>
    <row r="28" spans="1:2" s="245" customFormat="1" ht="12.75">
      <c r="A28" s="245" t="s">
        <v>1357</v>
      </c>
      <c r="B28" s="245" t="s">
        <v>1358</v>
      </c>
    </row>
    <row r="29" spans="1:2" s="245" customFormat="1" ht="12.75">
      <c r="A29" s="245" t="s">
        <v>1359</v>
      </c>
      <c r="B29" s="245" t="s">
        <v>1360</v>
      </c>
    </row>
    <row r="30" spans="1:2" s="245" customFormat="1" ht="12.75">
      <c r="A30" s="245" t="s">
        <v>1361</v>
      </c>
      <c r="B30" s="245" t="s">
        <v>1362</v>
      </c>
    </row>
    <row r="31" spans="1:2" s="245" customFormat="1" ht="12.75">
      <c r="A31" s="245" t="s">
        <v>1363</v>
      </c>
      <c r="B31" s="245" t="s">
        <v>1364</v>
      </c>
    </row>
    <row r="32" spans="1:2" s="245" customFormat="1" ht="12.75">
      <c r="A32" s="245" t="s">
        <v>1365</v>
      </c>
      <c r="B32" s="245" t="s">
        <v>1366</v>
      </c>
    </row>
    <row r="33" spans="1:2" s="245" customFormat="1" ht="12.75">
      <c r="A33" s="245" t="s">
        <v>1367</v>
      </c>
      <c r="B33" s="245" t="s">
        <v>1368</v>
      </c>
    </row>
    <row r="34" spans="1:2" s="245" customFormat="1" ht="12.75">
      <c r="A34" s="245" t="s">
        <v>1369</v>
      </c>
      <c r="B34" s="245" t="s">
        <v>1370</v>
      </c>
    </row>
    <row r="35" spans="1:2" s="245" customFormat="1" ht="12.75">
      <c r="B35" s="245" t="s">
        <v>1371</v>
      </c>
    </row>
    <row r="36" spans="1:2" s="245" customFormat="1" ht="12.75">
      <c r="A36" s="245" t="s">
        <v>1372</v>
      </c>
      <c r="B36" s="245" t="s">
        <v>1373</v>
      </c>
    </row>
    <row r="37" spans="1:2" s="245" customFormat="1" ht="12.75">
      <c r="A37" s="245" t="s">
        <v>1374</v>
      </c>
      <c r="B37" s="245" t="s">
        <v>1375</v>
      </c>
    </row>
    <row r="38" spans="1:2" s="245" customFormat="1" ht="12.75">
      <c r="A38" s="245" t="s">
        <v>1376</v>
      </c>
      <c r="B38" s="245" t="s">
        <v>1377</v>
      </c>
    </row>
    <row r="39" spans="1:2" s="245" customFormat="1" ht="12.75">
      <c r="A39" s="245" t="s">
        <v>1378</v>
      </c>
      <c r="B39" s="245" t="s">
        <v>1379</v>
      </c>
    </row>
  </sheetData>
  <mergeCells count="13">
    <mergeCell ref="U6:V6"/>
    <mergeCell ref="D5:F5"/>
    <mergeCell ref="G5:G7"/>
    <mergeCell ref="H5:H7"/>
    <mergeCell ref="I5:I7"/>
    <mergeCell ref="J5:J7"/>
    <mergeCell ref="K5:V5"/>
    <mergeCell ref="D6:D7"/>
    <mergeCell ref="E6:E7"/>
    <mergeCell ref="F6:F7"/>
    <mergeCell ref="K6:N6"/>
    <mergeCell ref="O6:Q6"/>
    <mergeCell ref="R6:T6"/>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heetPr>
  <dimension ref="B1:L59"/>
  <sheetViews>
    <sheetView showGridLines="0" zoomScaleNormal="100" workbookViewId="0">
      <selection activeCell="B44" sqref="B44"/>
    </sheetView>
  </sheetViews>
  <sheetFormatPr baseColWidth="10" defaultColWidth="9.140625" defaultRowHeight="15"/>
  <cols>
    <col min="1" max="3" width="2.42578125" customWidth="1"/>
    <col min="4" max="4" width="50.28515625" customWidth="1"/>
    <col min="5" max="13" width="14.7109375" customWidth="1"/>
  </cols>
  <sheetData>
    <row r="1" spans="2:8" ht="15" customHeight="1"/>
    <row r="2" spans="2:8" s="246" customFormat="1" ht="15" customHeight="1">
      <c r="B2" s="254" t="s">
        <v>1382</v>
      </c>
    </row>
    <row r="3" spans="2:8" ht="15" customHeight="1"/>
    <row r="4" spans="2:8" ht="12.75" customHeight="1" thickBot="1">
      <c r="B4" s="2"/>
      <c r="C4" s="2"/>
      <c r="D4" s="2"/>
      <c r="E4" s="4"/>
      <c r="F4" s="4"/>
      <c r="G4" s="4"/>
      <c r="H4" s="4"/>
    </row>
    <row r="5" spans="2:8" ht="12.75" customHeight="1">
      <c r="B5" s="2"/>
      <c r="C5" s="2"/>
      <c r="D5" s="195"/>
      <c r="E5" s="1652" t="s">
        <v>1380</v>
      </c>
      <c r="F5" s="1652" t="s">
        <v>1381</v>
      </c>
      <c r="G5" s="1652" t="s">
        <v>604</v>
      </c>
      <c r="H5" s="1652" t="s">
        <v>432</v>
      </c>
    </row>
    <row r="6" spans="2:8" ht="54.95" customHeight="1" thickBot="1">
      <c r="B6" s="2"/>
      <c r="C6" s="2"/>
      <c r="D6" s="35"/>
      <c r="E6" s="1653"/>
      <c r="F6" s="1653"/>
      <c r="G6" s="1653"/>
      <c r="H6" s="1653"/>
    </row>
    <row r="7" spans="2:8" ht="12.95" customHeight="1">
      <c r="B7" s="4"/>
      <c r="C7" s="4"/>
      <c r="D7" s="4" t="s">
        <v>3777</v>
      </c>
      <c r="E7" s="53">
        <v>40272216</v>
      </c>
      <c r="F7" s="48">
        <v>112279461</v>
      </c>
      <c r="G7" s="48"/>
      <c r="H7" s="231">
        <f>E7+F7+G7</f>
        <v>152551677</v>
      </c>
    </row>
    <row r="8" spans="2:8" ht="12.95" customHeight="1">
      <c r="B8" s="4"/>
      <c r="C8" s="4"/>
      <c r="D8" s="84" t="s">
        <v>1383</v>
      </c>
      <c r="E8" s="54"/>
      <c r="F8" s="43">
        <v>279863</v>
      </c>
      <c r="G8" s="43"/>
      <c r="H8" s="204">
        <f t="shared" ref="H8:H18" si="0">E8+F8+G8</f>
        <v>279863</v>
      </c>
    </row>
    <row r="9" spans="2:8" ht="12.95" customHeight="1">
      <c r="B9" s="4"/>
      <c r="C9" s="4"/>
      <c r="D9" s="84" t="s">
        <v>1384</v>
      </c>
      <c r="E9" s="54"/>
      <c r="F9" s="43"/>
      <c r="G9" s="43"/>
      <c r="H9" s="204">
        <f t="shared" si="0"/>
        <v>0</v>
      </c>
    </row>
    <row r="10" spans="2:8" ht="12.95" customHeight="1">
      <c r="B10" s="4"/>
      <c r="C10" s="4"/>
      <c r="D10" s="84" t="s">
        <v>1385</v>
      </c>
      <c r="E10" s="54"/>
      <c r="F10" s="43">
        <v>437235</v>
      </c>
      <c r="G10" s="43"/>
      <c r="H10" s="204">
        <f t="shared" si="0"/>
        <v>437235</v>
      </c>
    </row>
    <row r="11" spans="2:8" ht="12.95" customHeight="1">
      <c r="B11" s="4"/>
      <c r="C11" s="4"/>
      <c r="D11" s="84" t="s">
        <v>1386</v>
      </c>
      <c r="E11" s="54">
        <v>281906</v>
      </c>
      <c r="F11" s="43">
        <v>791305</v>
      </c>
      <c r="G11" s="43"/>
      <c r="H11" s="204">
        <f t="shared" si="0"/>
        <v>1073211</v>
      </c>
    </row>
    <row r="12" spans="2:8" ht="12.95" customHeight="1" thickBot="1">
      <c r="B12" s="4"/>
      <c r="C12" s="4"/>
      <c r="D12" s="84" t="s">
        <v>604</v>
      </c>
      <c r="E12" s="189"/>
      <c r="F12" s="154"/>
      <c r="G12" s="154"/>
      <c r="H12" s="205">
        <f t="shared" si="0"/>
        <v>0</v>
      </c>
    </row>
    <row r="13" spans="2:8" ht="12.95" customHeight="1" thickBot="1">
      <c r="B13" s="4"/>
      <c r="C13" s="4"/>
      <c r="D13" s="110" t="s">
        <v>408</v>
      </c>
      <c r="E13" s="56">
        <f>E7+E8-E9-E10+E11+E12</f>
        <v>40554122</v>
      </c>
      <c r="F13" s="56">
        <f>F7+F8-F9-F10+F11+F12</f>
        <v>112913394</v>
      </c>
      <c r="G13" s="56">
        <f t="shared" ref="G13:H13" si="1">G7+G8-G9-G10+G11+G12</f>
        <v>0</v>
      </c>
      <c r="H13" s="56">
        <f t="shared" si="1"/>
        <v>153467516</v>
      </c>
    </row>
    <row r="14" spans="2:8" ht="12.95" customHeight="1">
      <c r="B14" s="4"/>
      <c r="C14" s="4"/>
      <c r="D14" s="84" t="s">
        <v>1387</v>
      </c>
      <c r="E14" s="255">
        <v>43567212</v>
      </c>
      <c r="F14" s="169">
        <v>121302636</v>
      </c>
      <c r="G14" s="169"/>
      <c r="H14" s="256">
        <f t="shared" si="0"/>
        <v>164869848</v>
      </c>
    </row>
    <row r="15" spans="2:8" ht="12.95" customHeight="1" thickBot="1">
      <c r="B15" s="4"/>
      <c r="C15" s="4"/>
      <c r="D15" s="84" t="s">
        <v>1388</v>
      </c>
      <c r="E15" s="189"/>
      <c r="F15" s="154">
        <v>137672</v>
      </c>
      <c r="G15" s="154"/>
      <c r="H15" s="205">
        <f t="shared" si="0"/>
        <v>137672</v>
      </c>
    </row>
    <row r="16" spans="2:8" ht="12.95" customHeight="1" thickBot="1">
      <c r="B16" s="4"/>
      <c r="C16" s="4"/>
      <c r="D16" s="110" t="s">
        <v>1389</v>
      </c>
      <c r="E16" s="56">
        <f>+E13-E15</f>
        <v>40554122</v>
      </c>
      <c r="F16" s="201">
        <f t="shared" ref="F16:H16" si="2">+F13-F15</f>
        <v>112775722</v>
      </c>
      <c r="G16" s="201">
        <f t="shared" si="2"/>
        <v>0</v>
      </c>
      <c r="H16" s="202">
        <f t="shared" si="2"/>
        <v>153329844</v>
      </c>
    </row>
    <row r="17" spans="2:12" ht="12.95" customHeight="1">
      <c r="B17" s="4"/>
      <c r="C17" s="4"/>
      <c r="D17" s="84" t="s">
        <v>1390</v>
      </c>
      <c r="E17" s="255">
        <v>40554122</v>
      </c>
      <c r="F17" s="169">
        <v>112775722</v>
      </c>
      <c r="G17" s="169"/>
      <c r="H17" s="256">
        <f t="shared" si="0"/>
        <v>153329844</v>
      </c>
    </row>
    <row r="18" spans="2:12" ht="12.95" customHeight="1" thickBot="1">
      <c r="B18" s="4"/>
      <c r="C18" s="4"/>
      <c r="D18" s="84" t="s">
        <v>1391</v>
      </c>
      <c r="E18" s="189"/>
      <c r="F18" s="154"/>
      <c r="G18" s="154"/>
      <c r="H18" s="205">
        <f t="shared" si="0"/>
        <v>0</v>
      </c>
    </row>
    <row r="19" spans="2:12" ht="12.95" customHeight="1" thickBot="1">
      <c r="B19" s="4"/>
      <c r="C19" s="4"/>
      <c r="D19" s="110" t="s">
        <v>1389</v>
      </c>
      <c r="E19" s="56">
        <f>SUM(E17:E18)</f>
        <v>40554122</v>
      </c>
      <c r="F19" s="201">
        <f t="shared" ref="F19:H19" si="3">SUM(F17:F18)</f>
        <v>112775722</v>
      </c>
      <c r="G19" s="201">
        <f t="shared" si="3"/>
        <v>0</v>
      </c>
      <c r="H19" s="202">
        <f t="shared" si="3"/>
        <v>153329844</v>
      </c>
    </row>
    <row r="20" spans="2:12">
      <c r="D20" s="498" t="s">
        <v>1769</v>
      </c>
      <c r="E20" s="499">
        <f>E16</f>
        <v>40554122</v>
      </c>
      <c r="F20" s="499">
        <f t="shared" ref="F20:H20" si="4">F16</f>
        <v>112775722</v>
      </c>
      <c r="G20" s="499">
        <f t="shared" si="4"/>
        <v>0</v>
      </c>
      <c r="H20" s="499">
        <f t="shared" si="4"/>
        <v>153329844</v>
      </c>
    </row>
    <row r="21" spans="2:12">
      <c r="D21" s="498" t="s">
        <v>1389</v>
      </c>
      <c r="E21" s="499">
        <f>E19</f>
        <v>40554122</v>
      </c>
      <c r="F21" s="499">
        <f t="shared" ref="F21:H21" si="5">F19</f>
        <v>112775722</v>
      </c>
      <c r="G21" s="499">
        <f t="shared" si="5"/>
        <v>0</v>
      </c>
      <c r="H21" s="499">
        <f t="shared" si="5"/>
        <v>153329844</v>
      </c>
    </row>
    <row r="22" spans="2:12">
      <c r="D22" s="498"/>
      <c r="E22" s="696" t="str">
        <f>IF(E20-E21=0,"OK","ERROR")</f>
        <v>OK</v>
      </c>
      <c r="F22" s="696" t="str">
        <f t="shared" ref="F22:H22" si="6">IF(F20-F21=0,"OK","ERROR")</f>
        <v>OK</v>
      </c>
      <c r="G22" s="696" t="str">
        <f t="shared" si="6"/>
        <v>OK</v>
      </c>
      <c r="H22" s="696" t="str">
        <f t="shared" si="6"/>
        <v>OK</v>
      </c>
    </row>
    <row r="23" spans="2:12">
      <c r="G23" s="741"/>
      <c r="H23" s="742"/>
    </row>
    <row r="24" spans="2:12">
      <c r="B24" s="254" t="s">
        <v>1392</v>
      </c>
      <c r="G24" s="146"/>
      <c r="H24" s="183"/>
    </row>
    <row r="25" spans="2:12" ht="15.75" thickBot="1"/>
    <row r="26" spans="2:12" s="9" customFormat="1" ht="12" customHeight="1">
      <c r="B26" s="130"/>
      <c r="C26" s="130"/>
      <c r="D26" s="239"/>
      <c r="E26" s="1630" t="s">
        <v>1400</v>
      </c>
      <c r="F26" s="1612"/>
      <c r="G26" s="1612"/>
      <c r="H26" s="1612"/>
      <c r="I26" s="1632"/>
      <c r="J26" s="1654" t="s">
        <v>1397</v>
      </c>
      <c r="K26" s="1607" t="s">
        <v>1398</v>
      </c>
      <c r="L26" s="1602" t="s">
        <v>1399</v>
      </c>
    </row>
    <row r="27" spans="2:12" s="9" customFormat="1" ht="54.95" customHeight="1" thickBot="1">
      <c r="B27" s="130"/>
      <c r="C27" s="130"/>
      <c r="D27" s="132"/>
      <c r="E27" s="180" t="s">
        <v>1394</v>
      </c>
      <c r="F27" s="139" t="s">
        <v>1395</v>
      </c>
      <c r="G27" s="139" t="s">
        <v>1396</v>
      </c>
      <c r="H27" s="139" t="s">
        <v>1235</v>
      </c>
      <c r="I27" s="179" t="s">
        <v>1393</v>
      </c>
      <c r="J27" s="1656"/>
      <c r="K27" s="1608"/>
      <c r="L27" s="1603"/>
    </row>
    <row r="28" spans="2:12">
      <c r="B28" s="4"/>
      <c r="C28" s="4"/>
      <c r="D28" s="82" t="s">
        <v>1401</v>
      </c>
      <c r="E28" s="64">
        <v>0</v>
      </c>
      <c r="F28" s="65">
        <v>0</v>
      </c>
      <c r="G28" s="65">
        <v>0</v>
      </c>
      <c r="H28" s="65">
        <v>0</v>
      </c>
      <c r="I28" s="65">
        <v>0</v>
      </c>
      <c r="J28" s="65">
        <v>0</v>
      </c>
      <c r="K28" s="65">
        <v>0</v>
      </c>
      <c r="L28" s="66">
        <v>0</v>
      </c>
    </row>
    <row r="29" spans="2:12">
      <c r="B29" s="4"/>
      <c r="C29" s="4"/>
      <c r="D29" s="257" t="s">
        <v>1402</v>
      </c>
      <c r="E29" s="54">
        <v>204019</v>
      </c>
      <c r="F29" s="43">
        <v>10086</v>
      </c>
      <c r="G29" s="43">
        <v>204902</v>
      </c>
      <c r="H29" s="43">
        <v>0</v>
      </c>
      <c r="I29" s="43">
        <v>204902</v>
      </c>
      <c r="J29" s="43">
        <v>2121288</v>
      </c>
      <c r="K29" s="43">
        <v>2984398</v>
      </c>
      <c r="L29" s="44">
        <v>204902</v>
      </c>
    </row>
    <row r="30" spans="2:12" ht="15.75" thickBot="1">
      <c r="B30" s="4"/>
      <c r="C30" s="4"/>
      <c r="D30" s="82" t="s">
        <v>1403</v>
      </c>
      <c r="E30" s="189">
        <v>139372537</v>
      </c>
      <c r="F30" s="154">
        <v>78396406</v>
      </c>
      <c r="G30" s="154">
        <v>139686798</v>
      </c>
      <c r="H30" s="154">
        <v>16860</v>
      </c>
      <c r="I30" s="154">
        <v>139669938</v>
      </c>
      <c r="J30" s="154">
        <v>162338446</v>
      </c>
      <c r="K30" s="154">
        <v>231209390</v>
      </c>
      <c r="L30" s="157">
        <v>137620965</v>
      </c>
    </row>
    <row r="31" spans="2:12" s="192" customFormat="1" ht="15.75" thickBot="1">
      <c r="B31" s="260"/>
      <c r="C31" s="260"/>
      <c r="D31" s="261" t="s">
        <v>769</v>
      </c>
      <c r="E31" s="56">
        <f>SUM(E28:E30)</f>
        <v>139576556</v>
      </c>
      <c r="F31" s="201">
        <f t="shared" ref="F31:L31" si="7">SUM(F28:F30)</f>
        <v>78406492</v>
      </c>
      <c r="G31" s="201">
        <f t="shared" si="7"/>
        <v>139891700</v>
      </c>
      <c r="H31" s="201">
        <f t="shared" si="7"/>
        <v>16860</v>
      </c>
      <c r="I31" s="201">
        <f t="shared" si="7"/>
        <v>139874840</v>
      </c>
      <c r="J31" s="201">
        <f t="shared" si="7"/>
        <v>164459734</v>
      </c>
      <c r="K31" s="201">
        <f t="shared" si="7"/>
        <v>234193788</v>
      </c>
      <c r="L31" s="202">
        <f t="shared" si="7"/>
        <v>137825867</v>
      </c>
    </row>
    <row r="33" spans="2:8">
      <c r="D33" s="245" t="s">
        <v>1404</v>
      </c>
    </row>
    <row r="34" spans="2:8">
      <c r="D34" s="245" t="s">
        <v>1405</v>
      </c>
    </row>
    <row r="35" spans="2:8">
      <c r="D35" s="245" t="s">
        <v>1406</v>
      </c>
    </row>
    <row r="36" spans="2:8">
      <c r="D36" s="245" t="s">
        <v>1407</v>
      </c>
    </row>
    <row r="37" spans="2:8">
      <c r="D37" s="245" t="s">
        <v>1408</v>
      </c>
    </row>
    <row r="38" spans="2:8">
      <c r="D38" s="245" t="s">
        <v>1409</v>
      </c>
    </row>
    <row r="39" spans="2:8">
      <c r="D39" s="245" t="s">
        <v>1410</v>
      </c>
    </row>
    <row r="40" spans="2:8">
      <c r="D40" s="253" t="s">
        <v>1411</v>
      </c>
    </row>
    <row r="41" spans="2:8">
      <c r="D41" s="252" t="s">
        <v>1412</v>
      </c>
    </row>
    <row r="42" spans="2:8">
      <c r="D42" s="258" t="s">
        <v>1413</v>
      </c>
    </row>
    <row r="44" spans="2:8">
      <c r="B44" s="259" t="s">
        <v>1414</v>
      </c>
    </row>
    <row r="45" spans="2:8" ht="15.75" thickBot="1"/>
    <row r="46" spans="2:8">
      <c r="D46" s="195"/>
      <c r="E46" s="1652" t="s">
        <v>1380</v>
      </c>
      <c r="F46" s="1652" t="s">
        <v>1381</v>
      </c>
      <c r="G46" s="1652" t="s">
        <v>604</v>
      </c>
      <c r="H46" s="1652" t="s">
        <v>432</v>
      </c>
    </row>
    <row r="47" spans="2:8" ht="54.95" customHeight="1" thickBot="1">
      <c r="D47" s="35"/>
      <c r="E47" s="1653"/>
      <c r="F47" s="1653"/>
      <c r="G47" s="1653"/>
      <c r="H47" s="1653"/>
    </row>
    <row r="48" spans="2:8">
      <c r="D48" s="12" t="s">
        <v>3777</v>
      </c>
      <c r="E48" s="53">
        <v>0</v>
      </c>
      <c r="F48" s="48">
        <v>0</v>
      </c>
      <c r="G48" s="48">
        <v>0</v>
      </c>
      <c r="H48" s="231">
        <f>E48+F48+G48</f>
        <v>0</v>
      </c>
    </row>
    <row r="49" spans="4:8">
      <c r="D49" s="82" t="s">
        <v>1383</v>
      </c>
      <c r="E49" s="54"/>
      <c r="F49" s="43"/>
      <c r="G49" s="43"/>
      <c r="H49" s="204">
        <f t="shared" ref="H49:H53" si="8">E49+F49+G49</f>
        <v>0</v>
      </c>
    </row>
    <row r="50" spans="4:8">
      <c r="D50" s="82" t="s">
        <v>1384</v>
      </c>
      <c r="E50" s="54"/>
      <c r="F50" s="43"/>
      <c r="G50" s="43"/>
      <c r="H50" s="204">
        <f t="shared" si="8"/>
        <v>0</v>
      </c>
    </row>
    <row r="51" spans="4:8">
      <c r="D51" s="82" t="s">
        <v>1385</v>
      </c>
      <c r="E51" s="54"/>
      <c r="F51" s="43"/>
      <c r="G51" s="43"/>
      <c r="H51" s="204">
        <f t="shared" si="8"/>
        <v>0</v>
      </c>
    </row>
    <row r="52" spans="4:8">
      <c r="D52" s="82" t="s">
        <v>1386</v>
      </c>
      <c r="E52" s="54"/>
      <c r="F52" s="43"/>
      <c r="G52" s="43"/>
      <c r="H52" s="204">
        <f t="shared" si="8"/>
        <v>0</v>
      </c>
    </row>
    <row r="53" spans="4:8" ht="15.75" thickBot="1">
      <c r="D53" s="82" t="s">
        <v>604</v>
      </c>
      <c r="E53" s="189"/>
      <c r="F53" s="154"/>
      <c r="G53" s="154"/>
      <c r="H53" s="205">
        <f t="shared" si="8"/>
        <v>0</v>
      </c>
    </row>
    <row r="54" spans="4:8" ht="15.75" thickBot="1">
      <c r="D54" s="145" t="s">
        <v>410</v>
      </c>
      <c r="E54" s="56">
        <f>E48+E49-E50-E51+E52+E53</f>
        <v>0</v>
      </c>
      <c r="F54" s="201">
        <v>0</v>
      </c>
      <c r="G54" s="201">
        <v>0</v>
      </c>
      <c r="H54" s="202">
        <v>0</v>
      </c>
    </row>
    <row r="55" spans="4:8">
      <c r="D55" s="82" t="s">
        <v>1387</v>
      </c>
      <c r="E55" s="255"/>
      <c r="F55" s="169"/>
      <c r="G55" s="169"/>
      <c r="H55" s="256">
        <f t="shared" ref="H55:H56" si="9">E55+F55+G55</f>
        <v>0</v>
      </c>
    </row>
    <row r="56" spans="4:8" ht="15.75" thickBot="1">
      <c r="D56" s="82" t="s">
        <v>1388</v>
      </c>
      <c r="E56" s="189"/>
      <c r="F56" s="154"/>
      <c r="G56" s="154"/>
      <c r="H56" s="205">
        <f t="shared" si="9"/>
        <v>0</v>
      </c>
    </row>
    <row r="57" spans="4:8" ht="15.75" thickBot="1">
      <c r="D57" s="145" t="s">
        <v>1389</v>
      </c>
      <c r="E57" s="56">
        <f>+E54-E56</f>
        <v>0</v>
      </c>
      <c r="F57" s="201">
        <f t="shared" ref="F57" si="10">+F54-F56</f>
        <v>0</v>
      </c>
      <c r="G57" s="201">
        <f t="shared" ref="G57" si="11">+G54-G56</f>
        <v>0</v>
      </c>
      <c r="H57" s="202">
        <f t="shared" ref="H57" si="12">+H54-H56</f>
        <v>0</v>
      </c>
    </row>
    <row r="59" spans="4:8">
      <c r="D59" s="262" t="s">
        <v>1415</v>
      </c>
    </row>
  </sheetData>
  <mergeCells count="12">
    <mergeCell ref="J26:J27"/>
    <mergeCell ref="K26:K27"/>
    <mergeCell ref="L26:L27"/>
    <mergeCell ref="H5:H6"/>
    <mergeCell ref="E5:E6"/>
    <mergeCell ref="F5:F6"/>
    <mergeCell ref="G5:G6"/>
    <mergeCell ref="E46:E47"/>
    <mergeCell ref="F46:F47"/>
    <mergeCell ref="G46:G47"/>
    <mergeCell ref="H46:H47"/>
    <mergeCell ref="E26:I26"/>
  </mergeCells>
  <conditionalFormatting sqref="H24">
    <cfRule type="cellIs" dxfId="38" priority="5" operator="equal">
      <formula>"OK"</formula>
    </cfRule>
    <cfRule type="cellIs" dxfId="37" priority="6" operator="equal">
      <formula>"ERROR"</formula>
    </cfRule>
  </conditionalFormatting>
  <conditionalFormatting sqref="E22:H22">
    <cfRule type="cellIs" dxfId="36" priority="1" operator="equal">
      <formula>"OK"</formula>
    </cfRule>
    <cfRule type="cellIs" dxfId="35" priority="2" operator="equal">
      <formula>"ERROR"</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heetPr>
  <dimension ref="B1:E11"/>
  <sheetViews>
    <sheetView showGridLines="0" workbookViewId="0">
      <selection activeCell="B12" sqref="B12"/>
    </sheetView>
  </sheetViews>
  <sheetFormatPr baseColWidth="10" defaultRowHeight="15"/>
  <cols>
    <col min="1" max="1" width="2.42578125" style="263" customWidth="1"/>
    <col min="2" max="2" width="42.7109375" style="263" customWidth="1"/>
    <col min="3" max="6" width="14.7109375" style="263" customWidth="1"/>
    <col min="7" max="10" width="10" style="263" customWidth="1"/>
    <col min="11" max="16384" width="11.42578125" style="263"/>
  </cols>
  <sheetData>
    <row r="1" spans="2:5" ht="15" customHeight="1">
      <c r="B1" s="264"/>
      <c r="C1" s="1666"/>
      <c r="D1" s="1666"/>
      <c r="E1" s="1666"/>
    </row>
    <row r="2" spans="2:5" ht="12.75" customHeight="1">
      <c r="B2" s="264"/>
      <c r="C2" s="1666"/>
      <c r="D2" s="1666"/>
      <c r="E2" s="1666"/>
    </row>
    <row r="3" spans="2:5" ht="12.75" customHeight="1" thickBot="1">
      <c r="B3" s="264"/>
      <c r="C3" s="1666"/>
      <c r="D3" s="1666"/>
      <c r="E3" s="1666"/>
    </row>
    <row r="4" spans="2:5" s="265" customFormat="1" ht="54.95" customHeight="1" thickBot="1">
      <c r="B4" s="266"/>
      <c r="C4" s="267" t="s">
        <v>1416</v>
      </c>
      <c r="D4" s="267" t="s">
        <v>1417</v>
      </c>
      <c r="E4" s="267" t="s">
        <v>1418</v>
      </c>
    </row>
    <row r="5" spans="2:5" s="265" customFormat="1" ht="14.1" customHeight="1">
      <c r="B5" s="275"/>
      <c r="C5" s="269"/>
      <c r="D5" s="270"/>
      <c r="E5" s="271"/>
    </row>
    <row r="6" spans="2:5" s="265" customFormat="1" ht="14.1" customHeight="1">
      <c r="B6" s="276"/>
      <c r="C6" s="272"/>
      <c r="D6" s="273"/>
      <c r="E6" s="274"/>
    </row>
    <row r="7" spans="2:5" s="265" customFormat="1" ht="14.1" customHeight="1" thickBot="1">
      <c r="B7" s="277"/>
      <c r="C7" s="278"/>
      <c r="D7" s="279"/>
      <c r="E7" s="280"/>
    </row>
    <row r="8" spans="2:5" ht="14.1" customHeight="1" thickBot="1">
      <c r="B8" s="268" t="s">
        <v>690</v>
      </c>
      <c r="C8" s="281">
        <f>'2. Estado de situación'!I24</f>
        <v>0</v>
      </c>
      <c r="D8" s="281">
        <f t="shared" ref="D8:E8" si="0">SUM(D5:D7)</f>
        <v>0</v>
      </c>
      <c r="E8" s="281">
        <f t="shared" si="0"/>
        <v>0</v>
      </c>
    </row>
    <row r="9" spans="2:5" ht="12" customHeight="1"/>
    <row r="11" spans="2:5">
      <c r="B11" s="1204" t="s">
        <v>3778</v>
      </c>
    </row>
  </sheetData>
  <mergeCells count="3">
    <mergeCell ref="C1:E1"/>
    <mergeCell ref="C2:E2"/>
    <mergeCell ref="C3:E3"/>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B1:K25"/>
  <sheetViews>
    <sheetView showGridLines="0" workbookViewId="0">
      <selection activeCell="G24" sqref="G24"/>
    </sheetView>
  </sheetViews>
  <sheetFormatPr baseColWidth="10" defaultColWidth="9.140625" defaultRowHeight="15"/>
  <cols>
    <col min="1" max="2" width="2.42578125" customWidth="1"/>
    <col min="3" max="3" width="37.140625" customWidth="1"/>
    <col min="4" max="7" width="14.7109375" customWidth="1"/>
    <col min="8" max="8" width="37.140625" customWidth="1"/>
    <col min="9" max="12" width="14.7109375" customWidth="1"/>
  </cols>
  <sheetData>
    <row r="1" spans="2:11" ht="15" customHeight="1"/>
    <row r="2" spans="2:11" s="246" customFormat="1" ht="15" customHeight="1">
      <c r="B2" s="282" t="s">
        <v>1421</v>
      </c>
    </row>
    <row r="3" spans="2:11" ht="15" customHeight="1" thickBot="1">
      <c r="H3" s="1667" t="s">
        <v>836</v>
      </c>
      <c r="I3" s="1667"/>
      <c r="J3" s="1667"/>
      <c r="K3" s="1667"/>
    </row>
    <row r="4" spans="2:11" ht="12.75" customHeight="1">
      <c r="B4" s="108"/>
      <c r="C4" s="283"/>
      <c r="D4" s="1607" t="s">
        <v>1419</v>
      </c>
      <c r="E4" s="1607" t="s">
        <v>1420</v>
      </c>
      <c r="F4" s="1602" t="s">
        <v>432</v>
      </c>
      <c r="H4" s="283"/>
      <c r="I4" s="1607" t="s">
        <v>1419</v>
      </c>
      <c r="J4" s="1607" t="s">
        <v>1420</v>
      </c>
      <c r="K4" s="1602" t="s">
        <v>432</v>
      </c>
    </row>
    <row r="5" spans="2:11" ht="54.95" customHeight="1" thickBot="1">
      <c r="B5" s="108"/>
      <c r="C5" s="109"/>
      <c r="D5" s="1608"/>
      <c r="E5" s="1608"/>
      <c r="F5" s="1603"/>
      <c r="H5" s="109"/>
      <c r="I5" s="1608"/>
      <c r="J5" s="1608"/>
      <c r="K5" s="1603"/>
    </row>
    <row r="6" spans="2:11" ht="15" customHeight="1">
      <c r="B6" s="4"/>
      <c r="C6" s="82" t="s">
        <v>413</v>
      </c>
      <c r="D6" s="285"/>
      <c r="E6" s="122">
        <v>56657384</v>
      </c>
      <c r="F6" s="286">
        <f>D6+E6</f>
        <v>56657384</v>
      </c>
      <c r="H6" s="789" t="s">
        <v>413</v>
      </c>
      <c r="I6" s="285"/>
      <c r="J6" s="122"/>
      <c r="K6" s="286">
        <f>I6+J6</f>
        <v>0</v>
      </c>
    </row>
    <row r="7" spans="2:11" ht="14.1" customHeight="1">
      <c r="B7" s="4"/>
      <c r="C7" s="82" t="s">
        <v>412</v>
      </c>
      <c r="D7" s="287"/>
      <c r="E7" s="125"/>
      <c r="F7" s="288">
        <f t="shared" ref="F7:F11" si="0">D7+E7</f>
        <v>0</v>
      </c>
      <c r="H7" s="789" t="s">
        <v>412</v>
      </c>
      <c r="I7" s="287"/>
      <c r="J7" s="125"/>
      <c r="K7" s="288">
        <f t="shared" ref="K7:K8" si="1">I7+J7</f>
        <v>0</v>
      </c>
    </row>
    <row r="8" spans="2:11" ht="14.1" customHeight="1" thickBot="1">
      <c r="B8" s="4"/>
      <c r="C8" s="82" t="s">
        <v>1235</v>
      </c>
      <c r="D8" s="289"/>
      <c r="E8" s="290">
        <v>9509325</v>
      </c>
      <c r="F8" s="291">
        <f t="shared" si="0"/>
        <v>9509325</v>
      </c>
      <c r="H8" s="789" t="s">
        <v>1235</v>
      </c>
      <c r="I8" s="289"/>
      <c r="J8" s="290"/>
      <c r="K8" s="291">
        <f t="shared" si="1"/>
        <v>0</v>
      </c>
    </row>
    <row r="9" spans="2:11" ht="14.1" customHeight="1" thickBot="1">
      <c r="B9" s="147"/>
      <c r="C9" s="145" t="s">
        <v>1422</v>
      </c>
      <c r="D9" s="295">
        <f>D6+D7-D8</f>
        <v>0</v>
      </c>
      <c r="E9" s="296">
        <f t="shared" ref="E9" si="2">E6+E7-E8</f>
        <v>47148059</v>
      </c>
      <c r="F9" s="297">
        <f>+SUM(D9:E9)</f>
        <v>47148059</v>
      </c>
      <c r="H9" s="793" t="s">
        <v>1422</v>
      </c>
      <c r="I9" s="295">
        <f>I6+I7-I8</f>
        <v>0</v>
      </c>
      <c r="J9" s="296">
        <f t="shared" ref="J9" si="3">J6+J7-J8</f>
        <v>0</v>
      </c>
      <c r="K9" s="297">
        <f>'2. Estado de situación'!N27</f>
        <v>0</v>
      </c>
    </row>
    <row r="10" spans="2:11" ht="14.1" customHeight="1">
      <c r="B10" s="4"/>
      <c r="C10" s="82" t="s">
        <v>1423</v>
      </c>
      <c r="D10" s="292"/>
      <c r="E10" s="293"/>
      <c r="F10" s="294">
        <f t="shared" si="0"/>
        <v>0</v>
      </c>
      <c r="H10" s="789" t="s">
        <v>1423</v>
      </c>
      <c r="I10" s="292"/>
      <c r="J10" s="293"/>
      <c r="K10" s="294">
        <f t="shared" ref="K10:K11" si="4">I10+J10</f>
        <v>0</v>
      </c>
    </row>
    <row r="11" spans="2:11" ht="14.1" customHeight="1">
      <c r="B11" s="4"/>
      <c r="C11" s="82" t="s">
        <v>1424</v>
      </c>
      <c r="D11" s="287"/>
      <c r="E11" s="125"/>
      <c r="F11" s="288">
        <f t="shared" si="0"/>
        <v>0</v>
      </c>
      <c r="H11" s="789" t="s">
        <v>1424</v>
      </c>
      <c r="I11" s="287"/>
      <c r="J11" s="125"/>
      <c r="K11" s="288">
        <f t="shared" si="4"/>
        <v>0</v>
      </c>
    </row>
    <row r="12" spans="2:11" ht="14.1" customHeight="1">
      <c r="B12" s="4"/>
      <c r="C12" s="82"/>
      <c r="D12" s="188"/>
      <c r="E12" s="188"/>
      <c r="F12" s="284"/>
    </row>
    <row r="14" spans="2:11">
      <c r="B14" s="282" t="s">
        <v>1462</v>
      </c>
    </row>
    <row r="15" spans="2:11" s="146" customFormat="1" ht="14.1" customHeight="1" thickBot="1">
      <c r="C15" s="2"/>
      <c r="D15" s="4"/>
      <c r="E15" s="4"/>
      <c r="F15" s="4"/>
    </row>
    <row r="16" spans="2:11" s="146" customFormat="1" ht="14.1" customHeight="1">
      <c r="C16" s="195"/>
      <c r="D16" s="1607" t="s">
        <v>1463</v>
      </c>
      <c r="E16" s="1607" t="s">
        <v>1464</v>
      </c>
      <c r="F16" s="1602" t="s">
        <v>432</v>
      </c>
    </row>
    <row r="17" spans="3:6" ht="54.95" customHeight="1" thickBot="1">
      <c r="C17" s="35"/>
      <c r="D17" s="1608"/>
      <c r="E17" s="1608"/>
      <c r="F17" s="1603"/>
    </row>
    <row r="18" spans="3:6" ht="15" customHeight="1" thickBot="1">
      <c r="C18" s="208" t="s">
        <v>1257</v>
      </c>
      <c r="D18" s="308">
        <v>9503799</v>
      </c>
      <c r="E18" s="309"/>
      <c r="F18" s="286">
        <f>D18+E18</f>
        <v>9503799</v>
      </c>
    </row>
    <row r="19" spans="3:6" ht="15" customHeight="1" thickBot="1">
      <c r="C19" s="203" t="s">
        <v>1465</v>
      </c>
      <c r="D19" s="134">
        <f>D20-D21-D22+D23</f>
        <v>5526</v>
      </c>
      <c r="E19" s="134">
        <f t="shared" ref="E19:F19" si="5">E20-E21-E22+E23</f>
        <v>0</v>
      </c>
      <c r="F19" s="134">
        <f t="shared" si="5"/>
        <v>5526</v>
      </c>
    </row>
    <row r="20" spans="3:6" ht="15" customHeight="1" thickBot="1">
      <c r="C20" s="84" t="s">
        <v>1243</v>
      </c>
      <c r="D20" s="255">
        <v>-72313</v>
      </c>
      <c r="E20" s="169"/>
      <c r="F20" s="286">
        <f t="shared" ref="F20:F23" si="6">D20+E20</f>
        <v>-72313</v>
      </c>
    </row>
    <row r="21" spans="3:6" ht="15" customHeight="1" thickBot="1">
      <c r="C21" s="84" t="s">
        <v>418</v>
      </c>
      <c r="D21" s="54">
        <v>-40514</v>
      </c>
      <c r="E21" s="43"/>
      <c r="F21" s="286">
        <f t="shared" si="6"/>
        <v>-40514</v>
      </c>
    </row>
    <row r="22" spans="3:6" ht="15" customHeight="1" thickBot="1">
      <c r="C22" s="84" t="s">
        <v>1466</v>
      </c>
      <c r="D22" s="54"/>
      <c r="E22" s="43"/>
      <c r="F22" s="286">
        <f t="shared" si="6"/>
        <v>0</v>
      </c>
    </row>
    <row r="23" spans="3:6" ht="15" customHeight="1" thickBot="1">
      <c r="C23" s="84" t="s">
        <v>1245</v>
      </c>
      <c r="D23" s="189">
        <v>37325</v>
      </c>
      <c r="E23" s="154"/>
      <c r="F23" s="286">
        <f t="shared" si="6"/>
        <v>37325</v>
      </c>
    </row>
    <row r="24" spans="3:6" ht="15" customHeight="1" thickBot="1">
      <c r="C24" s="212" t="s">
        <v>432</v>
      </c>
      <c r="D24" s="56">
        <f>D18+D19</f>
        <v>9509325</v>
      </c>
      <c r="E24" s="201">
        <f t="shared" ref="E24:F24" si="7">E18+E19</f>
        <v>0</v>
      </c>
      <c r="F24" s="202">
        <f t="shared" si="7"/>
        <v>9509325</v>
      </c>
    </row>
    <row r="25" spans="3:6">
      <c r="D25" s="192"/>
    </row>
  </sheetData>
  <mergeCells count="10">
    <mergeCell ref="D16:D17"/>
    <mergeCell ref="E16:E17"/>
    <mergeCell ref="F4:F5"/>
    <mergeCell ref="E4:E5"/>
    <mergeCell ref="D4:D5"/>
    <mergeCell ref="I4:I5"/>
    <mergeCell ref="J4:J5"/>
    <mergeCell ref="K4:K5"/>
    <mergeCell ref="H3:K3"/>
    <mergeCell ref="F16:F17"/>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B1:N46"/>
  <sheetViews>
    <sheetView showGridLines="0" topLeftCell="A16" zoomScaleNormal="100" workbookViewId="0">
      <selection activeCell="F43" sqref="F43"/>
    </sheetView>
  </sheetViews>
  <sheetFormatPr baseColWidth="10" defaultColWidth="9.140625" defaultRowHeight="15" outlineLevelRow="1"/>
  <cols>
    <col min="1" max="4" width="2.42578125" customWidth="1"/>
    <col min="5" max="5" width="37.28515625" customWidth="1"/>
    <col min="6" max="15" width="14.7109375" customWidth="1"/>
  </cols>
  <sheetData>
    <row r="1" spans="2:14" ht="15" customHeight="1"/>
    <row r="2" spans="2:14" s="1" customFormat="1" ht="15" customHeight="1">
      <c r="B2" s="298" t="s">
        <v>1427</v>
      </c>
    </row>
    <row r="3" spans="2:14" ht="15" customHeight="1"/>
    <row r="4" spans="2:14" ht="12.75" customHeight="1" thickBot="1">
      <c r="B4" s="2"/>
      <c r="C4" s="2"/>
      <c r="D4" s="2"/>
      <c r="E4" s="2"/>
      <c r="F4" s="4"/>
      <c r="G4" s="4"/>
      <c r="H4" s="4"/>
      <c r="I4" s="4"/>
      <c r="J4" s="4"/>
      <c r="K4" s="4"/>
      <c r="L4" s="4"/>
      <c r="M4" s="4"/>
      <c r="N4" s="4"/>
    </row>
    <row r="5" spans="2:14" ht="12.75" customHeight="1" thickBot="1">
      <c r="B5" s="1670"/>
      <c r="C5" s="1670"/>
      <c r="D5" s="1670"/>
      <c r="E5" s="1671"/>
      <c r="F5" s="1619" t="s">
        <v>1425</v>
      </c>
      <c r="G5" s="1619" t="s">
        <v>1426</v>
      </c>
      <c r="H5" s="1619" t="s">
        <v>1451</v>
      </c>
      <c r="I5" s="1619"/>
      <c r="J5" s="1619"/>
      <c r="K5" s="1619"/>
      <c r="L5" s="1619"/>
      <c r="M5" s="1619" t="s">
        <v>1458</v>
      </c>
      <c r="N5" s="1619" t="s">
        <v>688</v>
      </c>
    </row>
    <row r="6" spans="2:14" ht="12.75" customHeight="1" thickBot="1">
      <c r="B6" s="1672"/>
      <c r="C6" s="1672"/>
      <c r="D6" s="1672"/>
      <c r="E6" s="1673"/>
      <c r="F6" s="1619"/>
      <c r="G6" s="1619"/>
      <c r="H6" s="1619" t="s">
        <v>1452</v>
      </c>
      <c r="I6" s="1619"/>
      <c r="J6" s="1619"/>
      <c r="K6" s="1619"/>
      <c r="L6" s="1619" t="s">
        <v>1457</v>
      </c>
      <c r="M6" s="1619"/>
      <c r="N6" s="1619"/>
    </row>
    <row r="7" spans="2:14" ht="54.95" customHeight="1" thickBot="1">
      <c r="B7" s="1674"/>
      <c r="C7" s="1674"/>
      <c r="D7" s="1674"/>
      <c r="E7" s="1675"/>
      <c r="F7" s="1619"/>
      <c r="G7" s="1619"/>
      <c r="H7" s="416" t="s">
        <v>1453</v>
      </c>
      <c r="I7" s="416" t="s">
        <v>1454</v>
      </c>
      <c r="J7" s="416" t="s">
        <v>1455</v>
      </c>
      <c r="K7" s="416" t="s">
        <v>1456</v>
      </c>
      <c r="L7" s="1619"/>
      <c r="M7" s="1619"/>
      <c r="N7" s="1619"/>
    </row>
    <row r="8" spans="2:14" s="197" customFormat="1" ht="14.1" customHeight="1">
      <c r="B8" s="1668" t="s">
        <v>1428</v>
      </c>
      <c r="C8" s="1668"/>
      <c r="D8" s="1668"/>
      <c r="E8" s="1668"/>
      <c r="F8" s="300"/>
      <c r="G8" s="301"/>
      <c r="H8" s="301"/>
      <c r="I8" s="301"/>
      <c r="J8" s="301"/>
      <c r="K8" s="301"/>
      <c r="L8" s="301"/>
      <c r="M8" s="301"/>
      <c r="N8" s="302"/>
    </row>
    <row r="9" spans="2:14" s="197" customFormat="1" ht="14.1" customHeight="1">
      <c r="B9" s="198"/>
      <c r="C9" s="1668" t="s">
        <v>1459</v>
      </c>
      <c r="D9" s="1668"/>
      <c r="E9" s="1668"/>
      <c r="F9" s="303"/>
      <c r="G9" s="304"/>
      <c r="H9" s="304"/>
      <c r="I9" s="304"/>
      <c r="J9" s="304"/>
      <c r="K9" s="304"/>
      <c r="L9" s="304"/>
      <c r="M9" s="304"/>
      <c r="N9" s="305"/>
    </row>
    <row r="10" spans="2:14" s="197" customFormat="1" ht="14.1" customHeight="1">
      <c r="B10" s="198"/>
      <c r="C10" s="198"/>
      <c r="D10" s="1668" t="s">
        <v>1429</v>
      </c>
      <c r="E10" s="1668"/>
      <c r="F10" s="61">
        <f>SUM(F11:F15)</f>
        <v>0</v>
      </c>
      <c r="G10" s="60">
        <f t="shared" ref="G10:N10" si="0">SUM(G11:G15)</f>
        <v>31410635</v>
      </c>
      <c r="H10" s="60">
        <f t="shared" si="0"/>
        <v>602643</v>
      </c>
      <c r="I10" s="60">
        <f t="shared" si="0"/>
        <v>3734274</v>
      </c>
      <c r="J10" s="60">
        <f t="shared" si="0"/>
        <v>5709819</v>
      </c>
      <c r="K10" s="60">
        <f t="shared" si="0"/>
        <v>5525570</v>
      </c>
      <c r="L10" s="60">
        <f t="shared" si="0"/>
        <v>9595149</v>
      </c>
      <c r="M10" s="60">
        <f t="shared" si="0"/>
        <v>0</v>
      </c>
      <c r="N10" s="62">
        <f t="shared" si="0"/>
        <v>79294</v>
      </c>
    </row>
    <row r="11" spans="2:14" ht="14.1" customHeight="1" outlineLevel="1">
      <c r="B11" s="4"/>
      <c r="C11" s="4"/>
      <c r="D11" s="4"/>
      <c r="E11" s="84" t="s">
        <v>414</v>
      </c>
      <c r="F11" s="54"/>
      <c r="G11" s="43"/>
      <c r="H11" s="43">
        <v>141647</v>
      </c>
      <c r="I11" s="43">
        <v>682082</v>
      </c>
      <c r="J11" s="43">
        <v>887447</v>
      </c>
      <c r="K11" s="43">
        <v>831160</v>
      </c>
      <c r="L11" s="43"/>
      <c r="M11" s="43"/>
      <c r="N11" s="44"/>
    </row>
    <row r="12" spans="2:14" ht="14.1" customHeight="1" outlineLevel="1">
      <c r="B12" s="4"/>
      <c r="C12" s="4"/>
      <c r="D12" s="4"/>
      <c r="E12" s="84" t="s">
        <v>1430</v>
      </c>
      <c r="F12" s="54"/>
      <c r="G12" s="43"/>
      <c r="H12" s="43">
        <v>78220</v>
      </c>
      <c r="I12" s="43">
        <v>375062</v>
      </c>
      <c r="J12" s="43">
        <v>448939</v>
      </c>
      <c r="K12" s="43">
        <v>618392</v>
      </c>
      <c r="L12" s="43"/>
      <c r="M12" s="43"/>
      <c r="N12" s="44"/>
    </row>
    <row r="13" spans="2:14" ht="14.1" customHeight="1" outlineLevel="1">
      <c r="B13" s="4"/>
      <c r="C13" s="4"/>
      <c r="D13" s="4"/>
      <c r="E13" s="84" t="s">
        <v>1431</v>
      </c>
      <c r="F13" s="54"/>
      <c r="G13" s="43"/>
      <c r="H13" s="43">
        <v>96701</v>
      </c>
      <c r="I13" s="43">
        <v>447281</v>
      </c>
      <c r="J13" s="43">
        <v>517045</v>
      </c>
      <c r="K13" s="43">
        <v>454187</v>
      </c>
      <c r="L13" s="43"/>
      <c r="M13" s="43"/>
      <c r="N13" s="44"/>
    </row>
    <row r="14" spans="2:14" ht="14.1" customHeight="1" outlineLevel="1">
      <c r="B14" s="4"/>
      <c r="C14" s="4"/>
      <c r="D14" s="4"/>
      <c r="E14" s="84" t="s">
        <v>1432</v>
      </c>
      <c r="F14" s="54"/>
      <c r="G14" s="43">
        <v>15659792</v>
      </c>
      <c r="H14" s="43">
        <v>114424</v>
      </c>
      <c r="I14" s="43">
        <v>515148</v>
      </c>
      <c r="J14" s="43">
        <v>667799</v>
      </c>
      <c r="K14" s="43">
        <v>509821</v>
      </c>
      <c r="L14" s="43"/>
      <c r="M14" s="43"/>
      <c r="N14" s="44"/>
    </row>
    <row r="15" spans="2:14" ht="14.1" customHeight="1" outlineLevel="1">
      <c r="B15" s="4"/>
      <c r="C15" s="4"/>
      <c r="D15" s="4"/>
      <c r="E15" s="84" t="s">
        <v>1433</v>
      </c>
      <c r="F15" s="54"/>
      <c r="G15" s="43">
        <v>15750843</v>
      </c>
      <c r="H15" s="43">
        <v>171651</v>
      </c>
      <c r="I15" s="43">
        <v>1714701</v>
      </c>
      <c r="J15" s="43">
        <v>3188589</v>
      </c>
      <c r="K15" s="43">
        <v>3112010</v>
      </c>
      <c r="L15" s="43">
        <v>9595149</v>
      </c>
      <c r="M15" s="43"/>
      <c r="N15" s="44">
        <v>79294</v>
      </c>
    </row>
    <row r="16" spans="2:14" s="197" customFormat="1" ht="14.1" customHeight="1">
      <c r="B16" s="198"/>
      <c r="C16" s="198"/>
      <c r="D16" s="1668" t="s">
        <v>1434</v>
      </c>
      <c r="E16" s="1668"/>
      <c r="F16" s="61">
        <f>SUM(F17:F18)</f>
        <v>0</v>
      </c>
      <c r="G16" s="60">
        <f t="shared" ref="G16:N16" si="1">SUM(G17:G18)</f>
        <v>0</v>
      </c>
      <c r="H16" s="60">
        <f t="shared" si="1"/>
        <v>430992</v>
      </c>
      <c r="I16" s="60">
        <f t="shared" si="1"/>
        <v>2019572</v>
      </c>
      <c r="J16" s="60">
        <f t="shared" si="1"/>
        <v>2521230</v>
      </c>
      <c r="K16" s="60">
        <f t="shared" si="1"/>
        <v>2413561</v>
      </c>
      <c r="L16" s="60">
        <f t="shared" si="1"/>
        <v>2123970</v>
      </c>
      <c r="M16" s="60">
        <f t="shared" si="1"/>
        <v>0</v>
      </c>
      <c r="N16" s="62">
        <f t="shared" si="1"/>
        <v>0</v>
      </c>
    </row>
    <row r="17" spans="2:14" ht="14.1" customHeight="1" outlineLevel="1">
      <c r="B17" s="4"/>
      <c r="C17" s="4"/>
      <c r="D17" s="4"/>
      <c r="E17" s="84" t="s">
        <v>415</v>
      </c>
      <c r="F17" s="54"/>
      <c r="G17" s="43"/>
      <c r="H17" s="43">
        <v>430992</v>
      </c>
      <c r="I17" s="43">
        <v>2019572</v>
      </c>
      <c r="J17" s="43">
        <v>2521230</v>
      </c>
      <c r="K17" s="43">
        <v>2413561</v>
      </c>
      <c r="L17" s="43">
        <v>2123970</v>
      </c>
      <c r="M17" s="43"/>
      <c r="N17" s="44"/>
    </row>
    <row r="18" spans="2:14" ht="14.1" customHeight="1" outlineLevel="1">
      <c r="B18" s="4"/>
      <c r="C18" s="4"/>
      <c r="D18" s="4"/>
      <c r="E18" s="84" t="s">
        <v>416</v>
      </c>
      <c r="F18" s="54"/>
      <c r="G18" s="43"/>
      <c r="H18" s="43"/>
      <c r="I18" s="43"/>
      <c r="J18" s="43"/>
      <c r="K18" s="43"/>
      <c r="L18" s="43"/>
      <c r="M18" s="43"/>
      <c r="N18" s="44"/>
    </row>
    <row r="19" spans="2:14" ht="14.1" customHeight="1">
      <c r="B19" s="4"/>
      <c r="C19" s="4"/>
      <c r="D19" s="1566" t="s">
        <v>1435</v>
      </c>
      <c r="E19" s="1566"/>
      <c r="F19" s="54"/>
      <c r="G19" s="43"/>
      <c r="H19" s="43"/>
      <c r="I19" s="43"/>
      <c r="J19" s="43"/>
      <c r="K19" s="43"/>
      <c r="L19" s="43"/>
      <c r="M19" s="43"/>
      <c r="N19" s="44"/>
    </row>
    <row r="20" spans="2:14" s="197" customFormat="1" ht="14.1" customHeight="1">
      <c r="B20" s="198"/>
      <c r="C20" s="198"/>
      <c r="D20" s="1668" t="s">
        <v>1436</v>
      </c>
      <c r="E20" s="1668"/>
      <c r="F20" s="61">
        <f>F10-F16-F19</f>
        <v>0</v>
      </c>
      <c r="G20" s="60">
        <f t="shared" ref="G20:N20" si="2">G10-G16-G19</f>
        <v>31410635</v>
      </c>
      <c r="H20" s="60">
        <f>H10-H16-H19</f>
        <v>171651</v>
      </c>
      <c r="I20" s="60">
        <f t="shared" si="2"/>
        <v>1714702</v>
      </c>
      <c r="J20" s="60">
        <f t="shared" si="2"/>
        <v>3188589</v>
      </c>
      <c r="K20" s="60">
        <f t="shared" si="2"/>
        <v>3112009</v>
      </c>
      <c r="L20" s="60">
        <f t="shared" si="2"/>
        <v>7471179</v>
      </c>
      <c r="M20" s="60">
        <f t="shared" si="2"/>
        <v>0</v>
      </c>
      <c r="N20" s="62">
        <f t="shared" si="2"/>
        <v>79294</v>
      </c>
    </row>
    <row r="21" spans="2:14" s="197" customFormat="1" ht="14.1" customHeight="1">
      <c r="B21" s="198"/>
      <c r="C21" s="198"/>
      <c r="D21" s="1668" t="s">
        <v>1437</v>
      </c>
      <c r="E21" s="1668"/>
      <c r="F21" s="61">
        <f>SUM(F22:F25)</f>
        <v>0</v>
      </c>
      <c r="G21" s="60">
        <f t="shared" ref="G21:N21" si="3">SUM(G22:G25)</f>
        <v>0</v>
      </c>
      <c r="H21" s="60">
        <f t="shared" si="3"/>
        <v>0</v>
      </c>
      <c r="I21" s="60">
        <f t="shared" si="3"/>
        <v>0</v>
      </c>
      <c r="J21" s="60">
        <f t="shared" si="3"/>
        <v>0</v>
      </c>
      <c r="K21" s="60">
        <f t="shared" si="3"/>
        <v>0</v>
      </c>
      <c r="L21" s="60">
        <f t="shared" si="3"/>
        <v>0</v>
      </c>
      <c r="M21" s="60">
        <f t="shared" si="3"/>
        <v>0</v>
      </c>
      <c r="N21" s="62">
        <f t="shared" si="3"/>
        <v>0</v>
      </c>
    </row>
    <row r="22" spans="2:14" ht="14.1" customHeight="1" outlineLevel="1">
      <c r="B22" s="4"/>
      <c r="C22" s="4"/>
      <c r="D22" s="4"/>
      <c r="E22" s="84" t="s">
        <v>1438</v>
      </c>
      <c r="F22" s="54"/>
      <c r="G22" s="43"/>
      <c r="H22" s="43"/>
      <c r="I22" s="43"/>
      <c r="J22" s="43"/>
      <c r="K22" s="43"/>
      <c r="L22" s="43"/>
      <c r="M22" s="43"/>
      <c r="N22" s="44"/>
    </row>
    <row r="23" spans="2:14" ht="14.1" customHeight="1" outlineLevel="1">
      <c r="B23" s="4"/>
      <c r="C23" s="4"/>
      <c r="D23" s="4"/>
      <c r="E23" s="84" t="s">
        <v>1439</v>
      </c>
      <c r="F23" s="54"/>
      <c r="G23" s="43"/>
      <c r="H23" s="43"/>
      <c r="I23" s="43"/>
      <c r="J23" s="43"/>
      <c r="K23" s="43"/>
      <c r="L23" s="43"/>
      <c r="M23" s="43"/>
      <c r="N23" s="44"/>
    </row>
    <row r="24" spans="2:14" ht="14.1" customHeight="1" outlineLevel="1">
      <c r="B24" s="4"/>
      <c r="C24" s="4"/>
      <c r="D24" s="4"/>
      <c r="E24" s="84" t="s">
        <v>1440</v>
      </c>
      <c r="F24" s="54"/>
      <c r="G24" s="43"/>
      <c r="H24" s="43"/>
      <c r="I24" s="43"/>
      <c r="J24" s="43"/>
      <c r="K24" s="43"/>
      <c r="L24" s="43"/>
      <c r="M24" s="43"/>
      <c r="N24" s="44"/>
    </row>
    <row r="25" spans="2:14" ht="14.1" customHeight="1" outlineLevel="1">
      <c r="B25" s="4"/>
      <c r="C25" s="4"/>
      <c r="D25" s="4"/>
      <c r="E25" s="84" t="s">
        <v>417</v>
      </c>
      <c r="F25" s="54"/>
      <c r="G25" s="43"/>
      <c r="H25" s="43"/>
      <c r="I25" s="43"/>
      <c r="J25" s="43"/>
      <c r="K25" s="43"/>
      <c r="L25" s="43"/>
      <c r="M25" s="43"/>
      <c r="N25" s="44"/>
    </row>
    <row r="26" spans="2:14" s="197" customFormat="1" ht="14.1" customHeight="1">
      <c r="B26" s="198"/>
      <c r="C26" s="198"/>
      <c r="D26" s="1668" t="s">
        <v>1441</v>
      </c>
      <c r="E26" s="1668"/>
      <c r="F26" s="61">
        <f>SUM(F27:F28)</f>
        <v>0</v>
      </c>
      <c r="G26" s="60">
        <f t="shared" ref="G26:N26" si="4">SUM(G27:G28)</f>
        <v>0</v>
      </c>
      <c r="H26" s="60">
        <f t="shared" si="4"/>
        <v>0</v>
      </c>
      <c r="I26" s="60">
        <f t="shared" si="4"/>
        <v>0</v>
      </c>
      <c r="J26" s="60">
        <f t="shared" si="4"/>
        <v>0</v>
      </c>
      <c r="K26" s="60">
        <f t="shared" si="4"/>
        <v>0</v>
      </c>
      <c r="L26" s="60">
        <f t="shared" si="4"/>
        <v>0</v>
      </c>
      <c r="M26" s="60">
        <f t="shared" si="4"/>
        <v>0</v>
      </c>
      <c r="N26" s="62">
        <f t="shared" si="4"/>
        <v>0</v>
      </c>
    </row>
    <row r="27" spans="2:14" ht="14.1" customHeight="1" outlineLevel="1">
      <c r="B27" s="4"/>
      <c r="C27" s="4"/>
      <c r="D27" s="4"/>
      <c r="E27" s="84" t="s">
        <v>415</v>
      </c>
      <c r="F27" s="54"/>
      <c r="G27" s="43"/>
      <c r="H27" s="43"/>
      <c r="I27" s="43"/>
      <c r="J27" s="43"/>
      <c r="K27" s="43"/>
      <c r="L27" s="43"/>
      <c r="M27" s="43"/>
      <c r="N27" s="44"/>
    </row>
    <row r="28" spans="2:14" ht="14.1" customHeight="1" outlineLevel="1">
      <c r="B28" s="4"/>
      <c r="C28" s="4"/>
      <c r="D28" s="4"/>
      <c r="E28" s="84" t="s">
        <v>416</v>
      </c>
      <c r="F28" s="54"/>
      <c r="G28" s="43"/>
      <c r="H28" s="43"/>
      <c r="I28" s="43"/>
      <c r="J28" s="43"/>
      <c r="K28" s="43"/>
      <c r="L28" s="43"/>
      <c r="M28" s="43"/>
      <c r="N28" s="44"/>
    </row>
    <row r="29" spans="2:14" s="197" customFormat="1" ht="14.1" customHeight="1">
      <c r="B29" s="198"/>
      <c r="C29" s="198"/>
      <c r="D29" s="1668" t="s">
        <v>1442</v>
      </c>
      <c r="E29" s="1668"/>
      <c r="F29" s="61">
        <f>F21-F26</f>
        <v>0</v>
      </c>
      <c r="G29" s="60">
        <f t="shared" ref="G29:N29" si="5">G21-G26</f>
        <v>0</v>
      </c>
      <c r="H29" s="60">
        <f t="shared" si="5"/>
        <v>0</v>
      </c>
      <c r="I29" s="60">
        <f t="shared" si="5"/>
        <v>0</v>
      </c>
      <c r="J29" s="60">
        <f t="shared" si="5"/>
        <v>0</v>
      </c>
      <c r="K29" s="60">
        <f t="shared" si="5"/>
        <v>0</v>
      </c>
      <c r="L29" s="60">
        <f t="shared" si="5"/>
        <v>0</v>
      </c>
      <c r="M29" s="60">
        <f t="shared" si="5"/>
        <v>0</v>
      </c>
      <c r="N29" s="62">
        <f t="shared" si="5"/>
        <v>0</v>
      </c>
    </row>
    <row r="30" spans="2:14" s="197" customFormat="1" ht="14.1" customHeight="1">
      <c r="B30" s="198"/>
      <c r="C30" s="1668" t="s">
        <v>1443</v>
      </c>
      <c r="D30" s="1668"/>
      <c r="E30" s="1668"/>
      <c r="F30" s="303"/>
      <c r="G30" s="304"/>
      <c r="H30" s="304"/>
      <c r="I30" s="304"/>
      <c r="J30" s="304"/>
      <c r="K30" s="304"/>
      <c r="L30" s="304"/>
      <c r="M30" s="304"/>
      <c r="N30" s="305"/>
    </row>
    <row r="31" spans="2:14" ht="14.1" customHeight="1" outlineLevel="1">
      <c r="B31" s="4"/>
      <c r="C31" s="4"/>
      <c r="D31" s="1566" t="s">
        <v>1444</v>
      </c>
      <c r="E31" s="1566"/>
      <c r="F31" s="54"/>
      <c r="G31" s="43"/>
      <c r="H31" s="43"/>
      <c r="I31" s="43"/>
      <c r="J31" s="43"/>
      <c r="K31" s="43"/>
      <c r="L31" s="43"/>
      <c r="M31" s="43"/>
      <c r="N31" s="44"/>
    </row>
    <row r="32" spans="2:14" ht="14.1" customHeight="1" outlineLevel="1">
      <c r="B32" s="4"/>
      <c r="C32" s="4"/>
      <c r="D32" s="1566" t="s">
        <v>1445</v>
      </c>
      <c r="E32" s="1566"/>
      <c r="F32" s="54"/>
      <c r="G32" s="43"/>
      <c r="H32" s="43"/>
      <c r="I32" s="43"/>
      <c r="J32" s="43"/>
      <c r="K32" s="43"/>
      <c r="L32" s="43"/>
      <c r="M32" s="43"/>
      <c r="N32" s="44"/>
    </row>
    <row r="33" spans="2:14" ht="14.1" customHeight="1" outlineLevel="1">
      <c r="B33" s="4"/>
      <c r="C33" s="4"/>
      <c r="D33" s="1566" t="s">
        <v>1446</v>
      </c>
      <c r="E33" s="1566"/>
      <c r="F33" s="54"/>
      <c r="G33" s="43"/>
      <c r="H33" s="43"/>
      <c r="I33" s="43"/>
      <c r="J33" s="43"/>
      <c r="K33" s="43"/>
      <c r="L33" s="43"/>
      <c r="M33" s="43"/>
      <c r="N33" s="44"/>
    </row>
    <row r="34" spans="2:14" s="197" customFormat="1" ht="14.1" customHeight="1">
      <c r="B34" s="198"/>
      <c r="C34" s="198"/>
      <c r="D34" s="1668" t="s">
        <v>1447</v>
      </c>
      <c r="E34" s="1668"/>
      <c r="F34" s="61">
        <f>F31+F32-F33</f>
        <v>0</v>
      </c>
      <c r="G34" s="60">
        <f t="shared" ref="G34:N34" si="6">G31+G32-G33</f>
        <v>0</v>
      </c>
      <c r="H34" s="60">
        <f t="shared" si="6"/>
        <v>0</v>
      </c>
      <c r="I34" s="60">
        <f t="shared" si="6"/>
        <v>0</v>
      </c>
      <c r="J34" s="60">
        <f t="shared" si="6"/>
        <v>0</v>
      </c>
      <c r="K34" s="60">
        <f t="shared" si="6"/>
        <v>0</v>
      </c>
      <c r="L34" s="60">
        <f t="shared" si="6"/>
        <v>0</v>
      </c>
      <c r="M34" s="60">
        <f t="shared" si="6"/>
        <v>0</v>
      </c>
      <c r="N34" s="62">
        <f t="shared" si="6"/>
        <v>0</v>
      </c>
    </row>
    <row r="35" spans="2:14" s="197" customFormat="1" ht="14.1" customHeight="1">
      <c r="B35" s="198"/>
      <c r="C35" s="1668" t="s">
        <v>1448</v>
      </c>
      <c r="D35" s="1668"/>
      <c r="E35" s="1668"/>
      <c r="F35" s="61">
        <f>F10+F21+F34</f>
        <v>0</v>
      </c>
      <c r="G35" s="60">
        <f>G10+G21+G34</f>
        <v>31410635</v>
      </c>
      <c r="H35" s="60">
        <f t="shared" ref="H35:N35" si="7">H10+H21+H34</f>
        <v>602643</v>
      </c>
      <c r="I35" s="60">
        <f t="shared" si="7"/>
        <v>3734274</v>
      </c>
      <c r="J35" s="60">
        <f t="shared" si="7"/>
        <v>5709819</v>
      </c>
      <c r="K35" s="60">
        <f t="shared" si="7"/>
        <v>5525570</v>
      </c>
      <c r="L35" s="60">
        <f t="shared" si="7"/>
        <v>9595149</v>
      </c>
      <c r="M35" s="60">
        <f t="shared" si="7"/>
        <v>0</v>
      </c>
      <c r="N35" s="62">
        <f t="shared" si="7"/>
        <v>79294</v>
      </c>
    </row>
    <row r="36" spans="2:14" ht="14.1" customHeight="1" thickBot="1">
      <c r="B36" s="4"/>
      <c r="C36" s="1566" t="s">
        <v>1449</v>
      </c>
      <c r="D36" s="1566"/>
      <c r="E36" s="1566"/>
      <c r="F36" s="189"/>
      <c r="G36" s="154"/>
      <c r="H36" s="154"/>
      <c r="I36" s="154"/>
      <c r="J36" s="154"/>
      <c r="K36" s="154"/>
      <c r="L36" s="154"/>
      <c r="M36" s="154"/>
      <c r="N36" s="157"/>
    </row>
    <row r="37" spans="2:14" s="197" customFormat="1" ht="14.1" customHeight="1" thickBot="1">
      <c r="B37" s="299"/>
      <c r="C37" s="1669" t="s">
        <v>1450</v>
      </c>
      <c r="D37" s="1669"/>
      <c r="E37" s="1669"/>
      <c r="F37" s="56">
        <f>F29+F36</f>
        <v>0</v>
      </c>
      <c r="G37" s="201">
        <f>G29+G36</f>
        <v>0</v>
      </c>
      <c r="H37" s="201">
        <f t="shared" ref="H37:N37" si="8">H29+H36</f>
        <v>0</v>
      </c>
      <c r="I37" s="201">
        <f t="shared" si="8"/>
        <v>0</v>
      </c>
      <c r="J37" s="201">
        <f t="shared" si="8"/>
        <v>0</v>
      </c>
      <c r="K37" s="201">
        <f t="shared" si="8"/>
        <v>0</v>
      </c>
      <c r="L37" s="201">
        <f t="shared" si="8"/>
        <v>0</v>
      </c>
      <c r="M37" s="201">
        <f t="shared" si="8"/>
        <v>0</v>
      </c>
      <c r="N37" s="202">
        <f t="shared" si="8"/>
        <v>0</v>
      </c>
    </row>
    <row r="39" spans="2:14">
      <c r="E39" s="146"/>
      <c r="F39" s="146"/>
      <c r="G39" s="146"/>
    </row>
    <row r="40" spans="2:14" ht="15.75" thickBot="1">
      <c r="E40" s="2"/>
      <c r="F40" s="3"/>
      <c r="G40" s="146"/>
    </row>
    <row r="41" spans="2:14" ht="15.75" thickBot="1">
      <c r="E41" s="748" t="s">
        <v>413</v>
      </c>
      <c r="F41" s="749"/>
      <c r="G41" s="146"/>
    </row>
    <row r="42" spans="2:14">
      <c r="E42" s="229" t="s">
        <v>1460</v>
      </c>
      <c r="F42" s="403">
        <f>SUM(G20:N20)</f>
        <v>47148059</v>
      </c>
      <c r="G42" s="146"/>
    </row>
    <row r="43" spans="2:14" ht="15.75" thickBot="1">
      <c r="E43" s="229" t="s">
        <v>1461</v>
      </c>
      <c r="F43" s="307"/>
      <c r="G43" s="146"/>
    </row>
    <row r="44" spans="2:14" ht="15.75" thickBot="1">
      <c r="E44" s="145" t="s">
        <v>1422</v>
      </c>
      <c r="F44" s="199">
        <f>F42+F43</f>
        <v>47148059</v>
      </c>
      <c r="G44" s="146"/>
    </row>
    <row r="45" spans="2:14">
      <c r="E45" s="146"/>
      <c r="F45" s="146"/>
      <c r="G45" s="146"/>
    </row>
    <row r="46" spans="2:14">
      <c r="E46" s="146"/>
      <c r="F46" s="146"/>
      <c r="G46" s="146"/>
    </row>
  </sheetData>
  <mergeCells count="25">
    <mergeCell ref="N5:N7"/>
    <mergeCell ref="H6:K6"/>
    <mergeCell ref="L6:L7"/>
    <mergeCell ref="D26:E26"/>
    <mergeCell ref="F5:F7"/>
    <mergeCell ref="G5:G7"/>
    <mergeCell ref="H5:L5"/>
    <mergeCell ref="M5:M7"/>
    <mergeCell ref="C9:E9"/>
    <mergeCell ref="B8:E8"/>
    <mergeCell ref="D10:E10"/>
    <mergeCell ref="D16:E16"/>
    <mergeCell ref="D19:E19"/>
    <mergeCell ref="D20:E20"/>
    <mergeCell ref="D21:E21"/>
    <mergeCell ref="B5:E7"/>
    <mergeCell ref="C35:E35"/>
    <mergeCell ref="C36:E36"/>
    <mergeCell ref="C37:E37"/>
    <mergeCell ref="D29:E29"/>
    <mergeCell ref="C30:E30"/>
    <mergeCell ref="D31:E31"/>
    <mergeCell ref="D32:E32"/>
    <mergeCell ref="D33:E33"/>
    <mergeCell ref="D34:E34"/>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heetPr>
  <dimension ref="B1:M30"/>
  <sheetViews>
    <sheetView showGridLines="0" topLeftCell="B19" workbookViewId="0">
      <selection activeCell="B23" sqref="B23"/>
    </sheetView>
  </sheetViews>
  <sheetFormatPr baseColWidth="10" defaultColWidth="9.140625" defaultRowHeight="15"/>
  <cols>
    <col min="1" max="3" width="2.42578125" customWidth="1"/>
    <col min="4" max="4" width="38" customWidth="1"/>
    <col min="5" max="9" width="14.7109375" customWidth="1"/>
    <col min="10" max="10" width="38" customWidth="1"/>
    <col min="11" max="14" width="14.7109375" customWidth="1"/>
  </cols>
  <sheetData>
    <row r="1" spans="2:13" ht="15" customHeight="1"/>
    <row r="2" spans="2:13" s="246" customFormat="1" ht="15" customHeight="1">
      <c r="B2" s="247"/>
      <c r="C2" s="282" t="s">
        <v>1467</v>
      </c>
    </row>
    <row r="3" spans="2:13" ht="15" customHeight="1"/>
    <row r="4" spans="2:13" ht="12.75" customHeight="1" thickBot="1">
      <c r="B4" s="2"/>
      <c r="C4" s="2"/>
      <c r="D4" s="2"/>
      <c r="E4" s="4"/>
      <c r="F4" s="4"/>
      <c r="G4" s="4"/>
      <c r="J4" s="1667" t="s">
        <v>836</v>
      </c>
      <c r="K4" s="1667"/>
      <c r="L4" s="1667"/>
      <c r="M4" s="1667"/>
    </row>
    <row r="5" spans="2:13" ht="12.75" customHeight="1">
      <c r="B5" s="2"/>
      <c r="C5" s="2"/>
      <c r="D5" s="195"/>
      <c r="E5" s="1611" t="s">
        <v>1419</v>
      </c>
      <c r="F5" s="1612" t="s">
        <v>1420</v>
      </c>
      <c r="G5" s="1613" t="s">
        <v>432</v>
      </c>
      <c r="J5" s="195"/>
      <c r="K5" s="1611" t="s">
        <v>1419</v>
      </c>
      <c r="L5" s="1612" t="s">
        <v>1420</v>
      </c>
      <c r="M5" s="1613" t="s">
        <v>432</v>
      </c>
    </row>
    <row r="6" spans="2:13" ht="54.95" customHeight="1" thickBot="1">
      <c r="B6" s="2"/>
      <c r="C6" s="2"/>
      <c r="D6" s="35"/>
      <c r="E6" s="1676"/>
      <c r="F6" s="1610"/>
      <c r="G6" s="1616"/>
      <c r="J6" s="35"/>
      <c r="K6" s="1676"/>
      <c r="L6" s="1610"/>
      <c r="M6" s="1616"/>
    </row>
    <row r="7" spans="2:13" ht="14.1" customHeight="1">
      <c r="B7" s="4"/>
      <c r="C7" s="4"/>
      <c r="D7" s="86" t="s">
        <v>419</v>
      </c>
      <c r="E7" s="310"/>
      <c r="F7" s="311"/>
      <c r="G7" s="312"/>
      <c r="J7" s="791" t="s">
        <v>419</v>
      </c>
      <c r="K7" s="310"/>
      <c r="L7" s="311"/>
      <c r="M7" s="312"/>
    </row>
    <row r="8" spans="2:13" ht="14.1" customHeight="1">
      <c r="B8" s="4"/>
      <c r="C8" s="4"/>
      <c r="D8" s="84" t="s">
        <v>597</v>
      </c>
      <c r="E8" s="54"/>
      <c r="F8" s="43"/>
      <c r="G8" s="204">
        <f>+E8+F8</f>
        <v>0</v>
      </c>
      <c r="J8" s="790" t="s">
        <v>597</v>
      </c>
      <c r="K8" s="54"/>
      <c r="L8" s="43"/>
      <c r="M8" s="204">
        <f>+K8+L8</f>
        <v>0</v>
      </c>
    </row>
    <row r="9" spans="2:13" ht="14.1" customHeight="1">
      <c r="B9" s="4"/>
      <c r="C9" s="4"/>
      <c r="D9" s="84" t="s">
        <v>429</v>
      </c>
      <c r="E9" s="54">
        <v>637740</v>
      </c>
      <c r="F9" s="43">
        <v>213436</v>
      </c>
      <c r="G9" s="204">
        <f t="shared" ref="G9:G12" si="0">+E9+F9</f>
        <v>851176</v>
      </c>
      <c r="J9" s="790" t="s">
        <v>429</v>
      </c>
      <c r="K9" s="54"/>
      <c r="L9" s="43"/>
      <c r="M9" s="204">
        <f t="shared" ref="M9:M12" si="1">+K9+L9</f>
        <v>0</v>
      </c>
    </row>
    <row r="10" spans="2:13" ht="14.1" customHeight="1">
      <c r="B10" s="4"/>
      <c r="C10" s="4"/>
      <c r="D10" s="84" t="s">
        <v>1468</v>
      </c>
      <c r="E10" s="54"/>
      <c r="F10" s="43"/>
      <c r="G10" s="204">
        <f t="shared" si="0"/>
        <v>0</v>
      </c>
      <c r="J10" s="790" t="s">
        <v>1468</v>
      </c>
      <c r="K10" s="54"/>
      <c r="L10" s="43"/>
      <c r="M10" s="204">
        <f t="shared" si="1"/>
        <v>0</v>
      </c>
    </row>
    <row r="11" spans="2:13" ht="14.1" customHeight="1">
      <c r="B11" s="4"/>
      <c r="C11" s="4"/>
      <c r="D11" s="84" t="s">
        <v>1469</v>
      </c>
      <c r="E11" s="54"/>
      <c r="F11" s="43"/>
      <c r="G11" s="204">
        <f t="shared" si="0"/>
        <v>0</v>
      </c>
      <c r="J11" s="790" t="s">
        <v>1469</v>
      </c>
      <c r="K11" s="54"/>
      <c r="L11" s="43"/>
      <c r="M11" s="204">
        <f t="shared" si="1"/>
        <v>0</v>
      </c>
    </row>
    <row r="12" spans="2:13" ht="14.1" customHeight="1" thickBot="1">
      <c r="B12" s="4"/>
      <c r="C12" s="4"/>
      <c r="D12" s="84" t="s">
        <v>1235</v>
      </c>
      <c r="E12" s="189"/>
      <c r="F12" s="154"/>
      <c r="G12" s="205">
        <f t="shared" si="0"/>
        <v>0</v>
      </c>
      <c r="J12" s="790" t="s">
        <v>1235</v>
      </c>
      <c r="K12" s="189"/>
      <c r="L12" s="154"/>
      <c r="M12" s="205">
        <f t="shared" si="1"/>
        <v>0</v>
      </c>
    </row>
    <row r="13" spans="2:13" ht="14.1" customHeight="1" thickBot="1">
      <c r="B13" s="4"/>
      <c r="C13" s="4"/>
      <c r="D13" s="110" t="s">
        <v>432</v>
      </c>
      <c r="E13" s="56">
        <f>E8+E9+E10+E11-E12</f>
        <v>637740</v>
      </c>
      <c r="F13" s="56">
        <f t="shared" ref="F13:G13" si="2">F8+F9+F10+F11-F12</f>
        <v>213436</v>
      </c>
      <c r="G13" s="56">
        <f t="shared" si="2"/>
        <v>851176</v>
      </c>
      <c r="J13" s="792" t="s">
        <v>432</v>
      </c>
      <c r="K13" s="56">
        <f>K8+K9+K10+K11-K12</f>
        <v>0</v>
      </c>
      <c r="L13" s="56">
        <f t="shared" ref="L13:M13" si="3">L8+L9+L10+L11-L12</f>
        <v>0</v>
      </c>
      <c r="M13" s="56">
        <f t="shared" si="3"/>
        <v>0</v>
      </c>
    </row>
    <row r="14" spans="2:13" ht="14.1" customHeight="1">
      <c r="B14" s="4"/>
      <c r="C14" s="4"/>
      <c r="D14" s="147" t="s">
        <v>1468</v>
      </c>
      <c r="E14" s="310"/>
      <c r="F14" s="311"/>
      <c r="G14" s="312">
        <f t="shared" ref="G14:G16" si="4">+E14+F14</f>
        <v>0</v>
      </c>
      <c r="J14" s="147" t="s">
        <v>1468</v>
      </c>
      <c r="K14" s="310"/>
      <c r="L14" s="311"/>
      <c r="M14" s="312">
        <f t="shared" ref="M14:M16" si="5">+K14+L14</f>
        <v>0</v>
      </c>
    </row>
    <row r="15" spans="2:13" ht="14.1" customHeight="1">
      <c r="B15" s="4"/>
      <c r="C15" s="4"/>
      <c r="D15" s="84" t="s">
        <v>420</v>
      </c>
      <c r="E15" s="54"/>
      <c r="F15" s="43"/>
      <c r="G15" s="204">
        <f t="shared" si="4"/>
        <v>0</v>
      </c>
      <c r="J15" s="790" t="s">
        <v>420</v>
      </c>
      <c r="K15" s="54"/>
      <c r="L15" s="43"/>
      <c r="M15" s="204">
        <f t="shared" si="5"/>
        <v>0</v>
      </c>
    </row>
    <row r="16" spans="2:13" ht="14.1" customHeight="1" thickBot="1">
      <c r="B16" s="4"/>
      <c r="C16" s="4"/>
      <c r="D16" s="84" t="s">
        <v>421</v>
      </c>
      <c r="E16" s="189"/>
      <c r="F16" s="154"/>
      <c r="G16" s="205">
        <f t="shared" si="4"/>
        <v>0</v>
      </c>
      <c r="J16" s="790" t="s">
        <v>421</v>
      </c>
      <c r="K16" s="189"/>
      <c r="L16" s="154"/>
      <c r="M16" s="205">
        <f t="shared" si="5"/>
        <v>0</v>
      </c>
    </row>
    <row r="17" spans="2:13" ht="14.1" customHeight="1" thickBot="1">
      <c r="B17" s="4"/>
      <c r="C17" s="4"/>
      <c r="D17" s="110" t="s">
        <v>1470</v>
      </c>
      <c r="E17" s="56">
        <f>E15+E16</f>
        <v>0</v>
      </c>
      <c r="F17" s="56">
        <f t="shared" ref="F17:G17" si="6">F15+F16</f>
        <v>0</v>
      </c>
      <c r="G17" s="56">
        <f t="shared" si="6"/>
        <v>0</v>
      </c>
      <c r="J17" s="792" t="s">
        <v>1470</v>
      </c>
      <c r="K17" s="56">
        <f>K15+K16</f>
        <v>0</v>
      </c>
      <c r="L17" s="56">
        <f t="shared" ref="L17:M17" si="7">L15+L16</f>
        <v>0</v>
      </c>
      <c r="M17" s="56">
        <f t="shared" si="7"/>
        <v>0</v>
      </c>
    </row>
    <row r="18" spans="2:13">
      <c r="E18" s="146"/>
      <c r="F18" s="146"/>
      <c r="G18" s="146"/>
    </row>
    <row r="20" spans="2:13">
      <c r="C20" s="282" t="s">
        <v>1471</v>
      </c>
    </row>
    <row r="21" spans="2:13">
      <c r="C21" s="282"/>
    </row>
    <row r="22" spans="2:13">
      <c r="C22" s="313" t="s">
        <v>3886</v>
      </c>
    </row>
    <row r="23" spans="2:13" ht="15.75" thickBot="1">
      <c r="C23" s="282"/>
    </row>
    <row r="24" spans="2:13" ht="54.95" customHeight="1" thickBot="1">
      <c r="D24" s="314"/>
      <c r="E24" s="248" t="s">
        <v>1472</v>
      </c>
      <c r="F24" s="248" t="s">
        <v>1473</v>
      </c>
      <c r="G24" s="248" t="s">
        <v>1474</v>
      </c>
      <c r="H24" s="248" t="s">
        <v>1469</v>
      </c>
      <c r="I24" s="249" t="s">
        <v>1515</v>
      </c>
    </row>
    <row r="25" spans="2:13" ht="14.1" customHeight="1">
      <c r="D25" s="12" t="s">
        <v>1257</v>
      </c>
      <c r="E25" s="53"/>
      <c r="F25" s="48"/>
      <c r="G25" s="48"/>
      <c r="H25" s="48"/>
      <c r="I25" s="49"/>
    </row>
    <row r="26" spans="2:13" ht="14.1" customHeight="1">
      <c r="D26" s="12" t="s">
        <v>1243</v>
      </c>
      <c r="E26" s="232"/>
      <c r="F26" s="233"/>
      <c r="G26" s="233"/>
      <c r="H26" s="233"/>
      <c r="I26" s="234"/>
    </row>
    <row r="27" spans="2:13" ht="14.1" customHeight="1">
      <c r="D27" s="82" t="s">
        <v>422</v>
      </c>
      <c r="E27" s="54"/>
      <c r="F27" s="43"/>
      <c r="G27" s="43"/>
      <c r="H27" s="43"/>
      <c r="I27" s="44"/>
    </row>
    <row r="28" spans="2:13" ht="14.1" customHeight="1">
      <c r="D28" s="82" t="s">
        <v>1466</v>
      </c>
      <c r="E28" s="54"/>
      <c r="F28" s="43"/>
      <c r="G28" s="43"/>
      <c r="H28" s="43"/>
      <c r="I28" s="44"/>
    </row>
    <row r="29" spans="2:13" ht="14.1" customHeight="1" thickBot="1">
      <c r="D29" s="82" t="s">
        <v>1245</v>
      </c>
      <c r="E29" s="55"/>
      <c r="F29" s="45"/>
      <c r="G29" s="45"/>
      <c r="H29" s="45"/>
      <c r="I29" s="46"/>
    </row>
    <row r="30" spans="2:13" ht="14.1" customHeight="1" thickBot="1">
      <c r="D30" s="145" t="s">
        <v>432</v>
      </c>
      <c r="E30" s="134">
        <f>SUM(E25:E29)</f>
        <v>0</v>
      </c>
      <c r="F30" s="134">
        <f t="shared" ref="F30:H30" si="8">SUM(F25:F29)</f>
        <v>0</v>
      </c>
      <c r="G30" s="134">
        <f t="shared" si="8"/>
        <v>0</v>
      </c>
      <c r="H30" s="134">
        <f t="shared" si="8"/>
        <v>0</v>
      </c>
      <c r="I30" s="134">
        <f>G12</f>
        <v>0</v>
      </c>
    </row>
  </sheetData>
  <mergeCells count="7">
    <mergeCell ref="M5:M6"/>
    <mergeCell ref="J4:M4"/>
    <mergeCell ref="G5:G6"/>
    <mergeCell ref="F5:F6"/>
    <mergeCell ref="E5:E6"/>
    <mergeCell ref="K5:K6"/>
    <mergeCell ref="L5:L6"/>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heetPr>
  <dimension ref="B1:P175"/>
  <sheetViews>
    <sheetView showGridLines="0" workbookViewId="0"/>
  </sheetViews>
  <sheetFormatPr baseColWidth="10" defaultColWidth="9.140625" defaultRowHeight="15"/>
  <cols>
    <col min="1" max="1" width="2.42578125" customWidth="1"/>
    <col min="2" max="2" width="2.42578125" style="315" customWidth="1"/>
    <col min="3" max="3" width="2.42578125" style="146" customWidth="1"/>
    <col min="4" max="4" width="2.42578125" customWidth="1"/>
    <col min="5" max="5" width="50" customWidth="1"/>
    <col min="6" max="17" width="14.7109375" customWidth="1"/>
  </cols>
  <sheetData>
    <row r="1" spans="2:16" ht="15" customHeight="1"/>
    <row r="2" spans="2:16" s="1" customFormat="1" ht="15" customHeight="1">
      <c r="B2" s="316"/>
      <c r="C2" s="282" t="s">
        <v>1475</v>
      </c>
    </row>
    <row r="3" spans="2:16" ht="15" customHeight="1" thickBot="1"/>
    <row r="4" spans="2:16" ht="12.75" customHeight="1">
      <c r="B4" s="2"/>
      <c r="C4" s="2"/>
      <c r="D4" s="195"/>
      <c r="E4" s="195"/>
      <c r="F4" s="1607" t="s">
        <v>3860</v>
      </c>
      <c r="G4" s="1607" t="s">
        <v>929</v>
      </c>
      <c r="H4" s="1607" t="s">
        <v>930</v>
      </c>
      <c r="I4" s="1607" t="s">
        <v>931</v>
      </c>
      <c r="J4" s="1607" t="s">
        <v>932</v>
      </c>
      <c r="K4" s="1607" t="s">
        <v>933</v>
      </c>
      <c r="L4" s="1607" t="s">
        <v>934</v>
      </c>
      <c r="M4" s="1607" t="s">
        <v>935</v>
      </c>
      <c r="N4" s="1607" t="s">
        <v>936</v>
      </c>
      <c r="O4" s="1607" t="s">
        <v>937</v>
      </c>
      <c r="P4" s="1602" t="s">
        <v>1476</v>
      </c>
    </row>
    <row r="5" spans="2:16" ht="54.95" customHeight="1" thickBot="1">
      <c r="B5" s="2"/>
      <c r="C5" s="2"/>
      <c r="D5" s="35"/>
      <c r="E5" s="35"/>
      <c r="F5" s="1608"/>
      <c r="G5" s="1608"/>
      <c r="H5" s="1608"/>
      <c r="I5" s="1608"/>
      <c r="J5" s="1608"/>
      <c r="K5" s="1608"/>
      <c r="L5" s="1608"/>
      <c r="M5" s="1608"/>
      <c r="N5" s="1608"/>
      <c r="O5" s="1608"/>
      <c r="P5" s="1603"/>
    </row>
    <row r="6" spans="2:16" ht="12.95" customHeight="1">
      <c r="B6" s="4"/>
      <c r="C6" s="4"/>
      <c r="D6" s="1585" t="s">
        <v>1477</v>
      </c>
      <c r="E6" s="1585"/>
      <c r="F6" s="317"/>
      <c r="G6" s="318"/>
      <c r="H6" s="318"/>
      <c r="I6" s="318"/>
      <c r="J6" s="318"/>
      <c r="K6" s="318"/>
      <c r="L6" s="318"/>
      <c r="M6" s="318"/>
      <c r="N6" s="318"/>
      <c r="O6" s="318"/>
      <c r="P6" s="319"/>
    </row>
    <row r="7" spans="2:16" ht="12.95" customHeight="1">
      <c r="B7" s="4"/>
      <c r="C7" s="4"/>
      <c r="D7" s="1566" t="s">
        <v>1478</v>
      </c>
      <c r="E7" s="1566"/>
      <c r="F7" s="320"/>
      <c r="G7" s="321"/>
      <c r="H7" s="321"/>
      <c r="I7" s="321"/>
      <c r="J7" s="321"/>
      <c r="K7" s="321"/>
      <c r="L7" s="321"/>
      <c r="M7" s="321"/>
      <c r="N7" s="321"/>
      <c r="O7" s="321"/>
      <c r="P7" s="322"/>
    </row>
    <row r="8" spans="2:16" ht="12.95" customHeight="1">
      <c r="B8" s="4"/>
      <c r="C8" s="4"/>
      <c r="D8" s="1566" t="s">
        <v>423</v>
      </c>
      <c r="E8" s="1566"/>
      <c r="F8" s="320"/>
      <c r="G8" s="321"/>
      <c r="H8" s="321"/>
      <c r="I8" s="321"/>
      <c r="J8" s="321"/>
      <c r="K8" s="321"/>
      <c r="L8" s="321"/>
      <c r="M8" s="321"/>
      <c r="N8" s="321"/>
      <c r="O8" s="321"/>
      <c r="P8" s="322"/>
    </row>
    <row r="9" spans="2:16" ht="12.95" customHeight="1">
      <c r="B9" s="4"/>
      <c r="C9" s="4"/>
      <c r="D9" s="1566" t="s">
        <v>424</v>
      </c>
      <c r="E9" s="1566"/>
      <c r="F9" s="320"/>
      <c r="G9" s="321"/>
      <c r="H9" s="321"/>
      <c r="I9" s="321"/>
      <c r="J9" s="321"/>
      <c r="K9" s="321"/>
      <c r="L9" s="321"/>
      <c r="M9" s="321"/>
      <c r="N9" s="321"/>
      <c r="O9" s="321"/>
      <c r="P9" s="322"/>
    </row>
    <row r="10" spans="2:16" ht="12.95" customHeight="1">
      <c r="B10" s="4"/>
      <c r="C10" s="4"/>
      <c r="D10" s="1566" t="s">
        <v>425</v>
      </c>
      <c r="E10" s="1566"/>
      <c r="F10" s="320"/>
      <c r="G10" s="320"/>
      <c r="H10" s="320"/>
      <c r="I10" s="320"/>
      <c r="J10" s="320"/>
      <c r="K10" s="320"/>
      <c r="L10" s="320"/>
      <c r="M10" s="320"/>
      <c r="N10" s="320"/>
      <c r="O10" s="320"/>
      <c r="P10" s="322"/>
    </row>
    <row r="11" spans="2:16" ht="12.95" customHeight="1">
      <c r="B11" s="4"/>
      <c r="C11" s="4"/>
      <c r="D11" s="1566" t="s">
        <v>1479</v>
      </c>
      <c r="E11" s="1566"/>
      <c r="F11" s="320" t="s">
        <v>3860</v>
      </c>
      <c r="G11" s="321"/>
      <c r="H11" s="321"/>
      <c r="I11" s="321"/>
      <c r="J11" s="321"/>
      <c r="K11" s="321"/>
      <c r="L11" s="321"/>
      <c r="M11" s="321"/>
      <c r="N11" s="321"/>
      <c r="O11" s="321"/>
      <c r="P11" s="322"/>
    </row>
    <row r="12" spans="2:16" ht="12.95" customHeight="1">
      <c r="B12" s="4"/>
      <c r="C12" s="4"/>
      <c r="D12" s="1566" t="s">
        <v>426</v>
      </c>
      <c r="E12" s="1566"/>
      <c r="F12" s="320" t="s">
        <v>3861</v>
      </c>
      <c r="G12" s="321"/>
      <c r="H12" s="321"/>
      <c r="I12" s="321"/>
      <c r="J12" s="321"/>
      <c r="K12" s="321"/>
      <c r="L12" s="321"/>
      <c r="M12" s="321"/>
      <c r="N12" s="321"/>
      <c r="O12" s="321"/>
      <c r="P12" s="322"/>
    </row>
    <row r="13" spans="2:16" ht="12.95" customHeight="1">
      <c r="B13" s="4"/>
      <c r="C13" s="4"/>
      <c r="D13" s="1566" t="s">
        <v>1480</v>
      </c>
      <c r="E13" s="1566"/>
      <c r="F13" s="320" t="s">
        <v>3779</v>
      </c>
      <c r="G13" s="321"/>
      <c r="H13" s="321"/>
      <c r="I13" s="321"/>
      <c r="J13" s="321"/>
      <c r="K13" s="321"/>
      <c r="L13" s="321"/>
      <c r="M13" s="321"/>
      <c r="N13" s="321"/>
      <c r="O13" s="321"/>
      <c r="P13" s="322"/>
    </row>
    <row r="14" spans="2:16" ht="12.95" customHeight="1">
      <c r="B14" s="4"/>
      <c r="C14" s="4"/>
      <c r="D14" s="1566" t="s">
        <v>427</v>
      </c>
      <c r="E14" s="1566"/>
      <c r="F14" s="321" t="s">
        <v>2028</v>
      </c>
      <c r="G14" s="321"/>
      <c r="H14" s="321"/>
      <c r="I14" s="321"/>
      <c r="J14" s="321"/>
      <c r="K14" s="321"/>
      <c r="L14" s="321"/>
      <c r="M14" s="321"/>
      <c r="N14" s="321"/>
      <c r="O14" s="321"/>
      <c r="P14" s="322"/>
    </row>
    <row r="15" spans="2:16" ht="12.95" customHeight="1">
      <c r="B15" s="4"/>
      <c r="C15" s="4"/>
      <c r="D15" s="1585" t="s">
        <v>1481</v>
      </c>
      <c r="E15" s="1585"/>
      <c r="F15" s="323"/>
      <c r="G15" s="324"/>
      <c r="H15" s="324"/>
      <c r="I15" s="324"/>
      <c r="J15" s="324"/>
      <c r="K15" s="324"/>
      <c r="L15" s="324"/>
      <c r="M15" s="324"/>
      <c r="N15" s="324"/>
      <c r="O15" s="324"/>
      <c r="P15" s="325"/>
    </row>
    <row r="16" spans="2:16" ht="12.95" customHeight="1">
      <c r="B16" s="4"/>
      <c r="C16" s="4"/>
      <c r="D16" s="4"/>
      <c r="E16" s="84" t="s">
        <v>1482</v>
      </c>
      <c r="F16" s="320"/>
      <c r="G16" s="321"/>
      <c r="H16" s="321"/>
      <c r="I16" s="321"/>
      <c r="J16" s="321"/>
      <c r="K16" s="321"/>
      <c r="L16" s="321"/>
      <c r="M16" s="321"/>
      <c r="N16" s="321"/>
      <c r="O16" s="321"/>
      <c r="P16" s="322"/>
    </row>
    <row r="17" spans="2:16" ht="12.95" customHeight="1">
      <c r="B17" s="4"/>
      <c r="C17" s="4"/>
      <c r="D17" s="4"/>
      <c r="E17" s="84" t="s">
        <v>1483</v>
      </c>
      <c r="F17" s="320"/>
      <c r="G17" s="321"/>
      <c r="H17" s="321"/>
      <c r="I17" s="321"/>
      <c r="J17" s="321"/>
      <c r="K17" s="321"/>
      <c r="L17" s="321"/>
      <c r="M17" s="321"/>
      <c r="N17" s="321"/>
      <c r="O17" s="321"/>
      <c r="P17" s="322"/>
    </row>
    <row r="18" spans="2:16" ht="12.95" customHeight="1">
      <c r="B18" s="4"/>
      <c r="C18" s="4"/>
      <c r="D18" s="4"/>
      <c r="E18" s="84" t="s">
        <v>1484</v>
      </c>
      <c r="F18" s="320"/>
      <c r="G18" s="321"/>
      <c r="H18" s="321"/>
      <c r="I18" s="321"/>
      <c r="J18" s="321"/>
      <c r="K18" s="321"/>
      <c r="L18" s="321"/>
      <c r="M18" s="321"/>
      <c r="N18" s="321"/>
      <c r="O18" s="321"/>
      <c r="P18" s="322"/>
    </row>
    <row r="19" spans="2:16" ht="12.95" customHeight="1">
      <c r="B19" s="4"/>
      <c r="C19" s="4"/>
      <c r="D19" s="4"/>
      <c r="E19" s="84" t="s">
        <v>1485</v>
      </c>
      <c r="F19" s="320"/>
      <c r="G19" s="321"/>
      <c r="H19" s="321"/>
      <c r="I19" s="321"/>
      <c r="J19" s="321"/>
      <c r="K19" s="321"/>
      <c r="L19" s="321"/>
      <c r="M19" s="321"/>
      <c r="N19" s="321"/>
      <c r="O19" s="321"/>
      <c r="P19" s="322"/>
    </row>
    <row r="20" spans="2:16" ht="12.95" customHeight="1">
      <c r="B20" s="4"/>
      <c r="C20" s="4"/>
      <c r="D20" s="4"/>
      <c r="E20" s="84" t="s">
        <v>1486</v>
      </c>
      <c r="F20" s="326"/>
      <c r="G20" s="327"/>
      <c r="H20" s="327"/>
      <c r="I20" s="327"/>
      <c r="J20" s="327"/>
      <c r="K20" s="327"/>
      <c r="L20" s="327"/>
      <c r="M20" s="327"/>
      <c r="N20" s="327"/>
      <c r="O20" s="327"/>
      <c r="P20" s="328"/>
    </row>
    <row r="21" spans="2:16" ht="12.95" customHeight="1">
      <c r="B21" s="4"/>
      <c r="C21" s="4"/>
      <c r="D21" s="4"/>
      <c r="E21" s="84" t="s">
        <v>1487</v>
      </c>
      <c r="F21" s="326"/>
      <c r="G21" s="327"/>
      <c r="H21" s="327"/>
      <c r="I21" s="327"/>
      <c r="J21" s="327"/>
      <c r="K21" s="327"/>
      <c r="L21" s="327"/>
      <c r="M21" s="327"/>
      <c r="N21" s="327"/>
      <c r="O21" s="327"/>
      <c r="P21" s="328"/>
    </row>
    <row r="22" spans="2:16" ht="12.95" customHeight="1">
      <c r="B22" s="4"/>
      <c r="C22" s="4"/>
      <c r="D22" s="1585" t="s">
        <v>1488</v>
      </c>
      <c r="E22" s="1585"/>
      <c r="F22" s="232"/>
      <c r="G22" s="233"/>
      <c r="H22" s="233"/>
      <c r="I22" s="233"/>
      <c r="J22" s="233"/>
      <c r="K22" s="233"/>
      <c r="L22" s="233"/>
      <c r="M22" s="233"/>
      <c r="N22" s="233"/>
      <c r="O22" s="233"/>
      <c r="P22" s="234"/>
    </row>
    <row r="23" spans="2:16" ht="12.95" customHeight="1">
      <c r="B23" s="4"/>
      <c r="C23" s="4"/>
      <c r="D23" s="4"/>
      <c r="E23" s="84" t="s">
        <v>414</v>
      </c>
      <c r="F23" s="54"/>
      <c r="G23" s="43"/>
      <c r="H23" s="43"/>
      <c r="I23" s="43"/>
      <c r="J23" s="43"/>
      <c r="K23" s="43"/>
      <c r="L23" s="43"/>
      <c r="M23" s="43"/>
      <c r="N23" s="43"/>
      <c r="O23" s="43"/>
      <c r="P23" s="204">
        <f>SUM(F23:O23)</f>
        <v>0</v>
      </c>
    </row>
    <row r="24" spans="2:16" ht="12.95" customHeight="1">
      <c r="B24" s="4"/>
      <c r="C24" s="4"/>
      <c r="D24" s="4"/>
      <c r="E24" s="84" t="s">
        <v>1489</v>
      </c>
      <c r="F24" s="54"/>
      <c r="G24" s="43"/>
      <c r="H24" s="43"/>
      <c r="I24" s="43"/>
      <c r="J24" s="43"/>
      <c r="K24" s="43"/>
      <c r="L24" s="43"/>
      <c r="M24" s="43"/>
      <c r="N24" s="43"/>
      <c r="O24" s="43"/>
      <c r="P24" s="204">
        <f t="shared" ref="P24:P35" si="0">SUM(F24:O24)</f>
        <v>0</v>
      </c>
    </row>
    <row r="25" spans="2:16" ht="12.95" customHeight="1">
      <c r="B25" s="4"/>
      <c r="C25" s="4"/>
      <c r="D25" s="4"/>
      <c r="E25" s="84" t="s">
        <v>1490</v>
      </c>
      <c r="F25" s="54"/>
      <c r="G25" s="43"/>
      <c r="H25" s="43"/>
      <c r="I25" s="43"/>
      <c r="J25" s="43"/>
      <c r="K25" s="43"/>
      <c r="L25" s="43"/>
      <c r="M25" s="43"/>
      <c r="N25" s="43"/>
      <c r="O25" s="43"/>
      <c r="P25" s="204">
        <f t="shared" si="0"/>
        <v>0</v>
      </c>
    </row>
    <row r="26" spans="2:16" ht="12.95" customHeight="1">
      <c r="B26" s="4"/>
      <c r="C26" s="4"/>
      <c r="D26" s="4"/>
      <c r="E26" s="84" t="s">
        <v>1491</v>
      </c>
      <c r="F26" s="54"/>
      <c r="G26" s="43"/>
      <c r="H26" s="43"/>
      <c r="I26" s="43"/>
      <c r="J26" s="43"/>
      <c r="K26" s="43"/>
      <c r="L26" s="43"/>
      <c r="M26" s="43"/>
      <c r="N26" s="43"/>
      <c r="O26" s="43"/>
      <c r="P26" s="204">
        <f t="shared" si="0"/>
        <v>0</v>
      </c>
    </row>
    <row r="27" spans="2:16" ht="12.95" customHeight="1">
      <c r="B27" s="4"/>
      <c r="C27" s="4"/>
      <c r="D27" s="4"/>
      <c r="E27" s="84" t="s">
        <v>1492</v>
      </c>
      <c r="F27" s="54"/>
      <c r="G27" s="43"/>
      <c r="H27" s="43"/>
      <c r="I27" s="43"/>
      <c r="J27" s="43"/>
      <c r="K27" s="43"/>
      <c r="L27" s="43"/>
      <c r="M27" s="43"/>
      <c r="N27" s="43"/>
      <c r="O27" s="43"/>
      <c r="P27" s="204">
        <f t="shared" si="0"/>
        <v>0</v>
      </c>
    </row>
    <row r="28" spans="2:16" ht="12.95" customHeight="1">
      <c r="B28" s="4"/>
      <c r="C28" s="4"/>
      <c r="D28" s="4"/>
      <c r="E28" s="84" t="s">
        <v>1493</v>
      </c>
      <c r="F28" s="54"/>
      <c r="G28" s="43"/>
      <c r="H28" s="43"/>
      <c r="I28" s="43"/>
      <c r="J28" s="43"/>
      <c r="K28" s="43"/>
      <c r="L28" s="43"/>
      <c r="M28" s="43"/>
      <c r="N28" s="43"/>
      <c r="O28" s="43"/>
      <c r="P28" s="204">
        <f t="shared" si="0"/>
        <v>0</v>
      </c>
    </row>
    <row r="29" spans="2:16" ht="12.95" customHeight="1">
      <c r="B29" s="4"/>
      <c r="C29" s="4"/>
      <c r="D29" s="4"/>
      <c r="E29" s="84" t="s">
        <v>559</v>
      </c>
      <c r="F29" s="54"/>
      <c r="G29" s="43"/>
      <c r="H29" s="43"/>
      <c r="I29" s="43"/>
      <c r="J29" s="43"/>
      <c r="K29" s="43"/>
      <c r="L29" s="43"/>
      <c r="M29" s="43"/>
      <c r="N29" s="43"/>
      <c r="O29" s="43"/>
      <c r="P29" s="204">
        <f t="shared" si="0"/>
        <v>0</v>
      </c>
    </row>
    <row r="30" spans="2:16" ht="12.95" customHeight="1">
      <c r="B30" s="4"/>
      <c r="C30" s="4"/>
      <c r="D30" s="4"/>
      <c r="E30" s="84" t="s">
        <v>1494</v>
      </c>
      <c r="F30" s="54">
        <v>209000</v>
      </c>
      <c r="G30" s="43"/>
      <c r="H30" s="43"/>
      <c r="I30" s="43"/>
      <c r="J30" s="43"/>
      <c r="K30" s="43"/>
      <c r="L30" s="43"/>
      <c r="M30" s="43"/>
      <c r="N30" s="43"/>
      <c r="O30" s="43"/>
      <c r="P30" s="204">
        <f t="shared" si="0"/>
        <v>209000</v>
      </c>
    </row>
    <row r="31" spans="2:16" ht="12.95" customHeight="1">
      <c r="B31" s="4"/>
      <c r="C31" s="4"/>
      <c r="D31" s="4"/>
      <c r="E31" s="84" t="s">
        <v>1495</v>
      </c>
      <c r="F31" s="54"/>
      <c r="G31" s="43"/>
      <c r="H31" s="43"/>
      <c r="I31" s="43"/>
      <c r="J31" s="43"/>
      <c r="K31" s="43"/>
      <c r="L31" s="43"/>
      <c r="M31" s="43"/>
      <c r="N31" s="43"/>
      <c r="O31" s="43"/>
      <c r="P31" s="204">
        <f t="shared" si="0"/>
        <v>0</v>
      </c>
    </row>
    <row r="32" spans="2:16" ht="12.95" customHeight="1">
      <c r="B32" s="4"/>
      <c r="C32" s="4"/>
      <c r="D32" s="4"/>
      <c r="E32" s="84" t="s">
        <v>1496</v>
      </c>
      <c r="F32" s="54"/>
      <c r="G32" s="43"/>
      <c r="H32" s="43"/>
      <c r="I32" s="43"/>
      <c r="J32" s="43"/>
      <c r="K32" s="43"/>
      <c r="L32" s="43"/>
      <c r="M32" s="43"/>
      <c r="N32" s="43"/>
      <c r="O32" s="43"/>
      <c r="P32" s="204">
        <f t="shared" si="0"/>
        <v>0</v>
      </c>
    </row>
    <row r="33" spans="2:16" ht="12.95" customHeight="1">
      <c r="B33" s="4"/>
      <c r="C33" s="4"/>
      <c r="D33" s="4"/>
      <c r="E33" s="84" t="s">
        <v>1497</v>
      </c>
      <c r="F33" s="54"/>
      <c r="G33" s="43"/>
      <c r="H33" s="43"/>
      <c r="I33" s="43"/>
      <c r="J33" s="43"/>
      <c r="K33" s="43"/>
      <c r="L33" s="43"/>
      <c r="M33" s="43"/>
      <c r="N33" s="43"/>
      <c r="O33" s="43"/>
      <c r="P33" s="204">
        <f t="shared" si="0"/>
        <v>0</v>
      </c>
    </row>
    <row r="34" spans="2:16" ht="12.95" customHeight="1">
      <c r="B34" s="4"/>
      <c r="C34" s="4"/>
      <c r="D34" s="4"/>
      <c r="E34" s="84" t="s">
        <v>1498</v>
      </c>
      <c r="F34" s="54"/>
      <c r="G34" s="43"/>
      <c r="H34" s="43"/>
      <c r="I34" s="43"/>
      <c r="J34" s="43"/>
      <c r="K34" s="43"/>
      <c r="L34" s="43"/>
      <c r="M34" s="43"/>
      <c r="N34" s="43"/>
      <c r="O34" s="43"/>
      <c r="P34" s="204">
        <f t="shared" si="0"/>
        <v>0</v>
      </c>
    </row>
    <row r="35" spans="2:16" ht="12.95" customHeight="1">
      <c r="B35" s="4"/>
      <c r="C35" s="4"/>
      <c r="D35" s="4"/>
      <c r="E35" s="84" t="s">
        <v>417</v>
      </c>
      <c r="F35" s="54"/>
      <c r="G35" s="43"/>
      <c r="H35" s="43"/>
      <c r="I35" s="43"/>
      <c r="J35" s="43"/>
      <c r="K35" s="43"/>
      <c r="L35" s="43"/>
      <c r="M35" s="43"/>
      <c r="N35" s="43"/>
      <c r="O35" s="43"/>
      <c r="P35" s="204">
        <f t="shared" si="0"/>
        <v>0</v>
      </c>
    </row>
    <row r="36" spans="2:16" s="30" customFormat="1" ht="12.95" customHeight="1">
      <c r="B36" s="238"/>
      <c r="C36" s="238"/>
      <c r="D36" s="238"/>
      <c r="E36" s="83" t="s">
        <v>1499</v>
      </c>
      <c r="F36" s="61">
        <v>209000</v>
      </c>
      <c r="G36" s="60">
        <f t="shared" ref="G36:P36" si="1">SUM(G23:G35)</f>
        <v>0</v>
      </c>
      <c r="H36" s="60">
        <f t="shared" si="1"/>
        <v>0</v>
      </c>
      <c r="I36" s="60">
        <f t="shared" si="1"/>
        <v>0</v>
      </c>
      <c r="J36" s="60">
        <f t="shared" si="1"/>
        <v>0</v>
      </c>
      <c r="K36" s="60">
        <f t="shared" si="1"/>
        <v>0</v>
      </c>
      <c r="L36" s="60">
        <f t="shared" si="1"/>
        <v>0</v>
      </c>
      <c r="M36" s="60">
        <f t="shared" si="1"/>
        <v>0</v>
      </c>
      <c r="N36" s="60">
        <f t="shared" si="1"/>
        <v>0</v>
      </c>
      <c r="O36" s="60">
        <f t="shared" si="1"/>
        <v>0</v>
      </c>
      <c r="P36" s="62">
        <f t="shared" si="1"/>
        <v>209000</v>
      </c>
    </row>
    <row r="37" spans="2:16" ht="12.95" customHeight="1" thickBot="1">
      <c r="B37" s="4"/>
      <c r="C37" s="4"/>
      <c r="D37" s="4"/>
      <c r="E37" s="84" t="s">
        <v>1235</v>
      </c>
      <c r="F37" s="55"/>
      <c r="G37" s="45"/>
      <c r="H37" s="45"/>
      <c r="I37" s="45"/>
      <c r="J37" s="45"/>
      <c r="K37" s="45"/>
      <c r="L37" s="45"/>
      <c r="M37" s="45"/>
      <c r="N37" s="45"/>
      <c r="O37" s="45"/>
      <c r="P37" s="388">
        <f>SUM(F37:O37)</f>
        <v>0</v>
      </c>
    </row>
    <row r="38" spans="2:16" s="30" customFormat="1" ht="12.95" customHeight="1" thickBot="1">
      <c r="B38" s="238"/>
      <c r="C38" s="238"/>
      <c r="D38" s="238"/>
      <c r="E38" s="329" t="s">
        <v>432</v>
      </c>
      <c r="F38" s="134">
        <f>F36-F37</f>
        <v>209000</v>
      </c>
      <c r="G38" s="135">
        <f t="shared" ref="G38:P38" si="2">G36-G37</f>
        <v>0</v>
      </c>
      <c r="H38" s="135">
        <f t="shared" si="2"/>
        <v>0</v>
      </c>
      <c r="I38" s="135">
        <f t="shared" si="2"/>
        <v>0</v>
      </c>
      <c r="J38" s="135">
        <f t="shared" si="2"/>
        <v>0</v>
      </c>
      <c r="K38" s="135">
        <f t="shared" si="2"/>
        <v>0</v>
      </c>
      <c r="L38" s="135">
        <f t="shared" si="2"/>
        <v>0</v>
      </c>
      <c r="M38" s="135">
        <f t="shared" si="2"/>
        <v>0</v>
      </c>
      <c r="N38" s="135">
        <f t="shared" si="2"/>
        <v>0</v>
      </c>
      <c r="O38" s="135">
        <f t="shared" si="2"/>
        <v>0</v>
      </c>
      <c r="P38" s="136">
        <f t="shared" si="2"/>
        <v>209000</v>
      </c>
    </row>
    <row r="40" spans="2:16" ht="15.75" thickBot="1"/>
    <row r="41" spans="2:16" ht="12.75" customHeight="1">
      <c r="B41" s="2"/>
      <c r="C41" s="2"/>
      <c r="D41" s="195"/>
      <c r="E41" s="195"/>
      <c r="F41" s="1607" t="s">
        <v>3781</v>
      </c>
      <c r="G41" s="1607" t="s">
        <v>3782</v>
      </c>
      <c r="H41" s="1607" t="s">
        <v>3783</v>
      </c>
      <c r="I41" s="1607" t="s">
        <v>3784</v>
      </c>
      <c r="J41" s="1607" t="s">
        <v>932</v>
      </c>
      <c r="K41" s="1607" t="s">
        <v>933</v>
      </c>
      <c r="L41" s="1607" t="s">
        <v>934</v>
      </c>
      <c r="M41" s="1607" t="s">
        <v>935</v>
      </c>
      <c r="N41" s="1607" t="s">
        <v>936</v>
      </c>
      <c r="O41" s="1607" t="s">
        <v>937</v>
      </c>
      <c r="P41" s="1602" t="s">
        <v>1500</v>
      </c>
    </row>
    <row r="42" spans="2:16" ht="54.95" customHeight="1" thickBot="1">
      <c r="B42" s="2"/>
      <c r="C42" s="2"/>
      <c r="D42" s="35"/>
      <c r="E42" s="35"/>
      <c r="F42" s="1608"/>
      <c r="G42" s="1608"/>
      <c r="H42" s="1608"/>
      <c r="I42" s="1608"/>
      <c r="J42" s="1608"/>
      <c r="K42" s="1608"/>
      <c r="L42" s="1608"/>
      <c r="M42" s="1608"/>
      <c r="N42" s="1608"/>
      <c r="O42" s="1608"/>
      <c r="P42" s="1603"/>
    </row>
    <row r="43" spans="2:16" ht="12.95" customHeight="1">
      <c r="B43" s="4"/>
      <c r="C43" s="4"/>
      <c r="D43" s="1585" t="s">
        <v>1501</v>
      </c>
      <c r="E43" s="1585"/>
      <c r="F43" s="317"/>
      <c r="G43" s="318"/>
      <c r="H43" s="318"/>
      <c r="I43" s="318"/>
      <c r="J43" s="318"/>
      <c r="K43" s="318"/>
      <c r="L43" s="318"/>
      <c r="M43" s="318"/>
      <c r="N43" s="318"/>
      <c r="O43" s="318"/>
      <c r="P43" s="319"/>
    </row>
    <row r="44" spans="2:16" ht="12.95" customHeight="1">
      <c r="B44" s="4"/>
      <c r="C44" s="4"/>
      <c r="D44" s="1566" t="s">
        <v>1478</v>
      </c>
      <c r="E44" s="1566"/>
      <c r="K44" s="321"/>
      <c r="L44" s="321"/>
      <c r="M44" s="321"/>
      <c r="N44" s="321"/>
      <c r="O44" s="321"/>
      <c r="P44" s="322"/>
    </row>
    <row r="45" spans="2:16" ht="12.95" customHeight="1">
      <c r="B45" s="4"/>
      <c r="C45" s="4"/>
      <c r="D45" s="1566" t="s">
        <v>423</v>
      </c>
      <c r="E45" s="1566"/>
      <c r="F45" s="320"/>
      <c r="G45" s="321"/>
      <c r="H45" s="321"/>
      <c r="I45" s="321"/>
      <c r="J45" s="321"/>
      <c r="K45" s="321"/>
      <c r="L45" s="321"/>
      <c r="M45" s="321"/>
      <c r="N45" s="321"/>
      <c r="O45" s="321"/>
      <c r="P45" s="322"/>
    </row>
    <row r="46" spans="2:16" ht="12.95" customHeight="1">
      <c r="B46" s="4"/>
      <c r="C46" s="4"/>
      <c r="D46" s="1566" t="s">
        <v>424</v>
      </c>
      <c r="E46" s="1566"/>
      <c r="F46" s="320"/>
      <c r="G46" s="320"/>
      <c r="H46" s="320"/>
      <c r="I46" s="320"/>
      <c r="J46" s="320"/>
      <c r="K46" s="321"/>
      <c r="L46" s="321"/>
      <c r="M46" s="321"/>
      <c r="N46" s="321"/>
      <c r="O46" s="321"/>
      <c r="P46" s="322"/>
    </row>
    <row r="47" spans="2:16" ht="12.95" customHeight="1">
      <c r="B47" s="4"/>
      <c r="C47" s="4"/>
      <c r="D47" s="1566" t="s">
        <v>425</v>
      </c>
      <c r="E47" s="1566"/>
      <c r="K47" s="320"/>
      <c r="L47" s="320"/>
      <c r="M47" s="320"/>
      <c r="N47" s="320"/>
      <c r="O47" s="320"/>
      <c r="P47" s="322"/>
    </row>
    <row r="48" spans="2:16" ht="12.95" customHeight="1">
      <c r="B48" s="4"/>
      <c r="C48" s="4"/>
      <c r="D48" s="1566" t="s">
        <v>1479</v>
      </c>
      <c r="E48" s="1566"/>
      <c r="F48" s="320" t="s">
        <v>3781</v>
      </c>
      <c r="G48" s="321" t="s">
        <v>3782</v>
      </c>
      <c r="H48" s="321" t="s">
        <v>3783</v>
      </c>
      <c r="I48" s="321" t="s">
        <v>3784</v>
      </c>
      <c r="J48" s="321"/>
      <c r="K48" s="321"/>
      <c r="L48" s="321"/>
      <c r="M48" s="321"/>
      <c r="N48" s="321"/>
      <c r="O48" s="321"/>
      <c r="P48" s="322"/>
    </row>
    <row r="49" spans="2:16" ht="12.95" customHeight="1">
      <c r="B49" s="4"/>
      <c r="C49" s="4"/>
      <c r="D49" s="1566" t="s">
        <v>428</v>
      </c>
      <c r="E49" s="1566"/>
      <c r="F49" s="320" t="s">
        <v>3834</v>
      </c>
      <c r="G49" s="321" t="s">
        <v>3832</v>
      </c>
      <c r="H49" s="321" t="s">
        <v>3838</v>
      </c>
      <c r="I49" s="321" t="s">
        <v>3831</v>
      </c>
      <c r="J49" s="321"/>
      <c r="K49" s="321"/>
      <c r="L49" s="321"/>
      <c r="M49" s="321"/>
      <c r="N49" s="321"/>
      <c r="O49" s="321"/>
      <c r="P49" s="322"/>
    </row>
    <row r="50" spans="2:16" ht="12.95" customHeight="1">
      <c r="B50" s="4"/>
      <c r="C50" s="4"/>
      <c r="D50" s="1566" t="s">
        <v>1480</v>
      </c>
      <c r="E50" s="1566"/>
      <c r="F50" s="320" t="s">
        <v>3779</v>
      </c>
      <c r="G50" s="320" t="s">
        <v>3779</v>
      </c>
      <c r="H50" s="320" t="s">
        <v>3780</v>
      </c>
      <c r="I50" s="320" t="s">
        <v>3779</v>
      </c>
      <c r="J50" s="320"/>
      <c r="K50" s="321"/>
      <c r="L50" s="321"/>
      <c r="M50" s="321"/>
      <c r="N50" s="321"/>
      <c r="O50" s="321"/>
      <c r="P50" s="322"/>
    </row>
    <row r="51" spans="2:16" ht="12.95" customHeight="1">
      <c r="B51" s="4"/>
      <c r="C51" s="4"/>
      <c r="D51" s="1566" t="s">
        <v>427</v>
      </c>
      <c r="E51" s="1566"/>
      <c r="F51" s="320" t="s">
        <v>2039</v>
      </c>
      <c r="G51" s="320" t="s">
        <v>2039</v>
      </c>
      <c r="H51" s="320" t="s">
        <v>2025</v>
      </c>
      <c r="I51" s="320" t="s">
        <v>2025</v>
      </c>
      <c r="J51" s="320"/>
      <c r="K51" s="320"/>
      <c r="L51" s="320"/>
      <c r="M51" s="320"/>
      <c r="N51" s="320"/>
      <c r="O51" s="320"/>
      <c r="P51" s="322"/>
    </row>
    <row r="52" spans="2:16" ht="12.95" customHeight="1">
      <c r="B52" s="4"/>
      <c r="C52" s="4"/>
      <c r="D52" s="1585" t="s">
        <v>1502</v>
      </c>
      <c r="E52" s="1585"/>
      <c r="F52" s="323"/>
      <c r="G52" s="324"/>
      <c r="H52" s="324"/>
      <c r="I52" s="324"/>
      <c r="J52" s="324"/>
      <c r="K52" s="324"/>
      <c r="L52" s="324"/>
      <c r="M52" s="324"/>
      <c r="N52" s="324"/>
      <c r="O52" s="324"/>
      <c r="P52" s="325"/>
    </row>
    <row r="53" spans="2:16" ht="12.95" customHeight="1">
      <c r="B53" s="4"/>
      <c r="C53" s="4"/>
      <c r="D53" s="4"/>
      <c r="E53" s="84" t="s">
        <v>1482</v>
      </c>
      <c r="F53" s="320" t="s">
        <v>3840</v>
      </c>
      <c r="G53" s="321" t="s">
        <v>3840</v>
      </c>
      <c r="H53" s="321" t="s">
        <v>3839</v>
      </c>
      <c r="I53" s="321" t="s">
        <v>3839</v>
      </c>
      <c r="J53" s="321"/>
      <c r="K53" s="321"/>
      <c r="L53" s="321"/>
      <c r="M53" s="321"/>
      <c r="N53" s="321"/>
      <c r="O53" s="321"/>
      <c r="P53" s="322"/>
    </row>
    <row r="54" spans="2:16" ht="12.95" customHeight="1">
      <c r="B54" s="4"/>
      <c r="C54" s="4"/>
      <c r="D54" s="4"/>
      <c r="E54" s="84" t="s">
        <v>1483</v>
      </c>
      <c r="F54" s="320" t="s">
        <v>3845</v>
      </c>
      <c r="G54" s="321" t="s">
        <v>3843</v>
      </c>
      <c r="H54" s="321" t="s">
        <v>3840</v>
      </c>
      <c r="I54" s="321" t="s">
        <v>3840</v>
      </c>
      <c r="J54" s="321"/>
      <c r="K54" s="321"/>
      <c r="L54" s="321"/>
      <c r="M54" s="321"/>
      <c r="N54" s="321"/>
      <c r="O54" s="321"/>
      <c r="P54" s="322"/>
    </row>
    <row r="55" spans="2:16" ht="12.95" customHeight="1">
      <c r="B55" s="4"/>
      <c r="C55" s="4"/>
      <c r="D55" s="4"/>
      <c r="E55" s="84" t="s">
        <v>1484</v>
      </c>
      <c r="F55" s="320" t="s">
        <v>3846</v>
      </c>
      <c r="G55" s="321" t="s">
        <v>3842</v>
      </c>
      <c r="H55" s="321" t="s">
        <v>3841</v>
      </c>
      <c r="I55" s="321" t="s">
        <v>3841</v>
      </c>
      <c r="J55" s="321"/>
      <c r="K55" s="321"/>
      <c r="L55" s="321"/>
      <c r="M55" s="321"/>
      <c r="N55" s="321"/>
      <c r="O55" s="321"/>
      <c r="P55" s="322"/>
    </row>
    <row r="56" spans="2:16" ht="12.95" customHeight="1">
      <c r="B56" s="4"/>
      <c r="C56" s="4"/>
      <c r="D56" s="4"/>
      <c r="E56" s="84" t="s">
        <v>1485</v>
      </c>
      <c r="F56" s="320" t="s">
        <v>888</v>
      </c>
      <c r="G56" s="321" t="s">
        <v>3844</v>
      </c>
      <c r="H56" s="321" t="s">
        <v>3842</v>
      </c>
      <c r="I56" s="321" t="s">
        <v>3842</v>
      </c>
      <c r="J56" s="321"/>
      <c r="K56" s="321"/>
      <c r="L56" s="321"/>
      <c r="M56" s="321"/>
      <c r="N56" s="321"/>
      <c r="O56" s="321"/>
      <c r="P56" s="322"/>
    </row>
    <row r="57" spans="2:16" ht="12.95" customHeight="1">
      <c r="B57" s="4"/>
      <c r="C57" s="4"/>
      <c r="D57" s="4"/>
      <c r="E57" s="84" t="s">
        <v>1486</v>
      </c>
      <c r="F57" s="326">
        <v>43126</v>
      </c>
      <c r="G57" s="327">
        <v>43076</v>
      </c>
      <c r="H57" s="327">
        <v>43115</v>
      </c>
      <c r="I57" s="327">
        <v>43088</v>
      </c>
      <c r="J57" s="327"/>
      <c r="K57" s="327"/>
      <c r="L57" s="327"/>
      <c r="M57" s="327"/>
      <c r="N57" s="327"/>
      <c r="O57" s="327"/>
      <c r="P57" s="328"/>
    </row>
    <row r="58" spans="2:16" ht="12.95" customHeight="1">
      <c r="B58" s="4"/>
      <c r="C58" s="4"/>
      <c r="D58" s="4"/>
      <c r="E58" s="84" t="s">
        <v>1487</v>
      </c>
      <c r="F58" s="326">
        <v>43003</v>
      </c>
      <c r="G58" s="327">
        <v>42933</v>
      </c>
      <c r="H58" s="327">
        <v>43077</v>
      </c>
      <c r="I58" s="327">
        <v>43021</v>
      </c>
      <c r="J58" s="327"/>
      <c r="K58" s="327"/>
      <c r="L58" s="327"/>
      <c r="M58" s="327"/>
      <c r="N58" s="327"/>
      <c r="O58" s="327"/>
      <c r="P58" s="328"/>
    </row>
    <row r="59" spans="2:16" ht="12.95" customHeight="1">
      <c r="B59" s="4"/>
      <c r="C59" s="4"/>
      <c r="D59" s="1585" t="s">
        <v>1488</v>
      </c>
      <c r="E59" s="1585"/>
      <c r="F59" s="232"/>
      <c r="G59" s="233"/>
      <c r="H59" s="233"/>
      <c r="I59" s="233"/>
      <c r="J59" s="233"/>
      <c r="K59" s="233"/>
      <c r="L59" s="233"/>
      <c r="M59" s="233"/>
      <c r="N59" s="233"/>
      <c r="O59" s="233"/>
      <c r="P59" s="234"/>
    </row>
    <row r="60" spans="2:16" ht="12.95" customHeight="1">
      <c r="B60" s="4"/>
      <c r="C60" s="4"/>
      <c r="D60" s="4"/>
      <c r="E60" s="84" t="s">
        <v>414</v>
      </c>
      <c r="F60" s="54"/>
      <c r="G60" s="43"/>
      <c r="H60" s="43"/>
      <c r="I60" s="43"/>
      <c r="J60" s="43"/>
      <c r="K60" s="43"/>
      <c r="L60" s="43"/>
      <c r="M60" s="43"/>
      <c r="N60" s="43"/>
      <c r="O60" s="43"/>
      <c r="P60" s="204">
        <f t="shared" ref="P60:P72" si="3">SUM(F60:O60)</f>
        <v>0</v>
      </c>
    </row>
    <row r="61" spans="2:16" ht="12.95" customHeight="1">
      <c r="B61" s="4"/>
      <c r="C61" s="4"/>
      <c r="D61" s="4"/>
      <c r="E61" s="84" t="s">
        <v>1489</v>
      </c>
      <c r="F61" s="54"/>
      <c r="G61" s="43"/>
      <c r="H61" s="43"/>
      <c r="I61" s="43"/>
      <c r="J61" s="43"/>
      <c r="K61" s="43"/>
      <c r="L61" s="43"/>
      <c r="M61" s="43"/>
      <c r="N61" s="43"/>
      <c r="O61" s="43"/>
      <c r="P61" s="204">
        <f t="shared" si="3"/>
        <v>0</v>
      </c>
    </row>
    <row r="62" spans="2:16" ht="12.95" customHeight="1">
      <c r="B62" s="4"/>
      <c r="C62" s="4"/>
      <c r="D62" s="4"/>
      <c r="E62" s="84" t="s">
        <v>1490</v>
      </c>
      <c r="F62" s="54"/>
      <c r="G62" s="43"/>
      <c r="H62" s="43"/>
      <c r="I62" s="43"/>
      <c r="J62" s="43"/>
      <c r="K62" s="43"/>
      <c r="L62" s="43"/>
      <c r="M62" s="43"/>
      <c r="N62" s="43"/>
      <c r="O62" s="43"/>
      <c r="P62" s="204">
        <f t="shared" si="3"/>
        <v>0</v>
      </c>
    </row>
    <row r="63" spans="2:16" ht="12.95" customHeight="1">
      <c r="B63" s="4"/>
      <c r="C63" s="4"/>
      <c r="D63" s="4"/>
      <c r="E63" s="84" t="s">
        <v>1491</v>
      </c>
      <c r="F63" s="54"/>
      <c r="G63" s="43"/>
      <c r="H63" s="43"/>
      <c r="I63" s="43"/>
      <c r="J63" s="43"/>
      <c r="K63" s="43"/>
      <c r="L63" s="43"/>
      <c r="M63" s="43"/>
      <c r="N63" s="43"/>
      <c r="O63" s="43"/>
      <c r="P63" s="204">
        <f t="shared" si="3"/>
        <v>0</v>
      </c>
    </row>
    <row r="64" spans="2:16" ht="12.95" customHeight="1">
      <c r="B64" s="4"/>
      <c r="C64" s="4"/>
      <c r="D64" s="4"/>
      <c r="E64" s="84" t="s">
        <v>1492</v>
      </c>
      <c r="F64" s="54"/>
      <c r="G64" s="43"/>
      <c r="H64" s="43"/>
      <c r="I64" s="43"/>
      <c r="J64" s="43"/>
      <c r="K64" s="43"/>
      <c r="L64" s="43"/>
      <c r="M64" s="43"/>
      <c r="N64" s="43"/>
      <c r="O64" s="43"/>
      <c r="P64" s="204">
        <f t="shared" si="3"/>
        <v>0</v>
      </c>
    </row>
    <row r="65" spans="2:16" ht="12.95" customHeight="1">
      <c r="B65" s="4"/>
      <c r="C65" s="4"/>
      <c r="D65" s="4"/>
      <c r="E65" s="84" t="s">
        <v>1493</v>
      </c>
      <c r="F65" s="54"/>
      <c r="G65" s="43"/>
      <c r="H65" s="43"/>
      <c r="I65" s="43"/>
      <c r="J65" s="43"/>
      <c r="K65" s="43"/>
      <c r="L65" s="43"/>
      <c r="M65" s="43"/>
      <c r="N65" s="43"/>
      <c r="O65" s="43"/>
      <c r="P65" s="204">
        <f t="shared" si="3"/>
        <v>0</v>
      </c>
    </row>
    <row r="66" spans="2:16" ht="12.95" customHeight="1">
      <c r="B66" s="4"/>
      <c r="C66" s="4"/>
      <c r="D66" s="4"/>
      <c r="E66" s="84" t="s">
        <v>559</v>
      </c>
      <c r="F66" s="54"/>
      <c r="G66" s="43"/>
      <c r="H66" s="43"/>
      <c r="I66" s="43"/>
      <c r="J66" s="43"/>
      <c r="K66" s="43"/>
      <c r="L66" s="43"/>
      <c r="M66" s="43"/>
      <c r="N66" s="43"/>
      <c r="O66" s="43"/>
      <c r="P66" s="204">
        <f t="shared" si="3"/>
        <v>0</v>
      </c>
    </row>
    <row r="67" spans="2:16" ht="12.95" customHeight="1">
      <c r="B67" s="4"/>
      <c r="C67" s="4"/>
      <c r="D67" s="4"/>
      <c r="E67" s="84" t="s">
        <v>1494</v>
      </c>
      <c r="F67" s="54"/>
      <c r="G67" s="43"/>
      <c r="H67" s="43"/>
      <c r="I67" s="43"/>
      <c r="J67" s="43"/>
      <c r="K67" s="43"/>
      <c r="L67" s="43"/>
      <c r="M67" s="43"/>
      <c r="N67" s="43"/>
      <c r="O67" s="43"/>
      <c r="P67" s="204">
        <f t="shared" si="3"/>
        <v>0</v>
      </c>
    </row>
    <row r="68" spans="2:16" ht="12.95" customHeight="1">
      <c r="B68" s="4"/>
      <c r="C68" s="4"/>
      <c r="D68" s="4"/>
      <c r="E68" s="84" t="s">
        <v>1495</v>
      </c>
      <c r="F68" s="54"/>
      <c r="G68" s="43"/>
      <c r="H68" s="43"/>
      <c r="I68" s="43"/>
      <c r="J68" s="43"/>
      <c r="K68" s="43"/>
      <c r="L68" s="43"/>
      <c r="M68" s="43"/>
      <c r="N68" s="43"/>
      <c r="O68" s="43"/>
      <c r="P68" s="204">
        <f t="shared" si="3"/>
        <v>0</v>
      </c>
    </row>
    <row r="69" spans="2:16" ht="12.95" customHeight="1">
      <c r="B69" s="4"/>
      <c r="C69" s="4"/>
      <c r="D69" s="4"/>
      <c r="E69" s="84" t="s">
        <v>1496</v>
      </c>
      <c r="F69" s="54">
        <v>4436</v>
      </c>
      <c r="G69" s="43">
        <v>0</v>
      </c>
      <c r="H69" s="43">
        <v>637740</v>
      </c>
      <c r="I69" s="43">
        <v>0</v>
      </c>
      <c r="J69" s="43"/>
      <c r="K69" s="43"/>
      <c r="L69" s="43"/>
      <c r="M69" s="43"/>
      <c r="N69" s="43"/>
      <c r="O69" s="43"/>
      <c r="P69" s="204">
        <f t="shared" si="3"/>
        <v>642176</v>
      </c>
    </row>
    <row r="70" spans="2:16" ht="12.95" customHeight="1">
      <c r="B70" s="4"/>
      <c r="C70" s="4"/>
      <c r="D70" s="4"/>
      <c r="E70" s="84" t="s">
        <v>1497</v>
      </c>
      <c r="F70" s="54"/>
      <c r="G70" s="43"/>
      <c r="H70" s="43"/>
      <c r="I70" s="43"/>
      <c r="J70" s="43"/>
      <c r="K70" s="43"/>
      <c r="L70" s="43"/>
      <c r="M70" s="43"/>
      <c r="N70" s="43"/>
      <c r="O70" s="43"/>
      <c r="P70" s="204">
        <f t="shared" si="3"/>
        <v>0</v>
      </c>
    </row>
    <row r="71" spans="2:16" ht="12.95" customHeight="1">
      <c r="B71" s="4"/>
      <c r="C71" s="4"/>
      <c r="D71" s="4"/>
      <c r="E71" s="84" t="s">
        <v>1498</v>
      </c>
      <c r="F71" s="54"/>
      <c r="G71" s="43"/>
      <c r="H71" s="43"/>
      <c r="I71" s="43"/>
      <c r="J71" s="43"/>
      <c r="K71" s="43"/>
      <c r="L71" s="43"/>
      <c r="M71" s="43"/>
      <c r="N71" s="43"/>
      <c r="O71" s="43"/>
      <c r="P71" s="204">
        <f t="shared" si="3"/>
        <v>0</v>
      </c>
    </row>
    <row r="72" spans="2:16" ht="12.95" customHeight="1">
      <c r="B72" s="4"/>
      <c r="C72" s="4"/>
      <c r="D72" s="4"/>
      <c r="E72" s="84" t="s">
        <v>417</v>
      </c>
      <c r="F72" s="54"/>
      <c r="G72" s="43"/>
      <c r="H72" s="43"/>
      <c r="I72" s="43"/>
      <c r="J72" s="43"/>
      <c r="K72" s="43"/>
      <c r="L72" s="43"/>
      <c r="M72" s="43"/>
      <c r="N72" s="43"/>
      <c r="O72" s="43"/>
      <c r="P72" s="204">
        <f t="shared" si="3"/>
        <v>0</v>
      </c>
    </row>
    <row r="73" spans="2:16" s="30" customFormat="1" ht="12.95" customHeight="1">
      <c r="B73" s="238"/>
      <c r="C73" s="238"/>
      <c r="D73" s="238"/>
      <c r="E73" s="83" t="s">
        <v>1499</v>
      </c>
      <c r="F73" s="61">
        <f>SUM(F60:F72)</f>
        <v>4436</v>
      </c>
      <c r="G73" s="60">
        <f t="shared" ref="G73" si="4">SUM(G60:G72)</f>
        <v>0</v>
      </c>
      <c r="H73" s="60">
        <f t="shared" ref="H73" si="5">SUM(H60:H72)</f>
        <v>637740</v>
      </c>
      <c r="I73" s="60">
        <f t="shared" ref="I73" si="6">SUM(I60:I72)</f>
        <v>0</v>
      </c>
      <c r="J73" s="60">
        <f t="shared" ref="J73" si="7">SUM(J60:J72)</f>
        <v>0</v>
      </c>
      <c r="K73" s="60">
        <f t="shared" ref="K73" si="8">SUM(K60:K72)</f>
        <v>0</v>
      </c>
      <c r="L73" s="60">
        <f t="shared" ref="L73" si="9">SUM(L60:L72)</f>
        <v>0</v>
      </c>
      <c r="M73" s="60">
        <f t="shared" ref="M73" si="10">SUM(M60:M72)</f>
        <v>0</v>
      </c>
      <c r="N73" s="60">
        <f t="shared" ref="N73" si="11">SUM(N60:N72)</f>
        <v>0</v>
      </c>
      <c r="O73" s="60">
        <f t="shared" ref="O73" si="12">SUM(O60:O72)</f>
        <v>0</v>
      </c>
      <c r="P73" s="62">
        <f t="shared" ref="P73" si="13">SUM(P60:P72)</f>
        <v>642176</v>
      </c>
    </row>
    <row r="74" spans="2:16" ht="12.95" customHeight="1" thickBot="1">
      <c r="B74" s="4"/>
      <c r="C74" s="4"/>
      <c r="D74" s="4"/>
      <c r="E74" s="84" t="s">
        <v>1235</v>
      </c>
      <c r="F74" s="55"/>
      <c r="G74" s="45"/>
      <c r="H74" s="45"/>
      <c r="I74" s="45"/>
      <c r="J74" s="45"/>
      <c r="K74" s="45"/>
      <c r="L74" s="45"/>
      <c r="M74" s="45"/>
      <c r="N74" s="45"/>
      <c r="O74" s="45"/>
      <c r="P74" s="388">
        <f>SUM(F74:O74)</f>
        <v>0</v>
      </c>
    </row>
    <row r="75" spans="2:16" s="30" customFormat="1" ht="12.95" customHeight="1" thickBot="1">
      <c r="B75" s="238"/>
      <c r="C75" s="238"/>
      <c r="D75" s="238"/>
      <c r="E75" s="329" t="s">
        <v>432</v>
      </c>
      <c r="F75" s="134">
        <f>F73-F74</f>
        <v>4436</v>
      </c>
      <c r="G75" s="135">
        <f t="shared" ref="G75" si="14">G73-G74</f>
        <v>0</v>
      </c>
      <c r="H75" s="135">
        <f t="shared" ref="H75" si="15">H73-H74</f>
        <v>637740</v>
      </c>
      <c r="I75" s="135">
        <f t="shared" ref="I75" si="16">I73-I74</f>
        <v>0</v>
      </c>
      <c r="J75" s="135">
        <f t="shared" ref="J75" si="17">J73-J74</f>
        <v>0</v>
      </c>
      <c r="K75" s="135">
        <f t="shared" ref="K75" si="18">K73-K74</f>
        <v>0</v>
      </c>
      <c r="L75" s="135">
        <f t="shared" ref="L75" si="19">L73-L74</f>
        <v>0</v>
      </c>
      <c r="M75" s="135">
        <f t="shared" ref="M75" si="20">M73-M74</f>
        <v>0</v>
      </c>
      <c r="N75" s="135">
        <f t="shared" ref="N75" si="21">N73-N74</f>
        <v>0</v>
      </c>
      <c r="O75" s="135">
        <f t="shared" ref="O75" si="22">O73-O74</f>
        <v>0</v>
      </c>
      <c r="P75" s="136">
        <f t="shared" ref="P75" si="23">P73-P74</f>
        <v>642176</v>
      </c>
    </row>
    <row r="78" spans="2:16" ht="14.1" customHeight="1">
      <c r="E78" s="4"/>
      <c r="F78" s="85"/>
    </row>
    <row r="79" spans="2:16" ht="14.1" customHeight="1">
      <c r="E79" s="82" t="s">
        <v>1460</v>
      </c>
      <c r="F79" s="330">
        <f>P38</f>
        <v>209000</v>
      </c>
    </row>
    <row r="80" spans="2:16" ht="14.1" customHeight="1" thickBot="1">
      <c r="E80" s="82" t="s">
        <v>1461</v>
      </c>
      <c r="F80" s="331">
        <f>P75</f>
        <v>642176</v>
      </c>
    </row>
    <row r="81" spans="2:16" ht="14.1" customHeight="1" thickBot="1">
      <c r="E81" s="145" t="s">
        <v>1503</v>
      </c>
      <c r="F81" s="199">
        <f>+SUM(F79:F80)</f>
        <v>851176</v>
      </c>
    </row>
    <row r="84" spans="2:16">
      <c r="C84" s="332" t="s">
        <v>1504</v>
      </c>
    </row>
    <row r="85" spans="2:16" ht="15.75" thickBot="1"/>
    <row r="86" spans="2:16" ht="12.75" customHeight="1">
      <c r="B86" s="2"/>
      <c r="C86" s="2"/>
      <c r="D86" s="195"/>
      <c r="E86" s="195"/>
      <c r="F86" s="1607" t="s">
        <v>928</v>
      </c>
      <c r="G86" s="1607" t="s">
        <v>929</v>
      </c>
      <c r="H86" s="1607" t="s">
        <v>930</v>
      </c>
      <c r="I86" s="1607" t="s">
        <v>931</v>
      </c>
      <c r="J86" s="1607" t="s">
        <v>932</v>
      </c>
      <c r="K86" s="1607" t="s">
        <v>933</v>
      </c>
      <c r="L86" s="1607" t="s">
        <v>934</v>
      </c>
      <c r="M86" s="1607" t="s">
        <v>935</v>
      </c>
      <c r="N86" s="1607" t="s">
        <v>936</v>
      </c>
      <c r="O86" s="1607" t="s">
        <v>937</v>
      </c>
      <c r="P86" s="1602" t="s">
        <v>1476</v>
      </c>
    </row>
    <row r="87" spans="2:16" ht="54.95" customHeight="1" thickBot="1">
      <c r="B87" s="2"/>
      <c r="C87" s="2"/>
      <c r="D87" s="35"/>
      <c r="E87" s="35"/>
      <c r="F87" s="1608"/>
      <c r="G87" s="1608"/>
      <c r="H87" s="1608"/>
      <c r="I87" s="1608"/>
      <c r="J87" s="1608"/>
      <c r="K87" s="1608"/>
      <c r="L87" s="1608"/>
      <c r="M87" s="1608"/>
      <c r="N87" s="1608"/>
      <c r="O87" s="1608"/>
      <c r="P87" s="1603"/>
    </row>
    <row r="88" spans="2:16" ht="12.95" customHeight="1">
      <c r="B88" s="4"/>
      <c r="C88" s="4"/>
      <c r="D88" s="1585" t="s">
        <v>1473</v>
      </c>
      <c r="E88" s="1585"/>
      <c r="F88" s="317"/>
      <c r="G88" s="318"/>
      <c r="H88" s="318"/>
      <c r="I88" s="318"/>
      <c r="J88" s="318"/>
      <c r="K88" s="318"/>
      <c r="L88" s="318"/>
      <c r="M88" s="318"/>
      <c r="N88" s="318"/>
      <c r="O88" s="318"/>
      <c r="P88" s="319"/>
    </row>
    <row r="89" spans="2:16" ht="12.95" customHeight="1">
      <c r="B89" s="4"/>
      <c r="C89" s="4"/>
      <c r="D89" s="1566" t="s">
        <v>1505</v>
      </c>
      <c r="E89" s="1566"/>
      <c r="F89" s="320"/>
      <c r="G89" s="321"/>
      <c r="H89" s="321"/>
      <c r="I89" s="321"/>
      <c r="J89" s="321"/>
      <c r="K89" s="321"/>
      <c r="L89" s="321"/>
      <c r="M89" s="321"/>
      <c r="N89" s="321"/>
      <c r="O89" s="321"/>
      <c r="P89" s="322"/>
    </row>
    <row r="90" spans="2:16" ht="12.95" customHeight="1">
      <c r="B90" s="4"/>
      <c r="C90" s="4"/>
      <c r="D90" s="1566" t="s">
        <v>423</v>
      </c>
      <c r="E90" s="1566"/>
      <c r="F90" s="320"/>
      <c r="G90" s="321"/>
      <c r="H90" s="321"/>
      <c r="I90" s="321"/>
      <c r="J90" s="321"/>
      <c r="K90" s="321"/>
      <c r="L90" s="321"/>
      <c r="M90" s="321"/>
      <c r="N90" s="321"/>
      <c r="O90" s="321"/>
      <c r="P90" s="322"/>
    </row>
    <row r="91" spans="2:16" ht="12.95" customHeight="1">
      <c r="B91" s="4"/>
      <c r="C91" s="4"/>
      <c r="D91" s="1566" t="s">
        <v>424</v>
      </c>
      <c r="E91" s="1566"/>
      <c r="F91" s="320"/>
      <c r="G91" s="321"/>
      <c r="H91" s="321"/>
      <c r="I91" s="321"/>
      <c r="J91" s="321"/>
      <c r="K91" s="321"/>
      <c r="L91" s="321"/>
      <c r="M91" s="321"/>
      <c r="N91" s="321"/>
      <c r="O91" s="321"/>
      <c r="P91" s="322"/>
    </row>
    <row r="92" spans="2:16" ht="12.95" customHeight="1">
      <c r="B92" s="4"/>
      <c r="C92" s="4"/>
      <c r="D92" s="1566" t="s">
        <v>425</v>
      </c>
      <c r="E92" s="1566"/>
      <c r="F92" s="320"/>
      <c r="G92" s="320"/>
      <c r="H92" s="320"/>
      <c r="I92" s="320"/>
      <c r="J92" s="320"/>
      <c r="K92" s="320"/>
      <c r="L92" s="320"/>
      <c r="M92" s="320"/>
      <c r="N92" s="320"/>
      <c r="O92" s="320"/>
      <c r="P92" s="322"/>
    </row>
    <row r="93" spans="2:16" ht="12.95" customHeight="1">
      <c r="B93" s="4"/>
      <c r="C93" s="4"/>
      <c r="D93" s="1566" t="s">
        <v>1506</v>
      </c>
      <c r="E93" s="1566"/>
      <c r="F93" s="320"/>
      <c r="G93" s="321"/>
      <c r="H93" s="321"/>
      <c r="I93" s="321"/>
      <c r="J93" s="321"/>
      <c r="K93" s="321"/>
      <c r="L93" s="321"/>
      <c r="M93" s="321"/>
      <c r="N93" s="321"/>
      <c r="O93" s="321"/>
      <c r="P93" s="322"/>
    </row>
    <row r="94" spans="2:16" ht="12.95" customHeight="1">
      <c r="B94" s="4"/>
      <c r="C94" s="4"/>
      <c r="D94" s="1566" t="s">
        <v>426</v>
      </c>
      <c r="E94" s="1566"/>
      <c r="F94" s="320"/>
      <c r="G94" s="321"/>
      <c r="H94" s="321"/>
      <c r="I94" s="321"/>
      <c r="J94" s="321"/>
      <c r="K94" s="321"/>
      <c r="L94" s="321"/>
      <c r="M94" s="321"/>
      <c r="N94" s="321"/>
      <c r="O94" s="321"/>
      <c r="P94" s="322"/>
    </row>
    <row r="95" spans="2:16" ht="12.95" customHeight="1">
      <c r="B95" s="4"/>
      <c r="C95" s="4"/>
      <c r="D95" s="1566" t="s">
        <v>424</v>
      </c>
      <c r="E95" s="1566"/>
      <c r="F95" s="320"/>
      <c r="G95" s="321"/>
      <c r="H95" s="321"/>
      <c r="I95" s="321"/>
      <c r="J95" s="321"/>
      <c r="K95" s="321"/>
      <c r="L95" s="321"/>
      <c r="M95" s="321"/>
      <c r="N95" s="321"/>
      <c r="O95" s="321"/>
      <c r="P95" s="322"/>
    </row>
    <row r="96" spans="2:16" ht="12.95" customHeight="1">
      <c r="B96" s="4"/>
      <c r="C96" s="4"/>
      <c r="D96" s="1566" t="s">
        <v>427</v>
      </c>
      <c r="E96" s="1566"/>
      <c r="F96" s="320"/>
      <c r="G96" s="320"/>
      <c r="H96" s="320"/>
      <c r="I96" s="320"/>
      <c r="J96" s="320"/>
      <c r="K96" s="320"/>
      <c r="L96" s="320"/>
      <c r="M96" s="320"/>
      <c r="N96" s="320"/>
      <c r="O96" s="320"/>
      <c r="P96" s="322"/>
    </row>
    <row r="97" spans="2:16" ht="12.95" customHeight="1">
      <c r="B97" s="4"/>
      <c r="C97" s="4"/>
      <c r="D97" s="1566" t="s">
        <v>1482</v>
      </c>
      <c r="E97" s="1566"/>
      <c r="F97" s="320"/>
      <c r="G97" s="321"/>
      <c r="H97" s="321"/>
      <c r="I97" s="321"/>
      <c r="J97" s="321"/>
      <c r="K97" s="321"/>
      <c r="L97" s="321"/>
      <c r="M97" s="321"/>
      <c r="N97" s="321"/>
      <c r="O97" s="321"/>
      <c r="P97" s="322"/>
    </row>
    <row r="98" spans="2:16" ht="12.95" customHeight="1">
      <c r="B98" s="4"/>
      <c r="C98" s="4"/>
      <c r="D98" s="1566" t="s">
        <v>1483</v>
      </c>
      <c r="E98" s="1566"/>
      <c r="F98" s="320"/>
      <c r="G98" s="321"/>
      <c r="H98" s="321"/>
      <c r="I98" s="321"/>
      <c r="J98" s="321"/>
      <c r="K98" s="321"/>
      <c r="L98" s="321"/>
      <c r="M98" s="321"/>
      <c r="N98" s="321"/>
      <c r="O98" s="321"/>
      <c r="P98" s="322"/>
    </row>
    <row r="99" spans="2:16" ht="12.95" customHeight="1">
      <c r="B99" s="4"/>
      <c r="C99" s="4"/>
      <c r="D99" s="1566" t="s">
        <v>1484</v>
      </c>
      <c r="E99" s="1566"/>
      <c r="F99" s="320"/>
      <c r="G99" s="321"/>
      <c r="H99" s="321"/>
      <c r="I99" s="321"/>
      <c r="J99" s="321"/>
      <c r="K99" s="321"/>
      <c r="L99" s="321"/>
      <c r="M99" s="321"/>
      <c r="N99" s="321"/>
      <c r="O99" s="321"/>
      <c r="P99" s="322"/>
    </row>
    <row r="100" spans="2:16" ht="12.95" customHeight="1">
      <c r="B100" s="4"/>
      <c r="C100" s="4"/>
      <c r="D100" s="1566" t="s">
        <v>1485</v>
      </c>
      <c r="E100" s="1566"/>
      <c r="F100" s="320"/>
      <c r="G100" s="321"/>
      <c r="H100" s="321"/>
      <c r="I100" s="321"/>
      <c r="J100" s="321"/>
      <c r="K100" s="321"/>
      <c r="L100" s="321"/>
      <c r="M100" s="321"/>
      <c r="N100" s="321"/>
      <c r="O100" s="321"/>
      <c r="P100" s="322"/>
    </row>
    <row r="101" spans="2:16" ht="12.95" customHeight="1">
      <c r="B101" s="4"/>
      <c r="C101" s="4"/>
      <c r="D101" s="1566" t="s">
        <v>1486</v>
      </c>
      <c r="E101" s="1566"/>
      <c r="F101" s="326"/>
      <c r="G101" s="327"/>
      <c r="H101" s="327"/>
      <c r="I101" s="327"/>
      <c r="J101" s="327"/>
      <c r="K101" s="327"/>
      <c r="L101" s="327"/>
      <c r="M101" s="327"/>
      <c r="N101" s="327"/>
      <c r="O101" s="327"/>
      <c r="P101" s="328"/>
    </row>
    <row r="102" spans="2:16" ht="12.95" customHeight="1" thickBot="1">
      <c r="B102" s="4"/>
      <c r="C102" s="4"/>
      <c r="D102" s="1566" t="s">
        <v>1487</v>
      </c>
      <c r="E102" s="1566"/>
      <c r="F102" s="333"/>
      <c r="G102" s="334"/>
      <c r="H102" s="334"/>
      <c r="I102" s="334"/>
      <c r="J102" s="334"/>
      <c r="K102" s="334"/>
      <c r="L102" s="334"/>
      <c r="M102" s="334"/>
      <c r="N102" s="334"/>
      <c r="O102" s="334"/>
      <c r="P102" s="335"/>
    </row>
    <row r="103" spans="2:16" ht="12.95" customHeight="1" thickBot="1">
      <c r="B103" s="4"/>
      <c r="C103" s="4"/>
      <c r="D103" s="1583" t="s">
        <v>1507</v>
      </c>
      <c r="E103" s="1583"/>
      <c r="F103" s="347"/>
      <c r="G103" s="348"/>
      <c r="H103" s="348"/>
      <c r="I103" s="348"/>
      <c r="J103" s="348"/>
      <c r="K103" s="348"/>
      <c r="L103" s="348"/>
      <c r="M103" s="348"/>
      <c r="N103" s="348"/>
      <c r="O103" s="348"/>
      <c r="P103" s="297">
        <f>SUM(F103:O103)</f>
        <v>0</v>
      </c>
    </row>
    <row r="105" spans="2:16" ht="15.75" thickBot="1"/>
    <row r="106" spans="2:16" ht="12.75" customHeight="1">
      <c r="B106" s="2"/>
      <c r="C106" s="2"/>
      <c r="D106" s="195"/>
      <c r="E106" s="195"/>
      <c r="F106" s="1607" t="s">
        <v>928</v>
      </c>
      <c r="G106" s="1607" t="s">
        <v>929</v>
      </c>
      <c r="H106" s="1607" t="s">
        <v>930</v>
      </c>
      <c r="I106" s="1607" t="s">
        <v>931</v>
      </c>
      <c r="J106" s="1607" t="s">
        <v>932</v>
      </c>
      <c r="K106" s="1607" t="s">
        <v>933</v>
      </c>
      <c r="L106" s="1607" t="s">
        <v>934</v>
      </c>
      <c r="M106" s="1607" t="s">
        <v>935</v>
      </c>
      <c r="N106" s="1607" t="s">
        <v>936</v>
      </c>
      <c r="O106" s="1607" t="s">
        <v>937</v>
      </c>
      <c r="P106" s="1602" t="s">
        <v>1508</v>
      </c>
    </row>
    <row r="107" spans="2:16" ht="54.95" customHeight="1" thickBot="1">
      <c r="B107" s="2"/>
      <c r="C107" s="2"/>
      <c r="D107" s="35"/>
      <c r="E107" s="35"/>
      <c r="F107" s="1608"/>
      <c r="G107" s="1608"/>
      <c r="H107" s="1608"/>
      <c r="I107" s="1608"/>
      <c r="J107" s="1608"/>
      <c r="K107" s="1608"/>
      <c r="L107" s="1608"/>
      <c r="M107" s="1608"/>
      <c r="N107" s="1608"/>
      <c r="O107" s="1608"/>
      <c r="P107" s="1603"/>
    </row>
    <row r="108" spans="2:16" ht="12.95" customHeight="1">
      <c r="B108" s="4"/>
      <c r="C108" s="4"/>
      <c r="D108" s="1585" t="s">
        <v>1473</v>
      </c>
      <c r="E108" s="1585"/>
      <c r="F108" s="317"/>
      <c r="G108" s="318"/>
      <c r="H108" s="318"/>
      <c r="I108" s="318"/>
      <c r="J108" s="318"/>
      <c r="K108" s="318"/>
      <c r="L108" s="318"/>
      <c r="M108" s="318"/>
      <c r="N108" s="318"/>
      <c r="O108" s="318"/>
      <c r="P108" s="319"/>
    </row>
    <row r="109" spans="2:16" ht="12.95" customHeight="1">
      <c r="B109" s="4"/>
      <c r="C109" s="4"/>
      <c r="D109" s="1566" t="s">
        <v>1505</v>
      </c>
      <c r="E109" s="1566"/>
      <c r="F109" s="320"/>
      <c r="G109" s="321"/>
      <c r="H109" s="321"/>
      <c r="I109" s="321"/>
      <c r="J109" s="321"/>
      <c r="K109" s="321"/>
      <c r="L109" s="321"/>
      <c r="M109" s="321"/>
      <c r="N109" s="321"/>
      <c r="O109" s="321"/>
      <c r="P109" s="322"/>
    </row>
    <row r="110" spans="2:16" ht="12.95" customHeight="1">
      <c r="B110" s="4"/>
      <c r="C110" s="4"/>
      <c r="D110" s="1566" t="s">
        <v>423</v>
      </c>
      <c r="E110" s="1566"/>
      <c r="F110" s="320"/>
      <c r="G110" s="321"/>
      <c r="H110" s="321"/>
      <c r="I110" s="321"/>
      <c r="J110" s="321"/>
      <c r="K110" s="321"/>
      <c r="L110" s="321"/>
      <c r="M110" s="321"/>
      <c r="N110" s="321"/>
      <c r="O110" s="321"/>
      <c r="P110" s="322"/>
    </row>
    <row r="111" spans="2:16" ht="12.95" customHeight="1">
      <c r="B111" s="4"/>
      <c r="C111" s="4"/>
      <c r="D111" s="1566" t="s">
        <v>424</v>
      </c>
      <c r="E111" s="1566"/>
      <c r="F111" s="320"/>
      <c r="G111" s="321"/>
      <c r="H111" s="321"/>
      <c r="I111" s="321"/>
      <c r="J111" s="321"/>
      <c r="K111" s="321"/>
      <c r="L111" s="321"/>
      <c r="M111" s="321"/>
      <c r="N111" s="321"/>
      <c r="O111" s="321"/>
      <c r="P111" s="322"/>
    </row>
    <row r="112" spans="2:16" ht="12.95" customHeight="1">
      <c r="B112" s="4"/>
      <c r="C112" s="4"/>
      <c r="D112" s="1566" t="s">
        <v>425</v>
      </c>
      <c r="E112" s="1566"/>
      <c r="F112" s="320"/>
      <c r="G112" s="320"/>
      <c r="H112" s="320"/>
      <c r="I112" s="320"/>
      <c r="J112" s="320"/>
      <c r="K112" s="320"/>
      <c r="L112" s="320"/>
      <c r="M112" s="320"/>
      <c r="N112" s="320"/>
      <c r="O112" s="320"/>
      <c r="P112" s="322"/>
    </row>
    <row r="113" spans="2:16" ht="12.95" customHeight="1">
      <c r="B113" s="4"/>
      <c r="C113" s="4"/>
      <c r="D113" s="1566" t="s">
        <v>1506</v>
      </c>
      <c r="E113" s="1566"/>
      <c r="F113" s="320" t="s">
        <v>3781</v>
      </c>
      <c r="G113" s="321" t="s">
        <v>3782</v>
      </c>
      <c r="H113" s="321" t="s">
        <v>3783</v>
      </c>
      <c r="I113" s="321" t="s">
        <v>3784</v>
      </c>
      <c r="J113" s="321"/>
      <c r="K113" s="321"/>
      <c r="L113" s="321"/>
      <c r="M113" s="321"/>
      <c r="N113" s="321"/>
      <c r="O113" s="321"/>
      <c r="P113" s="322"/>
    </row>
    <row r="114" spans="2:16" ht="12.95" customHeight="1">
      <c r="B114" s="4"/>
      <c r="C114" s="4"/>
      <c r="D114" s="1566" t="s">
        <v>428</v>
      </c>
      <c r="E114" s="1566"/>
      <c r="F114" s="320" t="s">
        <v>3834</v>
      </c>
      <c r="G114" s="321" t="s">
        <v>3832</v>
      </c>
      <c r="H114" s="321" t="s">
        <v>3838</v>
      </c>
      <c r="I114" s="321" t="s">
        <v>3831</v>
      </c>
      <c r="J114" s="321"/>
      <c r="K114" s="321"/>
      <c r="L114" s="321"/>
      <c r="M114" s="321"/>
      <c r="N114" s="321"/>
      <c r="O114" s="321"/>
      <c r="P114" s="322"/>
    </row>
    <row r="115" spans="2:16" ht="12.95" customHeight="1">
      <c r="B115" s="4"/>
      <c r="C115" s="4"/>
      <c r="D115" s="1566" t="s">
        <v>424</v>
      </c>
      <c r="E115" s="1566"/>
      <c r="F115" s="320" t="s">
        <v>3779</v>
      </c>
      <c r="G115" s="321" t="s">
        <v>3779</v>
      </c>
      <c r="H115" s="321" t="s">
        <v>3780</v>
      </c>
      <c r="I115" s="321" t="s">
        <v>3779</v>
      </c>
      <c r="J115" s="321"/>
      <c r="K115" s="321"/>
      <c r="L115" s="321"/>
      <c r="M115" s="321"/>
      <c r="N115" s="321"/>
      <c r="O115" s="321"/>
      <c r="P115" s="322"/>
    </row>
    <row r="116" spans="2:16" ht="12.95" customHeight="1">
      <c r="B116" s="4"/>
      <c r="C116" s="4"/>
      <c r="D116" s="1566" t="s">
        <v>427</v>
      </c>
      <c r="E116" s="1566"/>
      <c r="F116" s="320" t="s">
        <v>2039</v>
      </c>
      <c r="G116" s="320" t="s">
        <v>2039</v>
      </c>
      <c r="H116" s="320" t="s">
        <v>2025</v>
      </c>
      <c r="I116" s="320" t="s">
        <v>2025</v>
      </c>
      <c r="J116" s="320"/>
      <c r="K116" s="320"/>
      <c r="L116" s="320"/>
      <c r="M116" s="320"/>
      <c r="N116" s="320"/>
      <c r="O116" s="320"/>
      <c r="P116" s="322"/>
    </row>
    <row r="117" spans="2:16" ht="12.95" customHeight="1">
      <c r="B117" s="4"/>
      <c r="C117" s="4"/>
      <c r="D117" s="1566" t="s">
        <v>1482</v>
      </c>
      <c r="E117" s="1566"/>
      <c r="F117" s="320" t="s">
        <v>3840</v>
      </c>
      <c r="G117" s="321" t="s">
        <v>3840</v>
      </c>
      <c r="H117" s="321" t="s">
        <v>3839</v>
      </c>
      <c r="I117" s="321" t="s">
        <v>3839</v>
      </c>
      <c r="J117" s="321"/>
      <c r="K117" s="321"/>
      <c r="L117" s="321"/>
      <c r="M117" s="321"/>
      <c r="N117" s="321"/>
      <c r="O117" s="321"/>
      <c r="P117" s="322"/>
    </row>
    <row r="118" spans="2:16" ht="12.95" customHeight="1">
      <c r="B118" s="4"/>
      <c r="C118" s="4"/>
      <c r="D118" s="1566" t="s">
        <v>1483</v>
      </c>
      <c r="E118" s="1566"/>
      <c r="F118" s="320" t="s">
        <v>3845</v>
      </c>
      <c r="G118" s="321" t="s">
        <v>3843</v>
      </c>
      <c r="H118" s="321" t="s">
        <v>3840</v>
      </c>
      <c r="I118" s="321" t="s">
        <v>3840</v>
      </c>
      <c r="J118" s="321"/>
      <c r="K118" s="321"/>
      <c r="L118" s="321"/>
      <c r="M118" s="321"/>
      <c r="N118" s="321"/>
      <c r="O118" s="321"/>
      <c r="P118" s="322"/>
    </row>
    <row r="119" spans="2:16" ht="12.95" customHeight="1">
      <c r="B119" s="4"/>
      <c r="C119" s="4"/>
      <c r="D119" s="1566" t="s">
        <v>1484</v>
      </c>
      <c r="E119" s="1566"/>
      <c r="F119" s="320" t="s">
        <v>3846</v>
      </c>
      <c r="G119" s="321" t="s">
        <v>3842</v>
      </c>
      <c r="H119" s="321" t="s">
        <v>3841</v>
      </c>
      <c r="I119" s="321" t="s">
        <v>3841</v>
      </c>
      <c r="J119" s="321"/>
      <c r="K119" s="321"/>
      <c r="L119" s="321"/>
      <c r="M119" s="321"/>
      <c r="N119" s="321"/>
      <c r="O119" s="321"/>
      <c r="P119" s="322"/>
    </row>
    <row r="120" spans="2:16" ht="12.95" customHeight="1">
      <c r="B120" s="4"/>
      <c r="C120" s="4"/>
      <c r="D120" s="1566" t="s">
        <v>1485</v>
      </c>
      <c r="E120" s="1566"/>
      <c r="F120" s="320" t="s">
        <v>888</v>
      </c>
      <c r="G120" s="321" t="s">
        <v>3844</v>
      </c>
      <c r="H120" s="321" t="s">
        <v>3842</v>
      </c>
      <c r="I120" s="321" t="s">
        <v>3842</v>
      </c>
      <c r="J120" s="321"/>
      <c r="K120" s="321"/>
      <c r="L120" s="321"/>
      <c r="M120" s="321"/>
      <c r="N120" s="321"/>
      <c r="O120" s="321"/>
      <c r="P120" s="322"/>
    </row>
    <row r="121" spans="2:16" ht="12.95" customHeight="1">
      <c r="B121" s="4"/>
      <c r="C121" s="4"/>
      <c r="D121" s="1566" t="s">
        <v>1486</v>
      </c>
      <c r="E121" s="1566"/>
      <c r="F121" s="600">
        <v>43126</v>
      </c>
      <c r="G121" s="151">
        <v>43076</v>
      </c>
      <c r="H121" s="151">
        <v>43115</v>
      </c>
      <c r="I121" s="151">
        <v>43088</v>
      </c>
      <c r="J121" s="151"/>
      <c r="K121" s="151"/>
      <c r="L121" s="151"/>
      <c r="M121" s="151"/>
      <c r="N121" s="151"/>
      <c r="O121" s="151"/>
      <c r="P121" s="758"/>
    </row>
    <row r="122" spans="2:16" ht="12.95" customHeight="1" thickBot="1">
      <c r="B122" s="4"/>
      <c r="C122" s="4"/>
      <c r="D122" s="1566" t="s">
        <v>1487</v>
      </c>
      <c r="E122" s="1566"/>
      <c r="F122" s="759">
        <v>43003</v>
      </c>
      <c r="G122" s="156">
        <v>42933</v>
      </c>
      <c r="H122" s="156">
        <v>43077</v>
      </c>
      <c r="I122" s="156">
        <v>43021</v>
      </c>
      <c r="J122" s="156"/>
      <c r="K122" s="156"/>
      <c r="L122" s="156"/>
      <c r="M122" s="156"/>
      <c r="N122" s="156"/>
      <c r="O122" s="156"/>
      <c r="P122" s="760"/>
    </row>
    <row r="123" spans="2:16" ht="12.95" customHeight="1" thickBot="1">
      <c r="B123" s="4"/>
      <c r="C123" s="4"/>
      <c r="D123" s="1583" t="s">
        <v>1507</v>
      </c>
      <c r="E123" s="1583"/>
      <c r="F123" s="347"/>
      <c r="G123" s="348"/>
      <c r="H123" s="348">
        <f>+'Nota 19'!H11+'Nota 19'!H14</f>
        <v>47111655</v>
      </c>
      <c r="I123" s="348"/>
      <c r="J123" s="348"/>
      <c r="K123" s="348"/>
      <c r="L123" s="348"/>
      <c r="M123" s="348"/>
      <c r="N123" s="348"/>
      <c r="O123" s="348"/>
      <c r="P123" s="297">
        <f>SUM(F123:O123)</f>
        <v>47111655</v>
      </c>
    </row>
    <row r="126" spans="2:16" ht="14.1" customHeight="1">
      <c r="D126" s="1566" t="s">
        <v>430</v>
      </c>
      <c r="E126" s="1566"/>
      <c r="F126" s="344">
        <f>P103</f>
        <v>0</v>
      </c>
    </row>
    <row r="127" spans="2:16" ht="14.1" customHeight="1" thickBot="1">
      <c r="D127" s="1566" t="s">
        <v>431</v>
      </c>
      <c r="E127" s="1566"/>
      <c r="F127" s="345">
        <f>P123</f>
        <v>47111655</v>
      </c>
    </row>
    <row r="128" spans="2:16" ht="14.1" customHeight="1" thickBot="1">
      <c r="D128" s="1621" t="s">
        <v>432</v>
      </c>
      <c r="E128" s="1621"/>
      <c r="F128" s="346">
        <f>F126+F127</f>
        <v>47111655</v>
      </c>
    </row>
    <row r="131" spans="2:16">
      <c r="C131" s="332" t="s">
        <v>1509</v>
      </c>
    </row>
    <row r="132" spans="2:16" ht="15.75" thickBot="1"/>
    <row r="133" spans="2:16" ht="12.75" customHeight="1">
      <c r="B133" s="2"/>
      <c r="C133" s="2"/>
      <c r="D133" s="195"/>
      <c r="E133" s="195"/>
      <c r="F133" s="1607" t="s">
        <v>928</v>
      </c>
      <c r="G133" s="1607" t="s">
        <v>929</v>
      </c>
      <c r="H133" s="1607" t="s">
        <v>930</v>
      </c>
      <c r="I133" s="1607" t="s">
        <v>931</v>
      </c>
      <c r="J133" s="1607" t="s">
        <v>932</v>
      </c>
      <c r="K133" s="1607" t="s">
        <v>933</v>
      </c>
      <c r="L133" s="1607" t="s">
        <v>934</v>
      </c>
      <c r="M133" s="1607" t="s">
        <v>935</v>
      </c>
      <c r="N133" s="1607" t="s">
        <v>936</v>
      </c>
      <c r="O133" s="1607" t="s">
        <v>937</v>
      </c>
      <c r="P133" s="1602" t="s">
        <v>1476</v>
      </c>
    </row>
    <row r="134" spans="2:16" ht="54.95" customHeight="1" thickBot="1">
      <c r="B134" s="2"/>
      <c r="C134" s="2"/>
      <c r="D134" s="35"/>
      <c r="E134" s="35"/>
      <c r="F134" s="1608"/>
      <c r="G134" s="1608"/>
      <c r="H134" s="1608"/>
      <c r="I134" s="1608"/>
      <c r="J134" s="1608"/>
      <c r="K134" s="1608"/>
      <c r="L134" s="1608"/>
      <c r="M134" s="1608"/>
      <c r="N134" s="1608"/>
      <c r="O134" s="1608"/>
      <c r="P134" s="1603"/>
    </row>
    <row r="135" spans="2:16" ht="12.95" customHeight="1">
      <c r="B135" s="4"/>
      <c r="C135" s="4"/>
      <c r="D135" s="1585" t="s">
        <v>1510</v>
      </c>
      <c r="E135" s="1585"/>
      <c r="F135" s="317"/>
      <c r="G135" s="318"/>
      <c r="H135" s="318"/>
      <c r="I135" s="318"/>
      <c r="J135" s="318"/>
      <c r="K135" s="318"/>
      <c r="L135" s="318"/>
      <c r="M135" s="318"/>
      <c r="N135" s="318"/>
      <c r="O135" s="318"/>
      <c r="P135" s="319"/>
    </row>
    <row r="136" spans="2:16" ht="12.95" customHeight="1">
      <c r="B136" s="4"/>
      <c r="C136" s="4"/>
      <c r="D136" s="1566" t="s">
        <v>1505</v>
      </c>
      <c r="E136" s="1566"/>
      <c r="F136" s="320"/>
      <c r="G136" s="321"/>
      <c r="H136" s="321"/>
      <c r="I136" s="321"/>
      <c r="J136" s="321"/>
      <c r="K136" s="321"/>
      <c r="L136" s="321"/>
      <c r="M136" s="321"/>
      <c r="N136" s="321"/>
      <c r="O136" s="321"/>
      <c r="P136" s="322"/>
    </row>
    <row r="137" spans="2:16" ht="12.95" customHeight="1">
      <c r="B137" s="4"/>
      <c r="C137" s="4"/>
      <c r="D137" s="1566" t="s">
        <v>423</v>
      </c>
      <c r="E137" s="1566"/>
      <c r="F137" s="320"/>
      <c r="G137" s="321"/>
      <c r="H137" s="321"/>
      <c r="I137" s="321"/>
      <c r="J137" s="321"/>
      <c r="K137" s="321"/>
      <c r="L137" s="321"/>
      <c r="M137" s="321"/>
      <c r="N137" s="321"/>
      <c r="O137" s="321"/>
      <c r="P137" s="322"/>
    </row>
    <row r="138" spans="2:16" ht="12.95" customHeight="1">
      <c r="B138" s="4"/>
      <c r="C138" s="4"/>
      <c r="D138" s="1566" t="s">
        <v>424</v>
      </c>
      <c r="E138" s="1566"/>
      <c r="F138" s="320"/>
      <c r="G138" s="321"/>
      <c r="H138" s="321"/>
      <c r="I138" s="321"/>
      <c r="J138" s="321"/>
      <c r="K138" s="321"/>
      <c r="L138" s="321"/>
      <c r="M138" s="321"/>
      <c r="N138" s="321"/>
      <c r="O138" s="321"/>
      <c r="P138" s="322"/>
    </row>
    <row r="139" spans="2:16" ht="12.95" customHeight="1">
      <c r="B139" s="4"/>
      <c r="C139" s="4"/>
      <c r="D139" s="1566" t="s">
        <v>425</v>
      </c>
      <c r="E139" s="1566"/>
      <c r="F139" s="320"/>
      <c r="G139" s="320"/>
      <c r="H139" s="320"/>
      <c r="I139" s="320"/>
      <c r="J139" s="320"/>
      <c r="K139" s="320"/>
      <c r="L139" s="320"/>
      <c r="M139" s="320"/>
      <c r="N139" s="320"/>
      <c r="O139" s="320"/>
      <c r="P139" s="322"/>
    </row>
    <row r="140" spans="2:16" ht="12.95" customHeight="1">
      <c r="B140" s="4"/>
      <c r="C140" s="4"/>
      <c r="D140" s="1566" t="s">
        <v>1506</v>
      </c>
      <c r="E140" s="1566"/>
      <c r="F140" s="320"/>
      <c r="G140" s="321"/>
      <c r="H140" s="321"/>
      <c r="I140" s="321"/>
      <c r="J140" s="321"/>
      <c r="K140" s="321"/>
      <c r="L140" s="321"/>
      <c r="M140" s="321"/>
      <c r="N140" s="321"/>
      <c r="O140" s="321"/>
      <c r="P140" s="322"/>
    </row>
    <row r="141" spans="2:16" ht="12.95" customHeight="1">
      <c r="B141" s="4"/>
      <c r="C141" s="4"/>
      <c r="D141" s="1566" t="s">
        <v>426</v>
      </c>
      <c r="E141" s="1566"/>
      <c r="F141" s="320"/>
      <c r="G141" s="321"/>
      <c r="H141" s="321"/>
      <c r="I141" s="321"/>
      <c r="J141" s="321"/>
      <c r="K141" s="321"/>
      <c r="L141" s="321"/>
      <c r="M141" s="321"/>
      <c r="N141" s="321"/>
      <c r="O141" s="321"/>
      <c r="P141" s="322"/>
    </row>
    <row r="142" spans="2:16" ht="12.95" customHeight="1">
      <c r="B142" s="4"/>
      <c r="C142" s="4"/>
      <c r="D142" s="1566" t="s">
        <v>424</v>
      </c>
      <c r="E142" s="1566"/>
      <c r="F142" s="320"/>
      <c r="G142" s="321"/>
      <c r="H142" s="321"/>
      <c r="I142" s="321"/>
      <c r="J142" s="321"/>
      <c r="K142" s="321"/>
      <c r="L142" s="321"/>
      <c r="M142" s="321"/>
      <c r="N142" s="321"/>
      <c r="O142" s="321"/>
      <c r="P142" s="322"/>
    </row>
    <row r="143" spans="2:16" ht="12.95" customHeight="1">
      <c r="B143" s="4"/>
      <c r="C143" s="4"/>
      <c r="D143" s="1566" t="s">
        <v>427</v>
      </c>
      <c r="E143" s="1566"/>
      <c r="F143" s="320"/>
      <c r="G143" s="320"/>
      <c r="H143" s="320"/>
      <c r="I143" s="320"/>
      <c r="J143" s="320"/>
      <c r="K143" s="320"/>
      <c r="L143" s="320"/>
      <c r="M143" s="320"/>
      <c r="N143" s="320"/>
      <c r="O143" s="320"/>
      <c r="P143" s="322"/>
    </row>
    <row r="144" spans="2:16" ht="12.95" customHeight="1">
      <c r="B144" s="4"/>
      <c r="C144" s="4"/>
      <c r="D144" s="1566" t="s">
        <v>1482</v>
      </c>
      <c r="E144" s="1566"/>
      <c r="F144" s="320"/>
      <c r="G144" s="321"/>
      <c r="H144" s="321"/>
      <c r="I144" s="321"/>
      <c r="J144" s="321"/>
      <c r="K144" s="321"/>
      <c r="L144" s="321"/>
      <c r="M144" s="321"/>
      <c r="N144" s="321"/>
      <c r="O144" s="321"/>
      <c r="P144" s="322"/>
    </row>
    <row r="145" spans="2:16" ht="12.95" customHeight="1">
      <c r="B145" s="4"/>
      <c r="C145" s="4"/>
      <c r="D145" s="1566" t="s">
        <v>1483</v>
      </c>
      <c r="E145" s="1566"/>
      <c r="F145" s="320"/>
      <c r="G145" s="321"/>
      <c r="H145" s="321"/>
      <c r="I145" s="321"/>
      <c r="J145" s="321"/>
      <c r="K145" s="321"/>
      <c r="L145" s="321"/>
      <c r="M145" s="321"/>
      <c r="N145" s="321"/>
      <c r="O145" s="321"/>
      <c r="P145" s="322"/>
    </row>
    <row r="146" spans="2:16" ht="12.95" customHeight="1">
      <c r="B146" s="4"/>
      <c r="C146" s="4"/>
      <c r="D146" s="1566" t="s">
        <v>1484</v>
      </c>
      <c r="E146" s="1566"/>
      <c r="F146" s="320"/>
      <c r="G146" s="321"/>
      <c r="H146" s="321"/>
      <c r="I146" s="321"/>
      <c r="J146" s="321"/>
      <c r="K146" s="321"/>
      <c r="L146" s="321"/>
      <c r="M146" s="321"/>
      <c r="N146" s="321"/>
      <c r="O146" s="321"/>
      <c r="P146" s="322"/>
    </row>
    <row r="147" spans="2:16" ht="12.95" customHeight="1">
      <c r="B147" s="4"/>
      <c r="C147" s="4"/>
      <c r="D147" s="1566" t="s">
        <v>1485</v>
      </c>
      <c r="E147" s="1566"/>
      <c r="F147" s="320"/>
      <c r="G147" s="321"/>
      <c r="H147" s="321"/>
      <c r="I147" s="321"/>
      <c r="J147" s="321"/>
      <c r="K147" s="321"/>
      <c r="L147" s="321"/>
      <c r="M147" s="321"/>
      <c r="N147" s="321"/>
      <c r="O147" s="321"/>
      <c r="P147" s="322"/>
    </row>
    <row r="148" spans="2:16" ht="12.95" customHeight="1">
      <c r="B148" s="4"/>
      <c r="C148" s="4"/>
      <c r="D148" s="1566" t="s">
        <v>1486</v>
      </c>
      <c r="E148" s="1566"/>
      <c r="F148" s="326"/>
      <c r="G148" s="327"/>
      <c r="H148" s="327"/>
      <c r="I148" s="327"/>
      <c r="J148" s="327"/>
      <c r="K148" s="327"/>
      <c r="L148" s="327"/>
      <c r="M148" s="327"/>
      <c r="N148" s="327"/>
      <c r="O148" s="327"/>
      <c r="P148" s="328"/>
    </row>
    <row r="149" spans="2:16" ht="12.95" customHeight="1" thickBot="1">
      <c r="B149" s="4"/>
      <c r="C149" s="4"/>
      <c r="D149" s="1566" t="s">
        <v>1487</v>
      </c>
      <c r="E149" s="1566"/>
      <c r="F149" s="333"/>
      <c r="G149" s="334"/>
      <c r="H149" s="334"/>
      <c r="I149" s="334"/>
      <c r="J149" s="334"/>
      <c r="K149" s="334"/>
      <c r="L149" s="334"/>
      <c r="M149" s="334"/>
      <c r="N149" s="334"/>
      <c r="O149" s="334"/>
      <c r="P149" s="335"/>
    </row>
    <row r="150" spans="2:16" ht="12.95" customHeight="1" thickBot="1">
      <c r="B150" s="4"/>
      <c r="C150" s="4"/>
      <c r="D150" s="1583" t="s">
        <v>433</v>
      </c>
      <c r="E150" s="1583"/>
      <c r="F150" s="347"/>
      <c r="G150" s="348"/>
      <c r="H150" s="348"/>
      <c r="I150" s="348"/>
      <c r="J150" s="348"/>
      <c r="K150" s="348"/>
      <c r="L150" s="348"/>
      <c r="M150" s="348"/>
      <c r="N150" s="348"/>
      <c r="O150" s="348"/>
      <c r="P150" s="297">
        <f>SUM(F150:O150)</f>
        <v>0</v>
      </c>
    </row>
    <row r="152" spans="2:16" ht="15.75" thickBot="1"/>
    <row r="153" spans="2:16" ht="12.75" customHeight="1">
      <c r="B153" s="2"/>
      <c r="C153" s="2"/>
      <c r="D153" s="195"/>
      <c r="E153" s="195"/>
      <c r="F153" s="1607" t="s">
        <v>928</v>
      </c>
      <c r="G153" s="1607" t="s">
        <v>929</v>
      </c>
      <c r="H153" s="1607" t="s">
        <v>930</v>
      </c>
      <c r="I153" s="1607" t="s">
        <v>931</v>
      </c>
      <c r="J153" s="1607" t="s">
        <v>932</v>
      </c>
      <c r="K153" s="1607" t="s">
        <v>933</v>
      </c>
      <c r="L153" s="1607" t="s">
        <v>934</v>
      </c>
      <c r="M153" s="1607" t="s">
        <v>935</v>
      </c>
      <c r="N153" s="1607" t="s">
        <v>936</v>
      </c>
      <c r="O153" s="1607" t="s">
        <v>937</v>
      </c>
      <c r="P153" s="1602" t="s">
        <v>1508</v>
      </c>
    </row>
    <row r="154" spans="2:16" ht="54.95" customHeight="1" thickBot="1">
      <c r="B154" s="2"/>
      <c r="C154" s="2"/>
      <c r="D154" s="35"/>
      <c r="E154" s="35"/>
      <c r="F154" s="1608"/>
      <c r="G154" s="1608"/>
      <c r="H154" s="1608"/>
      <c r="I154" s="1608"/>
      <c r="J154" s="1608"/>
      <c r="K154" s="1608"/>
      <c r="L154" s="1608"/>
      <c r="M154" s="1608"/>
      <c r="N154" s="1608"/>
      <c r="O154" s="1608"/>
      <c r="P154" s="1603"/>
    </row>
    <row r="155" spans="2:16" ht="12.95" customHeight="1">
      <c r="B155" s="4"/>
      <c r="C155" s="4"/>
      <c r="D155" s="1585" t="s">
        <v>1473</v>
      </c>
      <c r="E155" s="1585"/>
      <c r="F155" s="317"/>
      <c r="G155" s="318"/>
      <c r="H155" s="318"/>
      <c r="I155" s="318"/>
      <c r="J155" s="318"/>
      <c r="K155" s="318"/>
      <c r="L155" s="318"/>
      <c r="M155" s="318"/>
      <c r="N155" s="318"/>
      <c r="O155" s="318"/>
      <c r="P155" s="319"/>
    </row>
    <row r="156" spans="2:16" ht="12.95" customHeight="1">
      <c r="B156" s="4"/>
      <c r="C156" s="4"/>
      <c r="D156" s="1566" t="s">
        <v>1505</v>
      </c>
      <c r="E156" s="1566"/>
      <c r="F156" s="320"/>
      <c r="G156" s="321"/>
      <c r="H156" s="321"/>
      <c r="I156" s="321"/>
      <c r="J156" s="321"/>
      <c r="K156" s="321"/>
      <c r="L156" s="321"/>
      <c r="M156" s="321"/>
      <c r="N156" s="321"/>
      <c r="O156" s="321"/>
      <c r="P156" s="322"/>
    </row>
    <row r="157" spans="2:16" ht="12.95" customHeight="1">
      <c r="B157" s="4"/>
      <c r="C157" s="4"/>
      <c r="D157" s="1566" t="s">
        <v>423</v>
      </c>
      <c r="E157" s="1566"/>
      <c r="F157" s="320"/>
      <c r="G157" s="321"/>
      <c r="H157" s="321"/>
      <c r="I157" s="321"/>
      <c r="J157" s="321"/>
      <c r="K157" s="321"/>
      <c r="L157" s="321"/>
      <c r="M157" s="321"/>
      <c r="N157" s="321"/>
      <c r="O157" s="321"/>
      <c r="P157" s="322"/>
    </row>
    <row r="158" spans="2:16" ht="12.95" customHeight="1">
      <c r="B158" s="4"/>
      <c r="C158" s="4"/>
      <c r="D158" s="1566" t="s">
        <v>424</v>
      </c>
      <c r="E158" s="1566"/>
      <c r="F158" s="320"/>
      <c r="G158" s="321"/>
      <c r="H158" s="321"/>
      <c r="I158" s="321"/>
      <c r="J158" s="321"/>
      <c r="K158" s="321"/>
      <c r="L158" s="321"/>
      <c r="M158" s="321"/>
      <c r="N158" s="321"/>
      <c r="O158" s="321"/>
      <c r="P158" s="322"/>
    </row>
    <row r="159" spans="2:16" ht="12.95" customHeight="1">
      <c r="B159" s="4"/>
      <c r="C159" s="4"/>
      <c r="D159" s="1566" t="s">
        <v>425</v>
      </c>
      <c r="E159" s="1566"/>
      <c r="F159" s="320"/>
      <c r="G159" s="320"/>
      <c r="H159" s="320"/>
      <c r="I159" s="320"/>
      <c r="J159" s="320"/>
      <c r="K159" s="320"/>
      <c r="L159" s="320"/>
      <c r="M159" s="320"/>
      <c r="N159" s="320"/>
      <c r="O159" s="320"/>
      <c r="P159" s="322"/>
    </row>
    <row r="160" spans="2:16" ht="12.95" customHeight="1">
      <c r="B160" s="4"/>
      <c r="C160" s="4"/>
      <c r="D160" s="1566" t="s">
        <v>1506</v>
      </c>
      <c r="E160" s="1566"/>
      <c r="F160" s="320" t="s">
        <v>3781</v>
      </c>
      <c r="G160" s="321" t="s">
        <v>3782</v>
      </c>
      <c r="H160" s="321" t="s">
        <v>3783</v>
      </c>
      <c r="I160" s="321" t="s">
        <v>3784</v>
      </c>
      <c r="J160" s="321"/>
      <c r="K160" s="321"/>
      <c r="L160" s="321"/>
      <c r="M160" s="321"/>
      <c r="N160" s="321"/>
      <c r="O160" s="321"/>
      <c r="P160" s="322"/>
    </row>
    <row r="161" spans="2:16" ht="12.95" customHeight="1">
      <c r="B161" s="4"/>
      <c r="C161" s="4"/>
      <c r="D161" s="1566" t="s">
        <v>428</v>
      </c>
      <c r="E161" s="1566"/>
      <c r="F161" s="320" t="s">
        <v>3834</v>
      </c>
      <c r="G161" s="321" t="s">
        <v>3832</v>
      </c>
      <c r="H161" s="321" t="s">
        <v>3838</v>
      </c>
      <c r="I161" s="321" t="s">
        <v>3831</v>
      </c>
      <c r="J161" s="321"/>
      <c r="K161" s="321"/>
      <c r="L161" s="321"/>
      <c r="M161" s="321"/>
      <c r="N161" s="321"/>
      <c r="O161" s="321"/>
      <c r="P161" s="322"/>
    </row>
    <row r="162" spans="2:16" ht="12.95" customHeight="1">
      <c r="B162" s="4"/>
      <c r="C162" s="4"/>
      <c r="D162" s="1566" t="s">
        <v>424</v>
      </c>
      <c r="E162" s="1566"/>
      <c r="F162" s="320" t="s">
        <v>3779</v>
      </c>
      <c r="G162" s="321" t="s">
        <v>3779</v>
      </c>
      <c r="H162" s="321" t="s">
        <v>3780</v>
      </c>
      <c r="I162" s="321" t="s">
        <v>3779</v>
      </c>
      <c r="J162" s="321"/>
      <c r="K162" s="321"/>
      <c r="L162" s="321"/>
      <c r="M162" s="321"/>
      <c r="N162" s="321"/>
      <c r="O162" s="321"/>
      <c r="P162" s="322"/>
    </row>
    <row r="163" spans="2:16" ht="12.95" customHeight="1">
      <c r="B163" s="4"/>
      <c r="C163" s="4"/>
      <c r="D163" s="1566" t="s">
        <v>427</v>
      </c>
      <c r="E163" s="1566"/>
      <c r="F163" s="320" t="s">
        <v>2039</v>
      </c>
      <c r="G163" s="320" t="s">
        <v>2039</v>
      </c>
      <c r="H163" s="320" t="s">
        <v>2025</v>
      </c>
      <c r="I163" s="320" t="s">
        <v>2025</v>
      </c>
      <c r="J163" s="320"/>
      <c r="K163" s="320"/>
      <c r="L163" s="320"/>
      <c r="M163" s="320"/>
      <c r="N163" s="320"/>
      <c r="O163" s="320"/>
      <c r="P163" s="322"/>
    </row>
    <row r="164" spans="2:16" ht="12.95" customHeight="1">
      <c r="B164" s="4"/>
      <c r="C164" s="4"/>
      <c r="D164" s="1566" t="s">
        <v>1482</v>
      </c>
      <c r="E164" s="1566"/>
      <c r="F164" s="320" t="s">
        <v>3840</v>
      </c>
      <c r="G164" s="321" t="s">
        <v>3840</v>
      </c>
      <c r="H164" s="321" t="s">
        <v>3839</v>
      </c>
      <c r="I164" s="321" t="s">
        <v>3839</v>
      </c>
      <c r="J164" s="321"/>
      <c r="K164" s="321"/>
      <c r="L164" s="321"/>
      <c r="M164" s="321"/>
      <c r="N164" s="321"/>
      <c r="O164" s="321"/>
      <c r="P164" s="322"/>
    </row>
    <row r="165" spans="2:16" ht="12.95" customHeight="1">
      <c r="B165" s="4"/>
      <c r="C165" s="4"/>
      <c r="D165" s="1566" t="s">
        <v>1483</v>
      </c>
      <c r="E165" s="1566"/>
      <c r="F165" s="320" t="s">
        <v>3845</v>
      </c>
      <c r="G165" s="321" t="s">
        <v>3843</v>
      </c>
      <c r="H165" s="321" t="s">
        <v>3840</v>
      </c>
      <c r="I165" s="321" t="s">
        <v>3840</v>
      </c>
      <c r="J165" s="321"/>
      <c r="K165" s="321"/>
      <c r="L165" s="321"/>
      <c r="M165" s="321"/>
      <c r="N165" s="321"/>
      <c r="O165" s="321"/>
      <c r="P165" s="322"/>
    </row>
    <row r="166" spans="2:16" ht="12.95" customHeight="1">
      <c r="B166" s="4"/>
      <c r="C166" s="4"/>
      <c r="D166" s="1566" t="s">
        <v>1484</v>
      </c>
      <c r="E166" s="1566"/>
      <c r="F166" s="320" t="s">
        <v>3846</v>
      </c>
      <c r="G166" s="321" t="s">
        <v>3842</v>
      </c>
      <c r="H166" s="321" t="s">
        <v>3841</v>
      </c>
      <c r="I166" s="321" t="s">
        <v>3841</v>
      </c>
      <c r="J166" s="321"/>
      <c r="K166" s="321"/>
      <c r="L166" s="321"/>
      <c r="M166" s="321"/>
      <c r="N166" s="321"/>
      <c r="O166" s="321"/>
      <c r="P166" s="322"/>
    </row>
    <row r="167" spans="2:16" ht="12.95" customHeight="1">
      <c r="B167" s="4"/>
      <c r="C167" s="4"/>
      <c r="D167" s="1566" t="s">
        <v>1485</v>
      </c>
      <c r="E167" s="1566"/>
      <c r="F167" s="320" t="s">
        <v>888</v>
      </c>
      <c r="G167" s="321" t="s">
        <v>3844</v>
      </c>
      <c r="H167" s="321" t="s">
        <v>3842</v>
      </c>
      <c r="I167" s="321" t="s">
        <v>3842</v>
      </c>
      <c r="J167" s="321"/>
      <c r="K167" s="321"/>
      <c r="L167" s="321"/>
      <c r="M167" s="321"/>
      <c r="N167" s="321"/>
      <c r="O167" s="321"/>
      <c r="P167" s="322"/>
    </row>
    <row r="168" spans="2:16" ht="12.95" customHeight="1">
      <c r="B168" s="4"/>
      <c r="C168" s="4"/>
      <c r="D168" s="1566" t="s">
        <v>1486</v>
      </c>
      <c r="E168" s="1566"/>
      <c r="F168" s="600">
        <v>43126</v>
      </c>
      <c r="G168" s="151">
        <v>43076</v>
      </c>
      <c r="H168" s="151">
        <v>43115</v>
      </c>
      <c r="I168" s="151">
        <v>43088</v>
      </c>
      <c r="J168" s="151"/>
      <c r="K168" s="151"/>
      <c r="L168" s="151"/>
      <c r="M168" s="151"/>
      <c r="N168" s="151"/>
      <c r="O168" s="151"/>
      <c r="P168" s="758"/>
    </row>
    <row r="169" spans="2:16" ht="12.95" customHeight="1" thickBot="1">
      <c r="B169" s="4"/>
      <c r="C169" s="4"/>
      <c r="D169" s="1566" t="s">
        <v>1487</v>
      </c>
      <c r="E169" s="1566"/>
      <c r="F169" s="759">
        <v>43003</v>
      </c>
      <c r="G169" s="156">
        <v>42933</v>
      </c>
      <c r="H169" s="156">
        <v>43077</v>
      </c>
      <c r="I169" s="156">
        <v>43021</v>
      </c>
      <c r="J169" s="156"/>
      <c r="K169" s="156"/>
      <c r="L169" s="156"/>
      <c r="M169" s="156"/>
      <c r="N169" s="156"/>
      <c r="O169" s="156"/>
      <c r="P169" s="760"/>
    </row>
    <row r="170" spans="2:16" ht="12.95" customHeight="1" thickBot="1">
      <c r="B170" s="4"/>
      <c r="C170" s="4"/>
      <c r="D170" s="1583" t="s">
        <v>433</v>
      </c>
      <c r="E170" s="1583"/>
      <c r="F170" s="347"/>
      <c r="G170" s="348"/>
      <c r="H170" s="348">
        <f>+'Nota 19'!H8</f>
        <v>367717</v>
      </c>
      <c r="I170" s="348"/>
      <c r="J170" s="348"/>
      <c r="K170" s="348"/>
      <c r="L170" s="348"/>
      <c r="M170" s="348"/>
      <c r="N170" s="348"/>
      <c r="O170" s="348"/>
      <c r="P170" s="297">
        <f>SUM(F170:O170)</f>
        <v>367717</v>
      </c>
    </row>
    <row r="173" spans="2:16">
      <c r="D173" s="1566" t="s">
        <v>435</v>
      </c>
      <c r="E173" s="1566"/>
      <c r="F173" s="349">
        <f>P150</f>
        <v>0</v>
      </c>
    </row>
    <row r="174" spans="2:16" ht="15.75" thickBot="1">
      <c r="D174" s="1566" t="s">
        <v>434</v>
      </c>
      <c r="E174" s="1566"/>
      <c r="F174" s="350">
        <f>P170</f>
        <v>367717</v>
      </c>
    </row>
    <row r="175" spans="2:16" ht="15.75" thickBot="1">
      <c r="D175" s="1626" t="s">
        <v>432</v>
      </c>
      <c r="E175" s="1626"/>
      <c r="F175" s="351">
        <f>F173+F174</f>
        <v>367717</v>
      </c>
    </row>
  </sheetData>
  <mergeCells count="158">
    <mergeCell ref="D173:E173"/>
    <mergeCell ref="D174:E174"/>
    <mergeCell ref="D175:E175"/>
    <mergeCell ref="D166:E166"/>
    <mergeCell ref="D167:E167"/>
    <mergeCell ref="D168:E168"/>
    <mergeCell ref="D169:E169"/>
    <mergeCell ref="D170:E170"/>
    <mergeCell ref="D161:E161"/>
    <mergeCell ref="D162:E162"/>
    <mergeCell ref="D163:E163"/>
    <mergeCell ref="D164:E164"/>
    <mergeCell ref="D165:E165"/>
    <mergeCell ref="D156:E156"/>
    <mergeCell ref="D157:E157"/>
    <mergeCell ref="D158:E158"/>
    <mergeCell ref="D159:E159"/>
    <mergeCell ref="D160:E160"/>
    <mergeCell ref="M153:M154"/>
    <mergeCell ref="N153:N154"/>
    <mergeCell ref="O153:O154"/>
    <mergeCell ref="P153:P154"/>
    <mergeCell ref="D155:E155"/>
    <mergeCell ref="H153:H154"/>
    <mergeCell ref="I153:I154"/>
    <mergeCell ref="J153:J154"/>
    <mergeCell ref="K153:K154"/>
    <mergeCell ref="L153:L154"/>
    <mergeCell ref="D148:E148"/>
    <mergeCell ref="D149:E149"/>
    <mergeCell ref="D150:E150"/>
    <mergeCell ref="F153:F154"/>
    <mergeCell ref="G153:G154"/>
    <mergeCell ref="D143:E143"/>
    <mergeCell ref="D144:E144"/>
    <mergeCell ref="D145:E145"/>
    <mergeCell ref="D146:E146"/>
    <mergeCell ref="D147:E147"/>
    <mergeCell ref="D138:E138"/>
    <mergeCell ref="D139:E139"/>
    <mergeCell ref="D140:E140"/>
    <mergeCell ref="D141:E141"/>
    <mergeCell ref="D142:E142"/>
    <mergeCell ref="O133:O134"/>
    <mergeCell ref="P133:P134"/>
    <mergeCell ref="D135:E135"/>
    <mergeCell ref="D136:E136"/>
    <mergeCell ref="D137:E137"/>
    <mergeCell ref="J133:J134"/>
    <mergeCell ref="K133:K134"/>
    <mergeCell ref="L133:L134"/>
    <mergeCell ref="M133:M134"/>
    <mergeCell ref="N133:N134"/>
    <mergeCell ref="D128:E128"/>
    <mergeCell ref="F133:F134"/>
    <mergeCell ref="G133:G134"/>
    <mergeCell ref="H133:H134"/>
    <mergeCell ref="I133:I134"/>
    <mergeCell ref="D122:E122"/>
    <mergeCell ref="D123:E123"/>
    <mergeCell ref="D114:E114"/>
    <mergeCell ref="D126:E126"/>
    <mergeCell ref="D127:E127"/>
    <mergeCell ref="D117:E117"/>
    <mergeCell ref="D118:E118"/>
    <mergeCell ref="D119:E119"/>
    <mergeCell ref="D120:E120"/>
    <mergeCell ref="D121:E121"/>
    <mergeCell ref="D112:E112"/>
    <mergeCell ref="D113:E113"/>
    <mergeCell ref="D115:E115"/>
    <mergeCell ref="D116:E116"/>
    <mergeCell ref="P106:P107"/>
    <mergeCell ref="D108:E108"/>
    <mergeCell ref="D109:E109"/>
    <mergeCell ref="D110:E110"/>
    <mergeCell ref="D111:E111"/>
    <mergeCell ref="K106:K107"/>
    <mergeCell ref="L106:L107"/>
    <mergeCell ref="M106:M107"/>
    <mergeCell ref="N106:N107"/>
    <mergeCell ref="O106:O107"/>
    <mergeCell ref="F106:F107"/>
    <mergeCell ref="G106:G107"/>
    <mergeCell ref="H106:H107"/>
    <mergeCell ref="I106:I107"/>
    <mergeCell ref="J106:J107"/>
    <mergeCell ref="P4:P5"/>
    <mergeCell ref="F4:F5"/>
    <mergeCell ref="G4:G5"/>
    <mergeCell ref="H4:H5"/>
    <mergeCell ref="I4:I5"/>
    <mergeCell ref="J4:J5"/>
    <mergeCell ref="K4:K5"/>
    <mergeCell ref="L4:L5"/>
    <mergeCell ref="M4:M5"/>
    <mergeCell ref="N4:N5"/>
    <mergeCell ref="O4:O5"/>
    <mergeCell ref="D6:E6"/>
    <mergeCell ref="F41:F42"/>
    <mergeCell ref="G41:G42"/>
    <mergeCell ref="H41:H42"/>
    <mergeCell ref="I41:I42"/>
    <mergeCell ref="D7:E7"/>
    <mergeCell ref="D8:E8"/>
    <mergeCell ref="D9:E9"/>
    <mergeCell ref="D10:E10"/>
    <mergeCell ref="D11:E11"/>
    <mergeCell ref="D12:E12"/>
    <mergeCell ref="D13:E13"/>
    <mergeCell ref="D14:E14"/>
    <mergeCell ref="D15:E15"/>
    <mergeCell ref="D22:E22"/>
    <mergeCell ref="O41:O42"/>
    <mergeCell ref="P41:P42"/>
    <mergeCell ref="D43:E43"/>
    <mergeCell ref="D44:E44"/>
    <mergeCell ref="D45:E45"/>
    <mergeCell ref="J41:J42"/>
    <mergeCell ref="K41:K42"/>
    <mergeCell ref="L41:L42"/>
    <mergeCell ref="M41:M42"/>
    <mergeCell ref="N41:N42"/>
    <mergeCell ref="D46:E46"/>
    <mergeCell ref="D47:E47"/>
    <mergeCell ref="D48:E48"/>
    <mergeCell ref="D49:E49"/>
    <mergeCell ref="D50:E50"/>
    <mergeCell ref="D51:E51"/>
    <mergeCell ref="D52:E52"/>
    <mergeCell ref="D59:E59"/>
    <mergeCell ref="F86:F87"/>
    <mergeCell ref="G86:G87"/>
    <mergeCell ref="M86:M87"/>
    <mergeCell ref="N86:N87"/>
    <mergeCell ref="O86:O87"/>
    <mergeCell ref="P86:P87"/>
    <mergeCell ref="D88:E88"/>
    <mergeCell ref="H86:H87"/>
    <mergeCell ref="I86:I87"/>
    <mergeCell ref="J86:J87"/>
    <mergeCell ref="K86:K87"/>
    <mergeCell ref="L86:L87"/>
    <mergeCell ref="D89:E89"/>
    <mergeCell ref="D90:E90"/>
    <mergeCell ref="D91:E91"/>
    <mergeCell ref="D92:E92"/>
    <mergeCell ref="D93:E93"/>
    <mergeCell ref="D94:E94"/>
    <mergeCell ref="D95:E95"/>
    <mergeCell ref="D103:E103"/>
    <mergeCell ref="D96:E96"/>
    <mergeCell ref="D97:E97"/>
    <mergeCell ref="D98:E98"/>
    <mergeCell ref="D99:E99"/>
    <mergeCell ref="D100:E100"/>
    <mergeCell ref="D101:E101"/>
    <mergeCell ref="D102:E102"/>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'1. Carátula'!$C$32:$C$280</xm:f>
          </x14:formula1>
          <xm:sqref>K47:O47 F10:O10 F163:O163 F92:O92 F96:O96 F112:O112 F116:O116 F139:O139 F143:O143 F159:O159 F51:O51 F14:P14</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heetPr>
  <dimension ref="B1:G27"/>
  <sheetViews>
    <sheetView showGridLines="0" workbookViewId="0">
      <selection activeCell="E10" sqref="E10"/>
    </sheetView>
  </sheetViews>
  <sheetFormatPr baseColWidth="10" defaultColWidth="9.140625" defaultRowHeight="15"/>
  <cols>
    <col min="1" max="3" width="2.42578125" customWidth="1"/>
    <col min="4" max="4" width="50.7109375" customWidth="1"/>
    <col min="5" max="8" width="14.7109375" customWidth="1"/>
    <col min="9" max="10" width="10" customWidth="1"/>
  </cols>
  <sheetData>
    <row r="1" spans="2:7" ht="15" customHeight="1"/>
    <row r="2" spans="2:7" s="246" customFormat="1" ht="15" customHeight="1">
      <c r="B2" s="247"/>
      <c r="C2" s="282" t="s">
        <v>1511</v>
      </c>
    </row>
    <row r="3" spans="2:7" ht="15" customHeight="1" thickBot="1"/>
    <row r="4" spans="2:7">
      <c r="D4" s="195"/>
      <c r="E4" s="1611" t="s">
        <v>1419</v>
      </c>
      <c r="F4" s="1612" t="s">
        <v>1420</v>
      </c>
      <c r="G4" s="1613" t="s">
        <v>432</v>
      </c>
    </row>
    <row r="5" spans="2:7" ht="54.95" customHeight="1" thickBot="1">
      <c r="D5" s="35"/>
      <c r="E5" s="1676"/>
      <c r="F5" s="1610"/>
      <c r="G5" s="1616"/>
    </row>
    <row r="6" spans="2:7" ht="14.1" customHeight="1">
      <c r="D6" s="356" t="s">
        <v>438</v>
      </c>
      <c r="E6" s="310"/>
      <c r="F6" s="311"/>
      <c r="G6" s="312"/>
    </row>
    <row r="7" spans="2:7" ht="14.1" customHeight="1">
      <c r="D7" s="357" t="s">
        <v>1512</v>
      </c>
      <c r="E7" s="54"/>
      <c r="F7" s="43"/>
      <c r="G7" s="204">
        <f>+E7+F7</f>
        <v>0</v>
      </c>
    </row>
    <row r="8" spans="2:7" ht="14.1" customHeight="1">
      <c r="D8" s="356" t="s">
        <v>1513</v>
      </c>
      <c r="E8" s="61">
        <f>+E9+E10</f>
        <v>15820</v>
      </c>
      <c r="F8" s="61">
        <f>+F9+F10</f>
        <v>0</v>
      </c>
      <c r="G8" s="62">
        <f t="shared" ref="G8:G11" si="0">+E8+F8</f>
        <v>15820</v>
      </c>
    </row>
    <row r="9" spans="2:7" ht="14.1" customHeight="1">
      <c r="D9" s="357" t="s">
        <v>436</v>
      </c>
      <c r="E9" s="54">
        <v>606</v>
      </c>
      <c r="F9" s="43"/>
      <c r="G9" s="204"/>
    </row>
    <row r="10" spans="2:7" ht="14.1" customHeight="1">
      <c r="D10" s="357" t="s">
        <v>437</v>
      </c>
      <c r="E10" s="54">
        <v>15214</v>
      </c>
      <c r="F10" s="43"/>
      <c r="G10" s="204"/>
    </row>
    <row r="11" spans="2:7" ht="14.1" customHeight="1" thickBot="1">
      <c r="D11" s="357" t="s">
        <v>1235</v>
      </c>
      <c r="E11" s="54"/>
      <c r="F11" s="43"/>
      <c r="G11" s="204">
        <f t="shared" si="0"/>
        <v>0</v>
      </c>
    </row>
    <row r="12" spans="2:7" ht="14.1" customHeight="1" thickBot="1">
      <c r="D12" s="364" t="s">
        <v>432</v>
      </c>
      <c r="E12" s="56">
        <f>E7+E8-E11</f>
        <v>15820</v>
      </c>
      <c r="F12" s="56">
        <f t="shared" ref="F12:G12" si="1">F7+F8-F11</f>
        <v>0</v>
      </c>
      <c r="G12" s="56">
        <f t="shared" si="1"/>
        <v>15820</v>
      </c>
    </row>
    <row r="13" spans="2:7" ht="14.1" customHeight="1">
      <c r="D13" s="357" t="s">
        <v>1423</v>
      </c>
      <c r="E13" s="54">
        <v>15820</v>
      </c>
      <c r="F13" s="43"/>
      <c r="G13" s="204">
        <f t="shared" ref="G13:G14" si="2">+E13+F13</f>
        <v>15820</v>
      </c>
    </row>
    <row r="14" spans="2:7" ht="14.1" customHeight="1">
      <c r="D14" s="357" t="s">
        <v>1424</v>
      </c>
      <c r="E14" s="189"/>
      <c r="F14" s="154"/>
      <c r="G14" s="205">
        <f t="shared" si="2"/>
        <v>0</v>
      </c>
    </row>
    <row r="15" spans="2:7" ht="14.1" customHeight="1"/>
    <row r="16" spans="2:7" ht="14.1" customHeight="1"/>
    <row r="17" spans="3:7" ht="14.1" customHeight="1">
      <c r="C17" s="282" t="s">
        <v>1514</v>
      </c>
    </row>
    <row r="18" spans="3:7" ht="14.1" customHeight="1" thickBot="1"/>
    <row r="19" spans="3:7">
      <c r="D19" s="195"/>
      <c r="E19" s="1611" t="s">
        <v>1512</v>
      </c>
      <c r="F19" s="1612" t="s">
        <v>1516</v>
      </c>
      <c r="G19" s="1613" t="s">
        <v>1515</v>
      </c>
    </row>
    <row r="20" spans="3:7" ht="54.95" customHeight="1" thickBot="1">
      <c r="D20" s="35"/>
      <c r="E20" s="1676"/>
      <c r="F20" s="1610"/>
      <c r="G20" s="1616"/>
    </row>
    <row r="21" spans="3:7" ht="14.1" customHeight="1">
      <c r="D21" s="356" t="s">
        <v>1517</v>
      </c>
      <c r="E21" s="310"/>
      <c r="F21" s="311"/>
      <c r="G21" s="312"/>
    </row>
    <row r="22" spans="3:7" ht="14.1" customHeight="1">
      <c r="D22" s="357" t="s">
        <v>1257</v>
      </c>
      <c r="E22" s="54"/>
      <c r="F22" s="43"/>
      <c r="G22" s="204">
        <f>+E22+F22</f>
        <v>0</v>
      </c>
    </row>
    <row r="23" spans="3:7" ht="14.1" customHeight="1">
      <c r="D23" s="229" t="s">
        <v>1518</v>
      </c>
      <c r="E23" s="353"/>
      <c r="F23" s="353"/>
      <c r="G23" s="204">
        <f t="shared" ref="G23:G26" si="3">+E23+F23</f>
        <v>0</v>
      </c>
    </row>
    <row r="24" spans="3:7" ht="14.1" customHeight="1">
      <c r="D24" s="357" t="s">
        <v>1519</v>
      </c>
      <c r="E24" s="54"/>
      <c r="F24" s="43"/>
      <c r="G24" s="204">
        <f t="shared" si="3"/>
        <v>0</v>
      </c>
    </row>
    <row r="25" spans="3:7" ht="14.1" customHeight="1">
      <c r="D25" s="357" t="s">
        <v>1520</v>
      </c>
      <c r="E25" s="54"/>
      <c r="F25" s="43"/>
      <c r="G25" s="204">
        <f t="shared" si="3"/>
        <v>0</v>
      </c>
    </row>
    <row r="26" spans="3:7" ht="14.1" customHeight="1" thickBot="1">
      <c r="D26" s="357" t="s">
        <v>1245</v>
      </c>
      <c r="E26" s="54"/>
      <c r="F26" s="43"/>
      <c r="G26" s="204">
        <f t="shared" si="3"/>
        <v>0</v>
      </c>
    </row>
    <row r="27" spans="3:7" ht="14.1" customHeight="1" thickBot="1">
      <c r="D27" s="364" t="s">
        <v>432</v>
      </c>
      <c r="E27" s="56">
        <f>SUM(E22:E26)</f>
        <v>0</v>
      </c>
      <c r="F27" s="56">
        <f t="shared" ref="F27:G27" si="4">SUM(F22:F26)</f>
        <v>0</v>
      </c>
      <c r="G27" s="56">
        <f t="shared" si="4"/>
        <v>0</v>
      </c>
    </row>
  </sheetData>
  <mergeCells count="6">
    <mergeCell ref="E19:E20"/>
    <mergeCell ref="F19:F20"/>
    <mergeCell ref="G19:G20"/>
    <mergeCell ref="E4:E5"/>
    <mergeCell ref="F4:F5"/>
    <mergeCell ref="G4:G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heetPr>
  <dimension ref="B1:Q459"/>
  <sheetViews>
    <sheetView showGridLines="0" topLeftCell="A34" zoomScaleNormal="100" workbookViewId="0">
      <selection activeCell="I61" sqref="I61"/>
    </sheetView>
  </sheetViews>
  <sheetFormatPr baseColWidth="10" defaultRowHeight="15"/>
  <cols>
    <col min="1" max="7" width="2.42578125" customWidth="1"/>
    <col min="8" max="8" width="58" customWidth="1"/>
    <col min="9" max="10" width="15.7109375" customWidth="1"/>
    <col min="11" max="11" width="10.7109375" customWidth="1"/>
    <col min="13" max="13" width="11.42578125" style="190"/>
    <col min="15" max="15" width="14.5703125" bestFit="1" customWidth="1"/>
  </cols>
  <sheetData>
    <row r="1" spans="2:17" ht="15" customHeight="1"/>
    <row r="2" spans="2:17" s="1" customFormat="1" ht="15" customHeight="1">
      <c r="M2" s="909"/>
    </row>
    <row r="3" spans="2:17" ht="15" customHeight="1"/>
    <row r="4" spans="2:17" ht="23.25" customHeight="1">
      <c r="B4" s="2"/>
      <c r="C4" s="2"/>
      <c r="D4" s="2"/>
      <c r="E4" s="2"/>
      <c r="F4" s="2"/>
      <c r="G4" s="2"/>
      <c r="H4" s="2"/>
      <c r="I4" s="16" t="s">
        <v>3880</v>
      </c>
      <c r="J4" s="16" t="s">
        <v>2789</v>
      </c>
      <c r="K4" s="17" t="s">
        <v>834</v>
      </c>
      <c r="M4" s="919" t="s">
        <v>3727</v>
      </c>
    </row>
    <row r="5" spans="2:17" ht="15" customHeight="1">
      <c r="B5" s="1557" t="s">
        <v>835</v>
      </c>
      <c r="C5" s="1557"/>
      <c r="D5" s="1557"/>
      <c r="E5" s="1557"/>
      <c r="F5" s="1557"/>
      <c r="G5" s="1557"/>
      <c r="H5" s="1557"/>
      <c r="I5" s="21"/>
      <c r="J5" s="21"/>
      <c r="K5" s="22"/>
      <c r="O5" s="915">
        <f ca="1">+I6-I60</f>
        <v>0</v>
      </c>
    </row>
    <row r="6" spans="2:17" ht="15" customHeight="1">
      <c r="B6" s="12"/>
      <c r="C6" s="1556" t="s">
        <v>6</v>
      </c>
      <c r="D6" s="1556"/>
      <c r="E6" s="1556"/>
      <c r="F6" s="1556"/>
      <c r="G6" s="1556"/>
      <c r="H6" s="1556"/>
      <c r="I6" s="1518">
        <f ca="1">I7+I18+I24+I47+I25</f>
        <v>2125954316</v>
      </c>
      <c r="J6" s="911">
        <f>J7+J18+J24+J47+J25</f>
        <v>2094765873</v>
      </c>
      <c r="K6" s="22"/>
    </row>
    <row r="7" spans="2:17" ht="15" customHeight="1">
      <c r="B7" s="12"/>
      <c r="C7" s="12"/>
      <c r="D7" s="1557" t="s">
        <v>7</v>
      </c>
      <c r="E7" s="1557"/>
      <c r="F7" s="1557"/>
      <c r="G7" s="1557"/>
      <c r="H7" s="1557"/>
      <c r="I7" s="911">
        <f ca="1">I8+I9+I10+I11+I14+I15</f>
        <v>1687845288</v>
      </c>
      <c r="J7" s="911">
        <f>J8+J9+J10+J11+J14+J15</f>
        <v>1650739597</v>
      </c>
      <c r="K7" s="22"/>
    </row>
    <row r="8" spans="2:17" ht="15" customHeight="1">
      <c r="B8" s="12"/>
      <c r="C8" s="12"/>
      <c r="D8" s="12"/>
      <c r="E8" s="1555" t="s">
        <v>8</v>
      </c>
      <c r="F8" s="1555"/>
      <c r="G8" s="1555"/>
      <c r="H8" s="1555"/>
      <c r="I8" s="913">
        <f ca="1">+IFERROR(VLOOKUP(M8,Activo!$Y$13:$Z$87,2,0),0)</f>
        <v>6508368</v>
      </c>
      <c r="J8" s="913">
        <v>11067317</v>
      </c>
      <c r="K8" s="22"/>
      <c r="L8" s="915"/>
      <c r="M8" s="190">
        <v>5111000</v>
      </c>
      <c r="N8">
        <f>+IFERROR(VLOOKUP(M8,'Resultado Integral'!$Z$10:$AA$101,2,0),0)</f>
        <v>0</v>
      </c>
      <c r="O8" s="1022"/>
      <c r="P8" s="1561"/>
      <c r="Q8" s="1561"/>
    </row>
    <row r="9" spans="2:17" ht="15" customHeight="1">
      <c r="B9" s="12"/>
      <c r="C9" s="12"/>
      <c r="D9" s="12"/>
      <c r="E9" s="1555" t="s">
        <v>9</v>
      </c>
      <c r="F9" s="1555"/>
      <c r="G9" s="1555"/>
      <c r="H9" s="1555"/>
      <c r="I9" s="913">
        <f ca="1">+IFERROR(VLOOKUP(M9,Activo!$Y$13:$Z$87,2,0),0)</f>
        <v>37127948</v>
      </c>
      <c r="J9" s="913">
        <v>31499367</v>
      </c>
      <c r="K9" s="22"/>
      <c r="M9" s="190">
        <v>5112000</v>
      </c>
      <c r="N9">
        <f>+IFERROR(VLOOKUP(M9,'Resultado Integral'!$Z$10:$AA$101,2,0),0)</f>
        <v>0</v>
      </c>
      <c r="O9" s="1022"/>
      <c r="P9" s="1050"/>
      <c r="Q9" s="1050"/>
    </row>
    <row r="10" spans="2:17" ht="15" customHeight="1">
      <c r="B10" s="12"/>
      <c r="C10" s="12"/>
      <c r="D10" s="12"/>
      <c r="E10" s="1555" t="s">
        <v>10</v>
      </c>
      <c r="F10" s="1555"/>
      <c r="G10" s="1555"/>
      <c r="H10" s="1555"/>
      <c r="I10" s="913">
        <f ca="1">+IFERROR(VLOOKUP(M10,Activo!$Y$13:$Z$87,2,0),0)</f>
        <v>1387160161</v>
      </c>
      <c r="J10" s="913">
        <v>1348784137</v>
      </c>
      <c r="K10" s="22"/>
      <c r="M10" s="190">
        <v>5113000</v>
      </c>
      <c r="N10">
        <f>+IFERROR(VLOOKUP(M10,'Resultado Integral'!$Z$10:$AA$101,2,0),0)</f>
        <v>0</v>
      </c>
      <c r="O10" s="1022"/>
      <c r="P10" s="1561"/>
      <c r="Q10" s="1561"/>
    </row>
    <row r="11" spans="2:17" ht="15" customHeight="1">
      <c r="B11" s="12"/>
      <c r="C11" s="12"/>
      <c r="D11" s="12"/>
      <c r="E11" s="1557" t="s">
        <v>11</v>
      </c>
      <c r="F11" s="1557"/>
      <c r="G11" s="1557"/>
      <c r="H11" s="1557"/>
      <c r="I11" s="911">
        <f ca="1">I12+I13</f>
        <v>10600244</v>
      </c>
      <c r="J11" s="911">
        <f>J12+J13</f>
        <v>10444503</v>
      </c>
      <c r="K11" s="22"/>
      <c r="O11" s="1022"/>
      <c r="P11" s="1050"/>
      <c r="Q11" s="1050"/>
    </row>
    <row r="12" spans="2:17" ht="15" customHeight="1">
      <c r="B12" s="12"/>
      <c r="C12" s="12"/>
      <c r="D12" s="12"/>
      <c r="E12" s="12"/>
      <c r="F12" s="1555" t="s">
        <v>12</v>
      </c>
      <c r="G12" s="1555"/>
      <c r="H12" s="1555"/>
      <c r="I12" s="913">
        <f ca="1">+IFERROR(VLOOKUP(M12,Activo!$Y$13:$Z$87,2,0),0)</f>
        <v>2508900</v>
      </c>
      <c r="J12" s="913">
        <v>2475326</v>
      </c>
      <c r="K12" s="22"/>
      <c r="M12" s="190">
        <v>5114100</v>
      </c>
      <c r="O12" s="1022"/>
      <c r="P12" s="1561"/>
      <c r="Q12" s="1561"/>
    </row>
    <row r="13" spans="2:17" ht="15" customHeight="1">
      <c r="B13" s="12"/>
      <c r="C13" s="12"/>
      <c r="D13" s="12"/>
      <c r="E13" s="12"/>
      <c r="F13" s="1555" t="s">
        <v>13</v>
      </c>
      <c r="G13" s="1555"/>
      <c r="H13" s="1555"/>
      <c r="I13" s="913">
        <f ca="1">+IFERROR(VLOOKUP(M13,Activo!$Y$13:$Z$87,2,0),0)</f>
        <v>8091344</v>
      </c>
      <c r="J13" s="913">
        <v>7969177</v>
      </c>
      <c r="K13" s="22"/>
      <c r="M13" s="190">
        <v>5114200</v>
      </c>
      <c r="O13" s="1022"/>
      <c r="P13" s="1050"/>
      <c r="Q13" s="1050"/>
    </row>
    <row r="14" spans="2:17" ht="15" customHeight="1">
      <c r="B14" s="12"/>
      <c r="C14" s="12"/>
      <c r="D14" s="12"/>
      <c r="E14" s="1555" t="s">
        <v>14</v>
      </c>
      <c r="F14" s="1555"/>
      <c r="G14" s="1555"/>
      <c r="H14" s="1555"/>
      <c r="I14" s="913">
        <f ca="1">+IFERROR(VLOOKUP(M14,Activo!$Y$13:$Z$87,2,0),0)</f>
        <v>240984977</v>
      </c>
      <c r="J14" s="913">
        <v>243690240</v>
      </c>
      <c r="K14" s="22"/>
      <c r="M14" s="190">
        <v>5115000</v>
      </c>
      <c r="O14" s="1106"/>
      <c r="P14" s="1561"/>
      <c r="Q14" s="1561"/>
    </row>
    <row r="15" spans="2:17" ht="15" customHeight="1">
      <c r="B15" s="12"/>
      <c r="C15" s="12"/>
      <c r="D15" s="12"/>
      <c r="E15" s="1557" t="s">
        <v>15</v>
      </c>
      <c r="F15" s="1557"/>
      <c r="G15" s="1557"/>
      <c r="H15" s="1557"/>
      <c r="I15" s="911">
        <f ca="1">I16+I17</f>
        <v>5463590</v>
      </c>
      <c r="J15" s="911">
        <f>J16+J17</f>
        <v>5254033</v>
      </c>
      <c r="K15" s="22"/>
      <c r="O15" s="1022"/>
      <c r="P15" s="1560"/>
      <c r="Q15" s="1560"/>
    </row>
    <row r="16" spans="2:17" ht="15" customHeight="1">
      <c r="B16" s="12"/>
      <c r="C16" s="12"/>
      <c r="D16" s="12"/>
      <c r="E16" s="12"/>
      <c r="F16" s="1555" t="s">
        <v>16</v>
      </c>
      <c r="G16" s="1555"/>
      <c r="H16" s="1555"/>
      <c r="I16" s="913">
        <f ca="1">+IFERROR(VLOOKUP(M16,Activo!$Y$13:$Z$87,2,0),0)</f>
        <v>2934111</v>
      </c>
      <c r="J16" s="913">
        <v>2774807</v>
      </c>
      <c r="K16" s="22"/>
      <c r="M16" s="190">
        <v>5116100</v>
      </c>
      <c r="O16" s="1022"/>
      <c r="P16" s="1560"/>
      <c r="Q16" s="1560"/>
    </row>
    <row r="17" spans="2:17" ht="15" customHeight="1">
      <c r="B17" s="12"/>
      <c r="C17" s="12"/>
      <c r="D17" s="12"/>
      <c r="E17" s="12"/>
      <c r="F17" s="1555" t="s">
        <v>17</v>
      </c>
      <c r="G17" s="1555"/>
      <c r="H17" s="1555"/>
      <c r="I17" s="913">
        <f ca="1">+IFERROR(VLOOKUP(M17,Activo!$Y$13:$Z$87,2,0),0)</f>
        <v>2529479</v>
      </c>
      <c r="J17" s="913">
        <v>2479226</v>
      </c>
      <c r="K17" s="22"/>
      <c r="M17" s="190">
        <v>5116200</v>
      </c>
      <c r="O17" s="1022"/>
      <c r="P17" s="1055"/>
      <c r="Q17" s="1055"/>
    </row>
    <row r="18" spans="2:17" ht="15" customHeight="1">
      <c r="B18" s="12"/>
      <c r="C18" s="12"/>
      <c r="D18" s="1557" t="s">
        <v>18</v>
      </c>
      <c r="E18" s="1557"/>
      <c r="F18" s="1557"/>
      <c r="G18" s="1557"/>
      <c r="H18" s="1557"/>
      <c r="I18" s="911">
        <f ca="1">I19+I20+I21</f>
        <v>292914145</v>
      </c>
      <c r="J18" s="911">
        <f>J19+J20+J21</f>
        <v>295868096</v>
      </c>
      <c r="K18" s="22"/>
      <c r="O18" s="1022"/>
      <c r="P18" s="1561"/>
      <c r="Q18" s="1561"/>
    </row>
    <row r="19" spans="2:17" ht="15" customHeight="1">
      <c r="B19" s="12"/>
      <c r="C19" s="12"/>
      <c r="D19" s="12"/>
      <c r="E19" s="1555" t="s">
        <v>19</v>
      </c>
      <c r="F19" s="1555"/>
      <c r="G19" s="1555"/>
      <c r="H19" s="1555"/>
      <c r="I19" s="913">
        <f ca="1">+IFERROR(VLOOKUP(M19,Activo!$Y$13:$Z$87,2,0),0)</f>
        <v>153329844</v>
      </c>
      <c r="J19" s="913">
        <v>152551677</v>
      </c>
      <c r="K19" s="22"/>
      <c r="M19" s="190">
        <v>5121000</v>
      </c>
      <c r="O19" s="1022"/>
      <c r="P19" s="1050"/>
      <c r="Q19" s="1050"/>
    </row>
    <row r="20" spans="2:17" ht="15" customHeight="1">
      <c r="B20" s="12"/>
      <c r="C20" s="783"/>
      <c r="D20" s="12"/>
      <c r="E20" s="1555" t="s">
        <v>20</v>
      </c>
      <c r="F20" s="1555"/>
      <c r="G20" s="1555"/>
      <c r="H20" s="1555"/>
      <c r="I20" s="913">
        <f ca="1">+IFERROR(VLOOKUP(M20,Activo!$Y$13:$Z$87,2,0),0)</f>
        <v>137825867</v>
      </c>
      <c r="J20" s="913">
        <v>141481910</v>
      </c>
      <c r="K20" s="22"/>
      <c r="M20" s="190">
        <v>5122000</v>
      </c>
      <c r="O20" s="1106"/>
      <c r="P20" s="1561"/>
      <c r="Q20" s="1561"/>
    </row>
    <row r="21" spans="2:17" ht="15" customHeight="1">
      <c r="B21" s="12"/>
      <c r="C21" s="783"/>
      <c r="D21" s="12"/>
      <c r="E21" s="1557" t="s">
        <v>21</v>
      </c>
      <c r="F21" s="1557"/>
      <c r="G21" s="1557"/>
      <c r="H21" s="1557"/>
      <c r="I21" s="911">
        <f ca="1">I22+I23</f>
        <v>1758434</v>
      </c>
      <c r="J21" s="911">
        <f>J22+J23</f>
        <v>1834509</v>
      </c>
      <c r="K21" s="22"/>
      <c r="O21" s="1022"/>
      <c r="P21" s="1560"/>
      <c r="Q21" s="1560"/>
    </row>
    <row r="22" spans="2:17" ht="15" customHeight="1">
      <c r="B22" s="12"/>
      <c r="C22" s="783"/>
      <c r="D22" s="12"/>
      <c r="E22" s="12"/>
      <c r="F22" s="1555" t="s">
        <v>22</v>
      </c>
      <c r="G22" s="1555"/>
      <c r="H22" s="1555"/>
      <c r="I22" s="913">
        <f ca="1">+IFERROR(VLOOKUP(M22,Activo!$Y$13:$Z$87,2,0),0)</f>
        <v>0</v>
      </c>
      <c r="J22" s="913">
        <v>0</v>
      </c>
      <c r="K22" s="22"/>
      <c r="M22" s="190">
        <v>5123100</v>
      </c>
      <c r="O22" s="1022"/>
      <c r="P22" s="1560"/>
      <c r="Q22" s="1560"/>
    </row>
    <row r="23" spans="2:17" ht="15" customHeight="1">
      <c r="B23" s="12"/>
      <c r="C23" s="783"/>
      <c r="D23" s="12"/>
      <c r="E23" s="12"/>
      <c r="F23" s="1555" t="s">
        <v>23</v>
      </c>
      <c r="G23" s="1555"/>
      <c r="H23" s="1555"/>
      <c r="I23" s="913">
        <f ca="1">+IFERROR(VLOOKUP(M23,Activo!$Y$13:$Z$87,2,0),0)</f>
        <v>1758434</v>
      </c>
      <c r="J23" s="913">
        <v>1834509</v>
      </c>
      <c r="K23" s="22"/>
      <c r="M23" s="190">
        <v>5123200</v>
      </c>
      <c r="O23" s="1022"/>
      <c r="P23" s="1055"/>
      <c r="Q23" s="1055"/>
    </row>
    <row r="24" spans="2:17" ht="15" customHeight="1">
      <c r="B24" s="12"/>
      <c r="C24" s="783"/>
      <c r="D24" s="1555" t="s">
        <v>24</v>
      </c>
      <c r="E24" s="1555"/>
      <c r="F24" s="1555"/>
      <c r="G24" s="1555"/>
      <c r="H24" s="1555"/>
      <c r="I24" s="913">
        <f>+IFERROR(VLOOKUP(M24,Activo!$Y$13:$Z$87,2,0),0)</f>
        <v>0</v>
      </c>
      <c r="J24" s="913"/>
      <c r="K24" s="22"/>
      <c r="M24" s="190">
        <v>5130000</v>
      </c>
      <c r="O24" s="1106"/>
      <c r="P24" s="1561"/>
      <c r="Q24" s="1561"/>
    </row>
    <row r="25" spans="2:17" ht="15" customHeight="1">
      <c r="B25" s="12"/>
      <c r="C25" s="783"/>
      <c r="D25" s="1556" t="s">
        <v>25</v>
      </c>
      <c r="E25" s="1556"/>
      <c r="F25" s="1556"/>
      <c r="G25" s="1556"/>
      <c r="H25" s="1556"/>
      <c r="I25" s="1518">
        <f ca="1">I26+I37</f>
        <v>116535879</v>
      </c>
      <c r="J25" s="911">
        <f>J26+J37</f>
        <v>116444149</v>
      </c>
      <c r="K25" s="22"/>
      <c r="O25" s="1106"/>
      <c r="P25" s="1050"/>
      <c r="Q25" s="1050"/>
    </row>
    <row r="26" spans="2:17" ht="15" customHeight="1">
      <c r="B26" s="12"/>
      <c r="C26" s="783"/>
      <c r="D26" s="24"/>
      <c r="E26" s="1556" t="s">
        <v>26</v>
      </c>
      <c r="F26" s="1556"/>
      <c r="G26" s="1556"/>
      <c r="H26" s="1556"/>
      <c r="I26" s="1518">
        <f ca="1">I27+I28+I33+I36</f>
        <v>48015055</v>
      </c>
      <c r="J26" s="911">
        <f>J27+J28+J33+J36</f>
        <v>45803709</v>
      </c>
      <c r="K26" s="22"/>
      <c r="O26" s="1137"/>
      <c r="P26" s="1562"/>
      <c r="Q26" s="1562"/>
    </row>
    <row r="27" spans="2:17" ht="15.75">
      <c r="B27" s="12"/>
      <c r="C27" s="783"/>
      <c r="D27" s="12"/>
      <c r="E27" s="12"/>
      <c r="F27" s="1555" t="s">
        <v>27</v>
      </c>
      <c r="G27" s="1555"/>
      <c r="H27" s="1555"/>
      <c r="I27" s="913">
        <f ca="1">+IFERROR(VLOOKUP(M27,Activo!$Y$13:$Z$87,2,0),0)</f>
        <v>47148059</v>
      </c>
      <c r="J27" s="913">
        <v>45343159</v>
      </c>
      <c r="K27" s="22"/>
      <c r="M27" s="190">
        <v>5141100</v>
      </c>
      <c r="O27" s="1022"/>
      <c r="P27" s="1560"/>
      <c r="Q27" s="1560"/>
    </row>
    <row r="28" spans="2:17" ht="15.75">
      <c r="B28" s="12"/>
      <c r="C28" s="783"/>
      <c r="D28" s="12"/>
      <c r="E28" s="12"/>
      <c r="F28" s="1557" t="s">
        <v>28</v>
      </c>
      <c r="G28" s="1557"/>
      <c r="H28" s="1557"/>
      <c r="I28" s="911">
        <f ca="1">SUM(I29:I32)</f>
        <v>851176</v>
      </c>
      <c r="J28" s="911">
        <f>SUM(J29:J32)</f>
        <v>416595</v>
      </c>
      <c r="K28" s="22"/>
      <c r="O28" s="1022"/>
      <c r="P28" s="1560"/>
      <c r="Q28" s="1560"/>
    </row>
    <row r="29" spans="2:17" ht="15.75">
      <c r="B29" s="12"/>
      <c r="C29" s="783"/>
      <c r="D29" s="12"/>
      <c r="E29" s="12"/>
      <c r="F29" s="12"/>
      <c r="G29" s="1555" t="s">
        <v>29</v>
      </c>
      <c r="H29" s="1555"/>
      <c r="I29" s="913">
        <f ca="1">+IFERROR(VLOOKUP(M29,Activo!$Y$13:$Z$87,2,0),0)</f>
        <v>851176</v>
      </c>
      <c r="J29" s="913">
        <v>416595</v>
      </c>
      <c r="K29" s="22"/>
      <c r="M29" s="190">
        <v>5141210</v>
      </c>
      <c r="O29" s="1022"/>
      <c r="P29" s="1022"/>
      <c r="Q29" s="1055"/>
    </row>
    <row r="30" spans="2:17" ht="15.75">
      <c r="B30" s="12"/>
      <c r="C30" s="783"/>
      <c r="D30" s="12"/>
      <c r="E30" s="12"/>
      <c r="F30" s="12"/>
      <c r="G30" s="1555" t="s">
        <v>30</v>
      </c>
      <c r="H30" s="1555"/>
      <c r="I30" s="913">
        <f ca="1">+IFERROR(VLOOKUP(M30,Activo!$Y$13:$Z$87,2,0),0)</f>
        <v>0</v>
      </c>
      <c r="J30" s="913"/>
      <c r="K30" s="22"/>
      <c r="M30" s="190">
        <v>5141220</v>
      </c>
      <c r="O30" s="1022"/>
      <c r="P30" s="1022"/>
      <c r="Q30" s="1055"/>
    </row>
    <row r="31" spans="2:17" ht="15" customHeight="1">
      <c r="B31" s="12"/>
      <c r="C31" s="783"/>
      <c r="D31" s="12"/>
      <c r="E31" s="12"/>
      <c r="F31" s="12"/>
      <c r="G31" s="1555" t="s">
        <v>31</v>
      </c>
      <c r="H31" s="1555"/>
      <c r="I31" s="913">
        <f ca="1">+IFERROR(VLOOKUP(M31,Activo!$Y$13:$Z$87,2,0),0)</f>
        <v>0</v>
      </c>
      <c r="J31" s="913"/>
      <c r="K31" s="22"/>
      <c r="M31" s="190">
        <v>5141230</v>
      </c>
      <c r="O31" s="1022"/>
      <c r="P31" s="1022"/>
      <c r="Q31" s="1055"/>
    </row>
    <row r="32" spans="2:17" ht="15" customHeight="1">
      <c r="B32" s="12"/>
      <c r="C32" s="783"/>
      <c r="D32" s="12"/>
      <c r="E32" s="12"/>
      <c r="F32" s="12"/>
      <c r="G32" s="1555" t="s">
        <v>32</v>
      </c>
      <c r="H32" s="1555"/>
      <c r="I32" s="913">
        <f ca="1">+IFERROR(VLOOKUP(M32,Activo!$Y$13:$Z$87,2,0),0)</f>
        <v>0</v>
      </c>
      <c r="J32" s="913"/>
      <c r="K32" s="22"/>
      <c r="M32" s="190">
        <v>5141240</v>
      </c>
      <c r="O32" s="1047"/>
      <c r="P32" s="1563"/>
      <c r="Q32" s="1563"/>
    </row>
    <row r="33" spans="2:17" ht="15" customHeight="1">
      <c r="B33" s="12"/>
      <c r="C33" s="783"/>
      <c r="D33" s="12"/>
      <c r="E33" s="12"/>
      <c r="F33" s="1557" t="s">
        <v>33</v>
      </c>
      <c r="G33" s="1557"/>
      <c r="H33" s="1557"/>
      <c r="I33" s="911">
        <f ca="1">SUM(I34:I35)</f>
        <v>15820</v>
      </c>
      <c r="J33" s="911">
        <f>SUM(J34:J35)</f>
        <v>6993</v>
      </c>
      <c r="K33" s="22"/>
      <c r="O33" s="1047"/>
      <c r="P33" s="1047"/>
      <c r="Q33" s="1047"/>
    </row>
    <row r="34" spans="2:17" ht="15" customHeight="1">
      <c r="B34" s="12"/>
      <c r="C34" s="783"/>
      <c r="D34" s="12"/>
      <c r="E34" s="12"/>
      <c r="F34" s="12"/>
      <c r="G34" s="1555" t="s">
        <v>34</v>
      </c>
      <c r="H34" s="1555"/>
      <c r="I34" s="913">
        <f ca="1">+IFERROR(VLOOKUP(M34,Activo!$Y$13:$Z$87,2,0),0)</f>
        <v>0</v>
      </c>
      <c r="J34" s="913">
        <v>0</v>
      </c>
      <c r="K34" s="22"/>
      <c r="M34" s="190">
        <v>5141310</v>
      </c>
      <c r="O34" s="1122"/>
      <c r="P34" s="1563"/>
      <c r="Q34" s="1563"/>
    </row>
    <row r="35" spans="2:17" ht="15" customHeight="1">
      <c r="B35" s="12"/>
      <c r="C35" s="783"/>
      <c r="D35" s="12"/>
      <c r="E35" s="12"/>
      <c r="F35" s="12"/>
      <c r="G35" s="1558" t="s">
        <v>35</v>
      </c>
      <c r="H35" s="1558"/>
      <c r="I35" s="1516">
        <f ca="1">+IFERROR(VLOOKUP(M35,Activo!$Y$13:$Z$87,2,0),0)-1</f>
        <v>15820</v>
      </c>
      <c r="J35" s="913">
        <v>6993</v>
      </c>
      <c r="K35" s="22"/>
      <c r="M35" s="190">
        <v>5141320</v>
      </c>
      <c r="O35" s="1122"/>
      <c r="P35" s="1047"/>
      <c r="Q35" s="1047"/>
    </row>
    <row r="36" spans="2:17" ht="15" customHeight="1">
      <c r="B36" s="12"/>
      <c r="C36" s="783"/>
      <c r="D36" s="12"/>
      <c r="E36" s="12"/>
      <c r="F36" s="1555" t="s">
        <v>36</v>
      </c>
      <c r="G36" s="1555"/>
      <c r="H36" s="1555"/>
      <c r="I36" s="913">
        <f>+IFERROR(VLOOKUP(M36,Activo!$Y$13:$Z$87,2,0),0)</f>
        <v>0</v>
      </c>
      <c r="J36" s="913">
        <v>36962</v>
      </c>
      <c r="K36" s="22"/>
      <c r="M36" s="190">
        <v>5141400</v>
      </c>
      <c r="O36" s="1106"/>
      <c r="P36" s="1561"/>
      <c r="Q36" s="1561"/>
    </row>
    <row r="37" spans="2:17" ht="15" customHeight="1">
      <c r="B37" s="12"/>
      <c r="C37" s="783"/>
      <c r="D37" s="12"/>
      <c r="E37" s="1557" t="s">
        <v>37</v>
      </c>
      <c r="F37" s="1557"/>
      <c r="G37" s="1557"/>
      <c r="H37" s="1557"/>
      <c r="I37" s="911">
        <f ca="1">I38+I39+I42+I43+I44+I45+I46</f>
        <v>68520824</v>
      </c>
      <c r="J37" s="911">
        <f>J38+J39+J42+J43+J44+J45+J46</f>
        <v>70640440</v>
      </c>
      <c r="K37" s="22"/>
      <c r="O37" s="1022"/>
      <c r="P37" s="1560"/>
      <c r="Q37" s="1560"/>
    </row>
    <row r="38" spans="2:17" ht="15" customHeight="1">
      <c r="B38" s="12"/>
      <c r="C38" s="783"/>
      <c r="D38" s="12"/>
      <c r="E38" s="12"/>
      <c r="F38" s="1555" t="s">
        <v>38</v>
      </c>
      <c r="G38" s="1555"/>
      <c r="H38" s="1555"/>
      <c r="I38" s="913">
        <f ca="1">+IFERROR(VLOOKUP(M38,Activo!$Y$13:$Z$87,2,0),0)</f>
        <v>367717</v>
      </c>
      <c r="J38" s="913">
        <v>175193</v>
      </c>
      <c r="K38" s="22"/>
      <c r="M38" s="190">
        <v>5142100</v>
      </c>
      <c r="O38" s="1106"/>
      <c r="P38" s="1561"/>
      <c r="Q38" s="1561"/>
    </row>
    <row r="39" spans="2:17" ht="15" customHeight="1">
      <c r="B39" s="12"/>
      <c r="C39" s="783"/>
      <c r="D39" s="12"/>
      <c r="E39" s="12"/>
      <c r="F39" s="1557" t="s">
        <v>39</v>
      </c>
      <c r="G39" s="1557"/>
      <c r="H39" s="1557"/>
      <c r="I39" s="911">
        <f ca="1">I40+I41</f>
        <v>66529859</v>
      </c>
      <c r="J39" s="911">
        <f>J40+J41</f>
        <v>67994475</v>
      </c>
      <c r="K39" s="22"/>
      <c r="O39" s="1022"/>
      <c r="P39" s="1022"/>
      <c r="Q39" s="1055"/>
    </row>
    <row r="40" spans="2:17" ht="15" customHeight="1">
      <c r="B40" s="12"/>
      <c r="C40" s="783"/>
      <c r="D40" s="12"/>
      <c r="E40" s="12"/>
      <c r="F40" s="12"/>
      <c r="G40" s="1555" t="s">
        <v>40</v>
      </c>
      <c r="H40" s="1555"/>
      <c r="I40" s="913">
        <f ca="1">+IFERROR(VLOOKUP(M40,Activo!$Y$13:$Z$87,2,0),0)</f>
        <v>20329986</v>
      </c>
      <c r="J40" s="913">
        <v>20521612</v>
      </c>
      <c r="K40" s="22"/>
      <c r="M40" s="190">
        <v>5142210</v>
      </c>
      <c r="O40" s="1022"/>
      <c r="P40" s="1022"/>
      <c r="Q40" s="1055"/>
    </row>
    <row r="41" spans="2:17" ht="15" customHeight="1">
      <c r="B41" s="12"/>
      <c r="C41" s="783"/>
      <c r="D41" s="12"/>
      <c r="E41" s="12"/>
      <c r="F41" s="12"/>
      <c r="G41" s="1555" t="s">
        <v>41</v>
      </c>
      <c r="H41" s="1555"/>
      <c r="I41" s="913">
        <f ca="1">+IFERROR(VLOOKUP(M41,Activo!$Y$13:$Z$87,2,0),0)</f>
        <v>46199873</v>
      </c>
      <c r="J41" s="913">
        <v>47472863</v>
      </c>
      <c r="K41" s="22"/>
      <c r="M41" s="190">
        <v>5142220</v>
      </c>
      <c r="O41" s="1022"/>
      <c r="P41" s="1022"/>
      <c r="Q41" s="1055"/>
    </row>
    <row r="42" spans="2:17" ht="15" customHeight="1">
      <c r="B42" s="12"/>
      <c r="C42" s="783"/>
      <c r="D42" s="12"/>
      <c r="E42" s="12"/>
      <c r="F42" s="1555" t="s">
        <v>42</v>
      </c>
      <c r="G42" s="1555"/>
      <c r="H42" s="1555"/>
      <c r="I42" s="913">
        <f ca="1">+IFERROR(VLOOKUP(M42,Activo!$Y$13:$Z$87,2,0),0)</f>
        <v>0</v>
      </c>
      <c r="J42" s="913"/>
      <c r="K42" s="22"/>
      <c r="M42" s="190">
        <v>5142300</v>
      </c>
      <c r="O42" s="1022"/>
      <c r="P42" s="1022"/>
      <c r="Q42" s="1055"/>
    </row>
    <row r="43" spans="2:17" ht="15" customHeight="1">
      <c r="B43" s="12"/>
      <c r="C43" s="783"/>
      <c r="D43" s="12"/>
      <c r="E43" s="12"/>
      <c r="F43" s="1555" t="s">
        <v>43</v>
      </c>
      <c r="G43" s="1555"/>
      <c r="H43" s="1555"/>
      <c r="I43" s="913">
        <f ca="1">+IFERROR(VLOOKUP(M43,Activo!$Y$13:$Z$87,2,0),0)</f>
        <v>0</v>
      </c>
      <c r="J43" s="913"/>
      <c r="K43" s="22"/>
      <c r="M43" s="190">
        <v>5142400</v>
      </c>
      <c r="O43" s="1106"/>
      <c r="P43" s="1561"/>
      <c r="Q43" s="1561"/>
    </row>
    <row r="44" spans="2:17" ht="15" customHeight="1">
      <c r="B44" s="12"/>
      <c r="C44" s="783"/>
      <c r="D44" s="12"/>
      <c r="E44" s="12"/>
      <c r="F44" s="1555" t="s">
        <v>44</v>
      </c>
      <c r="G44" s="1555"/>
      <c r="H44" s="1555"/>
      <c r="I44" s="913">
        <f ca="1">+IFERROR(VLOOKUP(M44,Activo!$Y$13:$Z$87,2,0),0)</f>
        <v>911782</v>
      </c>
      <c r="J44" s="913">
        <v>788516</v>
      </c>
      <c r="K44" s="22"/>
      <c r="M44" s="190">
        <v>5142500</v>
      </c>
      <c r="O44" s="1022"/>
      <c r="P44" s="1022"/>
      <c r="Q44" s="1055"/>
    </row>
    <row r="45" spans="2:17" ht="15" customHeight="1">
      <c r="B45" s="12"/>
      <c r="C45" s="783"/>
      <c r="D45" s="12"/>
      <c r="E45" s="12"/>
      <c r="F45" s="1555" t="s">
        <v>45</v>
      </c>
      <c r="G45" s="1555"/>
      <c r="H45" s="1555"/>
      <c r="I45" s="913">
        <f ca="1">+IFERROR(VLOOKUP(M45,Activo!$Y$13:$Z$87,2,0),0)</f>
        <v>711466</v>
      </c>
      <c r="J45" s="913">
        <v>1682256</v>
      </c>
      <c r="K45" s="22"/>
      <c r="M45" s="190">
        <v>5142700</v>
      </c>
      <c r="O45" s="1022"/>
      <c r="P45" s="1022"/>
      <c r="Q45" s="1055"/>
    </row>
    <row r="46" spans="2:17" ht="15" customHeight="1">
      <c r="B46" s="12"/>
      <c r="C46" s="783"/>
      <c r="D46" s="12"/>
      <c r="E46" s="12"/>
      <c r="F46" s="1555" t="s">
        <v>46</v>
      </c>
      <c r="G46" s="1555"/>
      <c r="H46" s="1555"/>
      <c r="I46" s="913">
        <f>+IFERROR(VLOOKUP(M46,Activo!$Y$13:$Z$87,2,0),0)</f>
        <v>0</v>
      </c>
      <c r="J46" s="913"/>
      <c r="K46" s="22"/>
      <c r="M46" s="190">
        <v>5142800</v>
      </c>
      <c r="O46" s="1022"/>
      <c r="P46" s="1022"/>
      <c r="Q46" s="1055"/>
    </row>
    <row r="47" spans="2:17" ht="15" customHeight="1">
      <c r="B47" s="12"/>
      <c r="C47" s="783"/>
      <c r="D47" s="1557" t="s">
        <v>47</v>
      </c>
      <c r="E47" s="1557"/>
      <c r="F47" s="1557"/>
      <c r="G47" s="1557"/>
      <c r="H47" s="1557"/>
      <c r="I47" s="911">
        <f ca="1">I48+I51+I54</f>
        <v>28659004</v>
      </c>
      <c r="J47" s="911">
        <f>J48+J51+J54</f>
        <v>31714031</v>
      </c>
      <c r="K47" s="22"/>
      <c r="O47" s="1022"/>
      <c r="P47" s="1022"/>
      <c r="Q47" s="1055"/>
    </row>
    <row r="48" spans="2:17" ht="15" customHeight="1">
      <c r="B48" s="12"/>
      <c r="C48" s="783"/>
      <c r="D48" s="24"/>
      <c r="E48" s="1557" t="s">
        <v>48</v>
      </c>
      <c r="F48" s="1557"/>
      <c r="G48" s="1557"/>
      <c r="H48" s="1557"/>
      <c r="I48" s="911">
        <f ca="1">I49+I50</f>
        <v>0</v>
      </c>
      <c r="J48" s="911">
        <f>J49+J50</f>
        <v>0</v>
      </c>
      <c r="K48" s="22"/>
      <c r="O48" s="1106"/>
      <c r="P48" s="1561"/>
      <c r="Q48" s="1561"/>
    </row>
    <row r="49" spans="2:17" ht="15" customHeight="1">
      <c r="B49" s="12"/>
      <c r="C49" s="783"/>
      <c r="D49" s="12"/>
      <c r="E49" s="12"/>
      <c r="F49" s="1555" t="s">
        <v>49</v>
      </c>
      <c r="G49" s="1555"/>
      <c r="H49" s="1555"/>
      <c r="I49" s="913">
        <f ca="1">+IFERROR(VLOOKUP(M49,Activo!$Y$13:$Z$87,2,0),0)</f>
        <v>0</v>
      </c>
      <c r="J49" s="913"/>
      <c r="K49" s="22"/>
      <c r="M49" s="190">
        <v>5151100</v>
      </c>
      <c r="O49" s="1022"/>
      <c r="P49" s="1560"/>
      <c r="Q49" s="1560"/>
    </row>
    <row r="50" spans="2:17" ht="15" customHeight="1">
      <c r="B50" s="12"/>
      <c r="C50" s="783"/>
      <c r="D50" s="12"/>
      <c r="E50" s="12"/>
      <c r="F50" s="1555" t="s">
        <v>50</v>
      </c>
      <c r="G50" s="1555"/>
      <c r="H50" s="1555"/>
      <c r="I50" s="913">
        <f ca="1">+IFERROR(VLOOKUP(M50,Activo!$Y$13:$Z$87,2,0),0)</f>
        <v>0</v>
      </c>
      <c r="J50" s="913"/>
      <c r="K50" s="22"/>
      <c r="M50" s="190">
        <v>5151200</v>
      </c>
      <c r="O50" s="1106"/>
      <c r="P50" s="1561"/>
      <c r="Q50" s="1561"/>
    </row>
    <row r="51" spans="2:17" ht="15" customHeight="1">
      <c r="B51" s="12"/>
      <c r="C51" s="783"/>
      <c r="D51" s="12"/>
      <c r="E51" s="1557" t="s">
        <v>51</v>
      </c>
      <c r="F51" s="1557"/>
      <c r="G51" s="1557"/>
      <c r="H51" s="1557"/>
      <c r="I51" s="911">
        <f ca="1">I52+I53</f>
        <v>19177060</v>
      </c>
      <c r="J51" s="911">
        <f>J52+J53</f>
        <v>21531391</v>
      </c>
      <c r="K51" s="22"/>
      <c r="O51" s="1022"/>
      <c r="P51" s="1022"/>
      <c r="Q51" s="1055"/>
    </row>
    <row r="52" spans="2:17" ht="15" customHeight="1">
      <c r="B52" s="12"/>
      <c r="C52" s="783"/>
      <c r="D52" s="12"/>
      <c r="E52" s="12"/>
      <c r="F52" s="1555" t="s">
        <v>52</v>
      </c>
      <c r="G52" s="1555"/>
      <c r="H52" s="1555"/>
      <c r="I52" s="913">
        <f ca="1">+IFERROR(VLOOKUP(M52,Activo!$Y$13:$Z$87,2,0),0)</f>
        <v>6426998</v>
      </c>
      <c r="J52" s="913">
        <v>6670765</v>
      </c>
      <c r="K52" s="22"/>
      <c r="M52" s="190">
        <v>5152100</v>
      </c>
      <c r="O52" s="1022"/>
      <c r="P52" s="1022"/>
      <c r="Q52" s="1055"/>
    </row>
    <row r="53" spans="2:17" ht="15" customHeight="1">
      <c r="B53" s="12"/>
      <c r="C53" s="783"/>
      <c r="D53" s="12"/>
      <c r="E53" s="12"/>
      <c r="F53" s="1555" t="s">
        <v>53</v>
      </c>
      <c r="G53" s="1555"/>
      <c r="H53" s="1555"/>
      <c r="I53" s="913">
        <f ca="1">+IFERROR(VLOOKUP(M53,Activo!$Y$13:$Z$87,2,0),0)</f>
        <v>12750062</v>
      </c>
      <c r="J53" s="913">
        <v>14860626</v>
      </c>
      <c r="K53" s="22"/>
      <c r="M53" s="190">
        <v>5152200</v>
      </c>
      <c r="O53" s="1022"/>
      <c r="P53" s="1560"/>
      <c r="Q53" s="1560"/>
    </row>
    <row r="54" spans="2:17" ht="15" customHeight="1">
      <c r="B54" s="12"/>
      <c r="C54" s="783"/>
      <c r="D54" s="12"/>
      <c r="E54" s="1557" t="s">
        <v>54</v>
      </c>
      <c r="F54" s="1557"/>
      <c r="G54" s="1557"/>
      <c r="H54" s="1557"/>
      <c r="I54" s="911">
        <f ca="1">SUM(I55:I59)</f>
        <v>9481944</v>
      </c>
      <c r="J54" s="911">
        <f>SUM(J55:J59)</f>
        <v>10182640</v>
      </c>
      <c r="K54" s="22"/>
      <c r="O54" s="1022"/>
      <c r="P54" s="1560"/>
      <c r="Q54" s="1560"/>
    </row>
    <row r="55" spans="2:17" ht="15" customHeight="1">
      <c r="B55" s="12"/>
      <c r="C55" s="783"/>
      <c r="D55" s="12"/>
      <c r="E55" s="12"/>
      <c r="F55" s="1555" t="s">
        <v>55</v>
      </c>
      <c r="G55" s="1555"/>
      <c r="H55" s="1555"/>
      <c r="I55" s="913">
        <f ca="1">+IFERROR(VLOOKUP(M55,Activo!$Y$13:$Z$87,2,0),0)</f>
        <v>551918</v>
      </c>
      <c r="J55" s="913">
        <v>473258</v>
      </c>
      <c r="K55" s="22"/>
      <c r="M55" s="190">
        <v>5153100</v>
      </c>
      <c r="O55" s="1022"/>
      <c r="P55" s="1560"/>
      <c r="Q55" s="1560"/>
    </row>
    <row r="56" spans="2:17" ht="15" customHeight="1">
      <c r="B56" s="12"/>
      <c r="C56" s="783"/>
      <c r="D56" s="12"/>
      <c r="E56" s="12"/>
      <c r="F56" s="1555" t="s">
        <v>56</v>
      </c>
      <c r="G56" s="1555"/>
      <c r="H56" s="1555"/>
      <c r="I56" s="913">
        <f ca="1">+IFERROR(VLOOKUP(M56,Activo!$Y$13:$Z$87,2,0),0)</f>
        <v>76723</v>
      </c>
      <c r="J56" s="913">
        <v>76683</v>
      </c>
      <c r="K56" s="22"/>
      <c r="M56" s="190">
        <v>5153200</v>
      </c>
      <c r="O56" s="1022"/>
      <c r="P56" s="1055"/>
      <c r="Q56" s="1055"/>
    </row>
    <row r="57" spans="2:17" ht="15" customHeight="1">
      <c r="B57" s="12"/>
      <c r="C57" s="783"/>
      <c r="D57" s="12"/>
      <c r="E57" s="12"/>
      <c r="F57" s="1555" t="s">
        <v>57</v>
      </c>
      <c r="G57" s="1555"/>
      <c r="H57" s="1555"/>
      <c r="I57" s="913">
        <f ca="1">+IFERROR(VLOOKUP(M57,Activo!$Y$13:$Z$87,2,0),0)</f>
        <v>1052267</v>
      </c>
      <c r="J57" s="913">
        <v>428996</v>
      </c>
      <c r="K57" s="22"/>
      <c r="M57" s="190">
        <v>5153300</v>
      </c>
      <c r="O57" s="1022"/>
      <c r="P57" s="1560"/>
      <c r="Q57" s="1560"/>
    </row>
    <row r="58" spans="2:17" ht="15" customHeight="1">
      <c r="B58" s="12"/>
      <c r="C58" s="783"/>
      <c r="D58" s="12"/>
      <c r="E58" s="12"/>
      <c r="F58" s="1555" t="s">
        <v>58</v>
      </c>
      <c r="G58" s="1555"/>
      <c r="H58" s="1555"/>
      <c r="I58" s="913">
        <f ca="1">+IFERROR(VLOOKUP(M58,Activo!$Y$13:$Z$87,2,0),0)</f>
        <v>0</v>
      </c>
      <c r="J58" s="913"/>
      <c r="K58" s="22"/>
      <c r="M58" s="190">
        <v>5153400</v>
      </c>
      <c r="O58" s="1027"/>
      <c r="P58" s="1027"/>
      <c r="Q58" s="1027"/>
    </row>
    <row r="59" spans="2:17" ht="15" customHeight="1">
      <c r="B59" s="12"/>
      <c r="C59" s="783"/>
      <c r="D59" s="12"/>
      <c r="E59" s="12"/>
      <c r="F59" s="1555" t="s">
        <v>59</v>
      </c>
      <c r="G59" s="1555"/>
      <c r="H59" s="1555"/>
      <c r="I59" s="913">
        <f ca="1">+IFERROR(VLOOKUP(M59,Activo!$Y$13:$Z$87,2,0),0)</f>
        <v>7801036</v>
      </c>
      <c r="J59" s="913">
        <v>9203703</v>
      </c>
      <c r="K59" s="22"/>
      <c r="M59" s="190">
        <v>5153500</v>
      </c>
      <c r="O59" s="1022"/>
      <c r="P59" s="1055"/>
      <c r="Q59" s="1055"/>
    </row>
    <row r="60" spans="2:17" ht="15" customHeight="1">
      <c r="B60" s="12"/>
      <c r="C60" s="1559" t="s">
        <v>60</v>
      </c>
      <c r="D60" s="1559"/>
      <c r="E60" s="1559"/>
      <c r="F60" s="1559"/>
      <c r="G60" s="1559"/>
      <c r="H60" s="1559"/>
      <c r="I60" s="1518">
        <f ca="1">I61+I95</f>
        <v>2125954316</v>
      </c>
      <c r="J60" s="911">
        <f>J61+J95</f>
        <v>2094765873</v>
      </c>
      <c r="K60" s="22"/>
      <c r="M60" s="513"/>
      <c r="N60" s="1201" t="s">
        <v>3759</v>
      </c>
      <c r="O60" s="1202">
        <f ca="1">+I60-I6</f>
        <v>0</v>
      </c>
      <c r="P60" s="1202">
        <v>0</v>
      </c>
      <c r="Q60" s="1202"/>
    </row>
    <row r="61" spans="2:17" ht="15" customHeight="1">
      <c r="B61" s="12"/>
      <c r="C61" s="784"/>
      <c r="D61" s="1556" t="s">
        <v>61</v>
      </c>
      <c r="E61" s="1556"/>
      <c r="F61" s="1556"/>
      <c r="G61" s="1556"/>
      <c r="H61" s="1556"/>
      <c r="I61" s="1518">
        <f ca="1">I62+I63+I64+I84</f>
        <v>1987250237</v>
      </c>
      <c r="J61" s="911">
        <f>J62+J63+J64+J84</f>
        <v>1957019469</v>
      </c>
      <c r="K61" s="22"/>
      <c r="O61" s="1106"/>
      <c r="P61" s="1050"/>
      <c r="Q61" s="1050"/>
    </row>
    <row r="62" spans="2:17" ht="15" customHeight="1">
      <c r="B62" s="12"/>
      <c r="C62" s="783"/>
      <c r="D62" s="12"/>
      <c r="E62" s="1555" t="s">
        <v>62</v>
      </c>
      <c r="F62" s="1555"/>
      <c r="G62" s="1555"/>
      <c r="H62" s="1555"/>
      <c r="I62" s="913">
        <f ca="1">+IFERROR(VLOOKUP(M62,Pasivo!$W$11:$X$66,2,0),0)</f>
        <v>0</v>
      </c>
      <c r="J62" s="913"/>
      <c r="K62" s="22"/>
      <c r="M62" s="190">
        <v>5211000</v>
      </c>
      <c r="O62" s="1106"/>
      <c r="P62" s="1561"/>
      <c r="Q62" s="1561"/>
    </row>
    <row r="63" spans="2:17" ht="15" customHeight="1">
      <c r="B63" s="12"/>
      <c r="C63" s="783"/>
      <c r="D63" s="12"/>
      <c r="E63" s="1555" t="s">
        <v>63</v>
      </c>
      <c r="F63" s="1555"/>
      <c r="G63" s="1555"/>
      <c r="H63" s="1555"/>
      <c r="I63" s="913">
        <f>+IFERROR(VLOOKUP(M63,Pasivo!$W$11:$X$66,2,0),0)</f>
        <v>0</v>
      </c>
      <c r="J63" s="913"/>
      <c r="K63" s="22"/>
      <c r="M63" s="190">
        <v>5212000</v>
      </c>
      <c r="O63" s="1022"/>
      <c r="P63" s="1560"/>
      <c r="Q63" s="1560"/>
    </row>
    <row r="64" spans="2:17" ht="15" customHeight="1">
      <c r="B64" s="12"/>
      <c r="C64" s="783"/>
      <c r="D64" s="12"/>
      <c r="E64" s="1557" t="s">
        <v>64</v>
      </c>
      <c r="F64" s="1557"/>
      <c r="G64" s="1557"/>
      <c r="H64" s="1557"/>
      <c r="I64" s="911">
        <f ca="1">I65+I77</f>
        <v>1949806670</v>
      </c>
      <c r="J64" s="911">
        <f>J65+J77</f>
        <v>1917654111</v>
      </c>
      <c r="K64" s="22"/>
      <c r="O64" s="1022"/>
      <c r="P64" s="1560"/>
      <c r="Q64" s="1560"/>
    </row>
    <row r="65" spans="2:17" ht="15" customHeight="1">
      <c r="B65" s="12"/>
      <c r="C65" s="783"/>
      <c r="D65" s="12"/>
      <c r="E65" s="24"/>
      <c r="F65" s="1557" t="s">
        <v>65</v>
      </c>
      <c r="G65" s="1557"/>
      <c r="H65" s="1557"/>
      <c r="I65" s="911">
        <f ca="1">I66+I67+I70+I71+I72+I73+I74+I75+I76</f>
        <v>1930950837</v>
      </c>
      <c r="J65" s="911">
        <f>J66+J67+J70+J71+J72+J73+J74+J75+J76</f>
        <v>1901224484</v>
      </c>
      <c r="K65" s="22"/>
      <c r="O65" s="1022"/>
      <c r="P65" s="1055"/>
      <c r="Q65" s="1055"/>
    </row>
    <row r="66" spans="2:17" ht="15" customHeight="1">
      <c r="B66" s="12"/>
      <c r="C66" s="783"/>
      <c r="D66" s="12"/>
      <c r="E66" s="12"/>
      <c r="F66" s="12"/>
      <c r="G66" s="1555" t="s">
        <v>66</v>
      </c>
      <c r="H66" s="1555"/>
      <c r="I66" s="913">
        <f ca="1">+IFERROR(VLOOKUP(M66,Pasivo!$W$11:$X$66,2,0),0)</f>
        <v>15621002</v>
      </c>
      <c r="J66" s="913">
        <v>14718550</v>
      </c>
      <c r="K66" s="22"/>
      <c r="M66" s="190">
        <v>5213110</v>
      </c>
      <c r="N66" t="s">
        <v>3726</v>
      </c>
      <c r="O66" s="1106"/>
      <c r="P66" s="1561"/>
      <c r="Q66" s="1561"/>
    </row>
    <row r="67" spans="2:17" ht="15" customHeight="1">
      <c r="B67" s="12"/>
      <c r="C67" s="783"/>
      <c r="D67" s="12"/>
      <c r="E67" s="12"/>
      <c r="F67" s="12"/>
      <c r="G67" s="1557" t="s">
        <v>67</v>
      </c>
      <c r="H67" s="1557"/>
      <c r="I67" s="911">
        <f ca="1">I68+I69</f>
        <v>1609271677</v>
      </c>
      <c r="J67" s="911">
        <f>J68+J69</f>
        <v>1580099907</v>
      </c>
      <c r="K67" s="22"/>
      <c r="O67" s="1022"/>
      <c r="P67" s="1560"/>
      <c r="Q67" s="1560"/>
    </row>
    <row r="68" spans="2:17" ht="15" customHeight="1">
      <c r="B68" s="12"/>
      <c r="C68" s="783"/>
      <c r="D68" s="12"/>
      <c r="E68" s="12"/>
      <c r="F68" s="12"/>
      <c r="G68" s="12"/>
      <c r="H68" s="13" t="s">
        <v>68</v>
      </c>
      <c r="I68" s="913">
        <f ca="1">+IFERROR(VLOOKUP(M68,Pasivo!$W$11:$X$66,2,0),0)</f>
        <v>1491349572</v>
      </c>
      <c r="J68" s="913">
        <v>1464723146</v>
      </c>
      <c r="K68" s="22"/>
      <c r="M68" s="190">
        <v>5213121</v>
      </c>
      <c r="O68" s="1022"/>
      <c r="P68" s="1560"/>
      <c r="Q68" s="1560"/>
    </row>
    <row r="69" spans="2:17" ht="15" customHeight="1">
      <c r="B69" s="12"/>
      <c r="C69" s="783"/>
      <c r="D69" s="12"/>
      <c r="E69" s="12"/>
      <c r="F69" s="12"/>
      <c r="G69" s="12"/>
      <c r="H69" s="13" t="s">
        <v>69</v>
      </c>
      <c r="I69" s="913">
        <f ca="1">+IFERROR(VLOOKUP(M69,Pasivo!$W$11:$X$66,2,0),0)</f>
        <v>117922105</v>
      </c>
      <c r="J69" s="913">
        <v>115376761</v>
      </c>
      <c r="K69" s="22"/>
      <c r="M69" s="190">
        <v>5213122</v>
      </c>
      <c r="O69" s="1022"/>
      <c r="P69" s="1055"/>
      <c r="Q69" s="1055"/>
    </row>
    <row r="70" spans="2:17" ht="15" customHeight="1">
      <c r="B70" s="12"/>
      <c r="C70" s="783"/>
      <c r="D70" s="12"/>
      <c r="E70" s="12"/>
      <c r="F70" s="12"/>
      <c r="G70" s="1555" t="s">
        <v>70</v>
      </c>
      <c r="H70" s="1555"/>
      <c r="I70" s="913">
        <f ca="1">+IFERROR(VLOOKUP(M70,Pasivo!$W$11:$X$66,2,0),0)</f>
        <v>34625496</v>
      </c>
      <c r="J70" s="913">
        <v>34744072</v>
      </c>
      <c r="K70" s="22"/>
      <c r="M70" s="190">
        <v>5213130</v>
      </c>
      <c r="O70" s="1118"/>
      <c r="P70" s="1561"/>
      <c r="Q70" s="1561"/>
    </row>
    <row r="71" spans="2:17" ht="15" customHeight="1">
      <c r="B71" s="12"/>
      <c r="C71" s="783"/>
      <c r="D71" s="12"/>
      <c r="E71" s="12"/>
      <c r="F71" s="12"/>
      <c r="G71" s="1555" t="s">
        <v>71</v>
      </c>
      <c r="H71" s="1555"/>
      <c r="I71" s="913">
        <f ca="1">+IFERROR(VLOOKUP(M71,Pasivo!$W$11:$X$66,2,0),0)</f>
        <v>237638535</v>
      </c>
      <c r="J71" s="913">
        <v>238811895</v>
      </c>
      <c r="K71" s="22"/>
      <c r="M71" s="190">
        <v>5213140</v>
      </c>
      <c r="O71" s="1022"/>
      <c r="P71" s="1560"/>
      <c r="Q71" s="1560"/>
    </row>
    <row r="72" spans="2:17" ht="15" customHeight="1">
      <c r="B72" s="12"/>
      <c r="C72" s="783"/>
      <c r="D72" s="12"/>
      <c r="E72" s="12"/>
      <c r="F72" s="12"/>
      <c r="G72" s="1555" t="s">
        <v>72</v>
      </c>
      <c r="H72" s="1555"/>
      <c r="I72" s="913">
        <f ca="1">+IFERROR(VLOOKUP(M72,Pasivo!$W$11:$X$66,2,0),0)</f>
        <v>14763120</v>
      </c>
      <c r="J72" s="913">
        <v>14727235</v>
      </c>
      <c r="K72" s="22"/>
      <c r="M72" s="190">
        <v>5213150</v>
      </c>
      <c r="O72" s="1022"/>
      <c r="P72" s="1560"/>
      <c r="Q72" s="1560"/>
    </row>
    <row r="73" spans="2:17" ht="15" customHeight="1">
      <c r="B73" s="12"/>
      <c r="C73" s="783"/>
      <c r="D73" s="12"/>
      <c r="E73" s="12"/>
      <c r="F73" s="12"/>
      <c r="G73" s="1555" t="s">
        <v>73</v>
      </c>
      <c r="H73" s="1555"/>
      <c r="I73" s="913">
        <f ca="1">+IFERROR(VLOOKUP(M73,Pasivo!$W$11:$X$66,2,0),0)</f>
        <v>17881158</v>
      </c>
      <c r="J73" s="913">
        <v>15456899</v>
      </c>
      <c r="K73" s="22"/>
      <c r="M73" s="190">
        <v>5213160</v>
      </c>
      <c r="N73" s="915">
        <f ca="1">+I73</f>
        <v>17881158</v>
      </c>
      <c r="O73" s="915">
        <f ca="1">+I69</f>
        <v>117922105</v>
      </c>
      <c r="P73" s="915">
        <f ca="1">+O73+N73</f>
        <v>135803263</v>
      </c>
      <c r="Q73" s="915"/>
    </row>
    <row r="74" spans="2:17" ht="15" customHeight="1">
      <c r="B74" s="12"/>
      <c r="C74" s="783"/>
      <c r="D74" s="12"/>
      <c r="E74" s="12"/>
      <c r="F74" s="12"/>
      <c r="G74" s="1555" t="s">
        <v>74</v>
      </c>
      <c r="H74" s="1555"/>
      <c r="I74" s="913">
        <f ca="1">+IFERROR(VLOOKUP(M74,Pasivo!$W$11:$X$66,2,0),0)</f>
        <v>0</v>
      </c>
      <c r="J74" s="913"/>
      <c r="K74" s="22"/>
      <c r="M74" s="190">
        <v>5213170</v>
      </c>
      <c r="N74" s="915">
        <f ca="1">+I44</f>
        <v>911782</v>
      </c>
      <c r="O74" s="915">
        <f ca="1">+I41</f>
        <v>46199873</v>
      </c>
      <c r="P74" s="915">
        <f ca="1">+O74+N74</f>
        <v>47111655</v>
      </c>
      <c r="Q74" s="915"/>
    </row>
    <row r="75" spans="2:17" ht="15" customHeight="1">
      <c r="B75" s="12"/>
      <c r="C75" s="783"/>
      <c r="D75" s="12"/>
      <c r="E75" s="12"/>
      <c r="F75" s="12"/>
      <c r="G75" s="1555" t="s">
        <v>75</v>
      </c>
      <c r="H75" s="1555"/>
      <c r="I75" s="913">
        <f ca="1">+IFERROR(VLOOKUP(M75,Pasivo!$W$11:$X$66,2,0),0)</f>
        <v>1149849</v>
      </c>
      <c r="J75" s="913">
        <v>2665926</v>
      </c>
      <c r="K75" s="22"/>
      <c r="M75" s="190">
        <v>5213180</v>
      </c>
      <c r="N75" s="915">
        <f ca="1">+N73-N74</f>
        <v>16969376</v>
      </c>
      <c r="O75" s="915">
        <f ca="1">+O73-O74</f>
        <v>71722232</v>
      </c>
      <c r="P75" s="1501">
        <f ca="1">+O75+N75</f>
        <v>88691608</v>
      </c>
      <c r="Q75" s="1501"/>
    </row>
    <row r="76" spans="2:17" ht="15" customHeight="1">
      <c r="B76" s="12"/>
      <c r="C76" s="783"/>
      <c r="D76" s="12"/>
      <c r="E76" s="12"/>
      <c r="F76" s="12"/>
      <c r="G76" s="1555" t="s">
        <v>76</v>
      </c>
      <c r="H76" s="1555"/>
      <c r="I76" s="913">
        <f ca="1">+IFERROR(VLOOKUP(M76,Pasivo!$W$11:$X$66,2,0),0)</f>
        <v>0</v>
      </c>
      <c r="J76" s="913"/>
      <c r="K76" s="22"/>
      <c r="M76" s="190">
        <v>5213190</v>
      </c>
    </row>
    <row r="77" spans="2:17" ht="15" customHeight="1">
      <c r="B77" s="12"/>
      <c r="C77" s="783"/>
      <c r="D77" s="12"/>
      <c r="E77" s="12"/>
      <c r="F77" s="1557" t="s">
        <v>77</v>
      </c>
      <c r="G77" s="1557"/>
      <c r="H77" s="1557"/>
      <c r="I77" s="911">
        <f ca="1">I78+I79+I80+I83</f>
        <v>18855833</v>
      </c>
      <c r="J77" s="911">
        <f>J78+J79+J80+J83</f>
        <v>16429627</v>
      </c>
      <c r="K77" s="22"/>
    </row>
    <row r="78" spans="2:17" ht="15" customHeight="1">
      <c r="B78" s="12"/>
      <c r="C78" s="783"/>
      <c r="D78" s="12"/>
      <c r="E78" s="12"/>
      <c r="F78" s="12"/>
      <c r="G78" s="1555" t="s">
        <v>78</v>
      </c>
      <c r="H78" s="1555"/>
      <c r="I78" s="913">
        <f ca="1">+IFERROR(VLOOKUP(M78,Pasivo!$W$11:$X$66,2,0),0)</f>
        <v>744785</v>
      </c>
      <c r="J78" s="913">
        <v>1801519</v>
      </c>
      <c r="K78" s="22"/>
      <c r="M78" s="190">
        <v>5213210</v>
      </c>
    </row>
    <row r="79" spans="2:17" ht="15" customHeight="1">
      <c r="B79" s="12"/>
      <c r="C79" s="783"/>
      <c r="D79" s="12"/>
      <c r="E79" s="12"/>
      <c r="F79" s="12"/>
      <c r="G79" s="1555" t="s">
        <v>79</v>
      </c>
      <c r="H79" s="1555"/>
      <c r="I79" s="913">
        <f ca="1">+IFERROR(VLOOKUP(M79,Pasivo!$W$11:$X$66,2,0),0)</f>
        <v>18064490</v>
      </c>
      <c r="J79" s="913">
        <v>14564527</v>
      </c>
      <c r="K79" s="22"/>
      <c r="M79" s="190">
        <v>5213220</v>
      </c>
    </row>
    <row r="80" spans="2:17" ht="15" customHeight="1">
      <c r="B80" s="12"/>
      <c r="C80" s="783"/>
      <c r="D80" s="12"/>
      <c r="E80" s="12"/>
      <c r="F80" s="12"/>
      <c r="G80" s="1557" t="s">
        <v>80</v>
      </c>
      <c r="H80" s="1557"/>
      <c r="I80" s="911">
        <f ca="1">I81+I82</f>
        <v>46558</v>
      </c>
      <c r="J80" s="911">
        <f>J81+J82</f>
        <v>63581</v>
      </c>
      <c r="K80" s="22"/>
    </row>
    <row r="81" spans="2:13" ht="15" customHeight="1">
      <c r="B81" s="12"/>
      <c r="C81" s="783"/>
      <c r="D81" s="12"/>
      <c r="E81" s="12"/>
      <c r="F81" s="12"/>
      <c r="G81" s="12"/>
      <c r="H81" s="13" t="s">
        <v>81</v>
      </c>
      <c r="I81" s="913">
        <f ca="1">+IFERROR(VLOOKUP(M81,Pasivo!$W$11:$X$66,2,0),0)</f>
        <v>46558</v>
      </c>
      <c r="J81" s="913">
        <v>63581</v>
      </c>
      <c r="K81" s="22"/>
      <c r="M81" s="190">
        <v>5213231</v>
      </c>
    </row>
    <row r="82" spans="2:13" ht="15" customHeight="1">
      <c r="B82" s="12"/>
      <c r="C82" s="783"/>
      <c r="D82" s="12"/>
      <c r="E82" s="12"/>
      <c r="F82" s="12"/>
      <c r="G82" s="12"/>
      <c r="H82" s="13" t="s">
        <v>82</v>
      </c>
      <c r="I82" s="913">
        <f>+IFERROR(VLOOKUP(M82,Pasivo!$W$11:$X$66,2,0),0)</f>
        <v>0</v>
      </c>
      <c r="J82" s="913"/>
      <c r="K82" s="22"/>
      <c r="M82" s="190">
        <v>5213232</v>
      </c>
    </row>
    <row r="83" spans="2:13" ht="15" customHeight="1">
      <c r="B83" s="12"/>
      <c r="C83" s="783"/>
      <c r="D83" s="12"/>
      <c r="E83" s="12"/>
      <c r="F83" s="12"/>
      <c r="G83" s="1555" t="s">
        <v>83</v>
      </c>
      <c r="H83" s="1555"/>
      <c r="I83" s="913">
        <f>+IFERROR(VLOOKUP(M83,Pasivo!$W$11:$X$66,2,0),0)</f>
        <v>0</v>
      </c>
      <c r="J83" s="913"/>
      <c r="K83" s="22"/>
      <c r="M83" s="190">
        <v>5213240</v>
      </c>
    </row>
    <row r="84" spans="2:13" ht="15" customHeight="1">
      <c r="B84" s="12"/>
      <c r="C84" s="783"/>
      <c r="D84" s="12"/>
      <c r="E84" s="1556" t="s">
        <v>84</v>
      </c>
      <c r="F84" s="1556"/>
      <c r="G84" s="1556"/>
      <c r="H84" s="1556"/>
      <c r="I84" s="1518">
        <f ca="1">I85+I86</f>
        <v>37443567</v>
      </c>
      <c r="J84" s="911">
        <f>J85+J86</f>
        <v>39365358</v>
      </c>
      <c r="K84" s="22"/>
    </row>
    <row r="85" spans="2:13" ht="15" customHeight="1">
      <c r="B85" s="12"/>
      <c r="C85" s="783"/>
      <c r="D85" s="12"/>
      <c r="E85" s="12"/>
      <c r="F85" s="1555" t="s">
        <v>85</v>
      </c>
      <c r="G85" s="1555"/>
      <c r="H85" s="1555"/>
      <c r="I85" s="913">
        <f ca="1">+IFERROR(VLOOKUP(M85,Pasivo!$W$11:$X$66,2,0),0)</f>
        <v>8533829</v>
      </c>
      <c r="J85" s="913">
        <v>8903557</v>
      </c>
      <c r="K85" s="22"/>
      <c r="M85" s="190">
        <v>5214100</v>
      </c>
    </row>
    <row r="86" spans="2:13" ht="15" customHeight="1">
      <c r="B86" s="12"/>
      <c r="C86" s="783"/>
      <c r="D86" s="12"/>
      <c r="E86" s="12"/>
      <c r="F86" s="1556" t="s">
        <v>86</v>
      </c>
      <c r="G86" s="1556"/>
      <c r="H86" s="1556"/>
      <c r="I86" s="1518">
        <f ca="1">I87+I90+I91+I92+I93+I94</f>
        <v>28909738</v>
      </c>
      <c r="J86" s="911">
        <f>J87+J90+J91+J92+J93+J94</f>
        <v>30461801</v>
      </c>
      <c r="K86" s="22"/>
    </row>
    <row r="87" spans="2:13" ht="15" customHeight="1">
      <c r="B87" s="12"/>
      <c r="C87" s="783"/>
      <c r="D87" s="12"/>
      <c r="E87" s="12"/>
      <c r="F87" s="24"/>
      <c r="G87" s="1557" t="s">
        <v>87</v>
      </c>
      <c r="H87" s="1557"/>
      <c r="I87" s="911">
        <f ca="1">I88+I89</f>
        <v>3533711</v>
      </c>
      <c r="J87" s="911">
        <f>J88+J89</f>
        <v>3604986</v>
      </c>
      <c r="K87" s="22"/>
    </row>
    <row r="88" spans="2:13" ht="15" customHeight="1">
      <c r="B88" s="12"/>
      <c r="C88" s="783"/>
      <c r="D88" s="12"/>
      <c r="E88" s="12"/>
      <c r="F88" s="12"/>
      <c r="G88" s="12"/>
      <c r="H88" s="13" t="s">
        <v>88</v>
      </c>
      <c r="I88" s="913">
        <f ca="1">+IFERROR(VLOOKUP(M88,Pasivo!$W$11:$X$66,2,0),0)</f>
        <v>3533711</v>
      </c>
      <c r="J88" s="913">
        <v>3444355</v>
      </c>
      <c r="K88" s="22"/>
      <c r="M88" s="190">
        <v>5214211</v>
      </c>
    </row>
    <row r="89" spans="2:13" ht="15" customHeight="1">
      <c r="B89" s="12"/>
      <c r="C89" s="783"/>
      <c r="D89" s="12"/>
      <c r="E89" s="12"/>
      <c r="F89" s="12"/>
      <c r="G89" s="12"/>
      <c r="H89" s="13" t="s">
        <v>89</v>
      </c>
      <c r="I89" s="913">
        <f ca="1">+IFERROR(VLOOKUP(M89,Pasivo!$W$11:$X$66,2,0),0)</f>
        <v>0</v>
      </c>
      <c r="J89" s="913">
        <v>160631</v>
      </c>
      <c r="K89" s="22"/>
      <c r="M89" s="190">
        <v>5214212</v>
      </c>
    </row>
    <row r="90" spans="2:13" ht="15" customHeight="1">
      <c r="B90" s="12"/>
      <c r="C90" s="783"/>
      <c r="D90" s="12"/>
      <c r="E90" s="12"/>
      <c r="F90" s="12"/>
      <c r="G90" s="1555" t="s">
        <v>90</v>
      </c>
      <c r="H90" s="1555"/>
      <c r="I90" s="913">
        <f ca="1">+IFERROR(VLOOKUP(M90,Pasivo!$W$11:$X$66,2,0),0)</f>
        <v>1125711</v>
      </c>
      <c r="J90" s="913">
        <v>1592728</v>
      </c>
      <c r="K90" s="22"/>
      <c r="M90" s="190">
        <v>5214220</v>
      </c>
    </row>
    <row r="91" spans="2:13" ht="15" customHeight="1">
      <c r="B91" s="12"/>
      <c r="C91" s="783"/>
      <c r="D91" s="12"/>
      <c r="E91" s="12"/>
      <c r="F91" s="12"/>
      <c r="G91" s="1555" t="s">
        <v>91</v>
      </c>
      <c r="H91" s="1555"/>
      <c r="I91" s="913">
        <f ca="1">+IFERROR(VLOOKUP(M91,Pasivo!$W$11:$X$66,2,0),0)</f>
        <v>1578354</v>
      </c>
      <c r="J91" s="913">
        <v>1497890</v>
      </c>
      <c r="K91" s="22"/>
      <c r="M91" s="190">
        <v>5214230</v>
      </c>
    </row>
    <row r="92" spans="2:13" ht="15" customHeight="1">
      <c r="B92" s="12"/>
      <c r="C92" s="783"/>
      <c r="D92" s="12"/>
      <c r="E92" s="12"/>
      <c r="F92" s="12"/>
      <c r="G92" s="1555" t="s">
        <v>92</v>
      </c>
      <c r="H92" s="1555"/>
      <c r="I92" s="913">
        <f ca="1">+IFERROR(VLOOKUP(M92,Pasivo!$W$11:$X$66,2,0),0)</f>
        <v>6837880</v>
      </c>
      <c r="J92" s="913">
        <v>13907894</v>
      </c>
      <c r="K92" s="22"/>
      <c r="M92" s="190">
        <v>5214240</v>
      </c>
    </row>
    <row r="93" spans="2:13" ht="15" customHeight="1">
      <c r="B93" s="12"/>
      <c r="C93" s="783"/>
      <c r="D93" s="12"/>
      <c r="E93" s="12"/>
      <c r="F93" s="12"/>
      <c r="G93" s="1555" t="s">
        <v>93</v>
      </c>
      <c r="H93" s="1555"/>
      <c r="I93" s="913">
        <f ca="1">+IFERROR(VLOOKUP(M93,Pasivo!$W$11:$X$66,2,0),0)</f>
        <v>0</v>
      </c>
      <c r="J93" s="913"/>
      <c r="K93" s="22"/>
      <c r="M93" s="190">
        <v>5214250</v>
      </c>
    </row>
    <row r="94" spans="2:13" ht="15" customHeight="1">
      <c r="B94" s="12"/>
      <c r="C94" s="783"/>
      <c r="D94" s="12"/>
      <c r="E94" s="12"/>
      <c r="F94" s="1547"/>
      <c r="G94" s="1558" t="s">
        <v>94</v>
      </c>
      <c r="H94" s="1558"/>
      <c r="I94" s="1516">
        <f ca="1">+IFERROR(VLOOKUP(M94,Pasivo!$W$11:$X$66,2,0),0)+83476</f>
        <v>15834082</v>
      </c>
      <c r="J94" s="913">
        <v>9858303</v>
      </c>
      <c r="K94" s="22"/>
      <c r="M94" s="190">
        <v>5214260</v>
      </c>
    </row>
    <row r="95" spans="2:13" ht="15" customHeight="1">
      <c r="B95" s="12"/>
      <c r="C95" s="783"/>
      <c r="D95" s="1556" t="s">
        <v>95</v>
      </c>
      <c r="E95" s="1556"/>
      <c r="F95" s="1556"/>
      <c r="G95" s="1556"/>
      <c r="H95" s="1556"/>
      <c r="I95" s="1518">
        <f ca="1">I96+I97+I98+I102</f>
        <v>138704079</v>
      </c>
      <c r="J95" s="911">
        <f>J96+J97+J98+J102</f>
        <v>137746404</v>
      </c>
      <c r="K95" s="22"/>
    </row>
    <row r="96" spans="2:13" ht="15" customHeight="1">
      <c r="B96" s="12"/>
      <c r="C96" s="783"/>
      <c r="D96" s="12"/>
      <c r="E96" s="1555" t="s">
        <v>96</v>
      </c>
      <c r="F96" s="1555"/>
      <c r="G96" s="1555"/>
      <c r="H96" s="1555"/>
      <c r="I96" s="913">
        <f ca="1">+IFERROR(VLOOKUP(M96,Pasivo!$W$11:$X$66,2,0),0)</f>
        <v>44718799</v>
      </c>
      <c r="J96" s="913">
        <v>44718799</v>
      </c>
      <c r="K96" s="22"/>
      <c r="M96" s="190">
        <v>5221000</v>
      </c>
    </row>
    <row r="97" spans="2:13" ht="15" customHeight="1">
      <c r="B97" s="12"/>
      <c r="C97" s="783"/>
      <c r="D97" s="12"/>
      <c r="E97" s="1558" t="s">
        <v>97</v>
      </c>
      <c r="F97" s="1558"/>
      <c r="G97" s="1558"/>
      <c r="H97" s="1558"/>
      <c r="I97" s="1516">
        <f ca="1">+IFERROR(VLOOKUP(M97,Pasivo!$W$11:$X$66,2,0),0)-83475</f>
        <v>-14505314</v>
      </c>
      <c r="J97" s="913">
        <v>-13224580</v>
      </c>
      <c r="K97" s="22"/>
      <c r="M97" s="190">
        <v>5222000</v>
      </c>
    </row>
    <row r="98" spans="2:13" ht="15" customHeight="1">
      <c r="B98" s="12"/>
      <c r="C98" s="783"/>
      <c r="D98" s="12"/>
      <c r="E98" s="1557" t="s">
        <v>98</v>
      </c>
      <c r="F98" s="1557"/>
      <c r="G98" s="1557"/>
      <c r="H98" s="1557"/>
      <c r="I98" s="911">
        <f ca="1">I99+I100-I101</f>
        <v>108490594</v>
      </c>
      <c r="J98" s="911">
        <f>J99+J100-J101</f>
        <v>106252185</v>
      </c>
      <c r="K98" s="22"/>
    </row>
    <row r="99" spans="2:13" ht="15" customHeight="1">
      <c r="B99" s="12"/>
      <c r="C99" s="783"/>
      <c r="D99" s="12"/>
      <c r="E99" s="12"/>
      <c r="F99" s="1555" t="s">
        <v>99</v>
      </c>
      <c r="G99" s="1555"/>
      <c r="H99" s="1555"/>
      <c r="I99" s="913">
        <f ca="1">+IFERROR(VLOOKUP(M99,Pasivo!$W$11:$X$66,2,0),0)-1</f>
        <v>106252185</v>
      </c>
      <c r="J99" s="913">
        <v>96331239</v>
      </c>
      <c r="K99" s="22"/>
      <c r="M99" s="190">
        <v>5223100</v>
      </c>
    </row>
    <row r="100" spans="2:13" ht="15" customHeight="1">
      <c r="B100" s="12"/>
      <c r="C100" s="783"/>
      <c r="D100" s="12"/>
      <c r="E100" s="12"/>
      <c r="F100" s="1555" t="s">
        <v>100</v>
      </c>
      <c r="G100" s="1555"/>
      <c r="H100" s="1555"/>
      <c r="I100" s="913">
        <f ca="1">+IFERROR(VLOOKUP(M100,Pasivo!$W$11:$X$66,2,0),0)</f>
        <v>3197727</v>
      </c>
      <c r="J100" s="913">
        <v>14172781</v>
      </c>
      <c r="K100" s="22"/>
      <c r="M100" s="190">
        <v>5223200</v>
      </c>
    </row>
    <row r="101" spans="2:13" ht="15" customHeight="1">
      <c r="B101" s="12"/>
      <c r="C101" s="783"/>
      <c r="D101" s="12"/>
      <c r="E101" s="12"/>
      <c r="F101" s="1555" t="s">
        <v>101</v>
      </c>
      <c r="G101" s="1555"/>
      <c r="H101" s="1555"/>
      <c r="I101" s="913">
        <f ca="1">+IFERROR(VLOOKUP(M101,Pasivo!$W$11:$X$66,2,0),0)</f>
        <v>959318</v>
      </c>
      <c r="J101" s="913">
        <v>4251835</v>
      </c>
      <c r="K101" s="22"/>
      <c r="M101" s="190">
        <v>5223300</v>
      </c>
    </row>
    <row r="102" spans="2:13" ht="15" customHeight="1">
      <c r="B102" s="12"/>
      <c r="C102" s="783"/>
      <c r="D102" s="12"/>
      <c r="E102" s="1555" t="s">
        <v>102</v>
      </c>
      <c r="F102" s="1555"/>
      <c r="G102" s="1555"/>
      <c r="H102" s="1555"/>
      <c r="I102" s="913">
        <f>+IFERROR(VLOOKUP(M102,Pasivo!$W$11:$X$66,2,0),0)</f>
        <v>0</v>
      </c>
      <c r="J102" s="913"/>
      <c r="K102" s="22"/>
      <c r="M102" s="190">
        <v>5224000</v>
      </c>
    </row>
    <row r="103" spans="2:13">
      <c r="C103" s="777"/>
    </row>
    <row r="104" spans="2:13">
      <c r="C104" s="777"/>
    </row>
    <row r="105" spans="2:13">
      <c r="C105" s="777"/>
    </row>
    <row r="106" spans="2:13">
      <c r="C106" s="777"/>
    </row>
    <row r="107" spans="2:13">
      <c r="C107" s="777"/>
    </row>
    <row r="108" spans="2:13">
      <c r="C108" s="777"/>
    </row>
    <row r="109" spans="2:13">
      <c r="C109" s="777"/>
    </row>
    <row r="110" spans="2:13">
      <c r="C110" s="777"/>
      <c r="I110" s="1200"/>
    </row>
    <row r="111" spans="2:13">
      <c r="C111" s="777"/>
    </row>
    <row r="112" spans="2:13">
      <c r="C112" s="777"/>
    </row>
    <row r="113" spans="3:3">
      <c r="C113" s="777"/>
    </row>
    <row r="114" spans="3:3">
      <c r="C114" s="777"/>
    </row>
    <row r="115" spans="3:3">
      <c r="C115" s="777"/>
    </row>
    <row r="116" spans="3:3">
      <c r="C116" s="777"/>
    </row>
    <row r="117" spans="3:3">
      <c r="C117" s="777"/>
    </row>
    <row r="118" spans="3:3">
      <c r="C118" s="777"/>
    </row>
    <row r="119" spans="3:3">
      <c r="C119" s="777"/>
    </row>
    <row r="120" spans="3:3">
      <c r="C120" s="777"/>
    </row>
    <row r="121" spans="3:3">
      <c r="C121" s="777"/>
    </row>
    <row r="122" spans="3:3">
      <c r="C122" s="777"/>
    </row>
    <row r="123" spans="3:3">
      <c r="C123" s="777"/>
    </row>
    <row r="124" spans="3:3">
      <c r="C124" s="777"/>
    </row>
    <row r="125" spans="3:3">
      <c r="C125" s="777"/>
    </row>
    <row r="126" spans="3:3">
      <c r="C126" s="777"/>
    </row>
    <row r="127" spans="3:3">
      <c r="C127" s="777"/>
    </row>
    <row r="128" spans="3:3">
      <c r="C128" s="777"/>
    </row>
    <row r="129" spans="3:3">
      <c r="C129" s="777"/>
    </row>
    <row r="130" spans="3:3">
      <c r="C130" s="777"/>
    </row>
    <row r="131" spans="3:3">
      <c r="C131" s="777"/>
    </row>
    <row r="132" spans="3:3">
      <c r="C132" s="777"/>
    </row>
    <row r="133" spans="3:3">
      <c r="C133" s="777"/>
    </row>
    <row r="134" spans="3:3">
      <c r="C134" s="777"/>
    </row>
    <row r="135" spans="3:3">
      <c r="C135" s="777"/>
    </row>
    <row r="136" spans="3:3">
      <c r="C136" s="777"/>
    </row>
    <row r="137" spans="3:3">
      <c r="C137" s="777"/>
    </row>
    <row r="138" spans="3:3">
      <c r="C138" s="777"/>
    </row>
    <row r="139" spans="3:3">
      <c r="C139" s="777"/>
    </row>
    <row r="140" spans="3:3">
      <c r="C140" s="777"/>
    </row>
    <row r="141" spans="3:3">
      <c r="C141" s="777"/>
    </row>
    <row r="142" spans="3:3">
      <c r="C142" s="777"/>
    </row>
    <row r="143" spans="3:3">
      <c r="C143" s="777"/>
    </row>
    <row r="144" spans="3:3">
      <c r="C144" s="777"/>
    </row>
    <row r="145" spans="3:3">
      <c r="C145" s="777"/>
    </row>
    <row r="146" spans="3:3">
      <c r="C146" s="777"/>
    </row>
    <row r="147" spans="3:3">
      <c r="C147" s="777"/>
    </row>
    <row r="148" spans="3:3">
      <c r="C148" s="777"/>
    </row>
    <row r="149" spans="3:3">
      <c r="C149" s="777"/>
    </row>
    <row r="150" spans="3:3">
      <c r="C150" s="777"/>
    </row>
    <row r="151" spans="3:3">
      <c r="C151" s="777"/>
    </row>
    <row r="152" spans="3:3">
      <c r="C152" s="777"/>
    </row>
    <row r="153" spans="3:3">
      <c r="C153" s="777"/>
    </row>
    <row r="154" spans="3:3">
      <c r="C154" s="777"/>
    </row>
    <row r="155" spans="3:3">
      <c r="C155" s="777"/>
    </row>
    <row r="156" spans="3:3">
      <c r="C156" s="777"/>
    </row>
    <row r="157" spans="3:3">
      <c r="C157" s="777"/>
    </row>
    <row r="158" spans="3:3">
      <c r="C158" s="777"/>
    </row>
    <row r="159" spans="3:3">
      <c r="C159" s="777"/>
    </row>
    <row r="160" spans="3:3">
      <c r="C160" s="777"/>
    </row>
    <row r="161" spans="3:3">
      <c r="C161" s="777"/>
    </row>
    <row r="162" spans="3:3">
      <c r="C162" s="777"/>
    </row>
    <row r="163" spans="3:3">
      <c r="C163" s="777"/>
    </row>
    <row r="164" spans="3:3">
      <c r="C164" s="777"/>
    </row>
    <row r="165" spans="3:3">
      <c r="C165" s="777"/>
    </row>
    <row r="166" spans="3:3">
      <c r="C166" s="777"/>
    </row>
    <row r="167" spans="3:3">
      <c r="C167" s="777"/>
    </row>
    <row r="168" spans="3:3">
      <c r="C168" s="777"/>
    </row>
    <row r="169" spans="3:3">
      <c r="C169" s="777"/>
    </row>
    <row r="170" spans="3:3">
      <c r="C170" s="777"/>
    </row>
    <row r="171" spans="3:3">
      <c r="C171" s="777"/>
    </row>
    <row r="172" spans="3:3">
      <c r="C172" s="777"/>
    </row>
    <row r="173" spans="3:3">
      <c r="C173" s="777"/>
    </row>
    <row r="174" spans="3:3">
      <c r="C174" s="777"/>
    </row>
    <row r="175" spans="3:3">
      <c r="C175" s="777"/>
    </row>
    <row r="176" spans="3:3">
      <c r="C176" s="777"/>
    </row>
    <row r="177" spans="3:3">
      <c r="C177" s="777"/>
    </row>
    <row r="178" spans="3:3">
      <c r="C178" s="777"/>
    </row>
    <row r="179" spans="3:3">
      <c r="C179" s="777"/>
    </row>
    <row r="180" spans="3:3">
      <c r="C180" s="777"/>
    </row>
    <row r="181" spans="3:3">
      <c r="C181" s="777"/>
    </row>
    <row r="182" spans="3:3">
      <c r="C182" s="777"/>
    </row>
    <row r="183" spans="3:3">
      <c r="C183" s="777"/>
    </row>
    <row r="184" spans="3:3">
      <c r="C184" s="777"/>
    </row>
    <row r="185" spans="3:3">
      <c r="C185" s="777"/>
    </row>
    <row r="186" spans="3:3">
      <c r="C186" s="777"/>
    </row>
    <row r="187" spans="3:3">
      <c r="C187" s="777"/>
    </row>
    <row r="188" spans="3:3">
      <c r="C188" s="777"/>
    </row>
    <row r="189" spans="3:3">
      <c r="C189" s="777"/>
    </row>
    <row r="190" spans="3:3">
      <c r="C190" s="777"/>
    </row>
    <row r="191" spans="3:3">
      <c r="C191" s="777"/>
    </row>
    <row r="192" spans="3:3">
      <c r="C192" s="777"/>
    </row>
    <row r="193" spans="3:3">
      <c r="C193" s="777"/>
    </row>
    <row r="194" spans="3:3">
      <c r="C194" s="777"/>
    </row>
    <row r="195" spans="3:3">
      <c r="C195" s="777"/>
    </row>
    <row r="196" spans="3:3">
      <c r="C196" s="777"/>
    </row>
    <row r="197" spans="3:3">
      <c r="C197" s="777"/>
    </row>
    <row r="198" spans="3:3">
      <c r="C198" s="777"/>
    </row>
    <row r="199" spans="3:3">
      <c r="C199" s="777"/>
    </row>
    <row r="200" spans="3:3">
      <c r="C200" s="777"/>
    </row>
    <row r="201" spans="3:3">
      <c r="C201" s="777"/>
    </row>
    <row r="202" spans="3:3">
      <c r="C202" s="777"/>
    </row>
    <row r="203" spans="3:3">
      <c r="C203" s="777"/>
    </row>
    <row r="204" spans="3:3">
      <c r="C204" s="777"/>
    </row>
    <row r="205" spans="3:3">
      <c r="C205" s="777"/>
    </row>
    <row r="206" spans="3:3">
      <c r="C206" s="777"/>
    </row>
    <row r="207" spans="3:3">
      <c r="C207" s="777"/>
    </row>
    <row r="208" spans="3:3">
      <c r="C208" s="777"/>
    </row>
    <row r="209" spans="3:3">
      <c r="C209" s="777"/>
    </row>
    <row r="210" spans="3:3">
      <c r="C210" s="777"/>
    </row>
    <row r="211" spans="3:3">
      <c r="C211" s="777"/>
    </row>
    <row r="212" spans="3:3">
      <c r="C212" s="777"/>
    </row>
    <row r="213" spans="3:3">
      <c r="C213" s="777"/>
    </row>
    <row r="214" spans="3:3">
      <c r="C214" s="777"/>
    </row>
    <row r="215" spans="3:3">
      <c r="C215" s="777"/>
    </row>
    <row r="216" spans="3:3">
      <c r="C216" s="777"/>
    </row>
    <row r="217" spans="3:3">
      <c r="C217" s="777"/>
    </row>
    <row r="218" spans="3:3">
      <c r="C218" s="777"/>
    </row>
    <row r="219" spans="3:3">
      <c r="C219" s="777"/>
    </row>
    <row r="220" spans="3:3">
      <c r="C220" s="777"/>
    </row>
    <row r="221" spans="3:3">
      <c r="C221" s="777"/>
    </row>
    <row r="222" spans="3:3">
      <c r="C222" s="777"/>
    </row>
    <row r="223" spans="3:3">
      <c r="C223" s="777"/>
    </row>
    <row r="224" spans="3:3">
      <c r="C224" s="777"/>
    </row>
    <row r="225" spans="3:3">
      <c r="C225" s="777"/>
    </row>
    <row r="226" spans="3:3">
      <c r="C226" s="777"/>
    </row>
    <row r="227" spans="3:3">
      <c r="C227" s="777"/>
    </row>
    <row r="228" spans="3:3">
      <c r="C228" s="777"/>
    </row>
    <row r="229" spans="3:3">
      <c r="C229" s="777"/>
    </row>
    <row r="230" spans="3:3">
      <c r="C230" s="777"/>
    </row>
    <row r="231" spans="3:3">
      <c r="C231" s="777"/>
    </row>
    <row r="232" spans="3:3">
      <c r="C232" s="777"/>
    </row>
    <row r="233" spans="3:3">
      <c r="C233" s="777"/>
    </row>
    <row r="234" spans="3:3">
      <c r="C234" s="777"/>
    </row>
    <row r="235" spans="3:3">
      <c r="C235" s="777"/>
    </row>
    <row r="236" spans="3:3">
      <c r="C236" s="777"/>
    </row>
    <row r="237" spans="3:3">
      <c r="C237" s="777"/>
    </row>
    <row r="238" spans="3:3">
      <c r="C238" s="777"/>
    </row>
    <row r="239" spans="3:3">
      <c r="C239" s="777"/>
    </row>
    <row r="240" spans="3:3">
      <c r="C240" s="777"/>
    </row>
    <row r="241" spans="3:3">
      <c r="C241" s="777"/>
    </row>
    <row r="242" spans="3:3">
      <c r="C242" s="777"/>
    </row>
    <row r="243" spans="3:3">
      <c r="C243" s="777"/>
    </row>
    <row r="244" spans="3:3">
      <c r="C244" s="777"/>
    </row>
    <row r="245" spans="3:3">
      <c r="C245" s="777"/>
    </row>
    <row r="246" spans="3:3">
      <c r="C246" s="777"/>
    </row>
    <row r="247" spans="3:3">
      <c r="C247" s="777"/>
    </row>
    <row r="248" spans="3:3">
      <c r="C248" s="777"/>
    </row>
    <row r="249" spans="3:3">
      <c r="C249" s="777"/>
    </row>
    <row r="250" spans="3:3">
      <c r="C250" s="777"/>
    </row>
    <row r="251" spans="3:3">
      <c r="C251" s="777"/>
    </row>
    <row r="252" spans="3:3">
      <c r="C252" s="777"/>
    </row>
    <row r="253" spans="3:3">
      <c r="C253" s="777"/>
    </row>
    <row r="254" spans="3:3">
      <c r="C254" s="777"/>
    </row>
    <row r="255" spans="3:3">
      <c r="C255" s="777"/>
    </row>
    <row r="256" spans="3:3">
      <c r="C256" s="777"/>
    </row>
    <row r="257" spans="3:3">
      <c r="C257" s="777"/>
    </row>
    <row r="258" spans="3:3">
      <c r="C258" s="777"/>
    </row>
    <row r="259" spans="3:3">
      <c r="C259" s="777"/>
    </row>
    <row r="260" spans="3:3">
      <c r="C260" s="777"/>
    </row>
    <row r="261" spans="3:3">
      <c r="C261" s="777"/>
    </row>
    <row r="262" spans="3:3">
      <c r="C262" s="777"/>
    </row>
    <row r="263" spans="3:3">
      <c r="C263" s="777"/>
    </row>
    <row r="264" spans="3:3">
      <c r="C264" s="777"/>
    </row>
    <row r="265" spans="3:3">
      <c r="C265" s="777"/>
    </row>
    <row r="266" spans="3:3">
      <c r="C266" s="777"/>
    </row>
    <row r="267" spans="3:3">
      <c r="C267" s="777"/>
    </row>
    <row r="268" spans="3:3">
      <c r="C268" s="777"/>
    </row>
    <row r="269" spans="3:3">
      <c r="C269" s="777"/>
    </row>
    <row r="270" spans="3:3">
      <c r="C270" s="777"/>
    </row>
    <row r="271" spans="3:3">
      <c r="C271" s="777"/>
    </row>
    <row r="272" spans="3:3">
      <c r="C272" s="777"/>
    </row>
    <row r="273" spans="3:3">
      <c r="C273" s="777"/>
    </row>
    <row r="274" spans="3:3">
      <c r="C274" s="777"/>
    </row>
    <row r="275" spans="3:3">
      <c r="C275" s="777"/>
    </row>
    <row r="276" spans="3:3">
      <c r="C276" s="777"/>
    </row>
    <row r="277" spans="3:3">
      <c r="C277" s="777"/>
    </row>
    <row r="278" spans="3:3">
      <c r="C278" s="777"/>
    </row>
    <row r="279" spans="3:3">
      <c r="C279" s="777"/>
    </row>
    <row r="280" spans="3:3">
      <c r="C280" s="777"/>
    </row>
    <row r="281" spans="3:3">
      <c r="C281" s="777"/>
    </row>
    <row r="282" spans="3:3">
      <c r="C282" s="777"/>
    </row>
    <row r="283" spans="3:3">
      <c r="C283" s="777"/>
    </row>
    <row r="284" spans="3:3">
      <c r="C284" s="777"/>
    </row>
    <row r="285" spans="3:3">
      <c r="C285" s="777"/>
    </row>
    <row r="286" spans="3:3">
      <c r="C286" s="777"/>
    </row>
    <row r="287" spans="3:3">
      <c r="C287" s="777"/>
    </row>
    <row r="288" spans="3:3">
      <c r="C288" s="777"/>
    </row>
    <row r="289" spans="3:3">
      <c r="C289" s="777"/>
    </row>
    <row r="290" spans="3:3">
      <c r="C290" s="777"/>
    </row>
    <row r="291" spans="3:3">
      <c r="C291" s="777"/>
    </row>
    <row r="292" spans="3:3">
      <c r="C292" s="777"/>
    </row>
    <row r="293" spans="3:3">
      <c r="C293" s="777"/>
    </row>
    <row r="294" spans="3:3">
      <c r="C294" s="777"/>
    </row>
    <row r="295" spans="3:3">
      <c r="C295" s="777"/>
    </row>
    <row r="296" spans="3:3">
      <c r="C296" s="777"/>
    </row>
    <row r="297" spans="3:3">
      <c r="C297" s="777"/>
    </row>
    <row r="298" spans="3:3">
      <c r="C298" s="777"/>
    </row>
    <row r="299" spans="3:3">
      <c r="C299" s="777"/>
    </row>
    <row r="300" spans="3:3">
      <c r="C300" s="777"/>
    </row>
    <row r="301" spans="3:3">
      <c r="C301" s="777"/>
    </row>
    <row r="302" spans="3:3">
      <c r="C302" s="777"/>
    </row>
    <row r="303" spans="3:3">
      <c r="C303" s="777"/>
    </row>
    <row r="304" spans="3:3">
      <c r="C304" s="777"/>
    </row>
    <row r="305" spans="3:3">
      <c r="C305" s="777"/>
    </row>
    <row r="306" spans="3:3">
      <c r="C306" s="777"/>
    </row>
    <row r="307" spans="3:3">
      <c r="C307" s="777"/>
    </row>
    <row r="308" spans="3:3">
      <c r="C308" s="777"/>
    </row>
    <row r="309" spans="3:3">
      <c r="C309" s="777"/>
    </row>
    <row r="310" spans="3:3">
      <c r="C310" s="777"/>
    </row>
    <row r="311" spans="3:3">
      <c r="C311" s="777"/>
    </row>
    <row r="312" spans="3:3">
      <c r="C312" s="777"/>
    </row>
    <row r="313" spans="3:3">
      <c r="C313" s="777"/>
    </row>
    <row r="314" spans="3:3">
      <c r="C314" s="777"/>
    </row>
    <row r="315" spans="3:3">
      <c r="C315" s="777"/>
    </row>
    <row r="316" spans="3:3">
      <c r="C316" s="777"/>
    </row>
    <row r="317" spans="3:3">
      <c r="C317" s="777"/>
    </row>
    <row r="318" spans="3:3">
      <c r="C318" s="777"/>
    </row>
    <row r="319" spans="3:3">
      <c r="C319" s="777"/>
    </row>
    <row r="320" spans="3:3">
      <c r="C320" s="777"/>
    </row>
    <row r="321" spans="3:3">
      <c r="C321" s="777"/>
    </row>
    <row r="322" spans="3:3">
      <c r="C322" s="777"/>
    </row>
    <row r="323" spans="3:3">
      <c r="C323" s="777"/>
    </row>
    <row r="324" spans="3:3">
      <c r="C324" s="777"/>
    </row>
    <row r="325" spans="3:3">
      <c r="C325" s="777"/>
    </row>
    <row r="326" spans="3:3">
      <c r="C326" s="777"/>
    </row>
    <row r="327" spans="3:3">
      <c r="C327" s="777"/>
    </row>
    <row r="328" spans="3:3">
      <c r="C328" s="777"/>
    </row>
    <row r="329" spans="3:3">
      <c r="C329" s="777"/>
    </row>
    <row r="330" spans="3:3">
      <c r="C330" s="777"/>
    </row>
    <row r="331" spans="3:3">
      <c r="C331" s="777"/>
    </row>
    <row r="332" spans="3:3">
      <c r="C332" s="777"/>
    </row>
    <row r="333" spans="3:3">
      <c r="C333" s="777"/>
    </row>
    <row r="334" spans="3:3">
      <c r="C334" s="777"/>
    </row>
    <row r="335" spans="3:3">
      <c r="C335" s="777"/>
    </row>
    <row r="336" spans="3:3">
      <c r="C336" s="777"/>
    </row>
    <row r="337" spans="3:3">
      <c r="C337" s="777"/>
    </row>
    <row r="338" spans="3:3">
      <c r="C338" s="777"/>
    </row>
    <row r="339" spans="3:3">
      <c r="C339" s="777"/>
    </row>
    <row r="340" spans="3:3">
      <c r="C340" s="777"/>
    </row>
    <row r="341" spans="3:3">
      <c r="C341" s="777"/>
    </row>
    <row r="342" spans="3:3">
      <c r="C342" s="777"/>
    </row>
    <row r="343" spans="3:3">
      <c r="C343" s="777"/>
    </row>
    <row r="344" spans="3:3">
      <c r="C344" s="777"/>
    </row>
    <row r="345" spans="3:3">
      <c r="C345" s="777"/>
    </row>
    <row r="346" spans="3:3">
      <c r="C346" s="777"/>
    </row>
    <row r="347" spans="3:3">
      <c r="C347" s="777"/>
    </row>
    <row r="348" spans="3:3">
      <c r="C348" s="777"/>
    </row>
    <row r="349" spans="3:3">
      <c r="C349" s="777"/>
    </row>
    <row r="350" spans="3:3">
      <c r="C350" s="777"/>
    </row>
    <row r="351" spans="3:3">
      <c r="C351" s="777"/>
    </row>
    <row r="352" spans="3:3">
      <c r="C352" s="777"/>
    </row>
    <row r="353" spans="3:3">
      <c r="C353" s="777"/>
    </row>
    <row r="354" spans="3:3">
      <c r="C354" s="777"/>
    </row>
    <row r="355" spans="3:3">
      <c r="C355" s="777"/>
    </row>
    <row r="356" spans="3:3">
      <c r="C356" s="777"/>
    </row>
    <row r="357" spans="3:3">
      <c r="C357" s="777"/>
    </row>
    <row r="358" spans="3:3">
      <c r="C358" s="777"/>
    </row>
    <row r="359" spans="3:3">
      <c r="C359" s="777"/>
    </row>
    <row r="360" spans="3:3">
      <c r="C360" s="777"/>
    </row>
    <row r="361" spans="3:3">
      <c r="C361" s="777"/>
    </row>
    <row r="362" spans="3:3">
      <c r="C362" s="777"/>
    </row>
    <row r="363" spans="3:3">
      <c r="C363" s="777"/>
    </row>
    <row r="364" spans="3:3">
      <c r="C364" s="777"/>
    </row>
    <row r="365" spans="3:3">
      <c r="C365" s="777"/>
    </row>
    <row r="366" spans="3:3">
      <c r="C366" s="777"/>
    </row>
    <row r="367" spans="3:3">
      <c r="C367" s="777"/>
    </row>
    <row r="368" spans="3:3">
      <c r="C368" s="777"/>
    </row>
    <row r="369" spans="3:3">
      <c r="C369" s="777"/>
    </row>
    <row r="370" spans="3:3">
      <c r="C370" s="777"/>
    </row>
    <row r="371" spans="3:3">
      <c r="C371" s="777"/>
    </row>
    <row r="372" spans="3:3">
      <c r="C372" s="777"/>
    </row>
    <row r="373" spans="3:3">
      <c r="C373" s="777"/>
    </row>
    <row r="374" spans="3:3">
      <c r="C374" s="777"/>
    </row>
    <row r="375" spans="3:3">
      <c r="C375" s="777"/>
    </row>
    <row r="376" spans="3:3">
      <c r="C376" s="777"/>
    </row>
    <row r="377" spans="3:3">
      <c r="C377" s="777"/>
    </row>
    <row r="378" spans="3:3">
      <c r="C378" s="777"/>
    </row>
    <row r="379" spans="3:3">
      <c r="C379" s="777"/>
    </row>
    <row r="380" spans="3:3">
      <c r="C380" s="777"/>
    </row>
    <row r="381" spans="3:3">
      <c r="C381" s="777"/>
    </row>
    <row r="382" spans="3:3">
      <c r="C382" s="777"/>
    </row>
    <row r="383" spans="3:3">
      <c r="C383" s="777"/>
    </row>
    <row r="384" spans="3:3">
      <c r="C384" s="777"/>
    </row>
    <row r="385" spans="3:3">
      <c r="C385" s="777"/>
    </row>
    <row r="386" spans="3:3">
      <c r="C386" s="777"/>
    </row>
    <row r="387" spans="3:3">
      <c r="C387" s="777"/>
    </row>
    <row r="388" spans="3:3">
      <c r="C388" s="777"/>
    </row>
    <row r="389" spans="3:3">
      <c r="C389" s="777"/>
    </row>
    <row r="390" spans="3:3">
      <c r="C390" s="777"/>
    </row>
    <row r="391" spans="3:3">
      <c r="C391" s="777"/>
    </row>
    <row r="392" spans="3:3">
      <c r="C392" s="777"/>
    </row>
    <row r="393" spans="3:3">
      <c r="C393" s="777"/>
    </row>
    <row r="394" spans="3:3">
      <c r="C394" s="777"/>
    </row>
    <row r="395" spans="3:3">
      <c r="C395" s="777"/>
    </row>
    <row r="396" spans="3:3">
      <c r="C396" s="777"/>
    </row>
    <row r="397" spans="3:3">
      <c r="C397" s="777"/>
    </row>
    <row r="398" spans="3:3">
      <c r="C398" s="777"/>
    </row>
    <row r="399" spans="3:3">
      <c r="C399" s="777"/>
    </row>
    <row r="400" spans="3:3">
      <c r="C400" s="777"/>
    </row>
    <row r="401" spans="3:3">
      <c r="C401" s="777"/>
    </row>
    <row r="402" spans="3:3">
      <c r="C402" s="777"/>
    </row>
    <row r="403" spans="3:3">
      <c r="C403" s="777"/>
    </row>
    <row r="404" spans="3:3">
      <c r="C404" s="777"/>
    </row>
    <row r="405" spans="3:3">
      <c r="C405" s="777"/>
    </row>
    <row r="406" spans="3:3">
      <c r="C406" s="777"/>
    </row>
    <row r="407" spans="3:3">
      <c r="C407" s="777"/>
    </row>
    <row r="408" spans="3:3">
      <c r="C408" s="777"/>
    </row>
    <row r="409" spans="3:3">
      <c r="C409" s="777"/>
    </row>
    <row r="410" spans="3:3">
      <c r="C410" s="777"/>
    </row>
    <row r="411" spans="3:3">
      <c r="C411" s="777"/>
    </row>
    <row r="412" spans="3:3">
      <c r="C412" s="777"/>
    </row>
    <row r="413" spans="3:3">
      <c r="C413" s="777"/>
    </row>
    <row r="414" spans="3:3">
      <c r="C414" s="777"/>
    </row>
    <row r="415" spans="3:3">
      <c r="C415" s="777"/>
    </row>
    <row r="416" spans="3:3">
      <c r="C416" s="777"/>
    </row>
    <row r="417" spans="3:3">
      <c r="C417" s="777"/>
    </row>
    <row r="418" spans="3:3">
      <c r="C418" s="777"/>
    </row>
    <row r="419" spans="3:3">
      <c r="C419" s="777"/>
    </row>
    <row r="420" spans="3:3">
      <c r="C420" s="777"/>
    </row>
    <row r="421" spans="3:3">
      <c r="C421" s="777"/>
    </row>
    <row r="422" spans="3:3">
      <c r="C422" s="777"/>
    </row>
    <row r="423" spans="3:3">
      <c r="C423" s="777"/>
    </row>
    <row r="424" spans="3:3">
      <c r="C424" s="777"/>
    </row>
    <row r="425" spans="3:3">
      <c r="C425" s="777"/>
    </row>
    <row r="426" spans="3:3">
      <c r="C426" s="777"/>
    </row>
    <row r="427" spans="3:3">
      <c r="C427" s="777"/>
    </row>
    <row r="428" spans="3:3">
      <c r="C428" s="777"/>
    </row>
    <row r="429" spans="3:3">
      <c r="C429" s="777"/>
    </row>
    <row r="430" spans="3:3">
      <c r="C430" s="777"/>
    </row>
    <row r="431" spans="3:3">
      <c r="C431" s="777"/>
    </row>
    <row r="432" spans="3:3">
      <c r="C432" s="777"/>
    </row>
    <row r="433" spans="3:3">
      <c r="C433" s="777"/>
    </row>
    <row r="434" spans="3:3">
      <c r="C434" s="777"/>
    </row>
    <row r="435" spans="3:3">
      <c r="C435" s="777"/>
    </row>
    <row r="436" spans="3:3">
      <c r="C436" s="777"/>
    </row>
    <row r="437" spans="3:3">
      <c r="C437" s="777"/>
    </row>
    <row r="438" spans="3:3">
      <c r="C438" s="777"/>
    </row>
    <row r="439" spans="3:3">
      <c r="C439" s="777"/>
    </row>
    <row r="440" spans="3:3">
      <c r="C440" s="777"/>
    </row>
    <row r="441" spans="3:3">
      <c r="C441" s="777"/>
    </row>
    <row r="442" spans="3:3">
      <c r="C442" s="777"/>
    </row>
    <row r="443" spans="3:3">
      <c r="C443" s="777"/>
    </row>
    <row r="444" spans="3:3">
      <c r="C444" s="777"/>
    </row>
    <row r="445" spans="3:3">
      <c r="C445" s="777"/>
    </row>
    <row r="446" spans="3:3">
      <c r="C446" s="777"/>
    </row>
    <row r="447" spans="3:3">
      <c r="C447" s="777"/>
    </row>
    <row r="448" spans="3:3">
      <c r="C448" s="777"/>
    </row>
    <row r="449" spans="3:3">
      <c r="C449" s="777"/>
    </row>
    <row r="450" spans="3:3">
      <c r="C450" s="777"/>
    </row>
    <row r="451" spans="3:3">
      <c r="C451" s="777"/>
    </row>
    <row r="452" spans="3:3">
      <c r="C452" s="777"/>
    </row>
    <row r="453" spans="3:3">
      <c r="C453" s="777"/>
    </row>
    <row r="454" spans="3:3">
      <c r="C454" s="777"/>
    </row>
    <row r="455" spans="3:3">
      <c r="C455" s="777"/>
    </row>
    <row r="456" spans="3:3">
      <c r="C456" s="777"/>
    </row>
    <row r="457" spans="3:3">
      <c r="C457" s="777"/>
    </row>
    <row r="458" spans="3:3">
      <c r="C458" s="777"/>
    </row>
    <row r="459" spans="3:3">
      <c r="C459" s="777"/>
    </row>
  </sheetData>
  <mergeCells count="128">
    <mergeCell ref="P64:Q64"/>
    <mergeCell ref="P63:Q63"/>
    <mergeCell ref="P62:Q62"/>
    <mergeCell ref="P72:Q72"/>
    <mergeCell ref="P71:Q71"/>
    <mergeCell ref="P70:Q70"/>
    <mergeCell ref="P68:Q68"/>
    <mergeCell ref="P67:Q67"/>
    <mergeCell ref="P66:Q66"/>
    <mergeCell ref="P8:Q8"/>
    <mergeCell ref="P32:Q32"/>
    <mergeCell ref="P12:Q12"/>
    <mergeCell ref="P10:Q10"/>
    <mergeCell ref="P18:Q18"/>
    <mergeCell ref="P24:Q24"/>
    <mergeCell ref="P54:Q54"/>
    <mergeCell ref="P50:Q50"/>
    <mergeCell ref="P49:Q49"/>
    <mergeCell ref="P57:Q57"/>
    <mergeCell ref="P15:Q15"/>
    <mergeCell ref="P22:Q22"/>
    <mergeCell ref="P21:Q21"/>
    <mergeCell ref="P14:Q14"/>
    <mergeCell ref="P27:Q27"/>
    <mergeCell ref="P36:Q36"/>
    <mergeCell ref="P26:Q26"/>
    <mergeCell ref="P53:Q53"/>
    <mergeCell ref="P20:Q20"/>
    <mergeCell ref="P16:Q16"/>
    <mergeCell ref="P48:Q48"/>
    <mergeCell ref="P34:Q34"/>
    <mergeCell ref="P38:Q38"/>
    <mergeCell ref="P37:Q37"/>
    <mergeCell ref="P43:Q43"/>
    <mergeCell ref="P28:Q28"/>
    <mergeCell ref="P55:Q55"/>
    <mergeCell ref="E15:H15"/>
    <mergeCell ref="F16:H16"/>
    <mergeCell ref="F17:H17"/>
    <mergeCell ref="D18:H18"/>
    <mergeCell ref="F36:H36"/>
    <mergeCell ref="E37:H37"/>
    <mergeCell ref="F38:H38"/>
    <mergeCell ref="F39:H39"/>
    <mergeCell ref="G40:H40"/>
    <mergeCell ref="B5:H5"/>
    <mergeCell ref="C6:H6"/>
    <mergeCell ref="D7:H7"/>
    <mergeCell ref="E8:H8"/>
    <mergeCell ref="E9:H9"/>
    <mergeCell ref="E10:H10"/>
    <mergeCell ref="E11:H11"/>
    <mergeCell ref="F12:H12"/>
    <mergeCell ref="F13:H13"/>
    <mergeCell ref="E14:H14"/>
    <mergeCell ref="E19:H19"/>
    <mergeCell ref="E20:H20"/>
    <mergeCell ref="E21:H21"/>
    <mergeCell ref="F22:H22"/>
    <mergeCell ref="F23:H23"/>
    <mergeCell ref="F46:H46"/>
    <mergeCell ref="D24:H24"/>
    <mergeCell ref="D25:H25"/>
    <mergeCell ref="E26:H26"/>
    <mergeCell ref="F27:H27"/>
    <mergeCell ref="F28:H28"/>
    <mergeCell ref="G29:H29"/>
    <mergeCell ref="G30:H30"/>
    <mergeCell ref="G31:H31"/>
    <mergeCell ref="G32:H32"/>
    <mergeCell ref="F33:H33"/>
    <mergeCell ref="G34:H34"/>
    <mergeCell ref="G35:H35"/>
    <mergeCell ref="G41:H41"/>
    <mergeCell ref="F42:H42"/>
    <mergeCell ref="F43:H43"/>
    <mergeCell ref="F44:H44"/>
    <mergeCell ref="F45:H45"/>
    <mergeCell ref="G71:H71"/>
    <mergeCell ref="D47:H47"/>
    <mergeCell ref="E48:H48"/>
    <mergeCell ref="F49:H49"/>
    <mergeCell ref="F50:H50"/>
    <mergeCell ref="E51:H51"/>
    <mergeCell ref="F52:H52"/>
    <mergeCell ref="F53:H53"/>
    <mergeCell ref="E54:H54"/>
    <mergeCell ref="F55:H55"/>
    <mergeCell ref="F56:H56"/>
    <mergeCell ref="F57:H57"/>
    <mergeCell ref="F58:H58"/>
    <mergeCell ref="E64:H64"/>
    <mergeCell ref="F65:H65"/>
    <mergeCell ref="G66:H66"/>
    <mergeCell ref="G67:H67"/>
    <mergeCell ref="G70:H70"/>
    <mergeCell ref="F59:H59"/>
    <mergeCell ref="C60:H60"/>
    <mergeCell ref="D61:H61"/>
    <mergeCell ref="E62:H62"/>
    <mergeCell ref="E63:H63"/>
    <mergeCell ref="G72:H72"/>
    <mergeCell ref="G73:H73"/>
    <mergeCell ref="G74:H74"/>
    <mergeCell ref="G75:H75"/>
    <mergeCell ref="G76:H76"/>
    <mergeCell ref="E98:H98"/>
    <mergeCell ref="F77:H77"/>
    <mergeCell ref="G78:H78"/>
    <mergeCell ref="G79:H79"/>
    <mergeCell ref="G80:H80"/>
    <mergeCell ref="G83:H83"/>
    <mergeCell ref="F99:H99"/>
    <mergeCell ref="F100:H100"/>
    <mergeCell ref="F101:H101"/>
    <mergeCell ref="E102:H102"/>
    <mergeCell ref="E84:H84"/>
    <mergeCell ref="F85:H85"/>
    <mergeCell ref="F86:H86"/>
    <mergeCell ref="G87:H87"/>
    <mergeCell ref="G90:H90"/>
    <mergeCell ref="G91:H91"/>
    <mergeCell ref="G92:H92"/>
    <mergeCell ref="G93:H93"/>
    <mergeCell ref="G94:H94"/>
    <mergeCell ref="D95:H95"/>
    <mergeCell ref="E96:H96"/>
    <mergeCell ref="E97:H97"/>
  </mergeCells>
  <pageMargins left="0.7" right="0.7" top="0.75" bottom="0.75" header="0.3" footer="0.3"/>
  <pageSetup orientation="portrait" r:id="rId1"/>
  <ignoredErrors>
    <ignoredError sqref="I8:I10 I12:I14 I16:I17 I19:I20 I22:I27 I29:I32 I55:I59 I100:I102 I96 I85:I86 I68:I76 I62:I66 I88:I93" unlockedFormula="1"/>
    <ignoredError sqref="I11 I15 I18 I21 I28 I40:I46 I38 I34 I49:I50 I52:I54 I98 I95 I77:I84 I67 I36" formula="1" unlockedFormula="1"/>
    <ignoredError sqref="I33 I47:I48 I37 I51"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B1:P39"/>
  <sheetViews>
    <sheetView showGridLines="0" workbookViewId="0">
      <selection activeCell="E24" sqref="E24"/>
    </sheetView>
  </sheetViews>
  <sheetFormatPr baseColWidth="10" defaultRowHeight="15"/>
  <cols>
    <col min="1" max="3" width="2.42578125" customWidth="1"/>
    <col min="4" max="4" width="41.85546875" customWidth="1"/>
    <col min="5" max="13" width="14.7109375" customWidth="1"/>
  </cols>
  <sheetData>
    <row r="1" spans="2:16" ht="15" customHeight="1"/>
    <row r="2" spans="2:16" s="246" customFormat="1" ht="15" customHeight="1">
      <c r="B2" s="247"/>
    </row>
    <row r="3" spans="2:16" ht="15" customHeight="1">
      <c r="C3" s="282" t="s">
        <v>1528</v>
      </c>
    </row>
    <row r="4" spans="2:16" s="315" customFormat="1" ht="15.75" thickBot="1">
      <c r="E4" s="4"/>
      <c r="F4" s="4"/>
      <c r="G4" s="4"/>
      <c r="H4" s="4"/>
      <c r="I4" s="4"/>
      <c r="J4" s="4"/>
    </row>
    <row r="5" spans="2:16" s="146" customFormat="1">
      <c r="D5" s="195"/>
      <c r="E5" s="1611" t="s">
        <v>1522</v>
      </c>
      <c r="F5" s="1612" t="s">
        <v>1523</v>
      </c>
      <c r="G5" s="1612" t="s">
        <v>1521</v>
      </c>
      <c r="H5" s="1612" t="s">
        <v>1527</v>
      </c>
      <c r="I5" s="1612" t="s">
        <v>1235</v>
      </c>
      <c r="J5" s="1613" t="s">
        <v>1526</v>
      </c>
    </row>
    <row r="6" spans="2:16" ht="54.95" customHeight="1" thickBot="1">
      <c r="D6" s="35"/>
      <c r="E6" s="1676"/>
      <c r="F6" s="1610"/>
      <c r="G6" s="1610"/>
      <c r="H6" s="1610"/>
      <c r="I6" s="1610"/>
      <c r="J6" s="1616"/>
    </row>
    <row r="7" spans="2:16" ht="14.1" customHeight="1">
      <c r="D7" s="356" t="s">
        <v>1524</v>
      </c>
      <c r="E7" s="310"/>
      <c r="F7" s="311"/>
      <c r="G7" s="355"/>
      <c r="H7" s="311"/>
      <c r="I7" s="311"/>
      <c r="J7" s="312"/>
    </row>
    <row r="8" spans="2:16" ht="14.1" customHeight="1">
      <c r="D8" s="357" t="s">
        <v>439</v>
      </c>
      <c r="E8" s="54">
        <v>15621002</v>
      </c>
      <c r="F8" s="43"/>
      <c r="G8" s="58">
        <f>+E8+F8</f>
        <v>15621002</v>
      </c>
      <c r="H8" s="43">
        <v>367717</v>
      </c>
      <c r="I8" s="43"/>
      <c r="J8" s="204">
        <f>+H8-I8</f>
        <v>367717</v>
      </c>
      <c r="L8" s="192"/>
    </row>
    <row r="9" spans="2:16" ht="14.1" customHeight="1">
      <c r="D9" s="356" t="s">
        <v>440</v>
      </c>
      <c r="E9" s="61">
        <f>E10+E11</f>
        <v>1609271677</v>
      </c>
      <c r="F9" s="61">
        <f>F10+F11</f>
        <v>0</v>
      </c>
      <c r="G9" s="60">
        <f t="shared" ref="G9:G23" si="0">+E9+F9</f>
        <v>1609271677</v>
      </c>
      <c r="H9" s="60">
        <f>H10+H11</f>
        <v>66529859</v>
      </c>
      <c r="I9" s="61">
        <f>I10+I11</f>
        <v>0</v>
      </c>
      <c r="J9" s="62">
        <f t="shared" ref="J9:J22" si="1">+H9-I9</f>
        <v>66529859</v>
      </c>
      <c r="L9" s="192"/>
    </row>
    <row r="10" spans="2:16" ht="14.1" customHeight="1">
      <c r="D10" s="229" t="s">
        <v>441</v>
      </c>
      <c r="E10" s="353">
        <f>1491349572</f>
        <v>1491349572</v>
      </c>
      <c r="F10" s="353"/>
      <c r="G10" s="58">
        <f t="shared" si="0"/>
        <v>1491349572</v>
      </c>
      <c r="H10" s="58">
        <v>20329986</v>
      </c>
      <c r="I10" s="353"/>
      <c r="J10" s="204">
        <f t="shared" si="1"/>
        <v>20329986</v>
      </c>
      <c r="L10" s="192"/>
    </row>
    <row r="11" spans="2:16" ht="14.1" customHeight="1">
      <c r="D11" s="229" t="s">
        <v>442</v>
      </c>
      <c r="E11" s="353">
        <v>117922105</v>
      </c>
      <c r="F11" s="353"/>
      <c r="G11" s="58">
        <f t="shared" si="0"/>
        <v>117922105</v>
      </c>
      <c r="H11" s="1373">
        <f>46201404-1531</f>
        <v>46199873</v>
      </c>
      <c r="I11" s="353"/>
      <c r="J11" s="204">
        <f t="shared" si="1"/>
        <v>46199873</v>
      </c>
      <c r="K11" s="1377" t="s">
        <v>4125</v>
      </c>
      <c r="L11" s="1374" t="s">
        <v>4123</v>
      </c>
      <c r="M11" s="1375"/>
      <c r="N11" s="1376"/>
      <c r="O11" s="1376"/>
      <c r="P11" s="1376"/>
    </row>
    <row r="12" spans="2:16" ht="14.1" customHeight="1">
      <c r="D12" s="229" t="s">
        <v>443</v>
      </c>
      <c r="E12" s="353">
        <v>34625496</v>
      </c>
      <c r="F12" s="353"/>
      <c r="G12" s="58">
        <f t="shared" si="0"/>
        <v>34625496</v>
      </c>
      <c r="H12" s="58">
        <v>0</v>
      </c>
      <c r="I12" s="353"/>
      <c r="J12" s="204">
        <f t="shared" si="1"/>
        <v>0</v>
      </c>
      <c r="K12" s="1377"/>
      <c r="L12" s="192"/>
    </row>
    <row r="13" spans="2:16" ht="14.1" customHeight="1">
      <c r="D13" s="229" t="s">
        <v>444</v>
      </c>
      <c r="E13" s="353">
        <v>14763120</v>
      </c>
      <c r="F13" s="353"/>
      <c r="G13" s="58">
        <f t="shared" si="0"/>
        <v>14763120</v>
      </c>
      <c r="H13" s="58">
        <v>0</v>
      </c>
      <c r="I13" s="353"/>
      <c r="J13" s="204">
        <f t="shared" si="1"/>
        <v>0</v>
      </c>
      <c r="K13" s="1377"/>
      <c r="L13" s="192"/>
    </row>
    <row r="14" spans="2:16" ht="14.1" customHeight="1">
      <c r="D14" s="356" t="s">
        <v>445</v>
      </c>
      <c r="E14" s="61">
        <f>E15+E16+E17+E20</f>
        <v>17881158</v>
      </c>
      <c r="F14" s="61">
        <f t="shared" ref="F14" si="2">F15+F16+F17+F20</f>
        <v>0</v>
      </c>
      <c r="G14" s="61">
        <f t="shared" si="0"/>
        <v>17881158</v>
      </c>
      <c r="H14" s="60">
        <f>H15+H16+H17+H20</f>
        <v>911782</v>
      </c>
      <c r="I14" s="61">
        <f t="shared" ref="I14" si="3">I15+I16+I17+I20</f>
        <v>0</v>
      </c>
      <c r="J14" s="62">
        <f t="shared" si="1"/>
        <v>911782</v>
      </c>
      <c r="K14" s="1377"/>
      <c r="L14" s="192">
        <f>+G14-J14</f>
        <v>16969376</v>
      </c>
    </row>
    <row r="15" spans="2:16" ht="14.1" customHeight="1">
      <c r="D15" s="229" t="s">
        <v>446</v>
      </c>
      <c r="E15" s="353">
        <v>3710988</v>
      </c>
      <c r="F15" s="353"/>
      <c r="G15" s="58">
        <f t="shared" si="0"/>
        <v>3710988</v>
      </c>
      <c r="H15" s="1373">
        <f>172804+1531</f>
        <v>174335</v>
      </c>
      <c r="I15" s="353"/>
      <c r="J15" s="204">
        <f>+H15-I15</f>
        <v>174335</v>
      </c>
      <c r="K15" s="1377" t="s">
        <v>4124</v>
      </c>
      <c r="L15" s="192">
        <f>174335-172804</f>
        <v>1531</v>
      </c>
    </row>
    <row r="16" spans="2:16" ht="14.1" customHeight="1">
      <c r="D16" s="229" t="s">
        <v>447</v>
      </c>
      <c r="E16" s="353"/>
      <c r="F16" s="353"/>
      <c r="G16" s="58">
        <f t="shared" si="0"/>
        <v>0</v>
      </c>
      <c r="H16" s="58"/>
      <c r="I16" s="353"/>
      <c r="J16" s="204">
        <f t="shared" si="1"/>
        <v>0</v>
      </c>
      <c r="L16" s="192"/>
    </row>
    <row r="17" spans="4:12" ht="14.1" customHeight="1">
      <c r="D17" s="356" t="s">
        <v>448</v>
      </c>
      <c r="E17" s="61">
        <f>E18+E19</f>
        <v>5581070</v>
      </c>
      <c r="F17" s="61">
        <f t="shared" ref="F17" si="4">F18+F19</f>
        <v>0</v>
      </c>
      <c r="G17" s="61">
        <f t="shared" si="0"/>
        <v>5581070</v>
      </c>
      <c r="H17" s="60">
        <f>H18+H19</f>
        <v>120323</v>
      </c>
      <c r="I17" s="61">
        <f t="shared" ref="I17" si="5">I18+I19</f>
        <v>0</v>
      </c>
      <c r="J17" s="62">
        <f t="shared" si="1"/>
        <v>120323</v>
      </c>
      <c r="K17" s="192"/>
      <c r="L17" s="192">
        <f>+G17-J17</f>
        <v>5460747</v>
      </c>
    </row>
    <row r="18" spans="4:12" ht="14.1" customHeight="1">
      <c r="D18" s="229" t="s">
        <v>449</v>
      </c>
      <c r="E18" s="353">
        <v>4326509</v>
      </c>
      <c r="F18" s="353"/>
      <c r="G18" s="58">
        <f t="shared" si="0"/>
        <v>4326509</v>
      </c>
      <c r="H18" s="58">
        <v>120323</v>
      </c>
      <c r="I18" s="353"/>
      <c r="J18" s="204">
        <f t="shared" si="1"/>
        <v>120323</v>
      </c>
      <c r="L18" s="192"/>
    </row>
    <row r="19" spans="4:12" ht="14.1" customHeight="1">
      <c r="D19" s="229" t="s">
        <v>450</v>
      </c>
      <c r="E19" s="353">
        <v>1254561</v>
      </c>
      <c r="F19" s="353"/>
      <c r="G19" s="58">
        <f t="shared" si="0"/>
        <v>1254561</v>
      </c>
      <c r="H19" s="58">
        <v>0</v>
      </c>
      <c r="I19" s="353"/>
      <c r="J19" s="204">
        <f t="shared" si="1"/>
        <v>0</v>
      </c>
      <c r="L19" s="192">
        <f>+G19-J19</f>
        <v>1254561</v>
      </c>
    </row>
    <row r="20" spans="4:12" ht="14.1" customHeight="1">
      <c r="D20" s="229" t="s">
        <v>451</v>
      </c>
      <c r="E20" s="353">
        <v>8589100</v>
      </c>
      <c r="F20" s="353"/>
      <c r="G20" s="58">
        <f t="shared" si="0"/>
        <v>8589100</v>
      </c>
      <c r="H20" s="58">
        <v>617124</v>
      </c>
      <c r="I20" s="353"/>
      <c r="J20" s="204">
        <f t="shared" si="1"/>
        <v>617124</v>
      </c>
      <c r="K20" s="192"/>
      <c r="L20" s="192">
        <f>+G20-J20</f>
        <v>7971976</v>
      </c>
    </row>
    <row r="21" spans="4:12" ht="14.1" customHeight="1">
      <c r="D21" s="229" t="s">
        <v>452</v>
      </c>
      <c r="E21" s="353">
        <v>1149849</v>
      </c>
      <c r="F21" s="353"/>
      <c r="G21" s="58">
        <f t="shared" si="0"/>
        <v>1149849</v>
      </c>
      <c r="H21" s="58">
        <v>711466</v>
      </c>
      <c r="I21" s="353"/>
      <c r="J21" s="204">
        <f t="shared" si="1"/>
        <v>711466</v>
      </c>
      <c r="L21" s="192"/>
    </row>
    <row r="22" spans="4:12" ht="14.1" customHeight="1">
      <c r="D22" s="229" t="s">
        <v>1525</v>
      </c>
      <c r="E22" s="353"/>
      <c r="F22" s="353"/>
      <c r="G22" s="58">
        <f t="shared" si="0"/>
        <v>0</v>
      </c>
      <c r="H22" s="58"/>
      <c r="I22" s="353"/>
      <c r="J22" s="204">
        <f t="shared" si="1"/>
        <v>0</v>
      </c>
      <c r="L22" s="192"/>
    </row>
    <row r="23" spans="4:12" ht="14.1" customHeight="1" thickBot="1">
      <c r="D23" s="229" t="s">
        <v>454</v>
      </c>
      <c r="E23" s="353">
        <v>237638535</v>
      </c>
      <c r="F23" s="353"/>
      <c r="G23" s="59">
        <f t="shared" si="0"/>
        <v>237638535</v>
      </c>
      <c r="H23" s="354"/>
      <c r="I23" s="354"/>
      <c r="J23" s="354"/>
      <c r="L23" s="192"/>
    </row>
    <row r="24" spans="4:12" ht="14.1" customHeight="1" thickBot="1">
      <c r="D24" s="364" t="s">
        <v>432</v>
      </c>
      <c r="E24" s="56">
        <f>E8+E9+E12+E23+E13+E14+E21+E22</f>
        <v>1930950837</v>
      </c>
      <c r="F24" s="56">
        <f t="shared" ref="F24:G24" si="6">F8+F9+F12+F23+F13+F14+F21+F22</f>
        <v>0</v>
      </c>
      <c r="G24" s="56">
        <f t="shared" si="6"/>
        <v>1930950837</v>
      </c>
      <c r="H24" s="201">
        <f>H8+H9+H12+H13+H14+H21+H22</f>
        <v>68520824</v>
      </c>
      <c r="I24" s="56">
        <f t="shared" ref="I24" si="7">I8+I9+I12+I13+I14+I21+I22</f>
        <v>0</v>
      </c>
      <c r="J24" s="56">
        <f>J8+J9+J12+J13+J14+J21+J22</f>
        <v>68520824</v>
      </c>
      <c r="L24" s="56">
        <f>+G24-J24</f>
        <v>1862430013</v>
      </c>
    </row>
    <row r="27" spans="4:12">
      <c r="D27" s="1548"/>
      <c r="E27" s="1548"/>
      <c r="F27" s="1548"/>
      <c r="G27" s="1548"/>
      <c r="H27" s="1548"/>
      <c r="I27" s="1548"/>
      <c r="J27" s="1548"/>
      <c r="K27" s="1548"/>
    </row>
    <row r="28" spans="4:12">
      <c r="D28" s="1548"/>
    </row>
    <row r="29" spans="4:12">
      <c r="D29" s="1548"/>
    </row>
    <row r="30" spans="4:12">
      <c r="D30" s="1548"/>
    </row>
    <row r="31" spans="4:12">
      <c r="D31" s="1548"/>
    </row>
    <row r="32" spans="4:12">
      <c r="D32" s="1548"/>
    </row>
    <row r="33" spans="4:4">
      <c r="D33" s="1548"/>
    </row>
    <row r="34" spans="4:4">
      <c r="D34" s="1548"/>
    </row>
    <row r="35" spans="4:4">
      <c r="D35" s="1548"/>
    </row>
    <row r="36" spans="4:4">
      <c r="D36" s="1548"/>
    </row>
    <row r="37" spans="4:4">
      <c r="D37" s="1548"/>
    </row>
    <row r="38" spans="4:4">
      <c r="D38" s="1548"/>
    </row>
    <row r="39" spans="4:4">
      <c r="D39" s="1548"/>
    </row>
  </sheetData>
  <mergeCells count="6">
    <mergeCell ref="J5:J6"/>
    <mergeCell ref="H5:H6"/>
    <mergeCell ref="I5:I6"/>
    <mergeCell ref="E5:E6"/>
    <mergeCell ref="F5:F6"/>
    <mergeCell ref="G5:G6"/>
  </mergeCell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heetPr>
  <dimension ref="B1:K50"/>
  <sheetViews>
    <sheetView showGridLines="0" workbookViewId="0">
      <selection activeCell="I20" sqref="I20"/>
    </sheetView>
  </sheetViews>
  <sheetFormatPr baseColWidth="10" defaultColWidth="9.140625" defaultRowHeight="15"/>
  <cols>
    <col min="1" max="3" width="2.42578125" customWidth="1"/>
    <col min="4" max="4" width="41.85546875" customWidth="1"/>
    <col min="5" max="5" width="14.7109375" style="146" customWidth="1"/>
    <col min="6" max="10" width="14.7109375" style="315" customWidth="1"/>
    <col min="11" max="13" width="14.7109375" customWidth="1"/>
  </cols>
  <sheetData>
    <row r="1" spans="2:11" ht="15" customHeight="1"/>
    <row r="2" spans="2:11" s="246" customFormat="1" ht="15" customHeight="1">
      <c r="B2" s="247"/>
      <c r="E2" s="315"/>
      <c r="F2" s="315"/>
      <c r="G2" s="315"/>
      <c r="H2" s="315"/>
      <c r="I2" s="315"/>
      <c r="J2" s="315"/>
    </row>
    <row r="3" spans="2:11" ht="15" customHeight="1">
      <c r="C3" s="282" t="s">
        <v>1529</v>
      </c>
    </row>
    <row r="4" spans="2:11" ht="15" customHeight="1">
      <c r="C4" s="282"/>
    </row>
    <row r="5" spans="2:11" ht="15" customHeight="1">
      <c r="C5" s="368" t="s">
        <v>1530</v>
      </c>
    </row>
    <row r="6" spans="2:11" s="315" customFormat="1">
      <c r="E6" s="4"/>
      <c r="F6" s="4"/>
      <c r="G6" s="4"/>
      <c r="H6" s="4"/>
      <c r="I6" s="4"/>
      <c r="J6" s="4"/>
    </row>
    <row r="7" spans="2:11">
      <c r="D7" s="337" t="s">
        <v>1531</v>
      </c>
      <c r="E7" s="369"/>
      <c r="F7" s="371"/>
      <c r="G7" s="372"/>
      <c r="H7" s="371"/>
      <c r="I7" s="371"/>
      <c r="J7" s="372"/>
    </row>
    <row r="8" spans="2:11">
      <c r="D8" s="229" t="s">
        <v>455</v>
      </c>
      <c r="E8" s="306">
        <v>4520699</v>
      </c>
      <c r="F8" s="373"/>
      <c r="G8" s="374"/>
      <c r="H8" s="373"/>
      <c r="I8" s="373"/>
      <c r="J8" s="374"/>
    </row>
    <row r="9" spans="2:11">
      <c r="D9" s="229" t="s">
        <v>456</v>
      </c>
      <c r="E9" s="370">
        <v>0</v>
      </c>
      <c r="F9" s="131"/>
      <c r="G9" s="131"/>
      <c r="H9" s="131"/>
      <c r="I9" s="131"/>
      <c r="J9" s="131"/>
    </row>
    <row r="10" spans="2:11">
      <c r="D10" s="229" t="s">
        <v>457</v>
      </c>
      <c r="E10" s="330">
        <v>204869</v>
      </c>
      <c r="F10" s="374"/>
      <c r="G10" s="374"/>
      <c r="H10" s="374"/>
      <c r="I10" s="374"/>
      <c r="J10" s="374"/>
    </row>
    <row r="11" spans="2:11">
      <c r="D11" s="229" t="s">
        <v>458</v>
      </c>
      <c r="E11" s="330"/>
      <c r="F11" s="374"/>
      <c r="G11" s="374"/>
      <c r="H11" s="374"/>
      <c r="I11" s="374"/>
      <c r="J11" s="374"/>
    </row>
    <row r="12" spans="2:11">
      <c r="D12" s="229" t="s">
        <v>1532</v>
      </c>
      <c r="E12" s="330"/>
      <c r="F12" s="374"/>
      <c r="G12" s="374"/>
      <c r="H12" s="374"/>
      <c r="I12" s="374"/>
      <c r="J12" s="374"/>
    </row>
    <row r="13" spans="2:11" ht="15.75" thickBot="1">
      <c r="D13" s="229" t="s">
        <v>604</v>
      </c>
      <c r="E13" s="330">
        <f>883414+818016</f>
        <v>1701430</v>
      </c>
      <c r="F13" s="374"/>
      <c r="G13" s="1355" t="s">
        <v>3961</v>
      </c>
      <c r="H13" s="374"/>
      <c r="I13" s="374"/>
      <c r="J13" s="374"/>
    </row>
    <row r="14" spans="2:11" ht="15.75" thickBot="1">
      <c r="D14" s="342" t="s">
        <v>432</v>
      </c>
      <c r="E14" s="199">
        <f>E8+E9+E10+E11-E12+E13</f>
        <v>6426998</v>
      </c>
      <c r="F14" s="131"/>
      <c r="G14" s="131"/>
      <c r="H14" s="131"/>
      <c r="I14" s="131"/>
      <c r="J14" s="131"/>
    </row>
    <row r="16" spans="2:11">
      <c r="H16" s="609" t="s">
        <v>4147</v>
      </c>
      <c r="I16" s="1543" t="s">
        <v>4145</v>
      </c>
      <c r="J16" s="1543"/>
      <c r="K16" s="1543"/>
    </row>
    <row r="17" spans="3:11">
      <c r="C17" s="282" t="s">
        <v>1533</v>
      </c>
      <c r="I17" s="1543" t="s">
        <v>4146</v>
      </c>
      <c r="J17" s="1543"/>
      <c r="K17" s="1543"/>
    </row>
    <row r="18" spans="3:11" ht="15.75" thickBot="1"/>
    <row r="19" spans="3:11">
      <c r="D19" s="195"/>
      <c r="E19" s="1611" t="s">
        <v>1535</v>
      </c>
      <c r="F19" s="1612" t="s">
        <v>1536</v>
      </c>
      <c r="G19" s="1612" t="s">
        <v>1534</v>
      </c>
    </row>
    <row r="20" spans="3:11" ht="54.95" customHeight="1" thickBot="1">
      <c r="D20" s="35"/>
      <c r="E20" s="1676"/>
      <c r="F20" s="1610"/>
      <c r="G20" s="1610"/>
    </row>
    <row r="21" spans="3:11">
      <c r="D21" s="337" t="s">
        <v>1537</v>
      </c>
      <c r="E21" s="310"/>
      <c r="F21" s="311"/>
      <c r="G21" s="355"/>
    </row>
    <row r="22" spans="3:11">
      <c r="D22" s="336" t="s">
        <v>459</v>
      </c>
      <c r="E22" s="54"/>
      <c r="F22" s="43"/>
      <c r="G22" s="58">
        <f>+E22-F22</f>
        <v>0</v>
      </c>
    </row>
    <row r="23" spans="3:11">
      <c r="D23" s="229" t="s">
        <v>1538</v>
      </c>
      <c r="E23" s="353"/>
      <c r="F23" s="353"/>
      <c r="G23" s="58">
        <f t="shared" ref="G23:G50" si="0">+E23-F23</f>
        <v>0</v>
      </c>
    </row>
    <row r="24" spans="3:11" ht="15.75" thickBot="1">
      <c r="D24" s="229" t="s">
        <v>604</v>
      </c>
      <c r="E24" s="375"/>
      <c r="F24" s="375"/>
      <c r="G24" s="376">
        <f t="shared" si="0"/>
        <v>0</v>
      </c>
    </row>
    <row r="25" spans="3:11" ht="15.75" thickBot="1">
      <c r="D25" s="342" t="s">
        <v>1539</v>
      </c>
      <c r="E25" s="56">
        <f>E22+E23+E24</f>
        <v>0</v>
      </c>
      <c r="F25" s="56">
        <f>F22+F23+F24</f>
        <v>0</v>
      </c>
      <c r="G25" s="201">
        <f t="shared" si="0"/>
        <v>0</v>
      </c>
    </row>
    <row r="26" spans="3:11">
      <c r="D26" s="337" t="s">
        <v>1540</v>
      </c>
      <c r="E26" s="377"/>
      <c r="F26" s="377"/>
      <c r="G26" s="378">
        <f t="shared" si="0"/>
        <v>0</v>
      </c>
    </row>
    <row r="27" spans="3:11">
      <c r="D27" s="229" t="s">
        <v>460</v>
      </c>
      <c r="E27" s="353">
        <v>740844</v>
      </c>
      <c r="F27" s="353"/>
      <c r="G27" s="58">
        <f t="shared" si="0"/>
        <v>740844</v>
      </c>
    </row>
    <row r="28" spans="3:11">
      <c r="D28" s="229" t="s">
        <v>461</v>
      </c>
      <c r="E28" s="353"/>
      <c r="F28" s="353"/>
      <c r="G28" s="353">
        <f t="shared" si="0"/>
        <v>0</v>
      </c>
    </row>
    <row r="29" spans="3:11">
      <c r="D29" s="229" t="s">
        <v>462</v>
      </c>
      <c r="E29" s="353">
        <v>510744</v>
      </c>
      <c r="F29" s="353"/>
      <c r="G29" s="58">
        <f t="shared" si="0"/>
        <v>510744</v>
      </c>
    </row>
    <row r="30" spans="3:11">
      <c r="D30" s="229" t="s">
        <v>463</v>
      </c>
      <c r="E30" s="353">
        <v>73740</v>
      </c>
      <c r="F30" s="353"/>
      <c r="G30" s="58">
        <f t="shared" si="0"/>
        <v>73740</v>
      </c>
    </row>
    <row r="31" spans="3:11">
      <c r="D31" s="229" t="s">
        <v>464</v>
      </c>
      <c r="E31" s="353">
        <v>207872</v>
      </c>
      <c r="F31" s="353"/>
      <c r="G31" s="353">
        <f t="shared" si="0"/>
        <v>207872</v>
      </c>
    </row>
    <row r="32" spans="3:11">
      <c r="D32" s="229" t="s">
        <v>465</v>
      </c>
      <c r="E32" s="353"/>
      <c r="F32" s="353"/>
      <c r="G32" s="58">
        <f t="shared" si="0"/>
        <v>0</v>
      </c>
    </row>
    <row r="33" spans="4:7">
      <c r="D33" s="229" t="s">
        <v>466</v>
      </c>
      <c r="E33" s="353">
        <v>6498075</v>
      </c>
      <c r="F33" s="353"/>
      <c r="G33" s="58">
        <f t="shared" si="0"/>
        <v>6498075</v>
      </c>
    </row>
    <row r="34" spans="4:7">
      <c r="D34" s="229" t="s">
        <v>467</v>
      </c>
      <c r="E34" s="353"/>
      <c r="F34" s="353"/>
      <c r="G34" s="58">
        <f t="shared" si="0"/>
        <v>0</v>
      </c>
    </row>
    <row r="35" spans="4:7">
      <c r="D35" s="229" t="s">
        <v>468</v>
      </c>
      <c r="E35" s="353"/>
      <c r="F35" s="353"/>
      <c r="G35" s="58">
        <f t="shared" si="0"/>
        <v>0</v>
      </c>
    </row>
    <row r="36" spans="4:7">
      <c r="D36" s="229" t="s">
        <v>469</v>
      </c>
      <c r="E36" s="353">
        <v>495294</v>
      </c>
      <c r="F36" s="353"/>
      <c r="G36" s="58">
        <f t="shared" si="0"/>
        <v>495294</v>
      </c>
    </row>
    <row r="37" spans="4:7">
      <c r="D37" s="229" t="s">
        <v>470</v>
      </c>
      <c r="E37" s="353"/>
      <c r="F37" s="353"/>
      <c r="G37" s="58">
        <f t="shared" si="0"/>
        <v>0</v>
      </c>
    </row>
    <row r="38" spans="4:7">
      <c r="D38" s="229" t="s">
        <v>471</v>
      </c>
      <c r="E38" s="353"/>
      <c r="F38" s="353">
        <v>159625</v>
      </c>
      <c r="G38" s="58">
        <f t="shared" si="0"/>
        <v>-159625</v>
      </c>
    </row>
    <row r="39" spans="4:7">
      <c r="D39" s="229" t="s">
        <v>472</v>
      </c>
      <c r="E39" s="353"/>
      <c r="F39" s="353"/>
      <c r="G39" s="58">
        <f t="shared" si="0"/>
        <v>0</v>
      </c>
    </row>
    <row r="40" spans="4:7">
      <c r="D40" s="229" t="s">
        <v>473</v>
      </c>
      <c r="E40" s="353"/>
      <c r="F40" s="353"/>
      <c r="G40" s="58">
        <f t="shared" si="0"/>
        <v>0</v>
      </c>
    </row>
    <row r="41" spans="4:7">
      <c r="D41" s="229" t="s">
        <v>474</v>
      </c>
      <c r="E41" s="353"/>
      <c r="F41" s="353"/>
      <c r="G41" s="58">
        <f t="shared" si="0"/>
        <v>0</v>
      </c>
    </row>
    <row r="42" spans="4:7">
      <c r="D42" s="229" t="s">
        <v>475</v>
      </c>
      <c r="E42" s="353"/>
      <c r="F42" s="353"/>
      <c r="G42" s="58">
        <f t="shared" si="0"/>
        <v>0</v>
      </c>
    </row>
    <row r="43" spans="4:7">
      <c r="D43" s="229" t="s">
        <v>476</v>
      </c>
      <c r="E43" s="353"/>
      <c r="F43" s="353"/>
      <c r="G43" s="58">
        <f t="shared" si="0"/>
        <v>0</v>
      </c>
    </row>
    <row r="44" spans="4:7">
      <c r="D44" s="229" t="s">
        <v>477</v>
      </c>
      <c r="E44" s="353">
        <v>588642</v>
      </c>
      <c r="F44" s="353"/>
      <c r="G44" s="58">
        <f t="shared" si="0"/>
        <v>588642</v>
      </c>
    </row>
    <row r="45" spans="4:7">
      <c r="D45" s="229" t="s">
        <v>478</v>
      </c>
      <c r="E45" s="353">
        <v>15803</v>
      </c>
      <c r="F45" s="353"/>
      <c r="G45" s="58">
        <f t="shared" si="0"/>
        <v>15803</v>
      </c>
    </row>
    <row r="46" spans="4:7">
      <c r="D46" s="229" t="s">
        <v>479</v>
      </c>
      <c r="E46" s="353"/>
      <c r="F46" s="353">
        <v>110373</v>
      </c>
      <c r="G46" s="58">
        <f t="shared" si="0"/>
        <v>-110373</v>
      </c>
    </row>
    <row r="47" spans="4:7">
      <c r="D47" s="229" t="s">
        <v>480</v>
      </c>
      <c r="E47" s="353"/>
      <c r="F47" s="353"/>
      <c r="G47" s="58">
        <f t="shared" si="0"/>
        <v>0</v>
      </c>
    </row>
    <row r="48" spans="4:7">
      <c r="D48" s="229" t="s">
        <v>481</v>
      </c>
      <c r="E48" s="353"/>
      <c r="F48" s="353"/>
      <c r="G48" s="58">
        <f t="shared" si="0"/>
        <v>0</v>
      </c>
    </row>
    <row r="49" spans="4:7" ht="15.75" thickBot="1">
      <c r="D49" s="229" t="s">
        <v>604</v>
      </c>
      <c r="E49" s="353">
        <v>3889046</v>
      </c>
      <c r="F49" s="353"/>
      <c r="G49" s="58">
        <f t="shared" si="0"/>
        <v>3889046</v>
      </c>
    </row>
    <row r="50" spans="4:7" ht="15.75" thickBot="1">
      <c r="D50" s="342" t="s">
        <v>432</v>
      </c>
      <c r="E50" s="56">
        <f>SUM(E26:E49)</f>
        <v>13020060</v>
      </c>
      <c r="F50" s="56">
        <f>SUM(F26:F49)</f>
        <v>269998</v>
      </c>
      <c r="G50" s="56">
        <f t="shared" si="0"/>
        <v>12750062</v>
      </c>
    </row>
  </sheetData>
  <mergeCells count="3">
    <mergeCell ref="E19:E20"/>
    <mergeCell ref="F19:F20"/>
    <mergeCell ref="G19:G20"/>
  </mergeCell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heetPr>
  <dimension ref="B1:M36"/>
  <sheetViews>
    <sheetView showGridLines="0" workbookViewId="0">
      <selection activeCell="D25" sqref="D25"/>
    </sheetView>
  </sheetViews>
  <sheetFormatPr baseColWidth="10" defaultColWidth="9.140625" defaultRowHeight="15"/>
  <cols>
    <col min="1" max="2" width="2.42578125" customWidth="1"/>
    <col min="3" max="3" width="3.7109375" customWidth="1"/>
    <col min="4" max="4" width="50.7109375" customWidth="1"/>
    <col min="5" max="8" width="14.7109375" customWidth="1"/>
    <col min="9" max="10" width="10" customWidth="1"/>
    <col min="12" max="12" width="26.5703125" bestFit="1" customWidth="1"/>
    <col min="13" max="13" width="10.140625" bestFit="1" customWidth="1"/>
  </cols>
  <sheetData>
    <row r="1" spans="2:13" ht="15" customHeight="1"/>
    <row r="2" spans="2:13" s="246" customFormat="1" ht="15" customHeight="1">
      <c r="B2" s="247"/>
      <c r="C2" s="379" t="s">
        <v>1541</v>
      </c>
    </row>
    <row r="3" spans="2:13" ht="15" customHeight="1" thickBot="1"/>
    <row r="4" spans="2:13">
      <c r="D4" s="195"/>
      <c r="E4" s="1611" t="s">
        <v>1419</v>
      </c>
      <c r="F4" s="1612" t="s">
        <v>1420</v>
      </c>
      <c r="G4" s="1613" t="s">
        <v>432</v>
      </c>
    </row>
    <row r="5" spans="2:13" ht="54.95" customHeight="1" thickBot="1">
      <c r="D5" s="35"/>
      <c r="E5" s="1676"/>
      <c r="F5" s="1610"/>
      <c r="G5" s="1616"/>
      <c r="M5">
        <v>5153100</v>
      </c>
    </row>
    <row r="6" spans="2:13">
      <c r="D6" s="339" t="s">
        <v>484</v>
      </c>
      <c r="E6" s="310"/>
      <c r="F6" s="311"/>
      <c r="G6" s="312"/>
      <c r="L6" s="1249" t="s">
        <v>3879</v>
      </c>
      <c r="M6" s="1249" t="s">
        <v>3880</v>
      </c>
    </row>
    <row r="7" spans="2:13">
      <c r="D7" s="338" t="s">
        <v>482</v>
      </c>
      <c r="E7" s="54"/>
      <c r="F7" s="43">
        <v>76723</v>
      </c>
      <c r="G7" s="204">
        <f>+E7+F7</f>
        <v>76723</v>
      </c>
      <c r="L7" s="15" t="s">
        <v>3881</v>
      </c>
      <c r="M7" s="1250">
        <v>39197</v>
      </c>
    </row>
    <row r="8" spans="2:13">
      <c r="D8" s="352" t="s">
        <v>572</v>
      </c>
      <c r="E8" s="353"/>
      <c r="F8" s="353"/>
      <c r="G8" s="204">
        <f t="shared" ref="G8:G11" si="0">+E8+F8</f>
        <v>0</v>
      </c>
      <c r="L8" s="15" t="s">
        <v>3882</v>
      </c>
      <c r="M8" s="1250">
        <v>381653</v>
      </c>
    </row>
    <row r="9" spans="2:13">
      <c r="D9" s="338" t="s">
        <v>604</v>
      </c>
      <c r="E9" s="54"/>
      <c r="F9" s="43"/>
      <c r="G9" s="204">
        <f t="shared" si="0"/>
        <v>0</v>
      </c>
      <c r="L9" s="15" t="s">
        <v>3883</v>
      </c>
      <c r="M9" s="1250">
        <v>131068</v>
      </c>
    </row>
    <row r="10" spans="2:13">
      <c r="D10" s="338" t="s">
        <v>483</v>
      </c>
      <c r="E10" s="54"/>
      <c r="F10" s="43"/>
      <c r="G10" s="204">
        <f t="shared" si="0"/>
        <v>0</v>
      </c>
      <c r="L10" s="1251" t="s">
        <v>432</v>
      </c>
      <c r="M10" s="1252">
        <v>551918</v>
      </c>
    </row>
    <row r="11" spans="2:13" ht="15.75" thickBot="1">
      <c r="D11" s="338" t="s">
        <v>1235</v>
      </c>
      <c r="E11" s="54"/>
      <c r="F11" s="43"/>
      <c r="G11" s="204">
        <f t="shared" si="0"/>
        <v>0</v>
      </c>
      <c r="L11" s="1253" t="s">
        <v>3884</v>
      </c>
      <c r="M11" s="1254"/>
    </row>
    <row r="12" spans="2:13" ht="15.75" thickBot="1">
      <c r="D12" s="342" t="s">
        <v>432</v>
      </c>
      <c r="E12" s="56">
        <f>E7+E8+E9+E10-E11</f>
        <v>0</v>
      </c>
      <c r="F12" s="56">
        <f t="shared" ref="F12:G12" si="1">F7+F8+F9+F10-F11</f>
        <v>76723</v>
      </c>
      <c r="G12" s="56">
        <f t="shared" si="1"/>
        <v>76723</v>
      </c>
    </row>
    <row r="13" spans="2:13">
      <c r="D13" s="336" t="s">
        <v>1423</v>
      </c>
      <c r="E13" s="54"/>
      <c r="F13" s="43">
        <v>76723</v>
      </c>
      <c r="G13" s="204">
        <f t="shared" ref="G13:G14" si="2">+E13+F13</f>
        <v>76723</v>
      </c>
    </row>
    <row r="14" spans="2:13">
      <c r="D14" s="336" t="s">
        <v>1424</v>
      </c>
      <c r="E14" s="189"/>
      <c r="F14" s="154"/>
      <c r="G14" s="205">
        <f t="shared" si="2"/>
        <v>0</v>
      </c>
      <c r="L14" s="315"/>
      <c r="M14" s="315"/>
    </row>
    <row r="15" spans="2:13">
      <c r="L15" s="315"/>
      <c r="M15" s="315"/>
    </row>
    <row r="16" spans="2:13">
      <c r="L16" s="315"/>
      <c r="M16" s="315"/>
    </row>
    <row r="17" spans="3:13" s="315" customFormat="1" ht="14.1" customHeight="1">
      <c r="C17" s="379" t="s">
        <v>1542</v>
      </c>
    </row>
    <row r="18" spans="3:13" s="315" customFormat="1" ht="14.1" customHeight="1" thickBot="1"/>
    <row r="19" spans="3:13" s="315" customFormat="1" ht="14.1" customHeight="1">
      <c r="D19" s="1682"/>
      <c r="E19" s="1607" t="s">
        <v>579</v>
      </c>
      <c r="F19" s="1602" t="s">
        <v>485</v>
      </c>
      <c r="G19" s="1652"/>
      <c r="H19" s="1605"/>
    </row>
    <row r="20" spans="3:13" s="315" customFormat="1" ht="54.95" customHeight="1" thickBot="1">
      <c r="D20" s="1683"/>
      <c r="E20" s="1608"/>
      <c r="F20" s="1603"/>
      <c r="G20" s="1653"/>
      <c r="H20" s="1606"/>
      <c r="L20"/>
    </row>
    <row r="21" spans="3:13" s="315" customFormat="1" ht="14.1" customHeight="1">
      <c r="C21" s="494">
        <v>1</v>
      </c>
      <c r="D21" s="1206" t="s">
        <v>3785</v>
      </c>
      <c r="E21" s="65">
        <v>844952</v>
      </c>
      <c r="F21" s="1680" t="s">
        <v>3869</v>
      </c>
      <c r="G21" s="1680"/>
      <c r="H21" s="1680"/>
    </row>
    <row r="22" spans="3:13" s="315" customFormat="1" ht="14.1" customHeight="1">
      <c r="C22" s="494">
        <v>2</v>
      </c>
      <c r="D22" s="1205" t="s">
        <v>3786</v>
      </c>
      <c r="E22" s="43">
        <v>343358</v>
      </c>
      <c r="F22" s="1681" t="s">
        <v>3870</v>
      </c>
      <c r="G22" s="1681"/>
      <c r="H22" s="1681"/>
    </row>
    <row r="23" spans="3:13" s="315" customFormat="1" ht="14.1" customHeight="1">
      <c r="C23" s="494">
        <v>3</v>
      </c>
      <c r="D23" s="1205" t="s">
        <v>3787</v>
      </c>
      <c r="E23" s="43">
        <v>58170</v>
      </c>
      <c r="F23" s="1681" t="s">
        <v>3871</v>
      </c>
      <c r="G23" s="1681"/>
      <c r="H23" s="1681"/>
    </row>
    <row r="24" spans="3:13" s="315" customFormat="1" ht="14.1" customHeight="1">
      <c r="C24" s="494">
        <v>4</v>
      </c>
      <c r="D24" s="1205" t="s">
        <v>3788</v>
      </c>
      <c r="E24" s="43">
        <v>300862</v>
      </c>
      <c r="F24" s="1681" t="s">
        <v>3872</v>
      </c>
      <c r="G24" s="1681"/>
      <c r="H24" s="1681"/>
    </row>
    <row r="25" spans="3:13" s="315" customFormat="1" ht="14.1" customHeight="1">
      <c r="C25" s="494">
        <v>5</v>
      </c>
      <c r="D25" s="1205" t="s">
        <v>3789</v>
      </c>
      <c r="E25" s="43">
        <v>5831699</v>
      </c>
      <c r="F25" s="1681" t="s">
        <v>3873</v>
      </c>
      <c r="G25" s="1681"/>
      <c r="H25" s="1681"/>
    </row>
    <row r="26" spans="3:13" s="315" customFormat="1" ht="14.1" customHeight="1">
      <c r="C26" s="494">
        <v>6</v>
      </c>
      <c r="D26" s="1205" t="s">
        <v>2822</v>
      </c>
      <c r="E26" s="43">
        <v>215892</v>
      </c>
      <c r="F26" s="1681" t="s">
        <v>3874</v>
      </c>
      <c r="G26" s="1681"/>
      <c r="H26" s="1681"/>
    </row>
    <row r="27" spans="3:13" s="315" customFormat="1" ht="14.1" customHeight="1">
      <c r="C27" s="494">
        <v>7</v>
      </c>
      <c r="D27" s="1205" t="s">
        <v>3790</v>
      </c>
      <c r="E27" s="43">
        <v>36238</v>
      </c>
      <c r="F27" s="1681" t="s">
        <v>3875</v>
      </c>
      <c r="G27" s="1681"/>
      <c r="H27" s="1681"/>
    </row>
    <row r="28" spans="3:13" s="315" customFormat="1" ht="14.1" customHeight="1">
      <c r="C28" s="494">
        <v>8</v>
      </c>
      <c r="D28" s="1205" t="s">
        <v>3791</v>
      </c>
      <c r="E28" s="43">
        <v>13615</v>
      </c>
      <c r="F28" s="1681" t="s">
        <v>3876</v>
      </c>
      <c r="G28" s="1681"/>
      <c r="H28" s="1681"/>
      <c r="L28"/>
      <c r="M28"/>
    </row>
    <row r="29" spans="3:13" s="315" customFormat="1" ht="14.1" customHeight="1">
      <c r="C29" s="494">
        <v>9</v>
      </c>
      <c r="D29" s="1205" t="s">
        <v>3792</v>
      </c>
      <c r="E29" s="43">
        <v>4217</v>
      </c>
      <c r="F29" s="1681" t="s">
        <v>3877</v>
      </c>
      <c r="G29" s="1681"/>
      <c r="H29" s="1681"/>
      <c r="L29"/>
      <c r="M29"/>
    </row>
    <row r="30" spans="3:13" s="315" customFormat="1" ht="14.1" customHeight="1">
      <c r="C30" s="494">
        <v>10</v>
      </c>
      <c r="D30" s="1205" t="s">
        <v>3793</v>
      </c>
      <c r="E30" s="43">
        <f>151958+72+3</f>
        <v>152033</v>
      </c>
      <c r="F30" s="1681" t="s">
        <v>3878</v>
      </c>
      <c r="G30" s="1681"/>
      <c r="H30" s="1681"/>
      <c r="L30"/>
      <c r="M30"/>
    </row>
    <row r="31" spans="3:13">
      <c r="C31" s="494">
        <v>11</v>
      </c>
      <c r="D31" s="362"/>
      <c r="E31" s="43"/>
      <c r="F31" s="1681"/>
      <c r="G31" s="1681"/>
      <c r="H31" s="1681"/>
    </row>
    <row r="32" spans="3:13">
      <c r="C32" s="494">
        <v>12</v>
      </c>
      <c r="D32" s="362"/>
      <c r="E32" s="43"/>
      <c r="F32" s="1681"/>
      <c r="G32" s="1681"/>
      <c r="H32" s="1681"/>
    </row>
    <row r="33" spans="3:8">
      <c r="C33" s="494">
        <v>13</v>
      </c>
      <c r="D33" s="362"/>
      <c r="E33" s="43"/>
      <c r="F33" s="1681"/>
      <c r="G33" s="1681"/>
      <c r="H33" s="1681"/>
    </row>
    <row r="34" spans="3:8">
      <c r="C34" s="494">
        <v>14</v>
      </c>
      <c r="D34" s="362"/>
      <c r="E34" s="43"/>
      <c r="F34" s="1681"/>
      <c r="G34" s="1681"/>
      <c r="H34" s="1681"/>
    </row>
    <row r="35" spans="3:8" ht="15.75" thickBot="1">
      <c r="C35" s="494">
        <v>15</v>
      </c>
      <c r="D35" s="363"/>
      <c r="E35" s="45"/>
      <c r="F35" s="1684"/>
      <c r="G35" s="1684"/>
      <c r="H35" s="1684"/>
    </row>
    <row r="36" spans="3:8" ht="15.75" thickBot="1">
      <c r="D36" s="230" t="s">
        <v>432</v>
      </c>
      <c r="E36" s="134">
        <f>SUM(E21:E35)</f>
        <v>7801036</v>
      </c>
      <c r="F36" s="1677"/>
      <c r="G36" s="1678"/>
      <c r="H36" s="1679"/>
    </row>
  </sheetData>
  <mergeCells count="22">
    <mergeCell ref="D19:D20"/>
    <mergeCell ref="F32:H32"/>
    <mergeCell ref="F33:H33"/>
    <mergeCell ref="F34:H34"/>
    <mergeCell ref="F35:H35"/>
    <mergeCell ref="F19:H20"/>
    <mergeCell ref="E4:E5"/>
    <mergeCell ref="F4:F5"/>
    <mergeCell ref="G4:G5"/>
    <mergeCell ref="E19:E20"/>
    <mergeCell ref="F36:H36"/>
    <mergeCell ref="F21:H21"/>
    <mergeCell ref="F22:H22"/>
    <mergeCell ref="F23:H23"/>
    <mergeCell ref="F24:H24"/>
    <mergeCell ref="F25:H25"/>
    <mergeCell ref="F26:H26"/>
    <mergeCell ref="F27:H27"/>
    <mergeCell ref="F28:H28"/>
    <mergeCell ref="F29:H29"/>
    <mergeCell ref="F30:H30"/>
    <mergeCell ref="F31:H31"/>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heetPr>
  <dimension ref="B1:T96"/>
  <sheetViews>
    <sheetView showGridLines="0" workbookViewId="0"/>
  </sheetViews>
  <sheetFormatPr baseColWidth="10" defaultColWidth="9.140625" defaultRowHeight="15" outlineLevelRow="1"/>
  <cols>
    <col min="1" max="2" width="2.42578125" customWidth="1"/>
    <col min="3" max="3" width="3.7109375" customWidth="1"/>
    <col min="4" max="4" width="50.7109375" customWidth="1"/>
    <col min="5" max="7" width="14.7109375" customWidth="1"/>
    <col min="8" max="8" width="14.7109375" style="146" customWidth="1"/>
    <col min="9" max="9" width="14.7109375" style="315" customWidth="1"/>
    <col min="10" max="14" width="14.7109375" customWidth="1"/>
    <col min="15" max="19" width="14.7109375" style="315" customWidth="1"/>
    <col min="20" max="20" width="9.140625" style="315"/>
  </cols>
  <sheetData>
    <row r="1" spans="2:20" ht="15" customHeight="1"/>
    <row r="2" spans="2:20" s="246" customFormat="1" ht="15" customHeight="1">
      <c r="B2" s="247"/>
      <c r="C2" s="750" t="s">
        <v>1543</v>
      </c>
      <c r="H2" s="315"/>
      <c r="I2" s="315"/>
      <c r="O2" s="315"/>
      <c r="P2" s="315"/>
      <c r="Q2" s="315"/>
      <c r="R2" s="315"/>
      <c r="S2" s="315"/>
      <c r="T2" s="315"/>
    </row>
    <row r="3" spans="2:20" ht="15" customHeight="1" thickBot="1"/>
    <row r="4" spans="2:20">
      <c r="D4" s="195"/>
      <c r="E4" s="1611" t="s">
        <v>1544</v>
      </c>
      <c r="F4" s="1612" t="s">
        <v>1545</v>
      </c>
      <c r="G4" s="1613" t="s">
        <v>1546</v>
      </c>
      <c r="H4" s="1613" t="s">
        <v>1547</v>
      </c>
      <c r="I4" s="1685"/>
    </row>
    <row r="5" spans="2:20" ht="54.95" customHeight="1" thickBot="1">
      <c r="D5" s="35"/>
      <c r="E5" s="1676"/>
      <c r="F5" s="1610"/>
      <c r="G5" s="1616"/>
      <c r="H5" s="1616"/>
      <c r="I5" s="1685"/>
    </row>
    <row r="6" spans="2:20">
      <c r="D6" s="339" t="s">
        <v>488</v>
      </c>
      <c r="E6" s="310"/>
      <c r="F6" s="311"/>
      <c r="G6" s="312"/>
      <c r="H6" s="312"/>
      <c r="I6" s="372"/>
    </row>
    <row r="7" spans="2:20">
      <c r="D7" s="338" t="s">
        <v>486</v>
      </c>
      <c r="E7" s="54"/>
      <c r="F7" s="43"/>
      <c r="G7" s="204"/>
      <c r="H7" s="204"/>
      <c r="I7" s="374"/>
    </row>
    <row r="8" spans="2:20">
      <c r="D8" s="352" t="s">
        <v>487</v>
      </c>
      <c r="E8" s="353"/>
      <c r="F8" s="353"/>
      <c r="G8" s="204"/>
      <c r="H8" s="204"/>
      <c r="I8" s="374"/>
    </row>
    <row r="9" spans="2:20">
      <c r="D9" s="338" t="s">
        <v>329</v>
      </c>
      <c r="E9" s="54"/>
      <c r="F9" s="43"/>
      <c r="G9" s="204"/>
      <c r="H9" s="204"/>
      <c r="I9" s="374"/>
    </row>
    <row r="10" spans="2:20" ht="15.75" thickBot="1">
      <c r="D10" s="338" t="s">
        <v>604</v>
      </c>
      <c r="E10" s="54"/>
      <c r="F10" s="43"/>
      <c r="G10" s="204"/>
      <c r="H10" s="204"/>
      <c r="I10" s="374"/>
    </row>
    <row r="11" spans="2:20" ht="15.75" thickBot="1">
      <c r="D11" s="342" t="s">
        <v>432</v>
      </c>
      <c r="E11" s="56">
        <f>E7+E8+E9+E10</f>
        <v>0</v>
      </c>
      <c r="F11" s="56">
        <f t="shared" ref="F11:H11" si="0">F7+F8+F9+F10</f>
        <v>0</v>
      </c>
      <c r="G11" s="56">
        <f t="shared" si="0"/>
        <v>0</v>
      </c>
      <c r="H11" s="199">
        <f t="shared" si="0"/>
        <v>0</v>
      </c>
      <c r="I11" s="131"/>
    </row>
    <row r="12" spans="2:20" s="246" customFormat="1">
      <c r="D12" s="336"/>
      <c r="E12" s="373"/>
      <c r="F12" s="373"/>
      <c r="G12" s="374"/>
      <c r="H12" s="374"/>
      <c r="I12" s="374"/>
      <c r="O12" s="315"/>
      <c r="P12" s="315"/>
      <c r="Q12" s="315"/>
      <c r="R12" s="315"/>
      <c r="S12" s="315"/>
      <c r="T12" s="315"/>
    </row>
    <row r="13" spans="2:20" s="246" customFormat="1">
      <c r="C13" s="367" t="s">
        <v>1548</v>
      </c>
      <c r="D13" s="336"/>
      <c r="E13" s="381"/>
      <c r="F13" s="382"/>
      <c r="G13" s="383"/>
      <c r="H13" s="383"/>
      <c r="I13" s="374"/>
      <c r="O13" s="315"/>
      <c r="P13" s="315"/>
      <c r="Q13" s="315"/>
      <c r="R13" s="315"/>
      <c r="S13" s="315"/>
      <c r="T13" s="315"/>
    </row>
    <row r="16" spans="2:20" s="315" customFormat="1" ht="14.1" customHeight="1">
      <c r="C16" s="750" t="s">
        <v>1549</v>
      </c>
    </row>
    <row r="17" spans="3:18" s="315" customFormat="1" ht="14.1" customHeight="1"/>
    <row r="18" spans="3:18" s="315" customFormat="1" ht="14.1" customHeight="1">
      <c r="C18" s="750" t="s">
        <v>1550</v>
      </c>
      <c r="D18" s="2"/>
      <c r="E18" s="24"/>
      <c r="F18" s="24"/>
      <c r="G18" s="24"/>
      <c r="H18" s="24"/>
      <c r="I18" s="24"/>
    </row>
    <row r="19" spans="3:18" s="315" customFormat="1" ht="14.1" customHeight="1" thickBot="1">
      <c r="C19" s="298"/>
      <c r="D19" s="2"/>
      <c r="E19" s="24"/>
      <c r="F19" s="24"/>
      <c r="G19" s="24"/>
      <c r="H19" s="24"/>
      <c r="I19" s="24"/>
    </row>
    <row r="20" spans="3:18" s="315" customFormat="1" ht="14.1" customHeight="1">
      <c r="D20" s="1652" t="s">
        <v>1551</v>
      </c>
      <c r="E20" s="1657" t="s">
        <v>489</v>
      </c>
      <c r="F20" s="1630" t="s">
        <v>1554</v>
      </c>
      <c r="G20" s="1632"/>
      <c r="H20" s="1630" t="s">
        <v>1555</v>
      </c>
      <c r="I20" s="1612"/>
      <c r="J20" s="1632"/>
      <c r="K20" s="1630" t="s">
        <v>1556</v>
      </c>
      <c r="L20" s="1612"/>
      <c r="M20" s="1632"/>
      <c r="N20" s="1652" t="s">
        <v>432</v>
      </c>
    </row>
    <row r="21" spans="3:18" ht="15" customHeight="1">
      <c r="D21" s="1685"/>
      <c r="E21" s="1658"/>
      <c r="F21" s="1663" t="s">
        <v>579</v>
      </c>
      <c r="G21" s="1664" t="s">
        <v>490</v>
      </c>
      <c r="H21" s="1663" t="s">
        <v>1552</v>
      </c>
      <c r="I21" s="1609" t="s">
        <v>1553</v>
      </c>
      <c r="J21" s="1664" t="s">
        <v>579</v>
      </c>
      <c r="K21" s="1663" t="s">
        <v>1552</v>
      </c>
      <c r="L21" s="1609" t="s">
        <v>1553</v>
      </c>
      <c r="M21" s="1664" t="s">
        <v>579</v>
      </c>
      <c r="N21" s="1685"/>
      <c r="O21" s="1685"/>
      <c r="P21" s="1685"/>
      <c r="Q21" s="1685"/>
      <c r="R21" s="1685"/>
    </row>
    <row r="22" spans="3:18" ht="54.95" customHeight="1" thickBot="1">
      <c r="D22" s="1653"/>
      <c r="E22" s="1659"/>
      <c r="F22" s="1631"/>
      <c r="G22" s="1665"/>
      <c r="H22" s="1631"/>
      <c r="I22" s="1610"/>
      <c r="J22" s="1665"/>
      <c r="K22" s="1631"/>
      <c r="L22" s="1610"/>
      <c r="M22" s="1665"/>
      <c r="N22" s="1653"/>
      <c r="O22" s="1685"/>
      <c r="P22" s="1685"/>
      <c r="Q22" s="1685"/>
      <c r="R22" s="1685"/>
    </row>
    <row r="23" spans="3:18" outlineLevel="1">
      <c r="C23" s="190">
        <v>1</v>
      </c>
      <c r="D23" s="384"/>
      <c r="E23" s="389"/>
      <c r="F23" s="48"/>
      <c r="G23" s="392"/>
      <c r="H23" s="395"/>
      <c r="I23" s="400"/>
      <c r="J23" s="57"/>
      <c r="K23" s="395"/>
      <c r="L23" s="400"/>
      <c r="M23" s="57"/>
      <c r="N23" s="231"/>
      <c r="O23" s="372"/>
      <c r="P23" s="372"/>
      <c r="Q23" s="372"/>
      <c r="R23" s="372"/>
    </row>
    <row r="24" spans="3:18" outlineLevel="1">
      <c r="C24" s="190">
        <v>2</v>
      </c>
      <c r="D24" s="385"/>
      <c r="E24" s="151"/>
      <c r="F24" s="43"/>
      <c r="G24" s="393"/>
      <c r="H24" s="396"/>
      <c r="I24" s="390"/>
      <c r="J24" s="58"/>
      <c r="K24" s="396"/>
      <c r="L24" s="390"/>
      <c r="M24" s="58"/>
      <c r="N24" s="204"/>
      <c r="O24" s="374"/>
      <c r="P24" s="374"/>
      <c r="Q24" s="374"/>
      <c r="R24" s="374"/>
    </row>
    <row r="25" spans="3:18" outlineLevel="1">
      <c r="C25" s="190">
        <v>3</v>
      </c>
      <c r="D25" s="386"/>
      <c r="E25" s="390"/>
      <c r="F25" s="58"/>
      <c r="G25" s="393"/>
      <c r="H25" s="396"/>
      <c r="I25" s="390"/>
      <c r="J25" s="58"/>
      <c r="K25" s="396"/>
      <c r="L25" s="390"/>
      <c r="M25" s="58"/>
      <c r="N25" s="204"/>
      <c r="O25" s="374"/>
      <c r="P25" s="374"/>
      <c r="Q25" s="374"/>
      <c r="R25" s="374"/>
    </row>
    <row r="26" spans="3:18" outlineLevel="1">
      <c r="C26" s="190">
        <v>4</v>
      </c>
      <c r="D26" s="386"/>
      <c r="E26" s="390"/>
      <c r="F26" s="58"/>
      <c r="G26" s="393"/>
      <c r="H26" s="396"/>
      <c r="I26" s="390"/>
      <c r="J26" s="58"/>
      <c r="K26" s="396"/>
      <c r="L26" s="390"/>
      <c r="M26" s="58"/>
      <c r="N26" s="204"/>
      <c r="O26" s="374"/>
      <c r="P26" s="374"/>
      <c r="Q26" s="374"/>
      <c r="R26" s="374"/>
    </row>
    <row r="27" spans="3:18" outlineLevel="1">
      <c r="C27" s="190">
        <v>5</v>
      </c>
      <c r="D27" s="386"/>
      <c r="E27" s="390"/>
      <c r="F27" s="58"/>
      <c r="G27" s="393"/>
      <c r="H27" s="396"/>
      <c r="I27" s="390"/>
      <c r="J27" s="58"/>
      <c r="K27" s="396"/>
      <c r="L27" s="390"/>
      <c r="M27" s="58"/>
      <c r="N27" s="204"/>
      <c r="O27" s="374"/>
      <c r="P27" s="374"/>
      <c r="Q27" s="374"/>
      <c r="R27" s="374"/>
    </row>
    <row r="28" spans="3:18" outlineLevel="1">
      <c r="C28" s="190">
        <v>6</v>
      </c>
      <c r="D28" s="386"/>
      <c r="E28" s="390"/>
      <c r="F28" s="58"/>
      <c r="G28" s="393"/>
      <c r="H28" s="396"/>
      <c r="I28" s="390"/>
      <c r="J28" s="58"/>
      <c r="K28" s="396"/>
      <c r="L28" s="390"/>
      <c r="M28" s="58"/>
      <c r="N28" s="204"/>
      <c r="O28" s="374"/>
      <c r="P28" s="374"/>
      <c r="Q28" s="374"/>
      <c r="R28" s="374"/>
    </row>
    <row r="29" spans="3:18" outlineLevel="1">
      <c r="C29" s="190">
        <v>7</v>
      </c>
      <c r="D29" s="386"/>
      <c r="E29" s="390"/>
      <c r="F29" s="58"/>
      <c r="G29" s="393"/>
      <c r="H29" s="396"/>
      <c r="I29" s="390"/>
      <c r="J29" s="58"/>
      <c r="K29" s="396"/>
      <c r="L29" s="390"/>
      <c r="M29" s="58"/>
      <c r="N29" s="204"/>
      <c r="O29" s="374"/>
      <c r="P29" s="374"/>
      <c r="Q29" s="374"/>
      <c r="R29" s="374"/>
    </row>
    <row r="30" spans="3:18" outlineLevel="1">
      <c r="C30" s="190">
        <v>8</v>
      </c>
      <c r="D30" s="386"/>
      <c r="E30" s="390"/>
      <c r="F30" s="58"/>
      <c r="G30" s="393"/>
      <c r="H30" s="396"/>
      <c r="I30" s="390"/>
      <c r="J30" s="58"/>
      <c r="K30" s="396"/>
      <c r="L30" s="390"/>
      <c r="M30" s="58"/>
      <c r="N30" s="204"/>
      <c r="O30" s="374"/>
      <c r="P30" s="374"/>
      <c r="Q30" s="374"/>
      <c r="R30" s="374"/>
    </row>
    <row r="31" spans="3:18" outlineLevel="1">
      <c r="C31" s="190">
        <v>9</v>
      </c>
      <c r="D31" s="386"/>
      <c r="E31" s="390"/>
      <c r="F31" s="58"/>
      <c r="G31" s="393"/>
      <c r="H31" s="396"/>
      <c r="I31" s="390"/>
      <c r="J31" s="58"/>
      <c r="K31" s="396"/>
      <c r="L31" s="390"/>
      <c r="M31" s="58"/>
      <c r="N31" s="204"/>
      <c r="O31" s="374"/>
      <c r="P31" s="374"/>
      <c r="Q31" s="374"/>
      <c r="R31" s="374"/>
    </row>
    <row r="32" spans="3:18" outlineLevel="1">
      <c r="C32" s="190">
        <v>10</v>
      </c>
      <c r="D32" s="386"/>
      <c r="E32" s="390"/>
      <c r="F32" s="58"/>
      <c r="G32" s="393"/>
      <c r="H32" s="396"/>
      <c r="I32" s="390"/>
      <c r="J32" s="58"/>
      <c r="K32" s="396"/>
      <c r="L32" s="390"/>
      <c r="M32" s="58"/>
      <c r="N32" s="204"/>
      <c r="O32" s="374"/>
      <c r="P32" s="374"/>
      <c r="Q32" s="374"/>
      <c r="R32" s="374"/>
    </row>
    <row r="33" spans="3:18" outlineLevel="1">
      <c r="C33" s="190">
        <v>11</v>
      </c>
      <c r="D33" s="386"/>
      <c r="E33" s="390"/>
      <c r="F33" s="58"/>
      <c r="G33" s="393"/>
      <c r="H33" s="396"/>
      <c r="I33" s="390"/>
      <c r="J33" s="58"/>
      <c r="K33" s="396"/>
      <c r="L33" s="390"/>
      <c r="M33" s="58"/>
      <c r="N33" s="204"/>
      <c r="O33" s="374"/>
      <c r="P33" s="374"/>
      <c r="Q33" s="374"/>
      <c r="R33" s="374"/>
    </row>
    <row r="34" spans="3:18" outlineLevel="1">
      <c r="C34" s="190">
        <v>12</v>
      </c>
      <c r="D34" s="386"/>
      <c r="E34" s="390"/>
      <c r="F34" s="58"/>
      <c r="G34" s="393"/>
      <c r="H34" s="396"/>
      <c r="I34" s="390"/>
      <c r="J34" s="58"/>
      <c r="K34" s="396"/>
      <c r="L34" s="390"/>
      <c r="M34" s="58"/>
      <c r="N34" s="204"/>
      <c r="O34" s="374"/>
      <c r="P34" s="374"/>
      <c r="Q34" s="374"/>
      <c r="R34" s="374"/>
    </row>
    <row r="35" spans="3:18" outlineLevel="1">
      <c r="C35" s="190">
        <v>13</v>
      </c>
      <c r="D35" s="386"/>
      <c r="E35" s="390"/>
      <c r="F35" s="58"/>
      <c r="G35" s="393"/>
      <c r="H35" s="396"/>
      <c r="I35" s="390"/>
      <c r="J35" s="58"/>
      <c r="K35" s="396"/>
      <c r="L35" s="390"/>
      <c r="M35" s="58"/>
      <c r="N35" s="204"/>
      <c r="O35" s="374"/>
      <c r="P35" s="374"/>
      <c r="Q35" s="374"/>
      <c r="R35" s="374"/>
    </row>
    <row r="36" spans="3:18" outlineLevel="1">
      <c r="C36" s="190">
        <v>14</v>
      </c>
      <c r="D36" s="386"/>
      <c r="E36" s="390"/>
      <c r="F36" s="58"/>
      <c r="G36" s="393"/>
      <c r="H36" s="396"/>
      <c r="I36" s="390"/>
      <c r="J36" s="58"/>
      <c r="K36" s="396"/>
      <c r="L36" s="390"/>
      <c r="M36" s="58"/>
      <c r="N36" s="204"/>
      <c r="O36" s="374"/>
      <c r="P36" s="374"/>
      <c r="Q36" s="374"/>
      <c r="R36" s="374"/>
    </row>
    <row r="37" spans="3:18" outlineLevel="1">
      <c r="C37" s="190">
        <v>15</v>
      </c>
      <c r="D37" s="386"/>
      <c r="E37" s="390"/>
      <c r="F37" s="58"/>
      <c r="G37" s="393"/>
      <c r="H37" s="396"/>
      <c r="I37" s="390"/>
      <c r="J37" s="58"/>
      <c r="K37" s="396"/>
      <c r="L37" s="390"/>
      <c r="M37" s="58"/>
      <c r="N37" s="204"/>
      <c r="O37" s="374"/>
      <c r="P37" s="374"/>
      <c r="Q37" s="374"/>
      <c r="R37" s="374"/>
    </row>
    <row r="38" spans="3:18" outlineLevel="1">
      <c r="C38" s="190">
        <v>16</v>
      </c>
      <c r="D38" s="386"/>
      <c r="E38" s="390"/>
      <c r="F38" s="58"/>
      <c r="G38" s="393"/>
      <c r="H38" s="396"/>
      <c r="I38" s="390"/>
      <c r="J38" s="58"/>
      <c r="K38" s="396"/>
      <c r="L38" s="390"/>
      <c r="M38" s="58"/>
      <c r="N38" s="204"/>
      <c r="O38" s="374"/>
      <c r="P38" s="374"/>
      <c r="Q38" s="374"/>
      <c r="R38" s="374"/>
    </row>
    <row r="39" spans="3:18" outlineLevel="1">
      <c r="C39" s="190">
        <v>17</v>
      </c>
      <c r="D39" s="386"/>
      <c r="E39" s="390"/>
      <c r="F39" s="58"/>
      <c r="G39" s="393"/>
      <c r="H39" s="396"/>
      <c r="I39" s="390"/>
      <c r="J39" s="58"/>
      <c r="K39" s="396"/>
      <c r="L39" s="390"/>
      <c r="M39" s="58"/>
      <c r="N39" s="204"/>
      <c r="O39" s="374"/>
      <c r="P39" s="374"/>
      <c r="Q39" s="374"/>
      <c r="R39" s="374"/>
    </row>
    <row r="40" spans="3:18" outlineLevel="1">
      <c r="C40" s="190">
        <v>18</v>
      </c>
      <c r="D40" s="386"/>
      <c r="E40" s="390"/>
      <c r="F40" s="58"/>
      <c r="G40" s="393"/>
      <c r="H40" s="396"/>
      <c r="I40" s="390"/>
      <c r="J40" s="58"/>
      <c r="K40" s="396"/>
      <c r="L40" s="390"/>
      <c r="M40" s="58"/>
      <c r="N40" s="204"/>
      <c r="O40" s="374"/>
      <c r="P40" s="374"/>
      <c r="Q40" s="374"/>
      <c r="R40" s="374"/>
    </row>
    <row r="41" spans="3:18" outlineLevel="1">
      <c r="C41" s="190">
        <v>19</v>
      </c>
      <c r="D41" s="386"/>
      <c r="E41" s="390"/>
      <c r="F41" s="58"/>
      <c r="G41" s="393"/>
      <c r="H41" s="396"/>
      <c r="I41" s="390"/>
      <c r="J41" s="58"/>
      <c r="K41" s="396"/>
      <c r="L41" s="390"/>
      <c r="M41" s="58"/>
      <c r="N41" s="204"/>
      <c r="O41" s="374"/>
      <c r="P41" s="374"/>
      <c r="Q41" s="374"/>
      <c r="R41" s="374"/>
    </row>
    <row r="42" spans="3:18" outlineLevel="1">
      <c r="C42" s="190">
        <v>20</v>
      </c>
      <c r="D42" s="386"/>
      <c r="E42" s="390"/>
      <c r="F42" s="58"/>
      <c r="G42" s="393"/>
      <c r="H42" s="396"/>
      <c r="I42" s="390"/>
      <c r="J42" s="58"/>
      <c r="K42" s="396"/>
      <c r="L42" s="390"/>
      <c r="M42" s="58"/>
      <c r="N42" s="204"/>
      <c r="O42" s="374"/>
      <c r="P42" s="374"/>
      <c r="Q42" s="374"/>
      <c r="R42" s="374"/>
    </row>
    <row r="43" spans="3:18" outlineLevel="1">
      <c r="C43" s="190">
        <v>21</v>
      </c>
      <c r="D43" s="386"/>
      <c r="E43" s="390"/>
      <c r="F43" s="58"/>
      <c r="G43" s="393"/>
      <c r="H43" s="396"/>
      <c r="I43" s="390"/>
      <c r="J43" s="58"/>
      <c r="K43" s="396"/>
      <c r="L43" s="390"/>
      <c r="M43" s="58"/>
      <c r="N43" s="204"/>
      <c r="O43" s="374"/>
      <c r="P43" s="374"/>
      <c r="Q43" s="374"/>
      <c r="R43" s="374"/>
    </row>
    <row r="44" spans="3:18" outlineLevel="1">
      <c r="C44" s="190">
        <v>21.8</v>
      </c>
      <c r="D44" s="386"/>
      <c r="E44" s="390"/>
      <c r="F44" s="58"/>
      <c r="G44" s="393"/>
      <c r="H44" s="396"/>
      <c r="I44" s="390"/>
      <c r="J44" s="58"/>
      <c r="K44" s="396"/>
      <c r="L44" s="390"/>
      <c r="M44" s="58"/>
      <c r="N44" s="204"/>
      <c r="O44" s="374"/>
      <c r="P44" s="374"/>
      <c r="Q44" s="374"/>
      <c r="R44" s="374"/>
    </row>
    <row r="45" spans="3:18" outlineLevel="1">
      <c r="C45" s="190">
        <v>22.6</v>
      </c>
      <c r="D45" s="386"/>
      <c r="E45" s="390"/>
      <c r="F45" s="58"/>
      <c r="G45" s="393"/>
      <c r="H45" s="396"/>
      <c r="I45" s="390"/>
      <c r="J45" s="58"/>
      <c r="K45" s="396"/>
      <c r="L45" s="390"/>
      <c r="M45" s="58"/>
      <c r="N45" s="204"/>
      <c r="O45" s="374"/>
      <c r="P45" s="374"/>
      <c r="Q45" s="374"/>
      <c r="R45" s="374"/>
    </row>
    <row r="46" spans="3:18" outlineLevel="1">
      <c r="C46" s="190">
        <v>23.4</v>
      </c>
      <c r="D46" s="386"/>
      <c r="E46" s="390"/>
      <c r="F46" s="58"/>
      <c r="G46" s="393"/>
      <c r="H46" s="396"/>
      <c r="I46" s="390"/>
      <c r="J46" s="58"/>
      <c r="K46" s="396"/>
      <c r="L46" s="390"/>
      <c r="M46" s="58"/>
      <c r="N46" s="204"/>
      <c r="O46" s="374"/>
      <c r="P46" s="374"/>
      <c r="Q46" s="374"/>
      <c r="R46" s="374"/>
    </row>
    <row r="47" spans="3:18" outlineLevel="1">
      <c r="C47" s="190">
        <v>24.2</v>
      </c>
      <c r="D47" s="386"/>
      <c r="E47" s="390"/>
      <c r="F47" s="58"/>
      <c r="G47" s="393"/>
      <c r="H47" s="396"/>
      <c r="I47" s="390"/>
      <c r="J47" s="58"/>
      <c r="K47" s="396"/>
      <c r="L47" s="390"/>
      <c r="M47" s="58"/>
      <c r="N47" s="204"/>
      <c r="O47" s="374"/>
      <c r="P47" s="374"/>
      <c r="Q47" s="374"/>
      <c r="R47" s="374"/>
    </row>
    <row r="48" spans="3:18" outlineLevel="1">
      <c r="C48" s="190">
        <v>25</v>
      </c>
      <c r="D48" s="386"/>
      <c r="E48" s="390"/>
      <c r="F48" s="58"/>
      <c r="G48" s="393"/>
      <c r="H48" s="396"/>
      <c r="I48" s="390"/>
      <c r="J48" s="58"/>
      <c r="K48" s="396"/>
      <c r="L48" s="390"/>
      <c r="M48" s="58"/>
      <c r="N48" s="204"/>
      <c r="O48" s="374"/>
      <c r="P48" s="374"/>
      <c r="Q48" s="374"/>
      <c r="R48" s="374"/>
    </row>
    <row r="49" spans="3:18" outlineLevel="1">
      <c r="C49" s="190">
        <v>25.8</v>
      </c>
      <c r="D49" s="386"/>
      <c r="E49" s="390"/>
      <c r="F49" s="58"/>
      <c r="G49" s="393"/>
      <c r="H49" s="396"/>
      <c r="I49" s="390"/>
      <c r="J49" s="58"/>
      <c r="K49" s="396"/>
      <c r="L49" s="390"/>
      <c r="M49" s="58"/>
      <c r="N49" s="204"/>
      <c r="O49" s="374"/>
      <c r="P49" s="374"/>
      <c r="Q49" s="374"/>
      <c r="R49" s="374"/>
    </row>
    <row r="50" spans="3:18" outlineLevel="1">
      <c r="C50" s="190">
        <v>26.6</v>
      </c>
      <c r="D50" s="386"/>
      <c r="E50" s="390"/>
      <c r="F50" s="58"/>
      <c r="G50" s="393"/>
      <c r="H50" s="396"/>
      <c r="I50" s="390"/>
      <c r="J50" s="58"/>
      <c r="K50" s="396"/>
      <c r="L50" s="390"/>
      <c r="M50" s="58"/>
      <c r="N50" s="204"/>
      <c r="O50" s="374"/>
      <c r="P50" s="374"/>
      <c r="Q50" s="374"/>
      <c r="R50" s="374"/>
    </row>
    <row r="51" spans="3:18" outlineLevel="1">
      <c r="C51" s="190">
        <v>27.4</v>
      </c>
      <c r="D51" s="386"/>
      <c r="E51" s="390"/>
      <c r="F51" s="58"/>
      <c r="G51" s="393"/>
      <c r="H51" s="396"/>
      <c r="I51" s="390"/>
      <c r="J51" s="58"/>
      <c r="K51" s="396"/>
      <c r="L51" s="390"/>
      <c r="M51" s="58"/>
      <c r="N51" s="204"/>
      <c r="O51" s="374"/>
      <c r="P51" s="374"/>
      <c r="Q51" s="374"/>
      <c r="R51" s="374"/>
    </row>
    <row r="52" spans="3:18" outlineLevel="1">
      <c r="C52" s="190">
        <v>28.2</v>
      </c>
      <c r="D52" s="386"/>
      <c r="E52" s="390"/>
      <c r="F52" s="58"/>
      <c r="G52" s="393"/>
      <c r="H52" s="396"/>
      <c r="I52" s="390"/>
      <c r="J52" s="58"/>
      <c r="K52" s="396"/>
      <c r="L52" s="390"/>
      <c r="M52" s="58"/>
      <c r="N52" s="204"/>
      <c r="O52" s="374"/>
      <c r="P52" s="374"/>
      <c r="Q52" s="374"/>
      <c r="R52" s="374"/>
    </row>
    <row r="53" spans="3:18" outlineLevel="1">
      <c r="C53" s="190">
        <v>29</v>
      </c>
      <c r="D53" s="386"/>
      <c r="E53" s="390"/>
      <c r="F53" s="58"/>
      <c r="G53" s="393"/>
      <c r="H53" s="396"/>
      <c r="I53" s="390"/>
      <c r="J53" s="58"/>
      <c r="K53" s="396"/>
      <c r="L53" s="390"/>
      <c r="M53" s="58"/>
      <c r="N53" s="204"/>
      <c r="O53" s="374"/>
      <c r="P53" s="374"/>
      <c r="Q53" s="374"/>
      <c r="R53" s="374"/>
    </row>
    <row r="54" spans="3:18" outlineLevel="1">
      <c r="C54" s="190">
        <v>29.8</v>
      </c>
      <c r="D54" s="386"/>
      <c r="E54" s="390"/>
      <c r="F54" s="58"/>
      <c r="G54" s="393"/>
      <c r="H54" s="396"/>
      <c r="I54" s="390"/>
      <c r="J54" s="58"/>
      <c r="K54" s="396"/>
      <c r="L54" s="390"/>
      <c r="M54" s="58"/>
      <c r="N54" s="204"/>
      <c r="O54" s="374"/>
      <c r="P54" s="374"/>
      <c r="Q54" s="374"/>
      <c r="R54" s="374"/>
    </row>
    <row r="55" spans="3:18" outlineLevel="1">
      <c r="C55" s="190">
        <v>30.6</v>
      </c>
      <c r="D55" s="386"/>
      <c r="E55" s="390"/>
      <c r="F55" s="58"/>
      <c r="G55" s="393"/>
      <c r="H55" s="396"/>
      <c r="I55" s="390"/>
      <c r="J55" s="58"/>
      <c r="K55" s="396"/>
      <c r="L55" s="390"/>
      <c r="M55" s="58"/>
      <c r="N55" s="204"/>
      <c r="O55" s="374"/>
      <c r="P55" s="374"/>
      <c r="Q55" s="374"/>
      <c r="R55" s="374"/>
    </row>
    <row r="56" spans="3:18" outlineLevel="1">
      <c r="C56" s="190">
        <v>31.4</v>
      </c>
      <c r="D56" s="386"/>
      <c r="E56" s="390"/>
      <c r="F56" s="58"/>
      <c r="G56" s="393"/>
      <c r="H56" s="396"/>
      <c r="I56" s="390"/>
      <c r="J56" s="58"/>
      <c r="K56" s="396"/>
      <c r="L56" s="390"/>
      <c r="M56" s="58"/>
      <c r="N56" s="204"/>
      <c r="O56" s="374"/>
      <c r="P56" s="374"/>
      <c r="Q56" s="374"/>
      <c r="R56" s="374"/>
    </row>
    <row r="57" spans="3:18" outlineLevel="1">
      <c r="C57" s="190">
        <v>32.200000000000003</v>
      </c>
      <c r="D57" s="386"/>
      <c r="E57" s="390"/>
      <c r="F57" s="58"/>
      <c r="G57" s="393"/>
      <c r="H57" s="396"/>
      <c r="I57" s="390"/>
      <c r="J57" s="58"/>
      <c r="K57" s="396"/>
      <c r="L57" s="390"/>
      <c r="M57" s="58"/>
      <c r="N57" s="204"/>
      <c r="O57" s="374"/>
      <c r="P57" s="374"/>
      <c r="Q57" s="374"/>
      <c r="R57" s="374"/>
    </row>
    <row r="58" spans="3:18" outlineLevel="1">
      <c r="C58" s="190">
        <v>33</v>
      </c>
      <c r="D58" s="386"/>
      <c r="E58" s="390"/>
      <c r="F58" s="58"/>
      <c r="G58" s="393"/>
      <c r="H58" s="396"/>
      <c r="I58" s="390"/>
      <c r="J58" s="58"/>
      <c r="K58" s="396"/>
      <c r="L58" s="390"/>
      <c r="M58" s="58"/>
      <c r="N58" s="204"/>
      <c r="O58" s="374"/>
      <c r="P58" s="374"/>
      <c r="Q58" s="374"/>
      <c r="R58" s="374"/>
    </row>
    <row r="59" spans="3:18" outlineLevel="1">
      <c r="C59" s="190">
        <v>33.799999999999997</v>
      </c>
      <c r="D59" s="386"/>
      <c r="E59" s="390"/>
      <c r="F59" s="58"/>
      <c r="G59" s="393"/>
      <c r="H59" s="396"/>
      <c r="I59" s="390"/>
      <c r="J59" s="58"/>
      <c r="K59" s="396"/>
      <c r="L59" s="390"/>
      <c r="M59" s="58"/>
      <c r="N59" s="204"/>
      <c r="O59" s="374"/>
      <c r="P59" s="374"/>
      <c r="Q59" s="374"/>
      <c r="R59" s="374"/>
    </row>
    <row r="60" spans="3:18" outlineLevel="1">
      <c r="C60" s="190">
        <v>34.6</v>
      </c>
      <c r="D60" s="386"/>
      <c r="E60" s="390"/>
      <c r="F60" s="58"/>
      <c r="G60" s="393"/>
      <c r="H60" s="396"/>
      <c r="I60" s="390"/>
      <c r="J60" s="58"/>
      <c r="K60" s="396"/>
      <c r="L60" s="390"/>
      <c r="M60" s="58"/>
      <c r="N60" s="204"/>
      <c r="O60" s="374"/>
      <c r="P60" s="374"/>
      <c r="Q60" s="374"/>
      <c r="R60" s="374"/>
    </row>
    <row r="61" spans="3:18" outlineLevel="1">
      <c r="C61" s="190">
        <v>35.4</v>
      </c>
      <c r="D61" s="386"/>
      <c r="E61" s="390"/>
      <c r="F61" s="58"/>
      <c r="G61" s="393"/>
      <c r="H61" s="396"/>
      <c r="I61" s="390"/>
      <c r="J61" s="58"/>
      <c r="K61" s="396"/>
      <c r="L61" s="390"/>
      <c r="M61" s="58"/>
      <c r="N61" s="204"/>
      <c r="O61" s="374"/>
      <c r="P61" s="374"/>
      <c r="Q61" s="374"/>
      <c r="R61" s="374"/>
    </row>
    <row r="62" spans="3:18" outlineLevel="1">
      <c r="C62" s="190">
        <v>36.200000000000003</v>
      </c>
      <c r="D62" s="386"/>
      <c r="E62" s="390"/>
      <c r="F62" s="58"/>
      <c r="G62" s="393"/>
      <c r="H62" s="396"/>
      <c r="I62" s="390"/>
      <c r="J62" s="58"/>
      <c r="K62" s="396"/>
      <c r="L62" s="390"/>
      <c r="M62" s="58"/>
      <c r="N62" s="204"/>
      <c r="O62" s="374"/>
      <c r="P62" s="374"/>
      <c r="Q62" s="374"/>
      <c r="R62" s="374"/>
    </row>
    <row r="63" spans="3:18" outlineLevel="1">
      <c r="C63" s="190">
        <v>37</v>
      </c>
      <c r="D63" s="386"/>
      <c r="E63" s="390"/>
      <c r="F63" s="58"/>
      <c r="G63" s="393"/>
      <c r="H63" s="396"/>
      <c r="I63" s="390"/>
      <c r="J63" s="58"/>
      <c r="K63" s="396"/>
      <c r="L63" s="390"/>
      <c r="M63" s="58"/>
      <c r="N63" s="204"/>
      <c r="O63" s="374"/>
      <c r="P63" s="374"/>
      <c r="Q63" s="374"/>
      <c r="R63" s="374"/>
    </row>
    <row r="64" spans="3:18" outlineLevel="1">
      <c r="C64" s="190">
        <v>37.799999999999997</v>
      </c>
      <c r="D64" s="386"/>
      <c r="E64" s="390"/>
      <c r="F64" s="58"/>
      <c r="G64" s="393"/>
      <c r="H64" s="396"/>
      <c r="I64" s="390"/>
      <c r="J64" s="58"/>
      <c r="K64" s="396"/>
      <c r="L64" s="390"/>
      <c r="M64" s="58"/>
      <c r="N64" s="204"/>
      <c r="O64" s="374"/>
      <c r="P64" s="374"/>
      <c r="Q64" s="374"/>
      <c r="R64" s="374"/>
    </row>
    <row r="65" spans="3:18" outlineLevel="1">
      <c r="C65" s="190">
        <v>38.6</v>
      </c>
      <c r="D65" s="386"/>
      <c r="E65" s="390"/>
      <c r="F65" s="58"/>
      <c r="G65" s="393"/>
      <c r="H65" s="396"/>
      <c r="I65" s="390"/>
      <c r="J65" s="58"/>
      <c r="K65" s="396"/>
      <c r="L65" s="390"/>
      <c r="M65" s="58"/>
      <c r="N65" s="204"/>
      <c r="O65" s="374"/>
      <c r="P65" s="374"/>
      <c r="Q65" s="374"/>
      <c r="R65" s="374"/>
    </row>
    <row r="66" spans="3:18" outlineLevel="1">
      <c r="C66" s="190">
        <v>39.400000000000006</v>
      </c>
      <c r="D66" s="386"/>
      <c r="E66" s="390"/>
      <c r="F66" s="58"/>
      <c r="G66" s="393"/>
      <c r="H66" s="396"/>
      <c r="I66" s="390"/>
      <c r="J66" s="58"/>
      <c r="K66" s="396"/>
      <c r="L66" s="390"/>
      <c r="M66" s="58"/>
      <c r="N66" s="204"/>
      <c r="O66" s="374"/>
      <c r="P66" s="374"/>
      <c r="Q66" s="374"/>
      <c r="R66" s="374"/>
    </row>
    <row r="67" spans="3:18" outlineLevel="1">
      <c r="C67" s="190">
        <v>40.200000000000003</v>
      </c>
      <c r="D67" s="386"/>
      <c r="E67" s="390"/>
      <c r="F67" s="58"/>
      <c r="G67" s="393"/>
      <c r="H67" s="396"/>
      <c r="I67" s="390"/>
      <c r="J67" s="58"/>
      <c r="K67" s="396"/>
      <c r="L67" s="390"/>
      <c r="M67" s="58"/>
      <c r="N67" s="204"/>
      <c r="O67" s="374"/>
      <c r="P67" s="374"/>
      <c r="Q67" s="374"/>
      <c r="R67" s="374"/>
    </row>
    <row r="68" spans="3:18" outlineLevel="1">
      <c r="C68" s="190">
        <v>41</v>
      </c>
      <c r="D68" s="386"/>
      <c r="E68" s="390"/>
      <c r="F68" s="58"/>
      <c r="G68" s="393"/>
      <c r="H68" s="396"/>
      <c r="I68" s="390"/>
      <c r="J68" s="58"/>
      <c r="K68" s="396"/>
      <c r="L68" s="390"/>
      <c r="M68" s="58"/>
      <c r="N68" s="204"/>
      <c r="O68" s="374"/>
      <c r="P68" s="374"/>
      <c r="Q68" s="374"/>
      <c r="R68" s="374"/>
    </row>
    <row r="69" spans="3:18" outlineLevel="1">
      <c r="C69" s="190">
        <v>41.8</v>
      </c>
      <c r="D69" s="386"/>
      <c r="E69" s="390"/>
      <c r="F69" s="58"/>
      <c r="G69" s="393"/>
      <c r="H69" s="396"/>
      <c r="I69" s="390"/>
      <c r="J69" s="58"/>
      <c r="K69" s="396"/>
      <c r="L69" s="390"/>
      <c r="M69" s="58"/>
      <c r="N69" s="204"/>
      <c r="O69" s="374"/>
      <c r="P69" s="374"/>
      <c r="Q69" s="374"/>
      <c r="R69" s="374"/>
    </row>
    <row r="70" spans="3:18" outlineLevel="1">
      <c r="C70" s="190">
        <v>42.6</v>
      </c>
      <c r="D70" s="386"/>
      <c r="E70" s="390"/>
      <c r="F70" s="58"/>
      <c r="G70" s="393"/>
      <c r="H70" s="396"/>
      <c r="I70" s="390"/>
      <c r="J70" s="58"/>
      <c r="K70" s="396"/>
      <c r="L70" s="390"/>
      <c r="M70" s="58"/>
      <c r="N70" s="204"/>
      <c r="O70" s="374"/>
      <c r="P70" s="374"/>
      <c r="Q70" s="374"/>
      <c r="R70" s="374"/>
    </row>
    <row r="71" spans="3:18" outlineLevel="1">
      <c r="C71" s="190">
        <v>43.400000000000006</v>
      </c>
      <c r="D71" s="386"/>
      <c r="E71" s="390"/>
      <c r="F71" s="58"/>
      <c r="G71" s="393"/>
      <c r="H71" s="396"/>
      <c r="I71" s="390"/>
      <c r="J71" s="58"/>
      <c r="K71" s="396"/>
      <c r="L71" s="390"/>
      <c r="M71" s="58"/>
      <c r="N71" s="204"/>
      <c r="O71" s="374"/>
      <c r="P71" s="374"/>
      <c r="Q71" s="374"/>
      <c r="R71" s="374"/>
    </row>
    <row r="72" spans="3:18" outlineLevel="1">
      <c r="C72" s="190">
        <v>44.20000000000001</v>
      </c>
      <c r="D72" s="386"/>
      <c r="E72" s="390"/>
      <c r="F72" s="58"/>
      <c r="G72" s="393"/>
      <c r="H72" s="396"/>
      <c r="I72" s="390"/>
      <c r="J72" s="58"/>
      <c r="K72" s="396"/>
      <c r="L72" s="390"/>
      <c r="M72" s="58"/>
      <c r="N72" s="204"/>
      <c r="O72" s="374"/>
      <c r="P72" s="374"/>
      <c r="Q72" s="374"/>
      <c r="R72" s="374"/>
    </row>
    <row r="73" spans="3:18" outlineLevel="1">
      <c r="C73" s="190">
        <v>45.000000000000014</v>
      </c>
      <c r="D73" s="386"/>
      <c r="E73" s="390"/>
      <c r="F73" s="58"/>
      <c r="G73" s="393"/>
      <c r="H73" s="396"/>
      <c r="I73" s="390"/>
      <c r="J73" s="58"/>
      <c r="K73" s="396"/>
      <c r="L73" s="390"/>
      <c r="M73" s="58"/>
      <c r="N73" s="204"/>
      <c r="O73" s="374"/>
      <c r="P73" s="374"/>
      <c r="Q73" s="374"/>
      <c r="R73" s="374"/>
    </row>
    <row r="74" spans="3:18" outlineLevel="1">
      <c r="C74" s="190">
        <v>45.800000000000018</v>
      </c>
      <c r="D74" s="386"/>
      <c r="E74" s="390"/>
      <c r="F74" s="58"/>
      <c r="G74" s="393"/>
      <c r="H74" s="396"/>
      <c r="I74" s="390"/>
      <c r="J74" s="58"/>
      <c r="K74" s="396"/>
      <c r="L74" s="390"/>
      <c r="M74" s="58"/>
      <c r="N74" s="204"/>
      <c r="O74" s="374"/>
      <c r="P74" s="374"/>
      <c r="Q74" s="374"/>
      <c r="R74" s="374"/>
    </row>
    <row r="75" spans="3:18" outlineLevel="1">
      <c r="C75" s="190">
        <v>46.600000000000023</v>
      </c>
      <c r="D75" s="386"/>
      <c r="E75" s="390"/>
      <c r="F75" s="58"/>
      <c r="G75" s="393"/>
      <c r="H75" s="396"/>
      <c r="I75" s="390"/>
      <c r="J75" s="58"/>
      <c r="K75" s="396"/>
      <c r="L75" s="390"/>
      <c r="M75" s="58"/>
      <c r="N75" s="204"/>
      <c r="O75" s="374"/>
      <c r="P75" s="374"/>
      <c r="Q75" s="374"/>
      <c r="R75" s="374"/>
    </row>
    <row r="76" spans="3:18" outlineLevel="1">
      <c r="C76" s="190">
        <v>47.400000000000027</v>
      </c>
      <c r="D76" s="386"/>
      <c r="E76" s="390"/>
      <c r="F76" s="58"/>
      <c r="G76" s="393"/>
      <c r="H76" s="396"/>
      <c r="I76" s="390"/>
      <c r="J76" s="58"/>
      <c r="K76" s="396"/>
      <c r="L76" s="390"/>
      <c r="M76" s="58"/>
      <c r="N76" s="204"/>
      <c r="O76" s="374"/>
      <c r="P76" s="374"/>
      <c r="Q76" s="374"/>
      <c r="R76" s="374"/>
    </row>
    <row r="77" spans="3:18" outlineLevel="1">
      <c r="C77" s="190">
        <v>48.200000000000031</v>
      </c>
      <c r="D77" s="386"/>
      <c r="E77" s="390"/>
      <c r="F77" s="58"/>
      <c r="G77" s="393"/>
      <c r="H77" s="396"/>
      <c r="I77" s="390"/>
      <c r="J77" s="58"/>
      <c r="K77" s="396"/>
      <c r="L77" s="390"/>
      <c r="M77" s="58"/>
      <c r="N77" s="204"/>
      <c r="O77" s="374"/>
      <c r="P77" s="374"/>
      <c r="Q77" s="374"/>
      <c r="R77" s="374"/>
    </row>
    <row r="78" spans="3:18" outlineLevel="1">
      <c r="C78" s="190">
        <v>49.000000000000036</v>
      </c>
      <c r="D78" s="386"/>
      <c r="E78" s="390"/>
      <c r="F78" s="58"/>
      <c r="G78" s="393"/>
      <c r="H78" s="396"/>
      <c r="I78" s="390"/>
      <c r="J78" s="58"/>
      <c r="K78" s="396"/>
      <c r="L78" s="390"/>
      <c r="M78" s="58"/>
      <c r="N78" s="204"/>
      <c r="O78" s="374"/>
      <c r="P78" s="374"/>
      <c r="Q78" s="374"/>
      <c r="R78" s="374"/>
    </row>
    <row r="79" spans="3:18" ht="15.75" outlineLevel="1" thickBot="1">
      <c r="C79" s="190">
        <v>49.80000000000004</v>
      </c>
      <c r="D79" s="387"/>
      <c r="E79" s="391"/>
      <c r="F79" s="59"/>
      <c r="G79" s="394"/>
      <c r="H79" s="397"/>
      <c r="I79" s="391"/>
      <c r="J79" s="59"/>
      <c r="K79" s="397"/>
      <c r="L79" s="391"/>
      <c r="M79" s="59"/>
      <c r="N79" s="388"/>
      <c r="O79" s="374"/>
      <c r="P79" s="374"/>
      <c r="Q79" s="374"/>
      <c r="R79" s="374"/>
    </row>
    <row r="80" spans="3:18" ht="15.75" thickBot="1">
      <c r="D80" s="342" t="s">
        <v>432</v>
      </c>
      <c r="E80" s="56"/>
      <c r="F80" s="56">
        <f>SUM(F23:F79)</f>
        <v>0</v>
      </c>
      <c r="G80" s="56"/>
      <c r="H80" s="398"/>
      <c r="I80" s="401"/>
      <c r="J80" s="199">
        <f>SUM(J23:J79)</f>
        <v>0</v>
      </c>
      <c r="K80" s="399"/>
      <c r="L80" s="199"/>
      <c r="M80" s="56">
        <f>SUM(M23:M79)</f>
        <v>0</v>
      </c>
      <c r="N80" s="199">
        <f>SUM(N23:N79)</f>
        <v>0</v>
      </c>
      <c r="O80" s="131"/>
      <c r="P80" s="131"/>
      <c r="Q80" s="131"/>
      <c r="R80" s="131"/>
    </row>
    <row r="81" spans="3:5" s="315" customFormat="1" ht="14.1" customHeight="1"/>
    <row r="82" spans="3:5" s="315" customFormat="1" ht="14.1" customHeight="1"/>
    <row r="83" spans="3:5">
      <c r="C83" s="750" t="s">
        <v>2762</v>
      </c>
    </row>
    <row r="85" spans="3:5">
      <c r="C85" s="751" t="s">
        <v>3898</v>
      </c>
    </row>
    <row r="86" spans="3:5" ht="15.75" thickBot="1"/>
    <row r="87" spans="3:5">
      <c r="D87" s="195"/>
      <c r="E87" s="1569" t="s">
        <v>2763</v>
      </c>
    </row>
    <row r="88" spans="3:5" ht="54.95" customHeight="1" thickBot="1">
      <c r="D88" s="35"/>
      <c r="E88" s="1570"/>
    </row>
    <row r="89" spans="3:5">
      <c r="C89" s="190">
        <v>1</v>
      </c>
      <c r="D89" s="754"/>
      <c r="E89" s="169"/>
    </row>
    <row r="90" spans="3:5">
      <c r="C90" s="190">
        <v>2</v>
      </c>
      <c r="D90" s="755"/>
      <c r="E90" s="752"/>
    </row>
    <row r="91" spans="3:5">
      <c r="C91" s="190">
        <v>3</v>
      </c>
      <c r="D91" s="755"/>
      <c r="E91" s="752"/>
    </row>
    <row r="92" spans="3:5">
      <c r="C92" s="190">
        <v>4</v>
      </c>
      <c r="D92" s="755"/>
      <c r="E92" s="752"/>
    </row>
    <row r="93" spans="3:5" ht="15.75" thickBot="1">
      <c r="C93" s="190">
        <v>5</v>
      </c>
      <c r="D93" s="756"/>
      <c r="E93" s="753"/>
    </row>
    <row r="94" spans="3:5" ht="15.75" thickBot="1">
      <c r="D94" s="191" t="s">
        <v>432</v>
      </c>
      <c r="E94" s="346">
        <f>SUM(E89:E93)</f>
        <v>0</v>
      </c>
    </row>
    <row r="96" spans="3:5">
      <c r="C96" s="751" t="s">
        <v>2764</v>
      </c>
    </row>
  </sheetData>
  <mergeCells count="24">
    <mergeCell ref="H4:H5"/>
    <mergeCell ref="I4:I5"/>
    <mergeCell ref="F21:F22"/>
    <mergeCell ref="G21:G22"/>
    <mergeCell ref="H21:H22"/>
    <mergeCell ref="I21:I22"/>
    <mergeCell ref="H20:J20"/>
    <mergeCell ref="D20:D22"/>
    <mergeCell ref="E20:E22"/>
    <mergeCell ref="E4:E5"/>
    <mergeCell ref="F4:F5"/>
    <mergeCell ref="G4:G5"/>
    <mergeCell ref="F20:G20"/>
    <mergeCell ref="K20:M20"/>
    <mergeCell ref="N20:N22"/>
    <mergeCell ref="J21:J22"/>
    <mergeCell ref="K21:K22"/>
    <mergeCell ref="L21:L22"/>
    <mergeCell ref="M21:M22"/>
    <mergeCell ref="E87:E88"/>
    <mergeCell ref="O21:O22"/>
    <mergeCell ref="P21:P22"/>
    <mergeCell ref="Q21:Q22"/>
    <mergeCell ref="R21:R22"/>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'1. Carátula'!$C$282:$C$459</xm:f>
          </x14:formula1>
          <xm:sqref>G23:G79</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heetPr>
  <dimension ref="B1:G25"/>
  <sheetViews>
    <sheetView showGridLines="0" workbookViewId="0"/>
  </sheetViews>
  <sheetFormatPr baseColWidth="10" defaultColWidth="9.140625" defaultRowHeight="15"/>
  <cols>
    <col min="1" max="3" width="2.42578125" customWidth="1"/>
    <col min="4" max="4" width="50.7109375" customWidth="1"/>
    <col min="5" max="8" width="14.7109375" customWidth="1"/>
  </cols>
  <sheetData>
    <row r="1" spans="2:7" ht="15" customHeight="1"/>
    <row r="2" spans="2:7" s="246" customFormat="1" ht="15" customHeight="1">
      <c r="B2" s="247"/>
      <c r="C2" s="379" t="s">
        <v>1557</v>
      </c>
    </row>
    <row r="3" spans="2:7" ht="15" customHeight="1" thickBot="1"/>
    <row r="4" spans="2:7" ht="15" customHeight="1">
      <c r="D4" s="1682"/>
      <c r="E4" s="1611" t="s">
        <v>1559</v>
      </c>
      <c r="F4" s="1612" t="s">
        <v>1417</v>
      </c>
      <c r="G4" s="1613" t="s">
        <v>1418</v>
      </c>
    </row>
    <row r="5" spans="2:7" ht="54.95" customHeight="1" thickBot="1">
      <c r="D5" s="1683"/>
      <c r="E5" s="1676"/>
      <c r="F5" s="1610"/>
      <c r="G5" s="1616"/>
    </row>
    <row r="6" spans="2:7">
      <c r="D6" s="336" t="s">
        <v>1558</v>
      </c>
      <c r="E6" s="54"/>
      <c r="F6" s="43"/>
      <c r="G6" s="204"/>
    </row>
    <row r="7" spans="2:7">
      <c r="D7" s="229" t="s">
        <v>1417</v>
      </c>
      <c r="E7" s="353"/>
      <c r="F7" s="353"/>
      <c r="G7" s="204"/>
    </row>
    <row r="8" spans="2:7" s="146" customFormat="1" ht="15.75" thickBot="1">
      <c r="D8" s="336" t="s">
        <v>1418</v>
      </c>
      <c r="E8" s="189"/>
      <c r="F8" s="154"/>
      <c r="G8" s="205"/>
    </row>
    <row r="9" spans="2:7" s="315" customFormat="1" ht="15.75" thickBot="1">
      <c r="D9" s="342" t="s">
        <v>432</v>
      </c>
      <c r="E9" s="56">
        <f>E6+E7+E8</f>
        <v>0</v>
      </c>
      <c r="F9" s="56">
        <f t="shared" ref="F9:G9" si="0">F6+F7+F8</f>
        <v>0</v>
      </c>
      <c r="G9" s="56">
        <f t="shared" si="0"/>
        <v>0</v>
      </c>
    </row>
    <row r="10" spans="2:7" s="315" customFormat="1">
      <c r="E10" s="131"/>
      <c r="F10" s="131"/>
      <c r="G10" s="131"/>
    </row>
    <row r="12" spans="2:7" s="315" customFormat="1" ht="14.1" customHeight="1">
      <c r="C12" s="380"/>
    </row>
    <row r="13" spans="2:7" s="315" customFormat="1" ht="14.1" customHeight="1"/>
    <row r="14" spans="2:7" s="315" customFormat="1" ht="14.1" customHeight="1">
      <c r="D14" s="2"/>
      <c r="E14" s="24"/>
    </row>
    <row r="15" spans="2:7" s="315" customFormat="1" ht="14.1" customHeight="1">
      <c r="D15" s="2"/>
      <c r="E15" s="24"/>
    </row>
    <row r="16" spans="2:7" s="315" customFormat="1" ht="14.1" customHeight="1">
      <c r="D16" s="339"/>
      <c r="E16" s="372"/>
    </row>
    <row r="17" spans="4:5" s="315" customFormat="1" ht="14.1" customHeight="1">
      <c r="D17" s="338"/>
      <c r="E17" s="374"/>
    </row>
    <row r="18" spans="4:5" s="315" customFormat="1" ht="14.1" customHeight="1">
      <c r="D18" s="352"/>
      <c r="E18" s="374"/>
    </row>
    <row r="19" spans="4:5" s="315" customFormat="1" ht="14.1" customHeight="1">
      <c r="D19" s="338"/>
      <c r="E19" s="374"/>
    </row>
    <row r="20" spans="4:5" s="315" customFormat="1" ht="14.1" customHeight="1">
      <c r="D20" s="338"/>
      <c r="E20" s="374"/>
    </row>
    <row r="21" spans="4:5" s="315" customFormat="1" ht="14.1" customHeight="1">
      <c r="D21" s="338"/>
      <c r="E21" s="374"/>
    </row>
    <row r="22" spans="4:5" s="315" customFormat="1" ht="14.1" customHeight="1">
      <c r="D22" s="337"/>
      <c r="E22" s="131"/>
    </row>
    <row r="23" spans="4:5" s="315" customFormat="1" ht="14.1" customHeight="1"/>
    <row r="24" spans="4:5" s="315" customFormat="1" ht="14.1" customHeight="1"/>
    <row r="25" spans="4:5" s="315" customFormat="1" ht="14.1" customHeight="1"/>
  </sheetData>
  <mergeCells count="4">
    <mergeCell ref="E4:E5"/>
    <mergeCell ref="F4:F5"/>
    <mergeCell ref="D4:D5"/>
    <mergeCell ref="G4:G5"/>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B1:AB922"/>
  <sheetViews>
    <sheetView showGridLines="0" topLeftCell="A37" workbookViewId="0">
      <selection activeCell="E45" sqref="E45"/>
    </sheetView>
  </sheetViews>
  <sheetFormatPr baseColWidth="10" defaultColWidth="9.140625" defaultRowHeight="15" outlineLevelRow="1"/>
  <cols>
    <col min="1" max="2" width="2.42578125" customWidth="1"/>
    <col min="3" max="3" width="3.7109375" customWidth="1"/>
    <col min="4" max="4" width="50.7109375" customWidth="1"/>
    <col min="5" max="5" width="14.7109375" style="146" customWidth="1"/>
    <col min="6" max="6" width="18.42578125" style="315" customWidth="1"/>
    <col min="7" max="8" width="14.7109375" style="315" customWidth="1"/>
    <col min="9" max="19" width="14.7109375" customWidth="1"/>
  </cols>
  <sheetData>
    <row r="1" spans="2:8" ht="15" customHeight="1"/>
    <row r="2" spans="2:8" s="246" customFormat="1" ht="15" customHeight="1">
      <c r="B2" s="247"/>
      <c r="C2" s="701" t="s">
        <v>1560</v>
      </c>
      <c r="E2" s="315"/>
      <c r="F2" s="315"/>
      <c r="G2" s="315"/>
      <c r="H2" s="315"/>
    </row>
    <row r="3" spans="2:8" s="402" customFormat="1" ht="15" customHeight="1">
      <c r="E3" s="316"/>
      <c r="F3" s="316"/>
      <c r="G3" s="316"/>
      <c r="H3" s="316"/>
    </row>
    <row r="4" spans="2:8" s="402" customFormat="1" ht="15" customHeight="1">
      <c r="C4" s="701" t="s">
        <v>1561</v>
      </c>
      <c r="E4" s="316"/>
      <c r="F4" s="316"/>
      <c r="G4" s="316"/>
      <c r="H4" s="316"/>
    </row>
    <row r="5" spans="2:8" ht="15" customHeight="1" thickBot="1">
      <c r="D5" s="35"/>
      <c r="E5" s="404"/>
      <c r="F5" s="340"/>
      <c r="G5" s="340"/>
    </row>
    <row r="6" spans="2:8" ht="15.75" thickBot="1">
      <c r="D6" s="342" t="s">
        <v>439</v>
      </c>
      <c r="E6" s="405"/>
      <c r="F6" s="373"/>
      <c r="G6" s="374"/>
    </row>
    <row r="7" spans="2:8">
      <c r="D7" s="336" t="s">
        <v>1562</v>
      </c>
      <c r="E7" s="403">
        <v>14718550</v>
      </c>
      <c r="F7" s="373"/>
      <c r="G7" s="374"/>
    </row>
    <row r="8" spans="2:8">
      <c r="D8" s="336" t="s">
        <v>1563</v>
      </c>
      <c r="E8" s="306">
        <v>736441</v>
      </c>
      <c r="F8" s="373"/>
      <c r="G8" s="374"/>
    </row>
    <row r="9" spans="2:8">
      <c r="D9" s="337" t="s">
        <v>1564</v>
      </c>
      <c r="E9" s="370">
        <f>E10+E11</f>
        <v>273586</v>
      </c>
      <c r="F9" s="373"/>
      <c r="G9" s="374"/>
    </row>
    <row r="10" spans="2:8">
      <c r="D10" s="336" t="s">
        <v>1565</v>
      </c>
      <c r="E10" s="306">
        <v>273586</v>
      </c>
      <c r="F10" s="373"/>
      <c r="G10" s="374"/>
    </row>
    <row r="11" spans="2:8">
      <c r="D11" s="336" t="s">
        <v>1566</v>
      </c>
      <c r="E11" s="306"/>
      <c r="F11" s="373"/>
      <c r="G11" s="374"/>
    </row>
    <row r="12" spans="2:8" ht="15.75" thickBot="1">
      <c r="D12" s="229" t="s">
        <v>604</v>
      </c>
      <c r="E12" s="330">
        <v>-107575</v>
      </c>
      <c r="F12" s="374"/>
      <c r="G12" s="374"/>
    </row>
    <row r="13" spans="2:8" s="315" customFormat="1" ht="15.75" thickBot="1">
      <c r="D13" s="342" t="s">
        <v>1567</v>
      </c>
      <c r="E13" s="199">
        <f>E7+E8+E9+E12</f>
        <v>15621002</v>
      </c>
      <c r="F13" s="131"/>
      <c r="G13" s="131"/>
    </row>
    <row r="14" spans="2:8" s="315" customFormat="1">
      <c r="E14" s="131"/>
      <c r="F14" s="131"/>
      <c r="G14" s="131"/>
    </row>
    <row r="16" spans="2:8" s="315" customFormat="1" ht="14.1" customHeight="1">
      <c r="C16" s="701" t="s">
        <v>1568</v>
      </c>
    </row>
    <row r="17" spans="4:7" s="315" customFormat="1" ht="14.1" customHeight="1" thickBot="1"/>
    <row r="18" spans="4:7" ht="15.75" thickBot="1">
      <c r="D18" s="342" t="s">
        <v>441</v>
      </c>
      <c r="E18" s="405"/>
      <c r="F18" s="373"/>
      <c r="G18" s="374"/>
    </row>
    <row r="19" spans="4:7">
      <c r="D19" s="336" t="s">
        <v>1569</v>
      </c>
      <c r="E19" s="403">
        <v>1464723146</v>
      </c>
      <c r="F19" s="373"/>
      <c r="G19" s="374"/>
    </row>
    <row r="20" spans="4:7">
      <c r="D20" s="336" t="s">
        <v>1570</v>
      </c>
      <c r="E20" s="306">
        <v>29832127</v>
      </c>
      <c r="F20" s="373"/>
      <c r="G20" s="374"/>
    </row>
    <row r="21" spans="4:7">
      <c r="D21" s="229" t="s">
        <v>1571</v>
      </c>
      <c r="E21" s="330">
        <v>-26812840</v>
      </c>
      <c r="F21" s="373"/>
      <c r="G21" s="374"/>
    </row>
    <row r="22" spans="4:7">
      <c r="D22" s="229" t="s">
        <v>1572</v>
      </c>
      <c r="E22" s="330">
        <v>-11129641</v>
      </c>
      <c r="F22" s="373"/>
      <c r="G22" s="374"/>
    </row>
    <row r="23" spans="4:7">
      <c r="D23" s="229" t="s">
        <v>491</v>
      </c>
      <c r="E23" s="330">
        <v>20726965</v>
      </c>
      <c r="F23" s="373"/>
      <c r="G23" s="374"/>
    </row>
    <row r="24" spans="4:7">
      <c r="D24" s="337" t="s">
        <v>1573</v>
      </c>
      <c r="E24" s="370">
        <f>E19+E20+E21+E22+E23</f>
        <v>1477339757</v>
      </c>
      <c r="F24" s="373"/>
      <c r="G24" s="374"/>
    </row>
    <row r="25" spans="4:7">
      <c r="D25" s="229" t="s">
        <v>1574</v>
      </c>
      <c r="E25" s="330"/>
      <c r="F25" s="373"/>
      <c r="G25" s="374"/>
    </row>
    <row r="26" spans="4:7">
      <c r="D26" s="229" t="s">
        <v>492</v>
      </c>
      <c r="E26" s="330"/>
      <c r="F26" s="373"/>
      <c r="G26" s="374"/>
    </row>
    <row r="27" spans="4:7">
      <c r="D27" s="229" t="s">
        <v>493</v>
      </c>
      <c r="E27" s="330"/>
      <c r="F27" s="373"/>
      <c r="G27" s="374"/>
    </row>
    <row r="28" spans="4:7">
      <c r="D28" s="229" t="s">
        <v>494</v>
      </c>
      <c r="E28" s="330"/>
      <c r="F28" s="373"/>
      <c r="G28" s="374"/>
    </row>
    <row r="29" spans="4:7" ht="15.75" thickBot="1">
      <c r="D29" s="229" t="s">
        <v>604</v>
      </c>
      <c r="E29" s="331">
        <v>14009815</v>
      </c>
      <c r="F29" s="373"/>
      <c r="G29" s="374"/>
    </row>
    <row r="30" spans="4:7" ht="15.75" thickBot="1">
      <c r="D30" s="230" t="s">
        <v>1575</v>
      </c>
      <c r="E30" s="199">
        <f>SUM(E24:E29)</f>
        <v>1491349572</v>
      </c>
      <c r="F30" s="373"/>
      <c r="G30" s="374"/>
    </row>
    <row r="31" spans="4:7" ht="15.75" thickBot="1">
      <c r="D31" s="229"/>
      <c r="E31" s="374"/>
      <c r="F31" s="373"/>
      <c r="G31" s="374"/>
    </row>
    <row r="32" spans="4:7" ht="15.75" thickBot="1">
      <c r="D32" s="342" t="s">
        <v>1576</v>
      </c>
      <c r="E32" s="407"/>
      <c r="F32" s="373"/>
      <c r="G32" s="374"/>
    </row>
    <row r="33" spans="4:7">
      <c r="D33" s="336" t="s">
        <v>1577</v>
      </c>
      <c r="E33" s="403">
        <v>115376761</v>
      </c>
      <c r="F33" s="373"/>
      <c r="G33" s="374"/>
    </row>
    <row r="34" spans="4:7">
      <c r="D34" s="337" t="s">
        <v>1578</v>
      </c>
      <c r="E34" s="408">
        <f>E35+E36+E37</f>
        <v>44774230</v>
      </c>
      <c r="F34" s="373"/>
      <c r="G34" s="374"/>
    </row>
    <row r="35" spans="4:7">
      <c r="D35" s="336" t="s">
        <v>1579</v>
      </c>
      <c r="E35" s="403">
        <v>26633690</v>
      </c>
      <c r="F35" s="373"/>
      <c r="G35" s="374"/>
    </row>
    <row r="36" spans="4:7">
      <c r="D36" s="336" t="s">
        <v>1580</v>
      </c>
      <c r="E36" s="403">
        <v>7587098</v>
      </c>
      <c r="F36" s="373"/>
      <c r="G36" s="374"/>
    </row>
    <row r="37" spans="4:7">
      <c r="D37" s="336" t="s">
        <v>547</v>
      </c>
      <c r="E37" s="403">
        <v>10553442</v>
      </c>
      <c r="F37" s="373"/>
      <c r="G37" s="374"/>
    </row>
    <row r="38" spans="4:7">
      <c r="D38" s="337" t="s">
        <v>1581</v>
      </c>
      <c r="E38" s="408">
        <f>E39+E40+E41</f>
        <v>-41094524</v>
      </c>
      <c r="F38" s="373"/>
      <c r="G38" s="374"/>
    </row>
    <row r="39" spans="4:7">
      <c r="D39" s="336" t="s">
        <v>1579</v>
      </c>
      <c r="E39" s="403">
        <v>-28072815</v>
      </c>
      <c r="F39" s="373"/>
      <c r="G39" s="374"/>
    </row>
    <row r="40" spans="4:7">
      <c r="D40" s="336" t="s">
        <v>1580</v>
      </c>
      <c r="E40" s="403">
        <v>-1730627</v>
      </c>
      <c r="F40" s="373"/>
      <c r="G40" s="374"/>
    </row>
    <row r="41" spans="4:7">
      <c r="D41" s="336" t="s">
        <v>547</v>
      </c>
      <c r="E41" s="403">
        <v>-11291082</v>
      </c>
      <c r="F41" s="373"/>
      <c r="G41" s="374"/>
    </row>
    <row r="42" spans="4:7">
      <c r="D42" s="336" t="s">
        <v>495</v>
      </c>
      <c r="E42" s="403">
        <v>-965322</v>
      </c>
      <c r="F42" s="373"/>
      <c r="G42" s="374"/>
    </row>
    <row r="43" spans="4:7">
      <c r="D43" s="336" t="s">
        <v>1582</v>
      </c>
      <c r="E43" s="403">
        <v>-2367989</v>
      </c>
      <c r="F43" s="373"/>
      <c r="G43" s="374"/>
    </row>
    <row r="44" spans="4:7" ht="15.75" thickBot="1">
      <c r="D44" s="336" t="s">
        <v>604</v>
      </c>
      <c r="E44" s="403">
        <f>2198950-5887+5886</f>
        <v>2198949</v>
      </c>
      <c r="F44" s="373"/>
      <c r="G44" s="374"/>
    </row>
    <row r="45" spans="4:7" s="315" customFormat="1" ht="15.75" thickBot="1">
      <c r="D45" s="342" t="s">
        <v>1583</v>
      </c>
      <c r="E45" s="199">
        <f>E33+E34+E38+E42+E43+E44</f>
        <v>117922105</v>
      </c>
      <c r="F45" s="131"/>
      <c r="G45" s="131"/>
    </row>
    <row r="46" spans="4:7" s="315" customFormat="1" ht="14.1" customHeight="1">
      <c r="D46" s="337"/>
      <c r="E46" s="131"/>
    </row>
    <row r="47" spans="4:7" s="315" customFormat="1" ht="14.1" customHeight="1" thickBot="1"/>
    <row r="48" spans="4:7" s="315" customFormat="1" ht="14.1" customHeight="1" thickBot="1">
      <c r="D48" s="342" t="s">
        <v>1584</v>
      </c>
      <c r="E48" s="407"/>
    </row>
    <row r="49" spans="3:7" s="315" customFormat="1" ht="14.1" customHeight="1">
      <c r="D49" s="336" t="s">
        <v>1585</v>
      </c>
      <c r="E49" s="436">
        <v>2.6200000000000001E-2</v>
      </c>
    </row>
    <row r="50" spans="3:7">
      <c r="D50" s="229" t="s">
        <v>1586</v>
      </c>
      <c r="E50" s="437">
        <v>2.6100000000000002E-2</v>
      </c>
    </row>
    <row r="51" spans="3:7">
      <c r="D51" s="336" t="s">
        <v>1587</v>
      </c>
      <c r="E51" s="436">
        <v>2.7300000000000001E-2</v>
      </c>
    </row>
    <row r="54" spans="3:7">
      <c r="C54" s="701" t="s">
        <v>1589</v>
      </c>
    </row>
    <row r="55" spans="3:7" ht="15.75" thickBot="1"/>
    <row r="56" spans="3:7" ht="15.75" thickBot="1">
      <c r="D56" s="342" t="s">
        <v>443</v>
      </c>
      <c r="E56" s="405"/>
      <c r="F56" s="373"/>
      <c r="G56" s="374"/>
    </row>
    <row r="57" spans="3:7" outlineLevel="1">
      <c r="D57" s="336" t="s">
        <v>1562</v>
      </c>
      <c r="E57" s="403">
        <v>34744072</v>
      </c>
      <c r="F57" s="373"/>
      <c r="G57" s="374"/>
    </row>
    <row r="58" spans="3:7" outlineLevel="1">
      <c r="D58" s="336" t="s">
        <v>496</v>
      </c>
      <c r="E58" s="306">
        <v>1352443</v>
      </c>
      <c r="F58" s="373"/>
      <c r="G58" s="374"/>
    </row>
    <row r="59" spans="3:7" outlineLevel="1">
      <c r="D59" s="229" t="s">
        <v>497</v>
      </c>
      <c r="E59" s="330">
        <v>335085</v>
      </c>
      <c r="F59" s="373"/>
      <c r="G59" s="374"/>
    </row>
    <row r="60" spans="3:7" outlineLevel="1">
      <c r="D60" s="229" t="s">
        <v>498</v>
      </c>
      <c r="E60" s="330">
        <v>-645081</v>
      </c>
      <c r="F60" s="373"/>
      <c r="G60" s="374"/>
    </row>
    <row r="61" spans="3:7" ht="15.75" outlineLevel="1" thickBot="1">
      <c r="D61" s="229" t="s">
        <v>499</v>
      </c>
      <c r="E61" s="330">
        <v>-1161023</v>
      </c>
      <c r="F61" s="373"/>
      <c r="G61" s="374"/>
    </row>
    <row r="62" spans="3:7" ht="15.75" thickBot="1">
      <c r="D62" s="230" t="s">
        <v>1588</v>
      </c>
      <c r="E62" s="199">
        <f>E57+E58+E59+E60+E61</f>
        <v>34625496</v>
      </c>
      <c r="F62" s="373"/>
      <c r="G62" s="374"/>
    </row>
    <row r="65" spans="3:10">
      <c r="C65" s="701" t="s">
        <v>1590</v>
      </c>
    </row>
    <row r="66" spans="3:10" ht="15.75" thickBot="1"/>
    <row r="67" spans="3:10" ht="15" customHeight="1" thickBot="1">
      <c r="D67" s="195"/>
      <c r="E67" s="1660" t="s">
        <v>1593</v>
      </c>
      <c r="F67" s="1662"/>
      <c r="G67" s="1686" t="s">
        <v>454</v>
      </c>
      <c r="H67" s="1700" t="s">
        <v>500</v>
      </c>
    </row>
    <row r="68" spans="3:10" ht="54.95" customHeight="1" thickBot="1">
      <c r="D68" s="35"/>
      <c r="E68" s="409" t="s">
        <v>1592</v>
      </c>
      <c r="F68" s="410" t="s">
        <v>443</v>
      </c>
      <c r="G68" s="1687"/>
      <c r="H68" s="1701"/>
    </row>
    <row r="69" spans="3:10" ht="21" outlineLevel="1">
      <c r="D69" s="338" t="s">
        <v>1591</v>
      </c>
      <c r="E69" s="54">
        <v>401</v>
      </c>
      <c r="F69" s="43" t="s">
        <v>3818</v>
      </c>
      <c r="G69" s="1521">
        <v>897181</v>
      </c>
      <c r="H69" s="204">
        <v>-5168</v>
      </c>
      <c r="I69" s="192"/>
      <c r="J69" s="192"/>
    </row>
    <row r="70" spans="3:10" ht="21" outlineLevel="1">
      <c r="D70" s="352" t="s">
        <v>1594</v>
      </c>
      <c r="E70" s="353">
        <v>352012</v>
      </c>
      <c r="F70" s="353" t="s">
        <v>3818</v>
      </c>
      <c r="G70" s="1521">
        <v>82017365</v>
      </c>
      <c r="H70" s="204">
        <v>-443931</v>
      </c>
      <c r="I70" s="192"/>
      <c r="J70" s="192"/>
    </row>
    <row r="71" spans="3:10" ht="21" outlineLevel="1">
      <c r="D71" s="338" t="s">
        <v>1595</v>
      </c>
      <c r="E71" s="54">
        <v>52646</v>
      </c>
      <c r="F71" s="43" t="s">
        <v>3818</v>
      </c>
      <c r="G71" s="1521">
        <v>48295901</v>
      </c>
      <c r="H71" s="204">
        <v>-14766</v>
      </c>
      <c r="I71" s="192"/>
      <c r="J71" s="192"/>
    </row>
    <row r="72" spans="3:10" ht="21.75" outlineLevel="1" thickBot="1">
      <c r="D72" s="338" t="s">
        <v>1596</v>
      </c>
      <c r="E72" s="54">
        <v>392530</v>
      </c>
      <c r="F72" s="43" t="s">
        <v>3818</v>
      </c>
      <c r="G72" s="1521">
        <f>106428209-121</f>
        <v>106428088</v>
      </c>
      <c r="H72" s="204">
        <v>-31633</v>
      </c>
      <c r="I72" s="192"/>
      <c r="J72" s="192"/>
    </row>
    <row r="73" spans="3:10" ht="15.75" thickBot="1">
      <c r="D73" s="342" t="s">
        <v>769</v>
      </c>
      <c r="E73" s="56">
        <f>SUM(E69:E72)</f>
        <v>797589</v>
      </c>
      <c r="F73" s="56">
        <f>SUM(F69:F72)</f>
        <v>0</v>
      </c>
      <c r="G73" s="56">
        <f>SUM(G69:G72)</f>
        <v>237638535</v>
      </c>
      <c r="H73" s="56">
        <f>SUM(H69:H72)</f>
        <v>-495498</v>
      </c>
    </row>
    <row r="76" spans="3:10">
      <c r="C76" s="701" t="s">
        <v>1597</v>
      </c>
    </row>
    <row r="77" spans="3:10" ht="15.75" thickBot="1"/>
    <row r="78" spans="3:10" ht="15" customHeight="1" thickBot="1">
      <c r="D78" s="1702" t="s">
        <v>501</v>
      </c>
      <c r="E78" s="1704" t="s">
        <v>1598</v>
      </c>
      <c r="F78" s="1569" t="s">
        <v>502</v>
      </c>
      <c r="G78" s="1660" t="s">
        <v>1599</v>
      </c>
      <c r="H78" s="1662"/>
      <c r="I78" s="1698" t="s">
        <v>1601</v>
      </c>
    </row>
    <row r="79" spans="3:10" ht="54.95" customHeight="1" thickBot="1">
      <c r="D79" s="1703"/>
      <c r="E79" s="1705"/>
      <c r="F79" s="1570"/>
      <c r="G79" s="416" t="s">
        <v>1600</v>
      </c>
      <c r="H79" s="343" t="s">
        <v>579</v>
      </c>
      <c r="I79" s="1699"/>
    </row>
    <row r="80" spans="3:10" ht="33.75" outlineLevel="1">
      <c r="C80" s="411">
        <v>1</v>
      </c>
      <c r="D80" s="412" t="s">
        <v>3967</v>
      </c>
      <c r="E80" s="43" t="s">
        <v>3968</v>
      </c>
      <c r="F80" s="417" t="s">
        <v>3969</v>
      </c>
      <c r="G80" s="393" t="s">
        <v>3970</v>
      </c>
      <c r="H80" s="58">
        <v>17505</v>
      </c>
      <c r="I80" s="43">
        <v>-3501</v>
      </c>
    </row>
    <row r="81" spans="3:9" ht="22.5" outlineLevel="1">
      <c r="C81" s="411">
        <v>2</v>
      </c>
      <c r="D81" s="414" t="s">
        <v>3971</v>
      </c>
      <c r="E81" s="43" t="s">
        <v>3972</v>
      </c>
      <c r="F81" s="417" t="s">
        <v>3973</v>
      </c>
      <c r="G81" s="393" t="s">
        <v>3970</v>
      </c>
      <c r="H81" s="58">
        <v>2655</v>
      </c>
      <c r="I81" s="43">
        <v>-531</v>
      </c>
    </row>
    <row r="82" spans="3:9" ht="22.5" outlineLevel="1">
      <c r="C82" s="411">
        <v>3</v>
      </c>
      <c r="D82" s="414" t="s">
        <v>3974</v>
      </c>
      <c r="E82" s="43" t="s">
        <v>3968</v>
      </c>
      <c r="F82" s="417" t="s">
        <v>3975</v>
      </c>
      <c r="G82" s="393" t="s">
        <v>3976</v>
      </c>
      <c r="H82" s="58">
        <v>58</v>
      </c>
      <c r="I82" s="43">
        <v>-12</v>
      </c>
    </row>
    <row r="83" spans="3:9" ht="22.5" outlineLevel="1">
      <c r="C83" s="411">
        <v>4</v>
      </c>
      <c r="D83" s="414" t="s">
        <v>3977</v>
      </c>
      <c r="E83" s="43" t="s">
        <v>3968</v>
      </c>
      <c r="F83" s="417" t="s">
        <v>3973</v>
      </c>
      <c r="G83" s="393" t="s">
        <v>3970</v>
      </c>
      <c r="H83" s="58">
        <v>0</v>
      </c>
      <c r="I83" s="43">
        <v>0</v>
      </c>
    </row>
    <row r="84" spans="3:9" ht="22.5" outlineLevel="1">
      <c r="C84" s="411">
        <v>5</v>
      </c>
      <c r="D84" s="414" t="s">
        <v>3978</v>
      </c>
      <c r="E84" s="43" t="s">
        <v>3968</v>
      </c>
      <c r="F84" s="417" t="s">
        <v>3979</v>
      </c>
      <c r="G84" s="393" t="s">
        <v>3970</v>
      </c>
      <c r="H84" s="58">
        <v>11736</v>
      </c>
      <c r="I84" s="43">
        <v>-2347</v>
      </c>
    </row>
    <row r="85" spans="3:9" ht="22.5" outlineLevel="1">
      <c r="C85" s="411">
        <v>6</v>
      </c>
      <c r="D85" s="414" t="s">
        <v>3980</v>
      </c>
      <c r="E85" s="43" t="s">
        <v>3968</v>
      </c>
      <c r="F85" s="417" t="s">
        <v>3981</v>
      </c>
      <c r="G85" s="393" t="s">
        <v>3970</v>
      </c>
      <c r="H85" s="58">
        <v>571</v>
      </c>
      <c r="I85" s="43">
        <v>-114</v>
      </c>
    </row>
    <row r="86" spans="3:9" ht="33.75" outlineLevel="1">
      <c r="C86" s="411">
        <v>7</v>
      </c>
      <c r="D86" s="414" t="s">
        <v>3982</v>
      </c>
      <c r="E86" s="43" t="s">
        <v>3968</v>
      </c>
      <c r="F86" s="417" t="s">
        <v>3983</v>
      </c>
      <c r="G86" s="393" t="s">
        <v>3984</v>
      </c>
      <c r="H86" s="58">
        <v>1382</v>
      </c>
      <c r="I86" s="43">
        <v>-276</v>
      </c>
    </row>
    <row r="87" spans="3:9" ht="22.5" outlineLevel="1">
      <c r="C87" s="411">
        <v>8</v>
      </c>
      <c r="D87" s="414" t="s">
        <v>3985</v>
      </c>
      <c r="E87" s="43" t="s">
        <v>3986</v>
      </c>
      <c r="F87" s="417" t="s">
        <v>3981</v>
      </c>
      <c r="G87" s="393" t="s">
        <v>3970</v>
      </c>
      <c r="H87" s="58">
        <v>2227</v>
      </c>
      <c r="I87" s="43">
        <v>0</v>
      </c>
    </row>
    <row r="88" spans="3:9" ht="22.5" outlineLevel="1">
      <c r="C88" s="411">
        <v>9</v>
      </c>
      <c r="D88" s="414" t="s">
        <v>3987</v>
      </c>
      <c r="E88" s="43" t="s">
        <v>3986</v>
      </c>
      <c r="F88" s="417" t="s">
        <v>3988</v>
      </c>
      <c r="G88" s="393" t="s">
        <v>3970</v>
      </c>
      <c r="H88" s="58">
        <v>0</v>
      </c>
      <c r="I88" s="43">
        <v>0</v>
      </c>
    </row>
    <row r="89" spans="3:9" ht="33.75" outlineLevel="1">
      <c r="C89" s="411">
        <v>10</v>
      </c>
      <c r="D89" s="414" t="s">
        <v>3989</v>
      </c>
      <c r="E89" s="43" t="s">
        <v>3986</v>
      </c>
      <c r="F89" s="417" t="s">
        <v>3990</v>
      </c>
      <c r="G89" s="393" t="s">
        <v>3970</v>
      </c>
      <c r="H89" s="58">
        <v>219</v>
      </c>
      <c r="I89" s="43">
        <v>-44</v>
      </c>
    </row>
    <row r="90" spans="3:9" ht="33.75" outlineLevel="1">
      <c r="C90" s="411">
        <v>11</v>
      </c>
      <c r="D90" s="414" t="s">
        <v>3991</v>
      </c>
      <c r="E90" s="43" t="s">
        <v>3986</v>
      </c>
      <c r="F90" s="417" t="s">
        <v>3992</v>
      </c>
      <c r="G90" s="393" t="s">
        <v>3970</v>
      </c>
      <c r="H90" s="58">
        <v>0</v>
      </c>
      <c r="I90" s="43">
        <v>0</v>
      </c>
    </row>
    <row r="91" spans="3:9" ht="22.5" outlineLevel="1">
      <c r="C91" s="411">
        <v>12</v>
      </c>
      <c r="D91" s="414" t="s">
        <v>3993</v>
      </c>
      <c r="E91" s="43" t="s">
        <v>3986</v>
      </c>
      <c r="F91" s="417" t="s">
        <v>3994</v>
      </c>
      <c r="G91" s="393" t="s">
        <v>3970</v>
      </c>
      <c r="H91" s="58">
        <v>0</v>
      </c>
      <c r="I91" s="43">
        <v>0</v>
      </c>
    </row>
    <row r="92" spans="3:9" ht="22.5" outlineLevel="1">
      <c r="C92" s="411">
        <v>13</v>
      </c>
      <c r="D92" s="414" t="s">
        <v>3995</v>
      </c>
      <c r="E92" s="43" t="s">
        <v>3986</v>
      </c>
      <c r="F92" s="417" t="s">
        <v>3996</v>
      </c>
      <c r="G92" s="393" t="s">
        <v>3970</v>
      </c>
      <c r="H92" s="58">
        <v>16293</v>
      </c>
      <c r="I92" s="43">
        <v>-3259</v>
      </c>
    </row>
    <row r="93" spans="3:9" ht="22.5" outlineLevel="1">
      <c r="C93" s="411">
        <v>14</v>
      </c>
      <c r="D93" s="414" t="s">
        <v>3997</v>
      </c>
      <c r="E93" s="43" t="s">
        <v>3986</v>
      </c>
      <c r="F93" s="417" t="s">
        <v>3998</v>
      </c>
      <c r="G93" s="393" t="s">
        <v>3970</v>
      </c>
      <c r="H93" s="58">
        <v>111</v>
      </c>
      <c r="I93" s="43">
        <v>-22</v>
      </c>
    </row>
    <row r="94" spans="3:9" ht="33.75" outlineLevel="1">
      <c r="C94" s="411">
        <v>15</v>
      </c>
      <c r="D94" s="414" t="s">
        <v>3999</v>
      </c>
      <c r="E94" s="43" t="s">
        <v>3986</v>
      </c>
      <c r="F94" s="417" t="s">
        <v>4000</v>
      </c>
      <c r="G94" s="393" t="s">
        <v>3984</v>
      </c>
      <c r="H94" s="58">
        <v>603</v>
      </c>
      <c r="I94" s="43">
        <v>-121</v>
      </c>
    </row>
    <row r="95" spans="3:9" ht="33.75" outlineLevel="1">
      <c r="C95" s="411">
        <v>16</v>
      </c>
      <c r="D95" s="414" t="s">
        <v>4001</v>
      </c>
      <c r="E95" s="43" t="s">
        <v>3968</v>
      </c>
      <c r="F95" s="417" t="s">
        <v>4002</v>
      </c>
      <c r="G95" s="393" t="s">
        <v>4003</v>
      </c>
      <c r="H95" s="58">
        <v>39305</v>
      </c>
      <c r="I95" s="43">
        <v>0</v>
      </c>
    </row>
    <row r="96" spans="3:9" ht="33.75" outlineLevel="1">
      <c r="C96" s="411">
        <v>17</v>
      </c>
      <c r="D96" s="414" t="s">
        <v>4004</v>
      </c>
      <c r="E96" s="43" t="s">
        <v>3968</v>
      </c>
      <c r="F96" s="417" t="s">
        <v>4005</v>
      </c>
      <c r="G96" s="393" t="s">
        <v>4003</v>
      </c>
      <c r="H96" s="58">
        <v>0</v>
      </c>
      <c r="I96" s="43">
        <v>0</v>
      </c>
    </row>
    <row r="97" spans="3:9" ht="22.5" outlineLevel="1">
      <c r="C97" s="411">
        <v>18</v>
      </c>
      <c r="D97" s="414" t="s">
        <v>4006</v>
      </c>
      <c r="E97" s="43" t="s">
        <v>3968</v>
      </c>
      <c r="F97" s="417" t="s">
        <v>4007</v>
      </c>
      <c r="G97" s="393" t="s">
        <v>3984</v>
      </c>
      <c r="H97" s="58">
        <v>0</v>
      </c>
      <c r="I97" s="43">
        <v>0</v>
      </c>
    </row>
    <row r="98" spans="3:9" ht="22.5" outlineLevel="1">
      <c r="C98" s="411">
        <v>19</v>
      </c>
      <c r="D98" s="414" t="s">
        <v>4008</v>
      </c>
      <c r="E98" s="43" t="s">
        <v>3968</v>
      </c>
      <c r="F98" s="417" t="s">
        <v>4009</v>
      </c>
      <c r="G98" s="393" t="s">
        <v>4003</v>
      </c>
      <c r="H98" s="58">
        <v>0</v>
      </c>
      <c r="I98" s="43">
        <v>0</v>
      </c>
    </row>
    <row r="99" spans="3:9" ht="22.5" outlineLevel="1">
      <c r="C99" s="411">
        <v>20</v>
      </c>
      <c r="D99" s="414" t="s">
        <v>4010</v>
      </c>
      <c r="E99" s="43" t="s">
        <v>3968</v>
      </c>
      <c r="F99" s="417" t="s">
        <v>4011</v>
      </c>
      <c r="G99" s="393" t="s">
        <v>3984</v>
      </c>
      <c r="H99" s="58">
        <v>0</v>
      </c>
      <c r="I99" s="43">
        <v>0</v>
      </c>
    </row>
    <row r="100" spans="3:9" ht="33.75" outlineLevel="1">
      <c r="C100" s="411">
        <v>21</v>
      </c>
      <c r="D100" s="414" t="s">
        <v>4012</v>
      </c>
      <c r="E100" s="43" t="s">
        <v>3968</v>
      </c>
      <c r="F100" s="417" t="s">
        <v>4013</v>
      </c>
      <c r="G100" s="393" t="s">
        <v>3984</v>
      </c>
      <c r="H100" s="58">
        <v>29166</v>
      </c>
      <c r="I100" s="43">
        <v>0</v>
      </c>
    </row>
    <row r="101" spans="3:9" ht="22.5" outlineLevel="1">
      <c r="C101" s="411">
        <v>22</v>
      </c>
      <c r="D101" s="414" t="s">
        <v>4014</v>
      </c>
      <c r="E101" s="43" t="s">
        <v>3968</v>
      </c>
      <c r="F101" s="417" t="s">
        <v>4015</v>
      </c>
      <c r="G101" s="393" t="s">
        <v>4003</v>
      </c>
      <c r="H101" s="58">
        <v>15919</v>
      </c>
      <c r="I101" s="43">
        <v>0</v>
      </c>
    </row>
    <row r="102" spans="3:9" ht="22.5" outlineLevel="1">
      <c r="C102" s="411">
        <v>23</v>
      </c>
      <c r="D102" s="414" t="s">
        <v>4016</v>
      </c>
      <c r="E102" s="43" t="s">
        <v>3968</v>
      </c>
      <c r="F102" s="417" t="s">
        <v>4017</v>
      </c>
      <c r="G102" s="393" t="s">
        <v>4003</v>
      </c>
      <c r="H102" s="58">
        <v>0</v>
      </c>
      <c r="I102" s="43">
        <v>0</v>
      </c>
    </row>
    <row r="103" spans="3:9" ht="33.75" outlineLevel="1">
      <c r="C103" s="411">
        <v>24</v>
      </c>
      <c r="D103" s="414" t="s">
        <v>4018</v>
      </c>
      <c r="E103" s="43" t="s">
        <v>3968</v>
      </c>
      <c r="F103" s="417" t="s">
        <v>4019</v>
      </c>
      <c r="G103" s="393" t="s">
        <v>3984</v>
      </c>
      <c r="H103" s="58">
        <v>2920</v>
      </c>
      <c r="I103" s="43">
        <v>0</v>
      </c>
    </row>
    <row r="104" spans="3:9" ht="33.75" outlineLevel="1">
      <c r="C104" s="411">
        <v>25</v>
      </c>
      <c r="D104" s="414" t="s">
        <v>4020</v>
      </c>
      <c r="E104" s="43" t="s">
        <v>3968</v>
      </c>
      <c r="F104" s="417" t="s">
        <v>4021</v>
      </c>
      <c r="G104" s="393" t="s">
        <v>3984</v>
      </c>
      <c r="H104" s="58">
        <v>0</v>
      </c>
      <c r="I104" s="43">
        <v>0</v>
      </c>
    </row>
    <row r="105" spans="3:9" ht="22.5" outlineLevel="1">
      <c r="C105" s="411">
        <v>26</v>
      </c>
      <c r="D105" s="414" t="s">
        <v>4022</v>
      </c>
      <c r="E105" s="43" t="s">
        <v>3968</v>
      </c>
      <c r="F105" s="417" t="s">
        <v>4023</v>
      </c>
      <c r="G105" s="393" t="s">
        <v>4003</v>
      </c>
      <c r="H105" s="58">
        <v>0</v>
      </c>
      <c r="I105" s="43">
        <v>0</v>
      </c>
    </row>
    <row r="106" spans="3:9" ht="22.5" outlineLevel="1">
      <c r="C106" s="411">
        <v>27</v>
      </c>
      <c r="D106" s="414" t="s">
        <v>4024</v>
      </c>
      <c r="E106" s="43" t="s">
        <v>3968</v>
      </c>
      <c r="F106" s="417" t="s">
        <v>4025</v>
      </c>
      <c r="G106" s="393" t="s">
        <v>3984</v>
      </c>
      <c r="H106" s="58">
        <v>0</v>
      </c>
      <c r="I106" s="43">
        <v>0</v>
      </c>
    </row>
    <row r="107" spans="3:9" ht="33.75" outlineLevel="1">
      <c r="C107" s="411">
        <v>28</v>
      </c>
      <c r="D107" s="414" t="s">
        <v>4026</v>
      </c>
      <c r="E107" s="43" t="s">
        <v>3968</v>
      </c>
      <c r="F107" s="417" t="s">
        <v>4027</v>
      </c>
      <c r="G107" s="393" t="s">
        <v>4003</v>
      </c>
      <c r="H107" s="58">
        <v>0</v>
      </c>
      <c r="I107" s="43">
        <v>0</v>
      </c>
    </row>
    <row r="108" spans="3:9" ht="33.75" outlineLevel="1">
      <c r="C108" s="411">
        <v>29</v>
      </c>
      <c r="D108" s="414" t="s">
        <v>4028</v>
      </c>
      <c r="E108" s="43" t="s">
        <v>3968</v>
      </c>
      <c r="F108" s="417" t="s">
        <v>4029</v>
      </c>
      <c r="G108" s="393" t="s">
        <v>4003</v>
      </c>
      <c r="H108" s="58">
        <v>0</v>
      </c>
      <c r="I108" s="43">
        <v>0</v>
      </c>
    </row>
    <row r="109" spans="3:9" ht="22.5" outlineLevel="1">
      <c r="C109" s="411">
        <v>30</v>
      </c>
      <c r="D109" s="414" t="s">
        <v>4030</v>
      </c>
      <c r="E109" s="43" t="s">
        <v>3968</v>
      </c>
      <c r="F109" s="417" t="s">
        <v>4031</v>
      </c>
      <c r="G109" s="393" t="s">
        <v>3984</v>
      </c>
      <c r="H109" s="58">
        <v>47216</v>
      </c>
      <c r="I109" s="43">
        <v>0</v>
      </c>
    </row>
    <row r="110" spans="3:9" ht="22.5" outlineLevel="1">
      <c r="C110" s="411">
        <v>31</v>
      </c>
      <c r="D110" s="414" t="s">
        <v>4032</v>
      </c>
      <c r="E110" s="43" t="s">
        <v>3968</v>
      </c>
      <c r="F110" s="417" t="s">
        <v>4033</v>
      </c>
      <c r="G110" s="393" t="s">
        <v>4003</v>
      </c>
      <c r="H110" s="58">
        <v>0</v>
      </c>
      <c r="I110" s="43">
        <v>0</v>
      </c>
    </row>
    <row r="111" spans="3:9" ht="22.5" outlineLevel="1">
      <c r="C111" s="411">
        <v>32</v>
      </c>
      <c r="D111" s="414" t="s">
        <v>4034</v>
      </c>
      <c r="E111" s="43" t="s">
        <v>3968</v>
      </c>
      <c r="F111" s="417" t="s">
        <v>4035</v>
      </c>
      <c r="G111" s="393" t="s">
        <v>3984</v>
      </c>
      <c r="H111" s="58">
        <v>0</v>
      </c>
      <c r="I111" s="43">
        <v>0</v>
      </c>
    </row>
    <row r="112" spans="3:9" ht="22.5" outlineLevel="1">
      <c r="C112" s="411">
        <v>33</v>
      </c>
      <c r="D112" s="414" t="s">
        <v>4036</v>
      </c>
      <c r="E112" s="43" t="s">
        <v>3968</v>
      </c>
      <c r="F112" s="417" t="s">
        <v>4037</v>
      </c>
      <c r="G112" s="393" t="s">
        <v>3984</v>
      </c>
      <c r="H112" s="58">
        <v>11265</v>
      </c>
      <c r="I112" s="43">
        <v>0</v>
      </c>
    </row>
    <row r="113" spans="3:9" ht="33.75" outlineLevel="1">
      <c r="C113" s="411">
        <v>34</v>
      </c>
      <c r="D113" s="414" t="s">
        <v>4038</v>
      </c>
      <c r="E113" s="43" t="s">
        <v>3968</v>
      </c>
      <c r="F113" s="417" t="s">
        <v>4039</v>
      </c>
      <c r="G113" s="393" t="s">
        <v>4003</v>
      </c>
      <c r="H113" s="58">
        <v>0</v>
      </c>
      <c r="I113" s="43">
        <v>0</v>
      </c>
    </row>
    <row r="114" spans="3:9" ht="33.75" outlineLevel="1">
      <c r="C114" s="411">
        <v>35</v>
      </c>
      <c r="D114" s="414" t="s">
        <v>4040</v>
      </c>
      <c r="E114" s="43" t="s">
        <v>3968</v>
      </c>
      <c r="F114" s="417" t="s">
        <v>4041</v>
      </c>
      <c r="G114" s="393" t="s">
        <v>4003</v>
      </c>
      <c r="H114" s="58">
        <v>0</v>
      </c>
      <c r="I114" s="43">
        <v>0</v>
      </c>
    </row>
    <row r="115" spans="3:9" ht="22.5" outlineLevel="1">
      <c r="C115" s="411">
        <v>36</v>
      </c>
      <c r="D115" s="414" t="s">
        <v>4042</v>
      </c>
      <c r="E115" s="43" t="s">
        <v>3968</v>
      </c>
      <c r="F115" s="417" t="s">
        <v>4043</v>
      </c>
      <c r="G115" s="393" t="s">
        <v>3984</v>
      </c>
      <c r="H115" s="58">
        <v>145</v>
      </c>
      <c r="I115" s="43">
        <v>-29</v>
      </c>
    </row>
    <row r="116" spans="3:9" ht="22.5" outlineLevel="1">
      <c r="C116" s="411">
        <v>37</v>
      </c>
      <c r="D116" s="414" t="s">
        <v>4044</v>
      </c>
      <c r="E116" s="43" t="s">
        <v>3968</v>
      </c>
      <c r="F116" s="417" t="s">
        <v>4045</v>
      </c>
      <c r="G116" s="393" t="s">
        <v>3984</v>
      </c>
      <c r="H116" s="58">
        <v>0</v>
      </c>
      <c r="I116" s="43">
        <v>0</v>
      </c>
    </row>
    <row r="117" spans="3:9" ht="22.5" outlineLevel="1">
      <c r="C117" s="411">
        <v>38</v>
      </c>
      <c r="D117" s="1294" t="s">
        <v>4046</v>
      </c>
      <c r="E117" s="43" t="s">
        <v>3968</v>
      </c>
      <c r="F117" s="417" t="s">
        <v>4047</v>
      </c>
      <c r="G117" s="393" t="s">
        <v>4003</v>
      </c>
      <c r="H117" s="58">
        <v>0</v>
      </c>
      <c r="I117" s="43">
        <v>0</v>
      </c>
    </row>
    <row r="118" spans="3:9" ht="22.5" outlineLevel="1">
      <c r="C118" s="411">
        <v>39</v>
      </c>
      <c r="D118" s="415" t="s">
        <v>4048</v>
      </c>
      <c r="E118" s="58" t="s">
        <v>3972</v>
      </c>
      <c r="F118" s="418" t="s">
        <v>4049</v>
      </c>
      <c r="G118" s="393" t="s">
        <v>3976</v>
      </c>
      <c r="H118" s="58">
        <v>6691</v>
      </c>
      <c r="I118" s="58">
        <v>-1338</v>
      </c>
    </row>
    <row r="119" spans="3:9" ht="56.25" outlineLevel="1">
      <c r="C119" s="411">
        <v>40</v>
      </c>
      <c r="D119" s="1294" t="s">
        <v>4050</v>
      </c>
      <c r="E119" s="43" t="s">
        <v>3972</v>
      </c>
      <c r="F119" s="417" t="s">
        <v>4051</v>
      </c>
      <c r="G119" s="393" t="s">
        <v>3976</v>
      </c>
      <c r="H119" s="58">
        <v>4701</v>
      </c>
      <c r="I119" s="43">
        <v>-848</v>
      </c>
    </row>
    <row r="120" spans="3:9" ht="22.5" outlineLevel="1">
      <c r="C120" s="411">
        <v>41</v>
      </c>
      <c r="D120" s="1294" t="s">
        <v>4052</v>
      </c>
      <c r="E120" s="43" t="s">
        <v>3972</v>
      </c>
      <c r="F120" s="417" t="s">
        <v>4053</v>
      </c>
      <c r="G120" s="393" t="s">
        <v>3976</v>
      </c>
      <c r="H120" s="58">
        <v>1652</v>
      </c>
      <c r="I120" s="43">
        <v>-330</v>
      </c>
    </row>
    <row r="121" spans="3:9" ht="22.5" outlineLevel="1">
      <c r="C121" s="411">
        <v>42</v>
      </c>
      <c r="D121" s="1294" t="s">
        <v>4054</v>
      </c>
      <c r="E121" s="43" t="s">
        <v>3972</v>
      </c>
      <c r="F121" s="417" t="s">
        <v>4055</v>
      </c>
      <c r="G121" s="393" t="s">
        <v>3976</v>
      </c>
      <c r="H121" s="58">
        <v>5300</v>
      </c>
      <c r="I121" s="43">
        <v>-1060</v>
      </c>
    </row>
    <row r="122" spans="3:9" ht="22.5" outlineLevel="1">
      <c r="C122" s="411">
        <v>43</v>
      </c>
      <c r="D122" s="1294" t="s">
        <v>4056</v>
      </c>
      <c r="E122" s="43" t="s">
        <v>3972</v>
      </c>
      <c r="F122" s="417" t="s">
        <v>4057</v>
      </c>
      <c r="G122" s="393" t="s">
        <v>3976</v>
      </c>
      <c r="H122" s="58">
        <v>13611</v>
      </c>
      <c r="I122" s="43">
        <v>-4331</v>
      </c>
    </row>
    <row r="123" spans="3:9" ht="22.5" outlineLevel="1">
      <c r="C123" s="411">
        <v>44</v>
      </c>
      <c r="D123" s="1294" t="s">
        <v>4058</v>
      </c>
      <c r="E123" s="43" t="s">
        <v>3972</v>
      </c>
      <c r="F123" s="417" t="s">
        <v>4059</v>
      </c>
      <c r="G123" s="393" t="s">
        <v>3976</v>
      </c>
      <c r="H123" s="58">
        <v>4941</v>
      </c>
      <c r="I123" s="43">
        <v>-988</v>
      </c>
    </row>
    <row r="124" spans="3:9" ht="45" outlineLevel="1">
      <c r="C124" s="411">
        <v>45</v>
      </c>
      <c r="D124" s="1294" t="s">
        <v>4060</v>
      </c>
      <c r="E124" s="43" t="s">
        <v>3972</v>
      </c>
      <c r="F124" s="417" t="s">
        <v>4061</v>
      </c>
      <c r="G124" s="393" t="s">
        <v>3970</v>
      </c>
      <c r="H124" s="58">
        <v>3559</v>
      </c>
      <c r="I124" s="43">
        <v>-712</v>
      </c>
    </row>
    <row r="125" spans="3:9" ht="33.75" outlineLevel="1">
      <c r="C125" s="411">
        <v>46</v>
      </c>
      <c r="D125" s="1294" t="s">
        <v>4062</v>
      </c>
      <c r="E125" s="43" t="s">
        <v>3986</v>
      </c>
      <c r="F125" s="417" t="s">
        <v>4063</v>
      </c>
      <c r="G125" s="393" t="s">
        <v>3984</v>
      </c>
      <c r="H125" s="58">
        <v>0</v>
      </c>
      <c r="I125" s="43">
        <v>0</v>
      </c>
    </row>
    <row r="126" spans="3:9" ht="33.75" outlineLevel="1">
      <c r="C126" s="411">
        <v>47</v>
      </c>
      <c r="D126" s="1294" t="s">
        <v>4064</v>
      </c>
      <c r="E126" s="43" t="s">
        <v>3986</v>
      </c>
      <c r="F126" s="417" t="s">
        <v>4065</v>
      </c>
      <c r="G126" s="393" t="s">
        <v>3984</v>
      </c>
      <c r="H126" s="58">
        <v>0</v>
      </c>
      <c r="I126" s="43">
        <v>0</v>
      </c>
    </row>
    <row r="127" spans="3:9" ht="22.5" outlineLevel="1">
      <c r="C127" s="411">
        <v>48</v>
      </c>
      <c r="D127" s="1294" t="s">
        <v>4066</v>
      </c>
      <c r="E127" s="43" t="s">
        <v>3986</v>
      </c>
      <c r="F127" s="417" t="s">
        <v>4067</v>
      </c>
      <c r="G127" s="393" t="s">
        <v>4003</v>
      </c>
      <c r="H127" s="58">
        <v>2375</v>
      </c>
      <c r="I127" s="43">
        <v>0</v>
      </c>
    </row>
    <row r="128" spans="3:9" ht="22.5" outlineLevel="1">
      <c r="C128" s="411">
        <v>49</v>
      </c>
      <c r="D128" s="1294" t="s">
        <v>4068</v>
      </c>
      <c r="E128" s="43" t="s">
        <v>3986</v>
      </c>
      <c r="F128" s="417" t="s">
        <v>4069</v>
      </c>
      <c r="G128" s="393" t="s">
        <v>4003</v>
      </c>
      <c r="H128" s="58">
        <v>0</v>
      </c>
      <c r="I128" s="43">
        <v>0</v>
      </c>
    </row>
    <row r="129" spans="3:9" ht="22.5" outlineLevel="1">
      <c r="C129" s="411">
        <v>50</v>
      </c>
      <c r="D129" s="1294" t="s">
        <v>4070</v>
      </c>
      <c r="E129" s="43" t="s">
        <v>3986</v>
      </c>
      <c r="F129" s="417" t="s">
        <v>4071</v>
      </c>
      <c r="G129" s="393" t="s">
        <v>3984</v>
      </c>
      <c r="H129" s="58">
        <v>0</v>
      </c>
      <c r="I129" s="43">
        <v>0</v>
      </c>
    </row>
    <row r="130" spans="3:9" ht="22.5" outlineLevel="1">
      <c r="C130" s="411">
        <v>51</v>
      </c>
      <c r="D130" s="1294" t="s">
        <v>4072</v>
      </c>
      <c r="E130" s="43" t="s">
        <v>3986</v>
      </c>
      <c r="F130" s="417" t="s">
        <v>4073</v>
      </c>
      <c r="G130" s="393" t="s">
        <v>3984</v>
      </c>
      <c r="H130" s="58">
        <v>0</v>
      </c>
      <c r="I130" s="43">
        <v>0</v>
      </c>
    </row>
    <row r="131" spans="3:9" ht="33.75" outlineLevel="1">
      <c r="C131" s="411">
        <v>52</v>
      </c>
      <c r="D131" s="1294" t="s">
        <v>4074</v>
      </c>
      <c r="E131" s="43" t="s">
        <v>3986</v>
      </c>
      <c r="F131" s="417" t="s">
        <v>4075</v>
      </c>
      <c r="G131" s="393" t="s">
        <v>4003</v>
      </c>
      <c r="H131" s="58">
        <v>0</v>
      </c>
      <c r="I131" s="43">
        <v>0</v>
      </c>
    </row>
    <row r="132" spans="3:9" ht="33.75" outlineLevel="1">
      <c r="C132" s="411">
        <v>53</v>
      </c>
      <c r="D132" s="1294" t="s">
        <v>4076</v>
      </c>
      <c r="E132" s="43" t="s">
        <v>3986</v>
      </c>
      <c r="F132" s="417" t="s">
        <v>4077</v>
      </c>
      <c r="G132" s="393" t="s">
        <v>3984</v>
      </c>
      <c r="H132" s="58">
        <v>0</v>
      </c>
      <c r="I132" s="43">
        <v>0</v>
      </c>
    </row>
    <row r="133" spans="3:9" ht="22.5" outlineLevel="1">
      <c r="C133" s="411">
        <v>54</v>
      </c>
      <c r="D133" s="1294" t="s">
        <v>4078</v>
      </c>
      <c r="E133" s="43" t="s">
        <v>3986</v>
      </c>
      <c r="F133" s="417" t="s">
        <v>4079</v>
      </c>
      <c r="G133" s="393" t="s">
        <v>3984</v>
      </c>
      <c r="H133" s="58">
        <v>0</v>
      </c>
      <c r="I133" s="43">
        <v>0</v>
      </c>
    </row>
    <row r="134" spans="3:9" ht="33.75" outlineLevel="1">
      <c r="C134" s="411">
        <v>55</v>
      </c>
      <c r="D134" s="1294" t="s">
        <v>4080</v>
      </c>
      <c r="E134" s="43" t="s">
        <v>3986</v>
      </c>
      <c r="F134" s="417" t="s">
        <v>4081</v>
      </c>
      <c r="G134" s="393" t="s">
        <v>3984</v>
      </c>
      <c r="H134" s="58">
        <v>69823</v>
      </c>
      <c r="I134" s="43">
        <v>0</v>
      </c>
    </row>
    <row r="135" spans="3:9" ht="33.75" outlineLevel="1">
      <c r="C135" s="411">
        <v>56</v>
      </c>
      <c r="D135" s="1294" t="s">
        <v>4082</v>
      </c>
      <c r="E135" s="43" t="s">
        <v>3986</v>
      </c>
      <c r="F135" s="417" t="s">
        <v>4083</v>
      </c>
      <c r="G135" s="393" t="s">
        <v>3984</v>
      </c>
      <c r="H135" s="58">
        <v>68440</v>
      </c>
      <c r="I135" s="43">
        <v>0</v>
      </c>
    </row>
    <row r="136" spans="3:9" ht="33.75" outlineLevel="1">
      <c r="C136" s="411">
        <v>57</v>
      </c>
      <c r="D136" s="1294" t="s">
        <v>4084</v>
      </c>
      <c r="E136" s="43" t="s">
        <v>3986</v>
      </c>
      <c r="F136" s="417" t="s">
        <v>4085</v>
      </c>
      <c r="G136" s="393" t="s">
        <v>3984</v>
      </c>
      <c r="H136" s="58">
        <v>0</v>
      </c>
      <c r="I136" s="43">
        <v>0</v>
      </c>
    </row>
    <row r="137" spans="3:9" ht="33.75" outlineLevel="1">
      <c r="C137" s="411">
        <v>58</v>
      </c>
      <c r="D137" s="1294" t="s">
        <v>4086</v>
      </c>
      <c r="E137" s="43" t="s">
        <v>3986</v>
      </c>
      <c r="F137" s="417" t="s">
        <v>4087</v>
      </c>
      <c r="G137" s="393" t="s">
        <v>3984</v>
      </c>
      <c r="H137" s="58">
        <v>0</v>
      </c>
      <c r="I137" s="43">
        <v>0</v>
      </c>
    </row>
    <row r="138" spans="3:9" ht="33.75" outlineLevel="1">
      <c r="C138" s="411">
        <v>59</v>
      </c>
      <c r="D138" s="1294" t="s">
        <v>4088</v>
      </c>
      <c r="E138" s="43" t="s">
        <v>3986</v>
      </c>
      <c r="F138" s="417" t="s">
        <v>4089</v>
      </c>
      <c r="G138" s="393" t="s">
        <v>3984</v>
      </c>
      <c r="H138" s="58">
        <v>0</v>
      </c>
      <c r="I138" s="43">
        <v>0</v>
      </c>
    </row>
    <row r="139" spans="3:9" ht="33.75" outlineLevel="1">
      <c r="C139" s="411">
        <v>60</v>
      </c>
      <c r="D139" s="1294" t="s">
        <v>4090</v>
      </c>
      <c r="E139" s="43" t="s">
        <v>3986</v>
      </c>
      <c r="F139" s="417" t="s">
        <v>4091</v>
      </c>
      <c r="G139" s="393" t="s">
        <v>3984</v>
      </c>
      <c r="H139" s="58">
        <v>0</v>
      </c>
      <c r="I139" s="43">
        <v>0</v>
      </c>
    </row>
    <row r="140" spans="3:9" ht="33.75" outlineLevel="1">
      <c r="C140" s="411">
        <v>61</v>
      </c>
      <c r="D140" s="1294" t="s">
        <v>4092</v>
      </c>
      <c r="E140" s="43" t="s">
        <v>3986</v>
      </c>
      <c r="F140" s="417" t="s">
        <v>4093</v>
      </c>
      <c r="G140" s="393" t="s">
        <v>3984</v>
      </c>
      <c r="H140" s="58">
        <v>0</v>
      </c>
      <c r="I140" s="43">
        <v>0</v>
      </c>
    </row>
    <row r="141" spans="3:9" ht="22.5" outlineLevel="1">
      <c r="C141" s="411">
        <v>62</v>
      </c>
      <c r="D141" s="1294" t="s">
        <v>4094</v>
      </c>
      <c r="E141" s="43" t="s">
        <v>3986</v>
      </c>
      <c r="F141" s="417" t="s">
        <v>4095</v>
      </c>
      <c r="G141" s="393" t="s">
        <v>4003</v>
      </c>
      <c r="H141" s="58">
        <v>0</v>
      </c>
      <c r="I141" s="43">
        <v>0</v>
      </c>
    </row>
    <row r="142" spans="3:9" ht="33.75" outlineLevel="1">
      <c r="C142" s="411">
        <v>63</v>
      </c>
      <c r="D142" s="1294" t="s">
        <v>4096</v>
      </c>
      <c r="E142" s="43" t="s">
        <v>3986</v>
      </c>
      <c r="F142" s="417" t="s">
        <v>4097</v>
      </c>
      <c r="G142" s="393" t="s">
        <v>3984</v>
      </c>
      <c r="H142" s="58">
        <v>0</v>
      </c>
      <c r="I142" s="43">
        <v>0</v>
      </c>
    </row>
    <row r="143" spans="3:9" ht="33.75" outlineLevel="1">
      <c r="C143" s="411">
        <v>64</v>
      </c>
      <c r="D143" s="1294" t="s">
        <v>4098</v>
      </c>
      <c r="E143" s="43" t="s">
        <v>3986</v>
      </c>
      <c r="F143" s="417" t="s">
        <v>4099</v>
      </c>
      <c r="G143" s="393" t="s">
        <v>3984</v>
      </c>
      <c r="H143" s="58">
        <v>0</v>
      </c>
      <c r="I143" s="43">
        <v>0</v>
      </c>
    </row>
    <row r="144" spans="3:9" ht="22.5" outlineLevel="1">
      <c r="C144" s="411">
        <v>65</v>
      </c>
      <c r="D144" s="1294" t="s">
        <v>4100</v>
      </c>
      <c r="E144" s="43" t="s">
        <v>3986</v>
      </c>
      <c r="F144" s="417" t="s">
        <v>4101</v>
      </c>
      <c r="G144" s="393" t="s">
        <v>4003</v>
      </c>
      <c r="H144" s="58">
        <v>0</v>
      </c>
      <c r="I144" s="43">
        <v>0</v>
      </c>
    </row>
    <row r="145" spans="3:9" ht="33.75" outlineLevel="1">
      <c r="C145" s="411">
        <v>66</v>
      </c>
      <c r="D145" s="1294" t="s">
        <v>4102</v>
      </c>
      <c r="E145" s="43" t="s">
        <v>3986</v>
      </c>
      <c r="F145" s="417" t="s">
        <v>4103</v>
      </c>
      <c r="G145" s="393" t="s">
        <v>3984</v>
      </c>
      <c r="H145" s="58">
        <v>0</v>
      </c>
      <c r="I145" s="43">
        <v>0</v>
      </c>
    </row>
    <row r="146" spans="3:9" ht="33.75" outlineLevel="1">
      <c r="C146" s="411">
        <v>67</v>
      </c>
      <c r="D146" s="1294" t="s">
        <v>4104</v>
      </c>
      <c r="E146" s="43" t="s">
        <v>3986</v>
      </c>
      <c r="F146" s="417" t="s">
        <v>4105</v>
      </c>
      <c r="G146" s="393" t="s">
        <v>3984</v>
      </c>
      <c r="H146" s="58">
        <v>0</v>
      </c>
      <c r="I146" s="43">
        <v>0</v>
      </c>
    </row>
    <row r="147" spans="3:9" ht="22.5" outlineLevel="1">
      <c r="C147" s="411">
        <v>68</v>
      </c>
      <c r="D147" s="1294" t="s">
        <v>4106</v>
      </c>
      <c r="E147" s="43" t="s">
        <v>3986</v>
      </c>
      <c r="F147" s="417" t="s">
        <v>4107</v>
      </c>
      <c r="G147" s="393" t="s">
        <v>3984</v>
      </c>
      <c r="H147" s="58">
        <v>5587</v>
      </c>
      <c r="I147" s="43">
        <v>0</v>
      </c>
    </row>
    <row r="148" spans="3:9" ht="33.75" outlineLevel="1">
      <c r="C148" s="411">
        <v>69</v>
      </c>
      <c r="D148" s="1294" t="s">
        <v>4108</v>
      </c>
      <c r="E148" s="43" t="s">
        <v>3986</v>
      </c>
      <c r="F148" s="417" t="s">
        <v>4109</v>
      </c>
      <c r="G148" s="393" t="s">
        <v>3984</v>
      </c>
      <c r="H148" s="58">
        <v>20429</v>
      </c>
      <c r="I148" s="43">
        <v>0</v>
      </c>
    </row>
    <row r="149" spans="3:9" ht="33.75" outlineLevel="1">
      <c r="C149" s="411">
        <v>70</v>
      </c>
      <c r="D149" s="1294" t="s">
        <v>4110</v>
      </c>
      <c r="E149" s="43" t="s">
        <v>3986</v>
      </c>
      <c r="F149" s="417" t="s">
        <v>4111</v>
      </c>
      <c r="G149" s="393" t="s">
        <v>3984</v>
      </c>
      <c r="H149" s="58">
        <v>0</v>
      </c>
      <c r="I149" s="43">
        <v>0</v>
      </c>
    </row>
    <row r="150" spans="3:9" ht="33.75" outlineLevel="1">
      <c r="C150" s="411">
        <v>71</v>
      </c>
      <c r="D150" s="1294" t="s">
        <v>4112</v>
      </c>
      <c r="E150" s="43" t="s">
        <v>3986</v>
      </c>
      <c r="F150" s="417" t="s">
        <v>4113</v>
      </c>
      <c r="G150" s="393" t="s">
        <v>3984</v>
      </c>
      <c r="H150" s="58">
        <v>0</v>
      </c>
      <c r="I150" s="43">
        <v>0</v>
      </c>
    </row>
    <row r="151" spans="3:9" ht="33.75" outlineLevel="1">
      <c r="C151" s="411">
        <v>72</v>
      </c>
      <c r="D151" s="1294" t="s">
        <v>4114</v>
      </c>
      <c r="E151" s="43" t="s">
        <v>3986</v>
      </c>
      <c r="F151" s="417" t="s">
        <v>4115</v>
      </c>
      <c r="G151" s="393" t="s">
        <v>3984</v>
      </c>
      <c r="H151" s="58">
        <v>81397</v>
      </c>
      <c r="I151" s="43">
        <v>-26536</v>
      </c>
    </row>
    <row r="152" spans="3:9" ht="33.75" outlineLevel="1">
      <c r="C152" s="411">
        <v>73</v>
      </c>
      <c r="D152" s="1294" t="s">
        <v>4116</v>
      </c>
      <c r="E152" s="43" t="s">
        <v>3986</v>
      </c>
      <c r="F152" s="417" t="s">
        <v>4117</v>
      </c>
      <c r="G152" s="393" t="s">
        <v>3984</v>
      </c>
      <c r="H152" s="58">
        <v>0</v>
      </c>
      <c r="I152" s="43">
        <v>0</v>
      </c>
    </row>
    <row r="153" spans="3:9" ht="45" outlineLevel="1">
      <c r="C153" s="411">
        <v>74</v>
      </c>
      <c r="D153" s="1294" t="s">
        <v>4118</v>
      </c>
      <c r="E153" s="43" t="s">
        <v>3986</v>
      </c>
      <c r="F153" s="417" t="s">
        <v>4119</v>
      </c>
      <c r="G153" s="393" t="s">
        <v>3984</v>
      </c>
      <c r="H153" s="58">
        <v>0</v>
      </c>
      <c r="I153" s="43">
        <v>0</v>
      </c>
    </row>
    <row r="154" spans="3:9" ht="15.75" outlineLevel="1" thickBot="1">
      <c r="C154" s="411">
        <v>75</v>
      </c>
      <c r="D154" s="341" t="s">
        <v>4120</v>
      </c>
      <c r="E154" s="43" t="s">
        <v>3986</v>
      </c>
      <c r="F154" s="417" t="s">
        <v>4121</v>
      </c>
      <c r="G154" s="393" t="s">
        <v>3984</v>
      </c>
      <c r="H154" s="58"/>
      <c r="I154" s="43">
        <v>-449099</v>
      </c>
    </row>
    <row r="155" spans="3:9" hidden="1" outlineLevel="1">
      <c r="C155" s="411">
        <v>76</v>
      </c>
      <c r="D155" s="341"/>
      <c r="E155" s="43"/>
      <c r="F155" s="417"/>
      <c r="G155" s="393"/>
      <c r="H155" s="58"/>
      <c r="I155" s="43"/>
    </row>
    <row r="156" spans="3:9" hidden="1" outlineLevel="1">
      <c r="C156" s="411">
        <v>77</v>
      </c>
      <c r="D156" s="341"/>
      <c r="E156" s="43"/>
      <c r="F156" s="417"/>
      <c r="G156" s="393"/>
      <c r="H156" s="58"/>
      <c r="I156" s="43"/>
    </row>
    <row r="157" spans="3:9" hidden="1" outlineLevel="1">
      <c r="C157" s="411">
        <v>78</v>
      </c>
      <c r="D157" s="341"/>
      <c r="E157" s="43"/>
      <c r="F157" s="417"/>
      <c r="G157" s="393"/>
      <c r="H157" s="58"/>
      <c r="I157" s="43"/>
    </row>
    <row r="158" spans="3:9" hidden="1" outlineLevel="1">
      <c r="C158" s="411">
        <v>79</v>
      </c>
      <c r="D158" s="341"/>
      <c r="E158" s="43"/>
      <c r="F158" s="417"/>
      <c r="G158" s="393"/>
      <c r="H158" s="58"/>
      <c r="I158" s="43"/>
    </row>
    <row r="159" spans="3:9" hidden="1" outlineLevel="1">
      <c r="C159" s="411">
        <v>80</v>
      </c>
      <c r="D159" s="341"/>
      <c r="E159" s="43"/>
      <c r="F159" s="417"/>
      <c r="G159" s="393"/>
      <c r="H159" s="58"/>
      <c r="I159" s="43"/>
    </row>
    <row r="160" spans="3:9" hidden="1" outlineLevel="1">
      <c r="C160" s="411">
        <v>81</v>
      </c>
      <c r="D160" s="341"/>
      <c r="E160" s="43"/>
      <c r="F160" s="417"/>
      <c r="G160" s="393"/>
      <c r="H160" s="58"/>
      <c r="I160" s="43"/>
    </row>
    <row r="161" spans="3:9" hidden="1" outlineLevel="1">
      <c r="C161" s="411">
        <v>82</v>
      </c>
      <c r="D161" s="341"/>
      <c r="E161" s="43"/>
      <c r="F161" s="417"/>
      <c r="G161" s="393"/>
      <c r="H161" s="58"/>
      <c r="I161" s="43"/>
    </row>
    <row r="162" spans="3:9" hidden="1" outlineLevel="1">
      <c r="C162" s="411">
        <v>83</v>
      </c>
      <c r="D162" s="341"/>
      <c r="E162" s="43"/>
      <c r="F162" s="417"/>
      <c r="G162" s="393"/>
      <c r="H162" s="58"/>
      <c r="I162" s="43"/>
    </row>
    <row r="163" spans="3:9" hidden="1" outlineLevel="1">
      <c r="C163" s="411">
        <v>84</v>
      </c>
      <c r="D163" s="341"/>
      <c r="E163" s="43"/>
      <c r="F163" s="417"/>
      <c r="G163" s="393"/>
      <c r="H163" s="58"/>
      <c r="I163" s="43"/>
    </row>
    <row r="164" spans="3:9" hidden="1" outlineLevel="1">
      <c r="C164" s="411">
        <v>85</v>
      </c>
      <c r="D164" s="341"/>
      <c r="E164" s="43"/>
      <c r="F164" s="417"/>
      <c r="G164" s="393"/>
      <c r="H164" s="58"/>
      <c r="I164" s="43"/>
    </row>
    <row r="165" spans="3:9" hidden="1" outlineLevel="1">
      <c r="C165" s="411">
        <v>86</v>
      </c>
      <c r="D165" s="341"/>
      <c r="E165" s="43"/>
      <c r="F165" s="417"/>
      <c r="G165" s="393"/>
      <c r="H165" s="58"/>
      <c r="I165" s="43"/>
    </row>
    <row r="166" spans="3:9" hidden="1" outlineLevel="1">
      <c r="C166" s="411">
        <v>87</v>
      </c>
      <c r="D166" s="341"/>
      <c r="E166" s="43"/>
      <c r="F166" s="417"/>
      <c r="G166" s="393"/>
      <c r="H166" s="58"/>
      <c r="I166" s="43"/>
    </row>
    <row r="167" spans="3:9" hidden="1" outlineLevel="1">
      <c r="C167" s="411">
        <v>88</v>
      </c>
      <c r="D167" s="341"/>
      <c r="E167" s="43"/>
      <c r="F167" s="417"/>
      <c r="G167" s="393"/>
      <c r="H167" s="58"/>
      <c r="I167" s="43"/>
    </row>
    <row r="168" spans="3:9" hidden="1" outlineLevel="1">
      <c r="C168" s="411">
        <v>89</v>
      </c>
      <c r="D168" s="341"/>
      <c r="E168" s="43"/>
      <c r="F168" s="417"/>
      <c r="G168" s="393"/>
      <c r="H168" s="58"/>
      <c r="I168" s="43"/>
    </row>
    <row r="169" spans="3:9" hidden="1" outlineLevel="1">
      <c r="C169" s="411">
        <v>90</v>
      </c>
      <c r="D169" s="341"/>
      <c r="E169" s="43"/>
      <c r="F169" s="417"/>
      <c r="G169" s="393"/>
      <c r="H169" s="58"/>
      <c r="I169" s="43"/>
    </row>
    <row r="170" spans="3:9" hidden="1" outlineLevel="1">
      <c r="C170" s="411">
        <v>91</v>
      </c>
      <c r="D170" s="341"/>
      <c r="E170" s="43"/>
      <c r="F170" s="417"/>
      <c r="G170" s="393"/>
      <c r="H170" s="58"/>
      <c r="I170" s="43"/>
    </row>
    <row r="171" spans="3:9" hidden="1" outlineLevel="1">
      <c r="C171" s="411">
        <v>92</v>
      </c>
      <c r="D171" s="341"/>
      <c r="E171" s="43"/>
      <c r="F171" s="417"/>
      <c r="G171" s="393"/>
      <c r="H171" s="58"/>
      <c r="I171" s="43"/>
    </row>
    <row r="172" spans="3:9" hidden="1" outlineLevel="1">
      <c r="C172" s="411">
        <v>93</v>
      </c>
      <c r="D172" s="341"/>
      <c r="E172" s="43"/>
      <c r="F172" s="417"/>
      <c r="G172" s="393"/>
      <c r="H172" s="58"/>
      <c r="I172" s="43"/>
    </row>
    <row r="173" spans="3:9" hidden="1" outlineLevel="1">
      <c r="C173" s="411">
        <v>94</v>
      </c>
      <c r="D173" s="341"/>
      <c r="E173" s="43"/>
      <c r="F173" s="417"/>
      <c r="G173" s="393"/>
      <c r="H173" s="58"/>
      <c r="I173" s="43"/>
    </row>
    <row r="174" spans="3:9" hidden="1" outlineLevel="1">
      <c r="C174" s="411">
        <v>95</v>
      </c>
      <c r="D174" s="341"/>
      <c r="E174" s="43"/>
      <c r="F174" s="417"/>
      <c r="G174" s="393"/>
      <c r="H174" s="58"/>
      <c r="I174" s="43"/>
    </row>
    <row r="175" spans="3:9" hidden="1" outlineLevel="1">
      <c r="C175" s="411">
        <v>96</v>
      </c>
      <c r="D175" s="341"/>
      <c r="E175" s="43"/>
      <c r="F175" s="417"/>
      <c r="G175" s="393"/>
      <c r="H175" s="58"/>
      <c r="I175" s="43"/>
    </row>
    <row r="176" spans="3:9" hidden="1" outlineLevel="1">
      <c r="C176" s="411">
        <v>97</v>
      </c>
      <c r="D176" s="341"/>
      <c r="E176" s="43"/>
      <c r="F176" s="417"/>
      <c r="G176" s="393"/>
      <c r="H176" s="58"/>
      <c r="I176" s="43"/>
    </row>
    <row r="177" spans="3:10" hidden="1" outlineLevel="1">
      <c r="C177" s="411">
        <v>98</v>
      </c>
      <c r="D177" s="341"/>
      <c r="E177" s="43"/>
      <c r="F177" s="417"/>
      <c r="G177" s="393"/>
      <c r="H177" s="58"/>
      <c r="I177" s="43"/>
    </row>
    <row r="178" spans="3:10" hidden="1" outlineLevel="1">
      <c r="C178" s="411">
        <v>99</v>
      </c>
      <c r="D178" s="341"/>
      <c r="E178" s="43"/>
      <c r="F178" s="417"/>
      <c r="G178" s="393"/>
      <c r="H178" s="58"/>
      <c r="I178" s="43"/>
    </row>
    <row r="179" spans="3:10" ht="15.75" hidden="1" outlineLevel="1" thickBot="1">
      <c r="C179" s="411">
        <v>100</v>
      </c>
      <c r="D179" s="341"/>
      <c r="E179" s="43"/>
      <c r="F179" s="417"/>
      <c r="G179" s="393"/>
      <c r="H179" s="58"/>
      <c r="I179" s="43"/>
    </row>
    <row r="180" spans="3:10" ht="15.75" thickBot="1">
      <c r="C180" s="411"/>
      <c r="D180" s="342" t="s">
        <v>1602</v>
      </c>
      <c r="E180" s="56"/>
      <c r="F180" s="56"/>
      <c r="G180" s="56"/>
      <c r="H180" s="56">
        <f>SUM(H80:H179)</f>
        <v>487802</v>
      </c>
      <c r="I180" s="56">
        <f>SUM(I80:I179)</f>
        <v>-495498</v>
      </c>
      <c r="J180" s="192"/>
    </row>
    <row r="181" spans="3:10">
      <c r="C181" s="411"/>
      <c r="I181" s="192"/>
    </row>
    <row r="182" spans="3:10">
      <c r="C182" s="411"/>
    </row>
    <row r="183" spans="3:10">
      <c r="C183" s="701" t="s">
        <v>1603</v>
      </c>
    </row>
    <row r="184" spans="3:10" ht="15.75" thickBot="1">
      <c r="C184" s="411"/>
    </row>
    <row r="185" spans="3:10" ht="15.75" thickBot="1">
      <c r="D185" s="342" t="s">
        <v>444</v>
      </c>
      <c r="E185" s="405"/>
      <c r="F185" s="373"/>
      <c r="G185" s="374"/>
    </row>
    <row r="186" spans="3:10" outlineLevel="1">
      <c r="D186" s="336" t="s">
        <v>1604</v>
      </c>
      <c r="E186" s="403">
        <v>14727235</v>
      </c>
      <c r="F186" s="373"/>
      <c r="G186" s="374"/>
    </row>
    <row r="187" spans="3:10" outlineLevel="1">
      <c r="D187" s="336" t="s">
        <v>1570</v>
      </c>
      <c r="E187" s="306"/>
      <c r="F187" s="373"/>
      <c r="G187" s="374"/>
    </row>
    <row r="188" spans="3:10" outlineLevel="1">
      <c r="D188" s="229" t="s">
        <v>1571</v>
      </c>
      <c r="E188" s="330">
        <v>-256</v>
      </c>
      <c r="F188" s="373"/>
      <c r="G188" s="374"/>
    </row>
    <row r="189" spans="3:10" outlineLevel="1">
      <c r="D189" s="229" t="s">
        <v>1572</v>
      </c>
      <c r="E189" s="330">
        <v>128429</v>
      </c>
      <c r="F189" s="373"/>
      <c r="G189" s="374"/>
    </row>
    <row r="190" spans="3:10" outlineLevel="1">
      <c r="D190" s="229" t="s">
        <v>1605</v>
      </c>
      <c r="E190" s="330">
        <v>0</v>
      </c>
      <c r="F190" s="373"/>
      <c r="G190" s="374"/>
    </row>
    <row r="191" spans="3:10" ht="15.75" outlineLevel="1" thickBot="1">
      <c r="D191" s="229" t="s">
        <v>604</v>
      </c>
      <c r="E191" s="330">
        <v>-92288</v>
      </c>
      <c r="F191" s="373"/>
      <c r="G191" s="374"/>
    </row>
    <row r="192" spans="3:10" ht="15.75" thickBot="1">
      <c r="D192" s="230" t="s">
        <v>1606</v>
      </c>
      <c r="E192" s="199">
        <f>SUM(E186:E191)</f>
        <v>14763120</v>
      </c>
      <c r="F192" s="373"/>
      <c r="G192" s="374"/>
    </row>
    <row r="195" spans="3:12">
      <c r="C195" s="701" t="s">
        <v>1607</v>
      </c>
    </row>
    <row r="196" spans="3:12" ht="15.75" thickBot="1"/>
    <row r="197" spans="3:12" ht="15" customHeight="1">
      <c r="D197" s="1671"/>
      <c r="E197" s="1569" t="s">
        <v>1562</v>
      </c>
      <c r="F197" s="1569" t="s">
        <v>1608</v>
      </c>
      <c r="G197" s="1686" t="s">
        <v>1609</v>
      </c>
      <c r="H197" s="1686" t="s">
        <v>1610</v>
      </c>
      <c r="I197" s="1686" t="s">
        <v>604</v>
      </c>
      <c r="J197" s="1686" t="s">
        <v>1611</v>
      </c>
      <c r="K197" s="1686" t="s">
        <v>1612</v>
      </c>
    </row>
    <row r="198" spans="3:12" ht="54.95" customHeight="1" thickBot="1">
      <c r="D198" s="1675"/>
      <c r="E198" s="1570"/>
      <c r="F198" s="1570"/>
      <c r="G198" s="1687"/>
      <c r="H198" s="1687"/>
      <c r="I198" s="1687"/>
      <c r="J198" s="1687"/>
      <c r="K198" s="1687"/>
    </row>
    <row r="199" spans="3:12" outlineLevel="1">
      <c r="D199" s="338" t="s">
        <v>446</v>
      </c>
      <c r="E199" s="54">
        <v>3463242</v>
      </c>
      <c r="F199" s="43">
        <v>496172</v>
      </c>
      <c r="G199" s="204">
        <v>29273</v>
      </c>
      <c r="H199" s="204">
        <v>21568</v>
      </c>
      <c r="I199" s="204">
        <v>-240721</v>
      </c>
      <c r="J199" s="62">
        <f>F199-G199+H199+I199</f>
        <v>247746</v>
      </c>
      <c r="K199" s="62">
        <f>E199+J199</f>
        <v>3710988</v>
      </c>
    </row>
    <row r="200" spans="3:12" outlineLevel="1">
      <c r="D200" s="352" t="s">
        <v>447</v>
      </c>
      <c r="E200" s="353"/>
      <c r="F200" s="353"/>
      <c r="G200" s="204"/>
      <c r="H200" s="204"/>
      <c r="I200" s="204"/>
      <c r="J200" s="62">
        <f t="shared" ref="J200:J204" si="0">F200-G200+H200+I200</f>
        <v>0</v>
      </c>
      <c r="K200" s="62">
        <f t="shared" ref="K200:K204" si="1">E200+J200</f>
        <v>0</v>
      </c>
    </row>
    <row r="201" spans="3:12" outlineLevel="1">
      <c r="D201" s="339" t="s">
        <v>448</v>
      </c>
      <c r="E201" s="61">
        <f>E202+E203</f>
        <v>4090555</v>
      </c>
      <c r="F201" s="61">
        <f t="shared" ref="F201:J201" si="2">F202+F203</f>
        <v>1590466</v>
      </c>
      <c r="G201" s="61">
        <f t="shared" si="2"/>
        <v>0</v>
      </c>
      <c r="H201" s="61">
        <f t="shared" si="2"/>
        <v>9988</v>
      </c>
      <c r="I201" s="61">
        <f t="shared" si="2"/>
        <v>-109939</v>
      </c>
      <c r="J201" s="61">
        <f t="shared" si="2"/>
        <v>1490515</v>
      </c>
      <c r="K201" s="62">
        <f t="shared" si="1"/>
        <v>5581070</v>
      </c>
    </row>
    <row r="202" spans="3:12" outlineLevel="1">
      <c r="D202" s="338" t="s">
        <v>1614</v>
      </c>
      <c r="E202" s="54">
        <v>4090555</v>
      </c>
      <c r="F202" s="43">
        <v>1590466</v>
      </c>
      <c r="G202" s="204"/>
      <c r="H202" s="204">
        <v>9988</v>
      </c>
      <c r="I202" s="204">
        <v>-109939</v>
      </c>
      <c r="J202" s="62">
        <f t="shared" si="0"/>
        <v>1490515</v>
      </c>
      <c r="K202" s="62">
        <f t="shared" si="1"/>
        <v>5581070</v>
      </c>
    </row>
    <row r="203" spans="3:12" outlineLevel="1">
      <c r="D203" s="338" t="s">
        <v>1615</v>
      </c>
      <c r="E203" s="54"/>
      <c r="F203" s="43"/>
      <c r="G203" s="204"/>
      <c r="H203" s="204"/>
      <c r="I203" s="204"/>
      <c r="J203" s="62">
        <f t="shared" si="0"/>
        <v>0</v>
      </c>
      <c r="K203" s="62">
        <f t="shared" si="1"/>
        <v>0</v>
      </c>
    </row>
    <row r="204" spans="3:12" ht="15.75" outlineLevel="1" thickBot="1">
      <c r="D204" s="338" t="s">
        <v>451</v>
      </c>
      <c r="E204" s="54">
        <v>7903102</v>
      </c>
      <c r="F204" s="43">
        <v>1744883</v>
      </c>
      <c r="G204" s="204">
        <v>589242</v>
      </c>
      <c r="H204" s="204">
        <v>40432</v>
      </c>
      <c r="I204" s="204">
        <f>-504192-5883</f>
        <v>-510075</v>
      </c>
      <c r="J204" s="62">
        <f t="shared" si="0"/>
        <v>685998</v>
      </c>
      <c r="K204" s="62">
        <f t="shared" si="1"/>
        <v>8589100</v>
      </c>
      <c r="L204" s="383"/>
    </row>
    <row r="205" spans="3:12" ht="15.75" thickBot="1">
      <c r="D205" s="342" t="s">
        <v>1613</v>
      </c>
      <c r="E205" s="56">
        <f>E199+E200+E201+E204</f>
        <v>15456899</v>
      </c>
      <c r="F205" s="56">
        <f t="shared" ref="F205:K205" si="3">F199+F200+F201+F204</f>
        <v>3831521</v>
      </c>
      <c r="G205" s="56">
        <f t="shared" si="3"/>
        <v>618515</v>
      </c>
      <c r="H205" s="56">
        <f t="shared" si="3"/>
        <v>71988</v>
      </c>
      <c r="I205" s="56">
        <f t="shared" si="3"/>
        <v>-860735</v>
      </c>
      <c r="J205" s="56">
        <f t="shared" si="3"/>
        <v>2424259</v>
      </c>
      <c r="K205" s="56">
        <f t="shared" si="3"/>
        <v>17881158</v>
      </c>
      <c r="L205" s="192"/>
    </row>
    <row r="208" spans="3:12">
      <c r="C208" s="701" t="s">
        <v>2621</v>
      </c>
    </row>
    <row r="209" spans="3:9" s="246" customFormat="1">
      <c r="E209" s="315"/>
      <c r="F209" s="315"/>
      <c r="G209" s="315"/>
      <c r="H209" s="315"/>
    </row>
    <row r="210" spans="3:9" s="246" customFormat="1">
      <c r="D210" s="703" t="s">
        <v>2622</v>
      </c>
      <c r="E210" s="315"/>
      <c r="F210" s="315"/>
      <c r="G210" s="315"/>
      <c r="H210" s="315"/>
    </row>
    <row r="211" spans="3:9" s="246" customFormat="1" ht="15.75" thickBot="1">
      <c r="E211" s="315"/>
      <c r="F211" s="315"/>
      <c r="G211" s="315"/>
      <c r="H211" s="315"/>
    </row>
    <row r="212" spans="3:9">
      <c r="D212" s="1648" t="s">
        <v>2623</v>
      </c>
    </row>
    <row r="213" spans="3:9" ht="15.75" thickBot="1">
      <c r="D213" s="1649"/>
    </row>
    <row r="214" spans="3:9">
      <c r="D214" s="702">
        <v>0</v>
      </c>
    </row>
    <row r="217" spans="3:9">
      <c r="C217" s="701" t="s">
        <v>2624</v>
      </c>
    </row>
    <row r="219" spans="3:9">
      <c r="D219" s="1696" t="s">
        <v>2625</v>
      </c>
      <c r="E219" s="1697"/>
      <c r="F219" s="1697"/>
      <c r="G219" s="1697"/>
      <c r="H219" s="1697"/>
      <c r="I219" s="1697"/>
    </row>
    <row r="220" spans="3:9">
      <c r="D220" s="1697"/>
      <c r="E220" s="1697"/>
      <c r="F220" s="1697"/>
      <c r="G220" s="1697"/>
      <c r="H220" s="1697"/>
      <c r="I220" s="1697"/>
    </row>
    <row r="221" spans="3:9">
      <c r="D221" s="1697"/>
      <c r="E221" s="1697"/>
      <c r="F221" s="1697"/>
      <c r="G221" s="1697"/>
      <c r="H221" s="1697"/>
      <c r="I221" s="1697"/>
    </row>
    <row r="224" spans="3:9">
      <c r="C224" s="701" t="s">
        <v>1616</v>
      </c>
    </row>
    <row r="226" spans="3:11">
      <c r="C226" s="701" t="s">
        <v>1617</v>
      </c>
    </row>
    <row r="227" spans="3:11" ht="15.75" thickBot="1"/>
    <row r="228" spans="3:11" ht="15" customHeight="1">
      <c r="D228" s="1671"/>
      <c r="E228" s="1569" t="s">
        <v>1618</v>
      </c>
      <c r="F228" s="1569" t="s">
        <v>1619</v>
      </c>
      <c r="G228" s="1686" t="s">
        <v>1620</v>
      </c>
      <c r="H228" s="1685"/>
      <c r="I228" s="1685"/>
      <c r="J228" s="1685"/>
      <c r="K228" s="1685"/>
    </row>
    <row r="229" spans="3:11" ht="54.95" customHeight="1" thickBot="1">
      <c r="D229" s="1675"/>
      <c r="E229" s="1570"/>
      <c r="F229" s="1570"/>
      <c r="G229" s="1687"/>
      <c r="H229" s="1685"/>
      <c r="I229" s="1685"/>
      <c r="J229" s="1685"/>
      <c r="K229" s="1685"/>
    </row>
    <row r="230" spans="3:11" outlineLevel="1">
      <c r="D230" s="337" t="s">
        <v>1621</v>
      </c>
      <c r="E230" s="64"/>
      <c r="F230" s="65"/>
      <c r="G230" s="421"/>
      <c r="H230" s="374"/>
      <c r="I230" s="374"/>
      <c r="J230" s="131"/>
      <c r="K230" s="131"/>
    </row>
    <row r="231" spans="3:11" outlineLevel="1">
      <c r="D231" s="229" t="s">
        <v>1622</v>
      </c>
      <c r="E231" s="353"/>
      <c r="F231" s="58"/>
      <c r="G231" s="204"/>
      <c r="H231" s="374"/>
      <c r="I231" s="374"/>
      <c r="J231" s="131"/>
      <c r="K231" s="131"/>
    </row>
    <row r="232" spans="3:11" outlineLevel="1">
      <c r="D232" s="229" t="s">
        <v>1623</v>
      </c>
      <c r="E232" s="353"/>
      <c r="F232" s="58"/>
      <c r="G232" s="204"/>
      <c r="H232" s="374"/>
      <c r="I232" s="374"/>
      <c r="J232" s="131"/>
      <c r="K232" s="131"/>
    </row>
    <row r="233" spans="3:11" outlineLevel="1">
      <c r="D233" s="229" t="s">
        <v>1624</v>
      </c>
      <c r="E233" s="61">
        <f>E232-E231</f>
        <v>0</v>
      </c>
      <c r="F233" s="60">
        <f>F232-F231</f>
        <v>0</v>
      </c>
      <c r="G233" s="62">
        <f>F233-E233</f>
        <v>0</v>
      </c>
      <c r="H233" s="374"/>
      <c r="I233" s="374"/>
      <c r="J233" s="131"/>
      <c r="K233" s="131"/>
    </row>
    <row r="234" spans="3:11" outlineLevel="1">
      <c r="D234" s="337" t="s">
        <v>1625</v>
      </c>
      <c r="E234" s="353"/>
      <c r="F234" s="58"/>
      <c r="G234" s="204"/>
      <c r="H234" s="374"/>
      <c r="I234" s="374"/>
      <c r="J234" s="131"/>
      <c r="K234" s="131"/>
    </row>
    <row r="235" spans="3:11" outlineLevel="1">
      <c r="D235" s="229" t="s">
        <v>1622</v>
      </c>
      <c r="E235" s="353">
        <v>1431447761</v>
      </c>
      <c r="F235" s="58">
        <v>1444201534</v>
      </c>
      <c r="G235" s="204">
        <v>12753773</v>
      </c>
      <c r="H235" s="374"/>
      <c r="I235" s="374"/>
      <c r="J235" s="131"/>
      <c r="K235" s="131"/>
    </row>
    <row r="236" spans="3:11" outlineLevel="1">
      <c r="D236" s="229" t="s">
        <v>1623</v>
      </c>
      <c r="E236" s="353">
        <v>1457009770</v>
      </c>
      <c r="F236" s="58">
        <v>1471019586</v>
      </c>
      <c r="G236" s="204">
        <v>14009815</v>
      </c>
      <c r="H236" s="374"/>
      <c r="I236" s="374"/>
      <c r="J236" s="131"/>
      <c r="K236" s="131"/>
    </row>
    <row r="237" spans="3:11" outlineLevel="1">
      <c r="D237" s="229" t="s">
        <v>1624</v>
      </c>
      <c r="E237" s="61">
        <f>E236-E235</f>
        <v>25562009</v>
      </c>
      <c r="F237" s="60">
        <f>F236-F235</f>
        <v>26818052</v>
      </c>
      <c r="G237" s="62">
        <f>F237-E237</f>
        <v>1256043</v>
      </c>
      <c r="H237" s="374"/>
      <c r="I237" s="374"/>
      <c r="J237" s="131"/>
      <c r="K237" s="131"/>
    </row>
    <row r="238" spans="3:11" outlineLevel="1">
      <c r="D238" s="337" t="s">
        <v>1626</v>
      </c>
      <c r="E238" s="353"/>
      <c r="F238" s="58"/>
      <c r="G238" s="204"/>
      <c r="H238" s="374"/>
      <c r="I238" s="374"/>
      <c r="J238" s="131"/>
      <c r="K238" s="131"/>
    </row>
    <row r="239" spans="3:11" outlineLevel="1">
      <c r="D239" s="229" t="s">
        <v>1622</v>
      </c>
      <c r="E239" s="353">
        <v>1431447761</v>
      </c>
      <c r="F239" s="58">
        <v>1444201534</v>
      </c>
      <c r="G239" s="204">
        <v>12753773</v>
      </c>
      <c r="H239" s="374"/>
      <c r="I239" s="374"/>
      <c r="J239" s="131"/>
      <c r="K239" s="131"/>
    </row>
    <row r="240" spans="3:11" outlineLevel="1">
      <c r="D240" s="229" t="s">
        <v>1623</v>
      </c>
      <c r="E240" s="353">
        <v>1457009770</v>
      </c>
      <c r="F240" s="58">
        <v>1471019586</v>
      </c>
      <c r="G240" s="204">
        <v>14009815</v>
      </c>
      <c r="H240" s="374"/>
      <c r="I240" s="374"/>
      <c r="J240" s="131"/>
      <c r="K240" s="131"/>
    </row>
    <row r="241" spans="3:11" ht="15.75" outlineLevel="1" thickBot="1">
      <c r="D241" s="420" t="s">
        <v>1624</v>
      </c>
      <c r="E241" s="422">
        <f>E240-E239</f>
        <v>25562009</v>
      </c>
      <c r="F241" s="133">
        <f>F240-F239</f>
        <v>26818052</v>
      </c>
      <c r="G241" s="423">
        <f>F241-E241</f>
        <v>1256043</v>
      </c>
      <c r="H241" s="374"/>
      <c r="I241" s="374"/>
      <c r="J241" s="131"/>
      <c r="K241" s="131"/>
    </row>
    <row r="242" spans="3:11">
      <c r="D242" s="337"/>
      <c r="E242" s="131"/>
      <c r="F242" s="131"/>
      <c r="G242" s="131"/>
      <c r="H242" s="131"/>
      <c r="I242" s="131"/>
      <c r="J242" s="131"/>
      <c r="K242" s="131"/>
    </row>
    <row r="244" spans="3:11">
      <c r="C244" s="701" t="s">
        <v>1627</v>
      </c>
    </row>
    <row r="245" spans="3:11" s="246" customFormat="1">
      <c r="C245" s="424"/>
      <c r="E245" s="315"/>
      <c r="F245" s="315"/>
      <c r="G245" s="315"/>
      <c r="H245" s="315"/>
    </row>
    <row r="246" spans="3:11" s="246" customFormat="1">
      <c r="C246" s="701" t="s">
        <v>1628</v>
      </c>
      <c r="E246" s="315"/>
      <c r="F246" s="315"/>
      <c r="G246" s="315"/>
      <c r="H246" s="315"/>
    </row>
    <row r="247" spans="3:11" s="246" customFormat="1" ht="15.75" thickBot="1">
      <c r="E247" s="315"/>
      <c r="F247" s="315"/>
      <c r="G247" s="315"/>
      <c r="H247" s="315"/>
    </row>
    <row r="248" spans="3:11">
      <c r="D248" s="1671"/>
      <c r="E248" s="1569" t="s">
        <v>503</v>
      </c>
      <c r="F248" s="1569" t="s">
        <v>504</v>
      </c>
      <c r="G248" s="1686" t="s">
        <v>505</v>
      </c>
      <c r="H248" s="1686" t="s">
        <v>506</v>
      </c>
      <c r="I248" s="1694" t="s">
        <v>507</v>
      </c>
      <c r="J248" s="1685"/>
    </row>
    <row r="249" spans="3:11" ht="54.95" customHeight="1" thickBot="1">
      <c r="D249" s="1675"/>
      <c r="E249" s="1570"/>
      <c r="F249" s="1570"/>
      <c r="G249" s="1687"/>
      <c r="H249" s="1687"/>
      <c r="I249" s="1695"/>
      <c r="J249" s="1685"/>
    </row>
    <row r="250" spans="3:11">
      <c r="D250" s="229" t="s">
        <v>1630</v>
      </c>
      <c r="E250" s="1364">
        <v>6550731</v>
      </c>
      <c r="F250" s="1195">
        <v>5472301</v>
      </c>
      <c r="G250" s="426">
        <v>0</v>
      </c>
      <c r="H250" s="432"/>
      <c r="I250" s="1369">
        <v>0.01</v>
      </c>
      <c r="J250" s="374"/>
      <c r="K250">
        <f>+I250/100</f>
        <v>1E-4</v>
      </c>
    </row>
    <row r="251" spans="3:11">
      <c r="D251" s="229" t="s">
        <v>1631</v>
      </c>
      <c r="E251" s="1365">
        <v>6285772</v>
      </c>
      <c r="F251" s="1366">
        <v>5145983</v>
      </c>
      <c r="G251" s="428">
        <v>0</v>
      </c>
      <c r="H251" s="433"/>
      <c r="I251" s="1370">
        <v>0.01</v>
      </c>
      <c r="J251" s="374"/>
      <c r="K251">
        <f t="shared" ref="K251:K259" si="4">+I251/100</f>
        <v>1E-4</v>
      </c>
    </row>
    <row r="252" spans="3:11">
      <c r="D252" s="229" t="s">
        <v>1632</v>
      </c>
      <c r="E252" s="1365">
        <v>7154174</v>
      </c>
      <c r="F252" s="1366">
        <v>4771236</v>
      </c>
      <c r="G252" s="428">
        <v>0</v>
      </c>
      <c r="H252" s="433"/>
      <c r="I252" s="1370">
        <v>0.01</v>
      </c>
      <c r="J252" s="374"/>
      <c r="K252">
        <f t="shared" si="4"/>
        <v>1E-4</v>
      </c>
    </row>
    <row r="253" spans="3:11">
      <c r="D253" s="229" t="s">
        <v>1633</v>
      </c>
      <c r="E253" s="1367">
        <v>8325295</v>
      </c>
      <c r="F253" s="1368">
        <v>4374776</v>
      </c>
      <c r="G253" s="429">
        <v>0</v>
      </c>
      <c r="H253" s="434"/>
      <c r="I253" s="1371">
        <v>0.01</v>
      </c>
      <c r="J253" s="131"/>
      <c r="K253">
        <f t="shared" si="4"/>
        <v>1E-4</v>
      </c>
    </row>
    <row r="254" spans="3:11">
      <c r="D254" s="229" t="s">
        <v>1634</v>
      </c>
      <c r="E254" s="1365">
        <v>7353817</v>
      </c>
      <c r="F254" s="1366">
        <v>3952063</v>
      </c>
      <c r="G254" s="428">
        <v>0</v>
      </c>
      <c r="H254" s="433"/>
      <c r="I254" s="1370">
        <v>0.01</v>
      </c>
      <c r="J254" s="374"/>
      <c r="K254">
        <f t="shared" si="4"/>
        <v>1E-4</v>
      </c>
    </row>
    <row r="255" spans="3:11">
      <c r="D255" s="229" t="s">
        <v>1635</v>
      </c>
      <c r="E255" s="1365">
        <v>11551716</v>
      </c>
      <c r="F255" s="1366">
        <v>5120681</v>
      </c>
      <c r="G255" s="428">
        <v>0</v>
      </c>
      <c r="H255" s="433"/>
      <c r="I255" s="1370">
        <v>0.01</v>
      </c>
      <c r="J255" s="374"/>
      <c r="K255">
        <f t="shared" si="4"/>
        <v>1E-4</v>
      </c>
    </row>
    <row r="256" spans="3:11">
      <c r="D256" s="229" t="s">
        <v>1636</v>
      </c>
      <c r="E256" s="1365">
        <v>11525184</v>
      </c>
      <c r="F256" s="1366">
        <v>4151589</v>
      </c>
      <c r="G256" s="428">
        <v>0</v>
      </c>
      <c r="H256" s="433"/>
      <c r="I256" s="1370">
        <v>0.01</v>
      </c>
      <c r="J256" s="374"/>
      <c r="K256">
        <f t="shared" si="4"/>
        <v>1E-4</v>
      </c>
    </row>
    <row r="257" spans="3:11">
      <c r="D257" s="229" t="s">
        <v>1637</v>
      </c>
      <c r="E257" s="1367">
        <v>14158948</v>
      </c>
      <c r="F257" s="1368">
        <v>4908148</v>
      </c>
      <c r="G257" s="429">
        <v>0</v>
      </c>
      <c r="H257" s="434"/>
      <c r="I257" s="1371">
        <v>0.01</v>
      </c>
      <c r="J257" s="131"/>
      <c r="K257">
        <f t="shared" si="4"/>
        <v>1E-4</v>
      </c>
    </row>
    <row r="258" spans="3:11">
      <c r="D258" s="229" t="s">
        <v>1638</v>
      </c>
      <c r="E258" s="1365">
        <v>5930935</v>
      </c>
      <c r="F258" s="1366">
        <v>3515792</v>
      </c>
      <c r="G258" s="428">
        <v>0</v>
      </c>
      <c r="H258" s="433"/>
      <c r="I258" s="1370">
        <v>0.01</v>
      </c>
      <c r="J258" s="374"/>
      <c r="K258">
        <f t="shared" si="4"/>
        <v>1E-4</v>
      </c>
    </row>
    <row r="259" spans="3:11" ht="15.75" thickBot="1">
      <c r="D259" s="229" t="s">
        <v>1639</v>
      </c>
      <c r="E259" s="1365">
        <v>144582</v>
      </c>
      <c r="F259" s="1366">
        <v>1832240</v>
      </c>
      <c r="G259" s="428">
        <v>0</v>
      </c>
      <c r="H259" s="433"/>
      <c r="I259" s="1370">
        <v>0.01</v>
      </c>
      <c r="J259" s="374"/>
      <c r="K259">
        <f t="shared" si="4"/>
        <v>1E-4</v>
      </c>
    </row>
    <row r="260" spans="3:11" ht="15.75" thickBot="1">
      <c r="D260" s="342" t="s">
        <v>1629</v>
      </c>
      <c r="E260" s="430">
        <f>SUM(E250:E259)</f>
        <v>78981154</v>
      </c>
      <c r="F260" s="244">
        <v>0</v>
      </c>
      <c r="G260" s="431">
        <v>0</v>
      </c>
      <c r="H260" s="435">
        <v>0</v>
      </c>
      <c r="I260" s="435">
        <v>0</v>
      </c>
      <c r="J260" s="131"/>
    </row>
    <row r="263" spans="3:11" s="246" customFormat="1">
      <c r="C263" s="701" t="s">
        <v>1640</v>
      </c>
      <c r="E263" s="315"/>
      <c r="F263" s="315"/>
      <c r="G263" s="315"/>
      <c r="H263" s="315"/>
    </row>
    <row r="264" spans="3:11" s="246" customFormat="1" ht="15.75" thickBot="1">
      <c r="E264" s="315"/>
      <c r="F264" s="315"/>
      <c r="G264" s="315"/>
      <c r="H264" s="315"/>
    </row>
    <row r="265" spans="3:11">
      <c r="D265" s="1671"/>
      <c r="E265" s="1569" t="s">
        <v>508</v>
      </c>
      <c r="F265" s="1569" t="s">
        <v>509</v>
      </c>
      <c r="G265" s="1686" t="s">
        <v>510</v>
      </c>
      <c r="H265" s="1686" t="s">
        <v>511</v>
      </c>
      <c r="I265" s="1694" t="s">
        <v>512</v>
      </c>
      <c r="J265" s="1685"/>
    </row>
    <row r="266" spans="3:11" ht="54.95" customHeight="1" thickBot="1">
      <c r="D266" s="1675"/>
      <c r="E266" s="1570"/>
      <c r="F266" s="1570"/>
      <c r="G266" s="1687"/>
      <c r="H266" s="1687"/>
      <c r="I266" s="1695"/>
      <c r="J266" s="1685"/>
    </row>
    <row r="267" spans="3:11">
      <c r="D267" s="229" t="s">
        <v>1630</v>
      </c>
      <c r="E267" s="1364">
        <v>6550731</v>
      </c>
      <c r="F267" s="1195">
        <v>5489801</v>
      </c>
      <c r="G267" s="426" t="s">
        <v>3818</v>
      </c>
      <c r="H267" s="432"/>
      <c r="I267" s="432">
        <v>1</v>
      </c>
      <c r="J267" s="374"/>
    </row>
    <row r="268" spans="3:11">
      <c r="D268" s="229" t="s">
        <v>1631</v>
      </c>
      <c r="E268" s="1365">
        <v>6285772</v>
      </c>
      <c r="F268" s="1366">
        <v>5210769</v>
      </c>
      <c r="G268" s="428" t="s">
        <v>3818</v>
      </c>
      <c r="H268" s="433"/>
      <c r="I268" s="433">
        <v>1</v>
      </c>
      <c r="J268" s="374"/>
    </row>
    <row r="269" spans="3:11">
      <c r="D269" s="229" t="s">
        <v>1632</v>
      </c>
      <c r="E269" s="1365">
        <v>7154174</v>
      </c>
      <c r="F269" s="1366">
        <v>4880932</v>
      </c>
      <c r="G269" s="428" t="s">
        <v>3818</v>
      </c>
      <c r="H269" s="433"/>
      <c r="I269" s="433">
        <v>1</v>
      </c>
      <c r="J269" s="374"/>
    </row>
    <row r="270" spans="3:11">
      <c r="D270" s="229" t="s">
        <v>1633</v>
      </c>
      <c r="E270" s="1367">
        <v>8325295</v>
      </c>
      <c r="F270" s="1368">
        <v>4523699</v>
      </c>
      <c r="G270" s="429" t="s">
        <v>3818</v>
      </c>
      <c r="H270" s="434"/>
      <c r="I270" s="434">
        <v>1</v>
      </c>
      <c r="J270" s="131"/>
    </row>
    <row r="271" spans="3:11">
      <c r="D271" s="229" t="s">
        <v>1634</v>
      </c>
      <c r="E271" s="1365">
        <v>7353817</v>
      </c>
      <c r="F271" s="1366">
        <v>4131547</v>
      </c>
      <c r="G271" s="428" t="s">
        <v>3818</v>
      </c>
      <c r="H271" s="433"/>
      <c r="I271" s="433">
        <v>1</v>
      </c>
      <c r="J271" s="374"/>
    </row>
    <row r="272" spans="3:11">
      <c r="D272" s="229" t="s">
        <v>1635</v>
      </c>
      <c r="E272" s="1365">
        <v>11551716</v>
      </c>
      <c r="F272" s="1366">
        <v>5423332</v>
      </c>
      <c r="G272" s="428" t="s">
        <v>3818</v>
      </c>
      <c r="H272" s="433"/>
      <c r="I272" s="433">
        <v>1</v>
      </c>
      <c r="J272" s="374"/>
    </row>
    <row r="273" spans="3:10">
      <c r="D273" s="229" t="s">
        <v>1636</v>
      </c>
      <c r="E273" s="1365">
        <v>11525184</v>
      </c>
      <c r="F273" s="1366">
        <v>4459588</v>
      </c>
      <c r="G273" s="428" t="s">
        <v>3818</v>
      </c>
      <c r="H273" s="433"/>
      <c r="I273" s="433">
        <v>1</v>
      </c>
      <c r="J273" s="374"/>
    </row>
    <row r="274" spans="3:10">
      <c r="D274" s="229" t="s">
        <v>1637</v>
      </c>
      <c r="E274" s="1367">
        <v>14158948</v>
      </c>
      <c r="F274" s="1368">
        <v>5342628</v>
      </c>
      <c r="G274" s="429" t="s">
        <v>3818</v>
      </c>
      <c r="H274" s="434"/>
      <c r="I274" s="434">
        <v>1</v>
      </c>
      <c r="J274" s="131"/>
    </row>
    <row r="275" spans="3:10">
      <c r="D275" s="229" t="s">
        <v>1638</v>
      </c>
      <c r="E275" s="1365">
        <v>5930935</v>
      </c>
      <c r="F275" s="1366">
        <v>3852284</v>
      </c>
      <c r="G275" s="428" t="s">
        <v>3818</v>
      </c>
      <c r="H275" s="433"/>
      <c r="I275" s="433">
        <v>1</v>
      </c>
      <c r="J275" s="374"/>
    </row>
    <row r="276" spans="3:10" ht="15.75" thickBot="1">
      <c r="D276" s="229" t="s">
        <v>1639</v>
      </c>
      <c r="E276" s="1365">
        <v>144582</v>
      </c>
      <c r="F276" s="1366">
        <v>1949576</v>
      </c>
      <c r="G276" s="428" t="s">
        <v>3818</v>
      </c>
      <c r="H276" s="433"/>
      <c r="I276" s="433">
        <v>1</v>
      </c>
      <c r="J276" s="374"/>
    </row>
    <row r="277" spans="3:10" ht="15.75" thickBot="1">
      <c r="D277" s="342" t="s">
        <v>1629</v>
      </c>
      <c r="E277" s="430">
        <f>SUM(E267:E276)</f>
        <v>78981154</v>
      </c>
      <c r="F277" s="244">
        <v>0</v>
      </c>
      <c r="G277" s="431">
        <v>0</v>
      </c>
      <c r="H277" s="435">
        <v>0</v>
      </c>
      <c r="I277" s="435">
        <v>0</v>
      </c>
      <c r="J277" s="131"/>
    </row>
    <row r="280" spans="3:10" s="246" customFormat="1">
      <c r="C280" s="701" t="s">
        <v>1641</v>
      </c>
      <c r="E280" s="315"/>
      <c r="F280" s="315"/>
      <c r="G280" s="315"/>
      <c r="H280" s="315"/>
    </row>
    <row r="281" spans="3:10" s="246" customFormat="1" ht="15.75" thickBot="1">
      <c r="E281" s="315"/>
      <c r="F281" s="315"/>
      <c r="G281" s="315"/>
      <c r="H281" s="315"/>
    </row>
    <row r="282" spans="3:10">
      <c r="D282" s="1671"/>
      <c r="E282" s="1569" t="s">
        <v>513</v>
      </c>
      <c r="F282" s="1569" t="s">
        <v>514</v>
      </c>
      <c r="G282" s="1686" t="s">
        <v>515</v>
      </c>
      <c r="H282" s="1686" t="s">
        <v>516</v>
      </c>
      <c r="I282" s="1694" t="s">
        <v>517</v>
      </c>
      <c r="J282" s="1685"/>
    </row>
    <row r="283" spans="3:10" ht="54.95" customHeight="1" thickBot="1">
      <c r="D283" s="1675"/>
      <c r="E283" s="1570"/>
      <c r="F283" s="1570"/>
      <c r="G283" s="1687"/>
      <c r="H283" s="1687"/>
      <c r="I283" s="1695"/>
      <c r="J283" s="1685"/>
    </row>
    <row r="284" spans="3:10">
      <c r="D284" s="229" t="s">
        <v>1630</v>
      </c>
      <c r="E284" s="1364">
        <v>6550731</v>
      </c>
      <c r="F284" s="1195">
        <v>5503241</v>
      </c>
      <c r="G284" s="426" t="s">
        <v>3818</v>
      </c>
      <c r="H284" s="432"/>
      <c r="I284" s="432">
        <v>1</v>
      </c>
      <c r="J284" s="374"/>
    </row>
    <row r="285" spans="3:10">
      <c r="D285" s="229" t="s">
        <v>1631</v>
      </c>
      <c r="E285" s="1365">
        <v>6285772</v>
      </c>
      <c r="F285" s="1366">
        <v>5257664</v>
      </c>
      <c r="G285" s="428" t="s">
        <v>3818</v>
      </c>
      <c r="H285" s="433"/>
      <c r="I285" s="433">
        <v>1</v>
      </c>
      <c r="J285" s="374"/>
    </row>
    <row r="286" spans="3:10">
      <c r="D286" s="229" t="s">
        <v>1632</v>
      </c>
      <c r="E286" s="1365">
        <v>7154174</v>
      </c>
      <c r="F286" s="1366">
        <v>4967652</v>
      </c>
      <c r="G286" s="428" t="s">
        <v>3818</v>
      </c>
      <c r="H286" s="433"/>
      <c r="I286" s="433">
        <v>1</v>
      </c>
      <c r="J286" s="374"/>
    </row>
    <row r="287" spans="3:10">
      <c r="D287" s="229" t="s">
        <v>1633</v>
      </c>
      <c r="E287" s="1367">
        <v>8325295</v>
      </c>
      <c r="F287" s="1368">
        <v>4653499</v>
      </c>
      <c r="G287" s="429" t="s">
        <v>3818</v>
      </c>
      <c r="H287" s="434"/>
      <c r="I287" s="434">
        <v>1</v>
      </c>
      <c r="J287" s="131"/>
    </row>
    <row r="288" spans="3:10">
      <c r="D288" s="229" t="s">
        <v>1634</v>
      </c>
      <c r="E288" s="1365">
        <v>7353817</v>
      </c>
      <c r="F288" s="1366">
        <v>4305273</v>
      </c>
      <c r="G288" s="428" t="s">
        <v>3818</v>
      </c>
      <c r="H288" s="433"/>
      <c r="I288" s="433">
        <v>1</v>
      </c>
      <c r="J288" s="374"/>
    </row>
    <row r="289" spans="3:10">
      <c r="D289" s="229" t="s">
        <v>1635</v>
      </c>
      <c r="E289" s="1365">
        <v>11551716</v>
      </c>
      <c r="F289" s="1366">
        <v>5761869</v>
      </c>
      <c r="G289" s="428" t="s">
        <v>3818</v>
      </c>
      <c r="H289" s="433"/>
      <c r="I289" s="433">
        <v>1</v>
      </c>
      <c r="J289" s="374"/>
    </row>
    <row r="290" spans="3:10">
      <c r="D290" s="229" t="s">
        <v>1636</v>
      </c>
      <c r="E290" s="1365">
        <v>11525184</v>
      </c>
      <c r="F290" s="1366">
        <v>4875307</v>
      </c>
      <c r="G290" s="428" t="s">
        <v>3818</v>
      </c>
      <c r="H290" s="433"/>
      <c r="I290" s="433">
        <v>1</v>
      </c>
      <c r="J290" s="374"/>
    </row>
    <row r="291" spans="3:10">
      <c r="D291" s="229" t="s">
        <v>1637</v>
      </c>
      <c r="E291" s="1367">
        <v>14158948</v>
      </c>
      <c r="F291" s="1368">
        <v>6119933</v>
      </c>
      <c r="G291" s="429" t="s">
        <v>3818</v>
      </c>
      <c r="H291" s="434"/>
      <c r="I291" s="434">
        <v>1</v>
      </c>
      <c r="J291" s="131"/>
    </row>
    <row r="292" spans="3:10">
      <c r="D292" s="229" t="s">
        <v>1638</v>
      </c>
      <c r="E292" s="1365">
        <v>5930935</v>
      </c>
      <c r="F292" s="1366">
        <v>4819637</v>
      </c>
      <c r="G292" s="428" t="s">
        <v>3818</v>
      </c>
      <c r="H292" s="433"/>
      <c r="I292" s="433">
        <v>1</v>
      </c>
      <c r="J292" s="374"/>
    </row>
    <row r="293" spans="3:10" ht="15.75" thickBot="1">
      <c r="D293" s="229" t="s">
        <v>1639</v>
      </c>
      <c r="E293" s="1365">
        <v>144582</v>
      </c>
      <c r="F293" s="1366">
        <v>2842568</v>
      </c>
      <c r="G293" s="428" t="s">
        <v>3818</v>
      </c>
      <c r="H293" s="433"/>
      <c r="I293" s="433">
        <v>1</v>
      </c>
      <c r="J293" s="374"/>
    </row>
    <row r="294" spans="3:10" ht="15.75" thickBot="1">
      <c r="D294" s="342" t="s">
        <v>1629</v>
      </c>
      <c r="E294" s="430">
        <f>SUM(E284:E293)</f>
        <v>78981154</v>
      </c>
      <c r="F294" s="244">
        <v>0</v>
      </c>
      <c r="G294" s="431">
        <v>0</v>
      </c>
      <c r="H294" s="435">
        <v>0</v>
      </c>
      <c r="I294" s="435">
        <v>0</v>
      </c>
      <c r="J294" s="131"/>
    </row>
    <row r="297" spans="3:10" s="246" customFormat="1">
      <c r="C297" s="701" t="s">
        <v>1642</v>
      </c>
      <c r="E297" s="315"/>
      <c r="F297" s="315"/>
      <c r="G297" s="315"/>
      <c r="H297" s="315"/>
    </row>
    <row r="298" spans="3:10" s="246" customFormat="1" ht="15.75" thickBot="1">
      <c r="E298" s="315"/>
      <c r="F298" s="315"/>
      <c r="G298" s="315"/>
      <c r="H298" s="315"/>
    </row>
    <row r="299" spans="3:10">
      <c r="D299" s="1671"/>
      <c r="E299" s="1569" t="s">
        <v>518</v>
      </c>
      <c r="F299" s="1569" t="s">
        <v>519</v>
      </c>
      <c r="G299" s="1686" t="s">
        <v>520</v>
      </c>
      <c r="H299" s="1686" t="s">
        <v>521</v>
      </c>
      <c r="I299" s="1694" t="s">
        <v>522</v>
      </c>
      <c r="J299" s="1685"/>
    </row>
    <row r="300" spans="3:10" ht="54.95" customHeight="1" thickBot="1">
      <c r="D300" s="1675"/>
      <c r="E300" s="1570"/>
      <c r="F300" s="1570"/>
      <c r="G300" s="1687"/>
      <c r="H300" s="1687"/>
      <c r="I300" s="1695"/>
      <c r="J300" s="1685"/>
    </row>
    <row r="301" spans="3:10">
      <c r="D301" s="229" t="s">
        <v>1630</v>
      </c>
      <c r="E301" s="1364">
        <v>6550731</v>
      </c>
      <c r="F301" s="1195">
        <v>5504213</v>
      </c>
      <c r="G301" s="426" t="s">
        <v>3818</v>
      </c>
      <c r="H301" s="432"/>
      <c r="I301" s="432">
        <v>1</v>
      </c>
      <c r="J301" s="374"/>
    </row>
    <row r="302" spans="3:10">
      <c r="D302" s="229" t="s">
        <v>1631</v>
      </c>
      <c r="E302" s="1365">
        <v>6285772</v>
      </c>
      <c r="F302" s="1366">
        <v>5261599</v>
      </c>
      <c r="G302" s="428" t="s">
        <v>3818</v>
      </c>
      <c r="H302" s="433"/>
      <c r="I302" s="433">
        <v>1</v>
      </c>
      <c r="J302" s="374"/>
    </row>
    <row r="303" spans="3:10">
      <c r="D303" s="229" t="s">
        <v>1632</v>
      </c>
      <c r="E303" s="1365">
        <v>7154174</v>
      </c>
      <c r="F303" s="1366">
        <v>4974207</v>
      </c>
      <c r="G303" s="428" t="s">
        <v>3818</v>
      </c>
      <c r="H303" s="433"/>
      <c r="I303" s="433">
        <v>1</v>
      </c>
      <c r="J303" s="374"/>
    </row>
    <row r="304" spans="3:10">
      <c r="D304" s="229" t="s">
        <v>1633</v>
      </c>
      <c r="E304" s="1367">
        <v>8325295</v>
      </c>
      <c r="F304" s="1368">
        <v>4661894</v>
      </c>
      <c r="G304" s="429" t="s">
        <v>3818</v>
      </c>
      <c r="H304" s="434"/>
      <c r="I304" s="434">
        <v>1</v>
      </c>
      <c r="J304" s="131"/>
    </row>
    <row r="305" spans="3:10">
      <c r="D305" s="229" t="s">
        <v>1634</v>
      </c>
      <c r="E305" s="1365">
        <v>7353817</v>
      </c>
      <c r="F305" s="1366">
        <v>4314548</v>
      </c>
      <c r="G305" s="428" t="s">
        <v>3818</v>
      </c>
      <c r="H305" s="433"/>
      <c r="I305" s="433">
        <v>1</v>
      </c>
      <c r="J305" s="374"/>
    </row>
    <row r="306" spans="3:10">
      <c r="D306" s="229" t="s">
        <v>1635</v>
      </c>
      <c r="E306" s="1365">
        <v>11551716</v>
      </c>
      <c r="F306" s="1366">
        <v>5775205</v>
      </c>
      <c r="G306" s="428" t="s">
        <v>3818</v>
      </c>
      <c r="H306" s="433"/>
      <c r="I306" s="433">
        <v>1</v>
      </c>
      <c r="J306" s="374"/>
    </row>
    <row r="307" spans="3:10">
      <c r="D307" s="229" t="s">
        <v>1636</v>
      </c>
      <c r="E307" s="1365">
        <v>11525184</v>
      </c>
      <c r="F307" s="1366">
        <v>4885294</v>
      </c>
      <c r="G307" s="428" t="s">
        <v>3818</v>
      </c>
      <c r="H307" s="433"/>
      <c r="I307" s="433">
        <v>1</v>
      </c>
      <c r="J307" s="374"/>
    </row>
    <row r="308" spans="3:10">
      <c r="D308" s="229" t="s">
        <v>1637</v>
      </c>
      <c r="E308" s="1367">
        <v>14158948</v>
      </c>
      <c r="F308" s="1368">
        <v>6124967</v>
      </c>
      <c r="G308" s="429" t="s">
        <v>3818</v>
      </c>
      <c r="H308" s="434"/>
      <c r="I308" s="434">
        <v>1</v>
      </c>
      <c r="J308" s="131"/>
    </row>
    <row r="309" spans="3:10">
      <c r="D309" s="229" t="s">
        <v>1638</v>
      </c>
      <c r="E309" s="1365">
        <v>5930935</v>
      </c>
      <c r="F309" s="1366">
        <v>4807974</v>
      </c>
      <c r="G309" s="428" t="s">
        <v>3818</v>
      </c>
      <c r="H309" s="433"/>
      <c r="I309" s="433">
        <v>1</v>
      </c>
      <c r="J309" s="374"/>
    </row>
    <row r="310" spans="3:10" ht="15.75" thickBot="1">
      <c r="D310" s="229" t="s">
        <v>1639</v>
      </c>
      <c r="E310" s="1365">
        <v>144582</v>
      </c>
      <c r="F310" s="1366">
        <v>2825517</v>
      </c>
      <c r="G310" s="428" t="s">
        <v>3818</v>
      </c>
      <c r="H310" s="433"/>
      <c r="I310" s="433">
        <v>1</v>
      </c>
      <c r="J310" s="374"/>
    </row>
    <row r="311" spans="3:10" ht="15.75" thickBot="1">
      <c r="D311" s="342" t="s">
        <v>1629</v>
      </c>
      <c r="E311" s="430">
        <f>SUM(E301:E310)</f>
        <v>78981154</v>
      </c>
      <c r="F311" s="244">
        <v>0</v>
      </c>
      <c r="G311" s="431">
        <v>0</v>
      </c>
      <c r="H311" s="435">
        <v>0</v>
      </c>
      <c r="I311" s="435">
        <v>0</v>
      </c>
      <c r="J311" s="131"/>
    </row>
    <row r="314" spans="3:10" s="246" customFormat="1">
      <c r="C314" s="701" t="s">
        <v>1643</v>
      </c>
      <c r="E314" s="315"/>
      <c r="F314" s="315"/>
      <c r="G314" s="315"/>
      <c r="H314" s="315"/>
    </row>
    <row r="315" spans="3:10" s="246" customFormat="1" ht="15.75" thickBot="1">
      <c r="E315" s="315"/>
      <c r="F315" s="315"/>
      <c r="G315" s="315"/>
      <c r="H315" s="315"/>
    </row>
    <row r="316" spans="3:10">
      <c r="D316" s="1671"/>
      <c r="E316" s="1569" t="s">
        <v>523</v>
      </c>
      <c r="F316" s="1569" t="s">
        <v>524</v>
      </c>
      <c r="G316" s="1686" t="s">
        <v>525</v>
      </c>
      <c r="H316" s="1686" t="s">
        <v>526</v>
      </c>
      <c r="I316" s="1694" t="s">
        <v>527</v>
      </c>
      <c r="J316" s="1685"/>
    </row>
    <row r="317" spans="3:10" ht="54.95" customHeight="1" thickBot="1">
      <c r="D317" s="1675"/>
      <c r="E317" s="1570"/>
      <c r="F317" s="1570"/>
      <c r="G317" s="1687"/>
      <c r="H317" s="1687"/>
      <c r="I317" s="1695"/>
      <c r="J317" s="1685"/>
    </row>
    <row r="318" spans="3:10">
      <c r="D318" s="229" t="s">
        <v>1630</v>
      </c>
      <c r="E318" s="1364">
        <v>6550731</v>
      </c>
      <c r="F318" s="1195">
        <v>5501920</v>
      </c>
      <c r="G318" s="426" t="s">
        <v>3818</v>
      </c>
      <c r="H318" s="432"/>
      <c r="I318" s="432">
        <v>1</v>
      </c>
      <c r="J318" s="374"/>
    </row>
    <row r="319" spans="3:10">
      <c r="D319" s="229" t="s">
        <v>1631</v>
      </c>
      <c r="E319" s="1365">
        <v>6285772</v>
      </c>
      <c r="F319" s="1366">
        <v>5255121</v>
      </c>
      <c r="G319" s="428" t="s">
        <v>3818</v>
      </c>
      <c r="H319" s="433"/>
      <c r="I319" s="433">
        <v>1</v>
      </c>
      <c r="J319" s="374"/>
    </row>
    <row r="320" spans="3:10">
      <c r="D320" s="229" t="s">
        <v>1632</v>
      </c>
      <c r="E320" s="1365">
        <v>7154174</v>
      </c>
      <c r="F320" s="1366">
        <v>4966847</v>
      </c>
      <c r="G320" s="428" t="s">
        <v>3818</v>
      </c>
      <c r="H320" s="433"/>
      <c r="I320" s="433">
        <v>1</v>
      </c>
      <c r="J320" s="374"/>
    </row>
    <row r="321" spans="3:10">
      <c r="D321" s="229" t="s">
        <v>1633</v>
      </c>
      <c r="E321" s="1367">
        <v>8325295</v>
      </c>
      <c r="F321" s="1368">
        <v>4657930</v>
      </c>
      <c r="G321" s="429" t="s">
        <v>3818</v>
      </c>
      <c r="H321" s="434"/>
      <c r="I321" s="434">
        <v>1</v>
      </c>
      <c r="J321" s="131"/>
    </row>
    <row r="322" spans="3:10">
      <c r="D322" s="229" t="s">
        <v>1634</v>
      </c>
      <c r="E322" s="1365">
        <v>7353817</v>
      </c>
      <c r="F322" s="1366">
        <v>4319371</v>
      </c>
      <c r="G322" s="428" t="s">
        <v>3818</v>
      </c>
      <c r="H322" s="433"/>
      <c r="I322" s="433">
        <v>1</v>
      </c>
      <c r="J322" s="374"/>
    </row>
    <row r="323" spans="3:10">
      <c r="D323" s="229" t="s">
        <v>1635</v>
      </c>
      <c r="E323" s="1365">
        <v>11551716</v>
      </c>
      <c r="F323" s="1366">
        <v>5810788</v>
      </c>
      <c r="G323" s="428" t="s">
        <v>3818</v>
      </c>
      <c r="H323" s="433"/>
      <c r="I323" s="433">
        <v>1</v>
      </c>
      <c r="J323" s="374"/>
    </row>
    <row r="324" spans="3:10">
      <c r="D324" s="229" t="s">
        <v>1636</v>
      </c>
      <c r="E324" s="1365">
        <v>11525184</v>
      </c>
      <c r="F324" s="1366">
        <v>4964849</v>
      </c>
      <c r="G324" s="428" t="s">
        <v>3818</v>
      </c>
      <c r="H324" s="433"/>
      <c r="I324" s="433">
        <v>1</v>
      </c>
      <c r="J324" s="374"/>
    </row>
    <row r="325" spans="3:10">
      <c r="D325" s="229" t="s">
        <v>1637</v>
      </c>
      <c r="E325" s="1367">
        <v>14158948</v>
      </c>
      <c r="F325" s="1368">
        <v>6346296</v>
      </c>
      <c r="G325" s="429" t="s">
        <v>3818</v>
      </c>
      <c r="H325" s="434"/>
      <c r="I325" s="434">
        <v>1</v>
      </c>
      <c r="J325" s="131"/>
    </row>
    <row r="326" spans="3:10">
      <c r="D326" s="229" t="s">
        <v>1638</v>
      </c>
      <c r="E326" s="1365">
        <v>5930935</v>
      </c>
      <c r="F326" s="1366">
        <v>5161108</v>
      </c>
      <c r="G326" s="428" t="s">
        <v>3818</v>
      </c>
      <c r="H326" s="433"/>
      <c r="I326" s="433">
        <v>1</v>
      </c>
      <c r="J326" s="374"/>
    </row>
    <row r="327" spans="3:10" ht="15.75" thickBot="1">
      <c r="D327" s="229" t="s">
        <v>1639</v>
      </c>
      <c r="E327" s="1365">
        <v>144582</v>
      </c>
      <c r="F327" s="1366">
        <v>3165122</v>
      </c>
      <c r="G327" s="428" t="s">
        <v>3818</v>
      </c>
      <c r="H327" s="433"/>
      <c r="I327" s="433">
        <v>1</v>
      </c>
      <c r="J327" s="374"/>
    </row>
    <row r="328" spans="3:10" ht="15.75" thickBot="1">
      <c r="D328" s="342" t="s">
        <v>1629</v>
      </c>
      <c r="E328" s="430">
        <f>SUM(E318:E327)</f>
        <v>78981154</v>
      </c>
      <c r="F328" s="244">
        <v>0</v>
      </c>
      <c r="G328" s="431">
        <v>0</v>
      </c>
      <c r="H328" s="435">
        <v>0</v>
      </c>
      <c r="I328" s="435">
        <v>0</v>
      </c>
      <c r="J328" s="131"/>
    </row>
    <row r="331" spans="3:10">
      <c r="C331" s="701" t="s">
        <v>1644</v>
      </c>
    </row>
    <row r="332" spans="3:10" ht="15.75" thickBot="1"/>
    <row r="333" spans="3:10" ht="15.75" thickBot="1">
      <c r="D333" s="342" t="s">
        <v>1584</v>
      </c>
      <c r="E333" s="407"/>
    </row>
    <row r="334" spans="3:10">
      <c r="D334" s="336" t="s">
        <v>1585</v>
      </c>
      <c r="E334" s="436">
        <v>2.5999999999999999E-2</v>
      </c>
    </row>
    <row r="335" spans="3:10">
      <c r="D335" s="229" t="s">
        <v>1586</v>
      </c>
      <c r="E335" s="437">
        <v>2.58E-2</v>
      </c>
    </row>
    <row r="336" spans="3:10">
      <c r="D336" s="336" t="s">
        <v>1587</v>
      </c>
      <c r="E336" s="436">
        <v>2.64E-2</v>
      </c>
    </row>
    <row r="339" spans="3:16">
      <c r="C339" s="701" t="s">
        <v>1645</v>
      </c>
    </row>
    <row r="340" spans="3:16" ht="15.75" thickBot="1"/>
    <row r="341" spans="3:16">
      <c r="D341" s="1569" t="s">
        <v>1658</v>
      </c>
      <c r="E341" s="1569" t="s">
        <v>1646</v>
      </c>
      <c r="F341" s="1569" t="s">
        <v>1647</v>
      </c>
      <c r="G341" s="1686" t="s">
        <v>1648</v>
      </c>
      <c r="H341" s="1686" t="s">
        <v>1649</v>
      </c>
      <c r="I341" s="1569" t="s">
        <v>1650</v>
      </c>
      <c r="J341" s="1569" t="s">
        <v>1651</v>
      </c>
      <c r="K341" s="1686" t="s">
        <v>1652</v>
      </c>
      <c r="L341" s="1686" t="s">
        <v>1653</v>
      </c>
      <c r="M341" s="1569" t="s">
        <v>528</v>
      </c>
      <c r="N341" s="1569" t="s">
        <v>529</v>
      </c>
      <c r="O341" s="1686" t="s">
        <v>530</v>
      </c>
      <c r="P341" s="1686" t="s">
        <v>531</v>
      </c>
    </row>
    <row r="342" spans="3:16" ht="54.95" customHeight="1" thickBot="1">
      <c r="D342" s="1570"/>
      <c r="E342" s="1570"/>
      <c r="F342" s="1570"/>
      <c r="G342" s="1687"/>
      <c r="H342" s="1687"/>
      <c r="I342" s="1570"/>
      <c r="J342" s="1570"/>
      <c r="K342" s="1687"/>
      <c r="L342" s="1687"/>
      <c r="M342" s="1570"/>
      <c r="N342" s="1570"/>
      <c r="O342" s="1687"/>
      <c r="P342" s="1687"/>
    </row>
    <row r="343" spans="3:16">
      <c r="D343" s="229" t="s">
        <v>1654</v>
      </c>
      <c r="E343" s="64">
        <v>432434321689</v>
      </c>
      <c r="F343" s="65">
        <v>444139144425</v>
      </c>
      <c r="G343" s="421">
        <v>444139144425</v>
      </c>
      <c r="H343" s="421">
        <v>0</v>
      </c>
      <c r="I343" s="64">
        <v>479956134904</v>
      </c>
      <c r="J343" s="65">
        <v>466346114334</v>
      </c>
      <c r="K343" s="421">
        <v>13610020570</v>
      </c>
      <c r="L343" s="421">
        <v>480579080310</v>
      </c>
      <c r="M343" s="64">
        <v>622945406</v>
      </c>
      <c r="N343" s="65">
        <v>485483619787</v>
      </c>
      <c r="O343" s="421">
        <v>482009570991</v>
      </c>
      <c r="P343" s="421">
        <v>3474048796</v>
      </c>
    </row>
    <row r="344" spans="3:16" ht="21">
      <c r="D344" s="229" t="s">
        <v>1655</v>
      </c>
      <c r="E344" s="353"/>
      <c r="F344" s="58">
        <v>118832735416</v>
      </c>
      <c r="G344" s="204"/>
      <c r="H344" s="204"/>
      <c r="I344" s="353">
        <v>129345938745</v>
      </c>
      <c r="J344" s="58">
        <v>124774370785</v>
      </c>
      <c r="K344" s="204">
        <v>4571567960</v>
      </c>
      <c r="L344" s="204">
        <v>129631266239</v>
      </c>
      <c r="M344" s="353">
        <v>285327494</v>
      </c>
      <c r="N344" s="58">
        <v>131446439965</v>
      </c>
      <c r="O344" s="204">
        <v>130160691909</v>
      </c>
      <c r="P344" s="204">
        <v>1285748056</v>
      </c>
    </row>
    <row r="345" spans="3:16" ht="21.75" thickBot="1">
      <c r="D345" s="229" t="s">
        <v>1656</v>
      </c>
      <c r="E345" s="353"/>
      <c r="F345" s="58"/>
      <c r="G345" s="204"/>
      <c r="H345" s="204"/>
      <c r="I345" s="353"/>
      <c r="J345" s="58"/>
      <c r="K345" s="204"/>
      <c r="L345" s="204">
        <v>278312340257</v>
      </c>
      <c r="M345" s="353"/>
      <c r="N345" s="58">
        <v>282683222240</v>
      </c>
      <c r="O345" s="204">
        <v>279587180835</v>
      </c>
      <c r="P345" s="204">
        <v>3096041404</v>
      </c>
    </row>
    <row r="346" spans="3:16" ht="15.75" thickBot="1">
      <c r="D346" s="342" t="s">
        <v>1657</v>
      </c>
      <c r="E346" s="56">
        <f>SUM(E343:E345)</f>
        <v>432434321689</v>
      </c>
      <c r="F346" s="201">
        <f t="shared" ref="F346:P346" si="5">SUM(F343:F345)</f>
        <v>562971879841</v>
      </c>
      <c r="G346" s="202">
        <f t="shared" si="5"/>
        <v>444139144425</v>
      </c>
      <c r="H346" s="202">
        <f t="shared" si="5"/>
        <v>0</v>
      </c>
      <c r="I346" s="56">
        <f t="shared" si="5"/>
        <v>609302073649</v>
      </c>
      <c r="J346" s="201">
        <f t="shared" si="5"/>
        <v>591120485119</v>
      </c>
      <c r="K346" s="202">
        <f t="shared" si="5"/>
        <v>18181588530</v>
      </c>
      <c r="L346" s="202">
        <f t="shared" si="5"/>
        <v>888522686806</v>
      </c>
      <c r="M346" s="56">
        <f t="shared" si="5"/>
        <v>908272900</v>
      </c>
      <c r="N346" s="201">
        <f t="shared" si="5"/>
        <v>899613281992</v>
      </c>
      <c r="O346" s="202">
        <f t="shared" si="5"/>
        <v>891757443735</v>
      </c>
      <c r="P346" s="202">
        <f t="shared" si="5"/>
        <v>7855838256</v>
      </c>
    </row>
    <row r="348" spans="3:16" ht="15.75" thickBot="1"/>
    <row r="349" spans="3:16">
      <c r="D349" s="1569" t="s">
        <v>1659</v>
      </c>
      <c r="E349" s="1569" t="s">
        <v>532</v>
      </c>
      <c r="F349" s="1569" t="s">
        <v>533</v>
      </c>
      <c r="G349" s="1686" t="s">
        <v>534</v>
      </c>
      <c r="H349" s="1686" t="s">
        <v>535</v>
      </c>
      <c r="I349" s="1685"/>
      <c r="J349" s="1685"/>
      <c r="K349" s="1685"/>
      <c r="L349" s="1685"/>
      <c r="M349" s="1685"/>
      <c r="N349" s="1685"/>
      <c r="O349" s="1685"/>
      <c r="P349" s="1685"/>
    </row>
    <row r="350" spans="3:16" ht="54.95" customHeight="1" thickBot="1">
      <c r="D350" s="1570"/>
      <c r="E350" s="1570"/>
      <c r="F350" s="1570"/>
      <c r="G350" s="1687"/>
      <c r="H350" s="1687"/>
      <c r="I350" s="1685"/>
      <c r="J350" s="1685"/>
      <c r="K350" s="1685"/>
      <c r="L350" s="1685"/>
      <c r="M350" s="1685"/>
      <c r="N350" s="1685"/>
      <c r="O350" s="1685"/>
      <c r="P350" s="1685"/>
    </row>
    <row r="351" spans="3:16" ht="21">
      <c r="D351" s="229" t="s">
        <v>1660</v>
      </c>
      <c r="E351" s="64">
        <v>439821457</v>
      </c>
      <c r="F351" s="65">
        <v>450088510</v>
      </c>
      <c r="G351" s="421">
        <v>442816014</v>
      </c>
      <c r="H351" s="421">
        <v>7272496</v>
      </c>
      <c r="I351" s="373"/>
      <c r="J351" s="373"/>
      <c r="K351" s="374"/>
      <c r="L351" s="374"/>
      <c r="M351" s="373"/>
      <c r="N351" s="373"/>
      <c r="O351" s="374"/>
      <c r="P351" s="374"/>
    </row>
    <row r="352" spans="3:16" ht="15.75" thickBot="1">
      <c r="D352" s="229" t="s">
        <v>1661</v>
      </c>
      <c r="E352" s="353"/>
      <c r="F352" s="58">
        <v>175125810</v>
      </c>
      <c r="G352" s="204"/>
      <c r="H352" s="204"/>
      <c r="I352" s="374"/>
      <c r="J352" s="374"/>
      <c r="K352" s="374"/>
      <c r="L352" s="374"/>
      <c r="M352" s="374"/>
      <c r="N352" s="374"/>
      <c r="O352" s="374"/>
      <c r="P352" s="374"/>
    </row>
    <row r="353" spans="3:16" ht="15.75" thickBot="1">
      <c r="D353" s="342" t="s">
        <v>1662</v>
      </c>
      <c r="E353" s="56">
        <f>SUM(E351:E352)</f>
        <v>439821457</v>
      </c>
      <c r="F353" s="201">
        <f>SUM(F351:F352)</f>
        <v>625214320</v>
      </c>
      <c r="G353" s="202">
        <f>SUM(G351:G352)</f>
        <v>442816014</v>
      </c>
      <c r="H353" s="202">
        <f>SUM(H351:H352)</f>
        <v>7272496</v>
      </c>
      <c r="I353" s="131"/>
      <c r="J353" s="131"/>
      <c r="K353" s="131"/>
      <c r="L353" s="131"/>
      <c r="M353" s="131"/>
      <c r="N353" s="131"/>
      <c r="O353" s="131"/>
      <c r="P353" s="131"/>
    </row>
    <row r="356" spans="3:16">
      <c r="C356" s="701" t="s">
        <v>1663</v>
      </c>
    </row>
    <row r="357" spans="3:16" ht="15.75" thickBot="1"/>
    <row r="358" spans="3:16" ht="15.75" thickBot="1">
      <c r="D358" s="342" t="s">
        <v>1664</v>
      </c>
      <c r="E358" s="407"/>
    </row>
    <row r="359" spans="3:16">
      <c r="D359" s="336" t="s">
        <v>536</v>
      </c>
      <c r="E359" s="438"/>
    </row>
    <row r="360" spans="3:16">
      <c r="D360" s="229" t="s">
        <v>537</v>
      </c>
      <c r="E360" s="439"/>
    </row>
    <row r="361" spans="3:16">
      <c r="D361" s="336" t="s">
        <v>538</v>
      </c>
      <c r="E361" s="440"/>
    </row>
    <row r="362" spans="3:16" ht="21">
      <c r="D362" s="229" t="s">
        <v>539</v>
      </c>
      <c r="E362" s="441"/>
    </row>
    <row r="363" spans="3:16" ht="31.5">
      <c r="D363" s="229" t="s">
        <v>540</v>
      </c>
      <c r="E363" s="442"/>
    </row>
    <row r="364" spans="3:16" ht="21">
      <c r="D364" s="229" t="s">
        <v>541</v>
      </c>
      <c r="E364" s="441"/>
    </row>
    <row r="365" spans="3:16" ht="21">
      <c r="D365" s="229" t="s">
        <v>542</v>
      </c>
      <c r="E365" s="441"/>
    </row>
    <row r="366" spans="3:16" ht="21">
      <c r="D366" s="229" t="s">
        <v>543</v>
      </c>
      <c r="E366" s="441"/>
    </row>
    <row r="369" spans="3:16">
      <c r="C369" s="701" t="s">
        <v>1665</v>
      </c>
      <c r="D369" s="246"/>
    </row>
    <row r="370" spans="3:16" ht="9.9499999999999993" customHeight="1">
      <c r="C370" s="246"/>
      <c r="D370" s="246"/>
    </row>
    <row r="371" spans="3:16">
      <c r="C371" s="701" t="s">
        <v>1714</v>
      </c>
      <c r="D371" s="246"/>
    </row>
    <row r="372" spans="3:16">
      <c r="C372" s="424"/>
      <c r="D372" s="246"/>
    </row>
    <row r="373" spans="3:16">
      <c r="C373" s="701" t="s">
        <v>1688</v>
      </c>
      <c r="D373" s="246"/>
    </row>
    <row r="374" spans="3:16" ht="15.75" thickBot="1"/>
    <row r="375" spans="3:16" ht="15" customHeight="1" thickBot="1">
      <c r="D375" s="24"/>
      <c r="E375" s="24" t="s">
        <v>1667</v>
      </c>
      <c r="F375" s="1688" t="s">
        <v>1685</v>
      </c>
      <c r="G375" s="1689"/>
      <c r="H375" s="1690"/>
    </row>
    <row r="376" spans="3:16" ht="15.75" thickBot="1">
      <c r="D376" s="337"/>
      <c r="E376" s="337"/>
    </row>
    <row r="377" spans="3:16" ht="15" customHeight="1" thickBot="1">
      <c r="D377" s="24"/>
      <c r="E377" s="24" t="s">
        <v>1668</v>
      </c>
      <c r="F377" s="1691" t="s">
        <v>4134</v>
      </c>
      <c r="G377" s="1692"/>
      <c r="H377" s="1693"/>
    </row>
    <row r="378" spans="3:16" ht="15.75" thickBot="1"/>
    <row r="379" spans="3:16">
      <c r="D379" s="1569" t="s">
        <v>1687</v>
      </c>
      <c r="E379" s="1569" t="s">
        <v>833</v>
      </c>
      <c r="F379" s="1569" t="s">
        <v>1669</v>
      </c>
      <c r="G379" s="1686" t="s">
        <v>1670</v>
      </c>
      <c r="H379" s="1686" t="s">
        <v>544</v>
      </c>
      <c r="I379" s="1569" t="s">
        <v>1670</v>
      </c>
      <c r="J379" s="1569" t="s">
        <v>1671</v>
      </c>
      <c r="K379" s="1686" t="s">
        <v>1672</v>
      </c>
      <c r="L379" s="1686" t="s">
        <v>1673</v>
      </c>
      <c r="M379" s="1569" t="s">
        <v>1674</v>
      </c>
      <c r="N379" s="1685"/>
      <c r="O379" s="1685"/>
      <c r="P379" s="1685"/>
    </row>
    <row r="380" spans="3:16" ht="54.95" customHeight="1" thickBot="1">
      <c r="D380" s="1570"/>
      <c r="E380" s="1570"/>
      <c r="F380" s="1570"/>
      <c r="G380" s="1687"/>
      <c r="H380" s="1687"/>
      <c r="I380" s="1570"/>
      <c r="J380" s="1570"/>
      <c r="K380" s="1687"/>
      <c r="L380" s="1687"/>
      <c r="M380" s="1570"/>
      <c r="N380" s="1685"/>
      <c r="O380" s="1685"/>
      <c r="P380" s="1685"/>
    </row>
    <row r="381" spans="3:16">
      <c r="D381" s="229" t="s">
        <v>1675</v>
      </c>
      <c r="E381" s="425">
        <v>0</v>
      </c>
      <c r="F381" s="89">
        <v>0</v>
      </c>
      <c r="G381" s="1407">
        <v>0.37572906984052473</v>
      </c>
      <c r="H381" s="449">
        <v>0</v>
      </c>
      <c r="I381" s="1221">
        <v>0.12991840350142825</v>
      </c>
      <c r="J381" s="89">
        <v>0</v>
      </c>
      <c r="K381" s="1416">
        <v>0.28571428571428598</v>
      </c>
      <c r="L381" s="449">
        <v>0</v>
      </c>
      <c r="M381" s="66">
        <v>0</v>
      </c>
      <c r="N381" s="373"/>
      <c r="O381" s="374"/>
      <c r="P381" s="374"/>
    </row>
    <row r="382" spans="3:16">
      <c r="D382" s="229" t="s">
        <v>1676</v>
      </c>
      <c r="E382" s="427">
        <v>0</v>
      </c>
      <c r="F382" s="393">
        <v>0</v>
      </c>
      <c r="G382" s="1408">
        <v>0.88405151612558019</v>
      </c>
      <c r="H382" s="393">
        <v>0</v>
      </c>
      <c r="I382" s="1412">
        <v>3.2308138096693202E-2</v>
      </c>
      <c r="J382" s="393">
        <v>0</v>
      </c>
      <c r="K382" s="1412">
        <v>0.28571428571428598</v>
      </c>
      <c r="L382" s="393">
        <v>0</v>
      </c>
      <c r="M382" s="204">
        <v>0</v>
      </c>
      <c r="N382" s="374"/>
      <c r="O382" s="374"/>
      <c r="P382" s="374"/>
    </row>
    <row r="383" spans="3:16">
      <c r="D383" s="229" t="s">
        <v>1677</v>
      </c>
      <c r="E383" s="427">
        <v>0</v>
      </c>
      <c r="F383" s="393">
        <v>0</v>
      </c>
      <c r="G383" s="1408">
        <v>7.1979966621369046E-2</v>
      </c>
      <c r="H383" s="393">
        <v>0</v>
      </c>
      <c r="I383" s="1412">
        <v>0.70299315021901099</v>
      </c>
      <c r="J383" s="393">
        <v>0</v>
      </c>
      <c r="K383" s="1412">
        <v>0.28571428571428598</v>
      </c>
      <c r="L383" s="393">
        <v>0</v>
      </c>
      <c r="M383" s="204">
        <v>0</v>
      </c>
      <c r="N383" s="374"/>
      <c r="O383" s="374"/>
      <c r="P383" s="374"/>
    </row>
    <row r="384" spans="3:16">
      <c r="D384" s="229" t="s">
        <v>1678</v>
      </c>
      <c r="E384" s="427">
        <v>0</v>
      </c>
      <c r="F384" s="393">
        <v>0</v>
      </c>
      <c r="G384" s="1408">
        <v>0.56384014734622256</v>
      </c>
      <c r="H384" s="393">
        <v>0</v>
      </c>
      <c r="I384" s="1412">
        <v>0.1520382969256151</v>
      </c>
      <c r="J384" s="393">
        <v>0</v>
      </c>
      <c r="K384" s="1412">
        <v>0.28571428571428598</v>
      </c>
      <c r="L384" s="393">
        <v>0</v>
      </c>
      <c r="M384" s="204">
        <v>0</v>
      </c>
      <c r="N384" s="131"/>
      <c r="O384" s="131"/>
      <c r="P384" s="131"/>
    </row>
    <row r="385" spans="4:16">
      <c r="D385" s="229" t="s">
        <v>1679</v>
      </c>
      <c r="E385" s="445">
        <v>0</v>
      </c>
      <c r="F385" s="443">
        <v>0</v>
      </c>
      <c r="G385" s="1409">
        <v>8.7511748317146046E-2</v>
      </c>
      <c r="H385" s="443">
        <v>0</v>
      </c>
      <c r="I385" s="1413">
        <v>0.47166450402770116</v>
      </c>
      <c r="J385" s="471">
        <v>0</v>
      </c>
      <c r="K385" s="1413">
        <v>0.28571428571428598</v>
      </c>
      <c r="L385" s="471">
        <v>0</v>
      </c>
      <c r="M385" s="469">
        <v>0</v>
      </c>
    </row>
    <row r="386" spans="4:16">
      <c r="D386" s="229" t="s">
        <v>1680</v>
      </c>
      <c r="E386" s="445">
        <v>0</v>
      </c>
      <c r="F386" s="443">
        <v>0</v>
      </c>
      <c r="G386" s="1409">
        <v>0.32266175155043825</v>
      </c>
      <c r="H386" s="443">
        <v>0</v>
      </c>
      <c r="I386" s="1413">
        <v>0.55124906101250082</v>
      </c>
      <c r="J386" s="471">
        <v>0</v>
      </c>
      <c r="K386" s="1413">
        <v>0.28571428571428598</v>
      </c>
      <c r="L386" s="471">
        <v>0</v>
      </c>
      <c r="M386" s="469">
        <v>0</v>
      </c>
    </row>
    <row r="387" spans="4:16">
      <c r="D387" s="229" t="s">
        <v>1681</v>
      </c>
      <c r="E387" s="445">
        <v>0</v>
      </c>
      <c r="F387" s="443">
        <v>0</v>
      </c>
      <c r="G387" s="1409">
        <v>2.2090143419725157E-2</v>
      </c>
      <c r="H387" s="443">
        <v>0</v>
      </c>
      <c r="I387" s="1413">
        <v>2.2823374152995065E-2</v>
      </c>
      <c r="J387" s="471">
        <v>0</v>
      </c>
      <c r="K387" s="1413">
        <v>0.28571428571428598</v>
      </c>
      <c r="L387" s="471">
        <v>0</v>
      </c>
      <c r="M387" s="469">
        <v>0</v>
      </c>
    </row>
    <row r="388" spans="4:16">
      <c r="D388" s="229" t="s">
        <v>1682</v>
      </c>
      <c r="E388" s="445">
        <v>0</v>
      </c>
      <c r="F388" s="443">
        <v>0</v>
      </c>
      <c r="G388" s="1409">
        <v>6.0603488873055174E-2</v>
      </c>
      <c r="H388" s="443">
        <v>0</v>
      </c>
      <c r="I388" s="1413">
        <v>6.2615080185107308E-2</v>
      </c>
      <c r="J388" s="471">
        <v>0</v>
      </c>
      <c r="K388" s="1413">
        <v>0.28571428571428598</v>
      </c>
      <c r="L388" s="471">
        <v>0</v>
      </c>
      <c r="M388" s="469">
        <v>0</v>
      </c>
    </row>
    <row r="389" spans="4:16">
      <c r="D389" s="229" t="s">
        <v>1683</v>
      </c>
      <c r="E389" s="445">
        <v>1</v>
      </c>
      <c r="F389" s="443">
        <v>343</v>
      </c>
      <c r="G389" s="1409">
        <v>0.97045775849461313</v>
      </c>
      <c r="H389" s="443">
        <v>260</v>
      </c>
      <c r="I389" s="1413">
        <v>0</v>
      </c>
      <c r="J389" s="471">
        <v>333</v>
      </c>
      <c r="K389" s="1413">
        <v>0.28571428571428598</v>
      </c>
      <c r="L389" s="471">
        <v>95</v>
      </c>
      <c r="M389" s="469">
        <v>2563</v>
      </c>
    </row>
    <row r="390" spans="4:16" ht="15.75" thickBot="1">
      <c r="D390" s="229" t="s">
        <v>1684</v>
      </c>
      <c r="E390" s="446"/>
      <c r="F390" s="444"/>
      <c r="G390" s="1410"/>
      <c r="H390" s="444"/>
      <c r="I390" s="1414"/>
      <c r="J390" s="472"/>
      <c r="K390" s="1414"/>
      <c r="L390" s="472"/>
      <c r="M390" s="470"/>
    </row>
    <row r="391" spans="4:16" ht="15.75" thickBot="1">
      <c r="D391" s="342" t="s">
        <v>432</v>
      </c>
      <c r="E391" s="450">
        <f>+SUM(E381:E390)</f>
        <v>1</v>
      </c>
      <c r="F391" s="1417">
        <f t="shared" ref="F391:M391" si="6">+SUM(F381:F390)</f>
        <v>343</v>
      </c>
      <c r="G391" s="1411"/>
      <c r="H391" s="1417">
        <f t="shared" si="6"/>
        <v>260</v>
      </c>
      <c r="I391" s="1415"/>
      <c r="J391" s="1417">
        <f t="shared" si="6"/>
        <v>333</v>
      </c>
      <c r="K391" s="1415"/>
      <c r="L391" s="1417">
        <f t="shared" si="6"/>
        <v>95</v>
      </c>
      <c r="M391" s="1417">
        <f t="shared" si="6"/>
        <v>2563</v>
      </c>
    </row>
    <row r="392" spans="4:16" ht="15.75" thickBot="1">
      <c r="D392" s="1398"/>
      <c r="E392" s="1401"/>
      <c r="F392" s="1405"/>
      <c r="G392" s="1406"/>
      <c r="H392" s="1405"/>
      <c r="I392" s="1402"/>
      <c r="J392" s="1403"/>
      <c r="K392" s="1402"/>
      <c r="L392" s="1403"/>
      <c r="M392" s="1404"/>
    </row>
    <row r="393" spans="4:16" ht="15" customHeight="1" thickBot="1">
      <c r="D393" s="24"/>
      <c r="E393" s="24" t="s">
        <v>1667</v>
      </c>
      <c r="F393" s="1688" t="s">
        <v>1685</v>
      </c>
      <c r="G393" s="1689"/>
      <c r="H393" s="1690"/>
    </row>
    <row r="394" spans="4:16" ht="15.75" thickBot="1">
      <c r="D394" s="1398"/>
      <c r="E394" s="1398"/>
    </row>
    <row r="395" spans="4:16" ht="15" customHeight="1" thickBot="1">
      <c r="D395" s="24"/>
      <c r="E395" s="24" t="s">
        <v>1668</v>
      </c>
      <c r="F395" s="1691" t="s">
        <v>4135</v>
      </c>
      <c r="G395" s="1692"/>
      <c r="H395" s="1693"/>
    </row>
    <row r="396" spans="4:16" ht="15.75" thickBot="1"/>
    <row r="397" spans="4:16">
      <c r="D397" s="1569" t="s">
        <v>1687</v>
      </c>
      <c r="E397" s="1569" t="s">
        <v>833</v>
      </c>
      <c r="F397" s="1569" t="s">
        <v>1669</v>
      </c>
      <c r="G397" s="1686" t="s">
        <v>1670</v>
      </c>
      <c r="H397" s="1686" t="s">
        <v>544</v>
      </c>
      <c r="I397" s="1569" t="s">
        <v>1670</v>
      </c>
      <c r="J397" s="1569" t="s">
        <v>1671</v>
      </c>
      <c r="K397" s="1686" t="s">
        <v>1672</v>
      </c>
      <c r="L397" s="1686" t="s">
        <v>1673</v>
      </c>
      <c r="M397" s="1569" t="s">
        <v>1674</v>
      </c>
      <c r="N397" s="1685"/>
      <c r="O397" s="1685"/>
      <c r="P397" s="1685"/>
    </row>
    <row r="398" spans="4:16" ht="54.95" customHeight="1" thickBot="1">
      <c r="D398" s="1570"/>
      <c r="E398" s="1570"/>
      <c r="F398" s="1570"/>
      <c r="G398" s="1687"/>
      <c r="H398" s="1687"/>
      <c r="I398" s="1570"/>
      <c r="J398" s="1570"/>
      <c r="K398" s="1687"/>
      <c r="L398" s="1687"/>
      <c r="M398" s="1570"/>
      <c r="N398" s="1685"/>
      <c r="O398" s="1685"/>
      <c r="P398" s="1685"/>
    </row>
    <row r="399" spans="4:16">
      <c r="D399" s="740" t="s">
        <v>1675</v>
      </c>
      <c r="E399" s="425">
        <v>0</v>
      </c>
      <c r="F399" s="89">
        <v>0</v>
      </c>
      <c r="G399" s="1407">
        <v>0.37572906984052473</v>
      </c>
      <c r="H399" s="449">
        <v>0</v>
      </c>
      <c r="I399" s="1407">
        <v>0.12991840350142825</v>
      </c>
      <c r="J399" s="89">
        <v>0</v>
      </c>
      <c r="K399" s="1407">
        <v>0.5714285714285714</v>
      </c>
      <c r="L399" s="449">
        <v>0</v>
      </c>
      <c r="M399" s="66">
        <v>0</v>
      </c>
      <c r="N399" s="373"/>
      <c r="O399" s="374"/>
      <c r="P399" s="374"/>
    </row>
    <row r="400" spans="4:16">
      <c r="D400" s="740" t="s">
        <v>1676</v>
      </c>
      <c r="E400" s="427">
        <v>0</v>
      </c>
      <c r="F400" s="393">
        <v>0</v>
      </c>
      <c r="G400" s="1408">
        <v>0.88405151612558019</v>
      </c>
      <c r="H400" s="393">
        <v>0</v>
      </c>
      <c r="I400" s="1408">
        <v>3.2308138096693202E-2</v>
      </c>
      <c r="J400" s="393">
        <v>0</v>
      </c>
      <c r="K400" s="1408">
        <v>0.5714285714285714</v>
      </c>
      <c r="L400" s="393">
        <v>0</v>
      </c>
      <c r="M400" s="204">
        <v>0</v>
      </c>
      <c r="N400" s="374"/>
      <c r="O400" s="374"/>
      <c r="P400" s="374"/>
    </row>
    <row r="401" spans="4:16">
      <c r="D401" s="740" t="s">
        <v>1677</v>
      </c>
      <c r="E401" s="427">
        <v>0</v>
      </c>
      <c r="F401" s="393">
        <v>0</v>
      </c>
      <c r="G401" s="1408">
        <v>7.1979966621369046E-2</v>
      </c>
      <c r="H401" s="393">
        <v>0</v>
      </c>
      <c r="I401" s="1408">
        <v>0.70299315021901099</v>
      </c>
      <c r="J401" s="393">
        <v>0</v>
      </c>
      <c r="K401" s="1408">
        <v>0.5714285714285714</v>
      </c>
      <c r="L401" s="393">
        <v>0</v>
      </c>
      <c r="M401" s="204">
        <v>0</v>
      </c>
      <c r="N401" s="374"/>
      <c r="O401" s="374"/>
      <c r="P401" s="374"/>
    </row>
    <row r="402" spans="4:16">
      <c r="D402" s="740" t="s">
        <v>1678</v>
      </c>
      <c r="E402" s="427">
        <v>0</v>
      </c>
      <c r="F402" s="393">
        <v>0</v>
      </c>
      <c r="G402" s="1408">
        <v>0.56384014734622256</v>
      </c>
      <c r="H402" s="393">
        <v>0</v>
      </c>
      <c r="I402" s="1408">
        <v>0.1520382969256151</v>
      </c>
      <c r="J402" s="393">
        <v>0</v>
      </c>
      <c r="K402" s="1408">
        <v>0.5714285714285714</v>
      </c>
      <c r="L402" s="393">
        <v>0</v>
      </c>
      <c r="M402" s="204">
        <v>0</v>
      </c>
      <c r="N402" s="131"/>
      <c r="O402" s="131"/>
      <c r="P402" s="131"/>
    </row>
    <row r="403" spans="4:16">
      <c r="D403" s="740" t="s">
        <v>1679</v>
      </c>
      <c r="E403" s="1418">
        <v>0</v>
      </c>
      <c r="F403" s="1419">
        <v>0</v>
      </c>
      <c r="G403" s="1420">
        <v>8.7511748317146046E-2</v>
      </c>
      <c r="H403" s="1419">
        <v>0</v>
      </c>
      <c r="I403" s="1420">
        <v>0.47166450402770116</v>
      </c>
      <c r="J403" s="1421">
        <v>0</v>
      </c>
      <c r="K403" s="1420">
        <v>0.5714285714285714</v>
      </c>
      <c r="L403" s="1421">
        <v>0</v>
      </c>
      <c r="M403" s="1422">
        <v>0</v>
      </c>
    </row>
    <row r="404" spans="4:16">
      <c r="D404" s="740" t="s">
        <v>1680</v>
      </c>
      <c r="E404" s="1418">
        <v>0</v>
      </c>
      <c r="F404" s="1419">
        <v>0</v>
      </c>
      <c r="G404" s="1420">
        <v>0.32266175155043825</v>
      </c>
      <c r="H404" s="1419">
        <v>0</v>
      </c>
      <c r="I404" s="1420">
        <v>0.55124906101250082</v>
      </c>
      <c r="J404" s="1421">
        <v>0</v>
      </c>
      <c r="K404" s="1420">
        <v>0.5714285714285714</v>
      </c>
      <c r="L404" s="1421">
        <v>0</v>
      </c>
      <c r="M404" s="1422">
        <v>0</v>
      </c>
    </row>
    <row r="405" spans="4:16">
      <c r="D405" s="740" t="s">
        <v>1681</v>
      </c>
      <c r="E405" s="1418">
        <v>1</v>
      </c>
      <c r="F405" s="1419">
        <v>3418</v>
      </c>
      <c r="G405" s="1420">
        <v>2.2090143419725157E-2</v>
      </c>
      <c r="H405" s="1419">
        <v>468</v>
      </c>
      <c r="I405" s="1420">
        <v>2.2823374152995065E-2</v>
      </c>
      <c r="J405" s="1421">
        <v>24</v>
      </c>
      <c r="K405" s="1420">
        <v>0.5714285714285714</v>
      </c>
      <c r="L405" s="1421">
        <v>14</v>
      </c>
      <c r="M405" s="1422">
        <v>373</v>
      </c>
    </row>
    <row r="406" spans="4:16">
      <c r="D406" s="740" t="s">
        <v>1682</v>
      </c>
      <c r="E406" s="1418">
        <v>0</v>
      </c>
      <c r="F406" s="1419">
        <v>0</v>
      </c>
      <c r="G406" s="1420">
        <v>6.0603488873055174E-2</v>
      </c>
      <c r="H406" s="1419">
        <v>0</v>
      </c>
      <c r="I406" s="1420">
        <v>6.2615080185107308E-2</v>
      </c>
      <c r="J406" s="1421">
        <v>0</v>
      </c>
      <c r="K406" s="1420">
        <v>0.5714285714285714</v>
      </c>
      <c r="L406" s="1421">
        <v>0</v>
      </c>
      <c r="M406" s="1422">
        <v>0</v>
      </c>
    </row>
    <row r="407" spans="4:16">
      <c r="D407" s="740" t="s">
        <v>1683</v>
      </c>
      <c r="E407" s="1418">
        <v>2</v>
      </c>
      <c r="F407" s="1419">
        <v>1128</v>
      </c>
      <c r="G407" s="1420">
        <v>0.97045775849461313</v>
      </c>
      <c r="H407" s="1419">
        <v>839</v>
      </c>
      <c r="I407" s="1420">
        <v>0</v>
      </c>
      <c r="J407" s="1421">
        <v>1094</v>
      </c>
      <c r="K407" s="1420">
        <v>0.5714285714285714</v>
      </c>
      <c r="L407" s="1421">
        <v>625</v>
      </c>
      <c r="M407" s="1422">
        <v>16864</v>
      </c>
    </row>
    <row r="408" spans="4:16" ht="15.75" thickBot="1">
      <c r="D408" s="740" t="s">
        <v>1684</v>
      </c>
      <c r="E408" s="446"/>
      <c r="F408" s="444"/>
      <c r="G408" s="448"/>
      <c r="H408" s="444"/>
      <c r="I408" s="463"/>
      <c r="J408" s="472"/>
      <c r="K408" s="463"/>
      <c r="L408" s="472"/>
      <c r="M408" s="470"/>
    </row>
    <row r="409" spans="4:16" ht="15.75" thickBot="1">
      <c r="D409" s="1399" t="s">
        <v>432</v>
      </c>
      <c r="E409" s="450">
        <f>+SUM(E399:E408)</f>
        <v>3</v>
      </c>
      <c r="F409" s="1417">
        <f t="shared" ref="F409:M409" si="7">+SUM(F399:F408)</f>
        <v>4546</v>
      </c>
      <c r="G409" s="450"/>
      <c r="H409" s="1417">
        <f t="shared" si="7"/>
        <v>1307</v>
      </c>
      <c r="I409" s="450"/>
      <c r="J409" s="1417">
        <f t="shared" si="7"/>
        <v>1118</v>
      </c>
      <c r="K409" s="450"/>
      <c r="L409" s="1417">
        <f t="shared" si="7"/>
        <v>639</v>
      </c>
      <c r="M409" s="1417">
        <f t="shared" si="7"/>
        <v>17237</v>
      </c>
    </row>
    <row r="410" spans="4:16" ht="15.75" thickBot="1"/>
    <row r="411" spans="4:16" ht="15" customHeight="1" thickBot="1">
      <c r="D411" s="24"/>
      <c r="E411" s="24" t="s">
        <v>1667</v>
      </c>
      <c r="F411" s="1688" t="s">
        <v>1686</v>
      </c>
      <c r="G411" s="1689"/>
      <c r="H411" s="1690"/>
    </row>
    <row r="412" spans="4:16" ht="15.75" thickBot="1">
      <c r="D412" s="1398"/>
      <c r="E412" s="1398"/>
    </row>
    <row r="413" spans="4:16" ht="15" customHeight="1" thickBot="1">
      <c r="D413" s="24"/>
      <c r="E413" s="24" t="s">
        <v>1668</v>
      </c>
      <c r="F413" s="1691" t="s">
        <v>4135</v>
      </c>
      <c r="G413" s="1692"/>
      <c r="H413" s="1693"/>
    </row>
    <row r="414" spans="4:16" ht="15.75" thickBot="1"/>
    <row r="415" spans="4:16">
      <c r="D415" s="1569" t="s">
        <v>1687</v>
      </c>
      <c r="E415" s="1569" t="s">
        <v>833</v>
      </c>
      <c r="F415" s="1569" t="s">
        <v>1669</v>
      </c>
      <c r="G415" s="1686" t="s">
        <v>1670</v>
      </c>
      <c r="H415" s="1686" t="s">
        <v>544</v>
      </c>
      <c r="I415" s="1569" t="s">
        <v>1670</v>
      </c>
      <c r="J415" s="1569" t="s">
        <v>1671</v>
      </c>
      <c r="K415" s="1686" t="s">
        <v>1672</v>
      </c>
      <c r="L415" s="1686" t="s">
        <v>1673</v>
      </c>
      <c r="M415" s="1569" t="s">
        <v>1674</v>
      </c>
      <c r="N415" s="1685"/>
      <c r="O415" s="1685"/>
      <c r="P415" s="1685"/>
    </row>
    <row r="416" spans="4:16" ht="54.95" customHeight="1" thickBot="1">
      <c r="D416" s="1570"/>
      <c r="E416" s="1570"/>
      <c r="F416" s="1570"/>
      <c r="G416" s="1687"/>
      <c r="H416" s="1687"/>
      <c r="I416" s="1570"/>
      <c r="J416" s="1570"/>
      <c r="K416" s="1687"/>
      <c r="L416" s="1687"/>
      <c r="M416" s="1570"/>
      <c r="N416" s="1685"/>
      <c r="O416" s="1685"/>
      <c r="P416" s="1685"/>
    </row>
    <row r="417" spans="4:16">
      <c r="D417" s="740" t="s">
        <v>1675</v>
      </c>
      <c r="E417" s="425">
        <v>0</v>
      </c>
      <c r="F417" s="89">
        <v>0</v>
      </c>
      <c r="G417" s="1407">
        <v>0.26765470463623769</v>
      </c>
      <c r="H417" s="449">
        <v>0</v>
      </c>
      <c r="I417" s="1407">
        <v>0.14485357341126393</v>
      </c>
      <c r="J417" s="89">
        <v>0</v>
      </c>
      <c r="K417" s="1407">
        <v>0.5</v>
      </c>
      <c r="L417" s="449">
        <v>0</v>
      </c>
      <c r="M417" s="66">
        <v>0</v>
      </c>
      <c r="N417" s="373"/>
      <c r="O417" s="374"/>
      <c r="P417" s="374"/>
    </row>
    <row r="418" spans="4:16">
      <c r="D418" s="740" t="s">
        <v>1676</v>
      </c>
      <c r="E418" s="427">
        <v>0</v>
      </c>
      <c r="F418" s="393">
        <v>0</v>
      </c>
      <c r="G418" s="1408">
        <v>0.84908273520217181</v>
      </c>
      <c r="H418" s="393">
        <v>0</v>
      </c>
      <c r="I418" s="1408">
        <v>5.3422549959611335E-2</v>
      </c>
      <c r="J418" s="393">
        <v>0</v>
      </c>
      <c r="K418" s="1408">
        <v>0.5</v>
      </c>
      <c r="L418" s="393">
        <v>0</v>
      </c>
      <c r="M418" s="204">
        <v>0</v>
      </c>
      <c r="N418" s="374"/>
      <c r="O418" s="374"/>
      <c r="P418" s="374"/>
    </row>
    <row r="419" spans="4:16">
      <c r="D419" s="740" t="s">
        <v>1677</v>
      </c>
      <c r="E419" s="427">
        <v>0</v>
      </c>
      <c r="F419" s="393">
        <v>0</v>
      </c>
      <c r="G419" s="1408">
        <v>6.1855823195751426E-2</v>
      </c>
      <c r="H419" s="393">
        <v>0</v>
      </c>
      <c r="I419" s="1408">
        <v>0.68591057528015942</v>
      </c>
      <c r="J419" s="393">
        <v>0</v>
      </c>
      <c r="K419" s="1408">
        <v>0.5</v>
      </c>
      <c r="L419" s="393">
        <v>0</v>
      </c>
      <c r="M419" s="204">
        <v>0</v>
      </c>
      <c r="N419" s="374"/>
      <c r="O419" s="374"/>
      <c r="P419" s="374"/>
    </row>
    <row r="420" spans="4:16">
      <c r="D420" s="740" t="s">
        <v>1678</v>
      </c>
      <c r="E420" s="427">
        <v>0</v>
      </c>
      <c r="F420" s="393">
        <v>0</v>
      </c>
      <c r="G420" s="1408">
        <v>0.53730351891054706</v>
      </c>
      <c r="H420" s="393">
        <v>0</v>
      </c>
      <c r="I420" s="1408">
        <v>0.18861961740421576</v>
      </c>
      <c r="J420" s="393">
        <v>0</v>
      </c>
      <c r="K420" s="1408">
        <v>0.5</v>
      </c>
      <c r="L420" s="393">
        <v>0</v>
      </c>
      <c r="M420" s="204">
        <v>0</v>
      </c>
      <c r="N420" s="131"/>
      <c r="O420" s="131"/>
      <c r="P420" s="131"/>
    </row>
    <row r="421" spans="4:16">
      <c r="D421" s="740" t="s">
        <v>1679</v>
      </c>
      <c r="E421" s="1418">
        <v>0</v>
      </c>
      <c r="F421" s="1419">
        <v>0</v>
      </c>
      <c r="G421" s="1420">
        <v>6.8587262589887704E-2</v>
      </c>
      <c r="H421" s="1419">
        <v>0</v>
      </c>
      <c r="I421" s="1420">
        <v>0.46878580431505329</v>
      </c>
      <c r="J421" s="1421">
        <v>0</v>
      </c>
      <c r="K421" s="1420">
        <v>0.5</v>
      </c>
      <c r="L421" s="1421">
        <v>0</v>
      </c>
      <c r="M421" s="1422">
        <v>0</v>
      </c>
    </row>
    <row r="422" spans="4:16">
      <c r="D422" s="740" t="s">
        <v>1680</v>
      </c>
      <c r="E422" s="1418">
        <v>0</v>
      </c>
      <c r="F422" s="1419">
        <v>0</v>
      </c>
      <c r="G422" s="1420">
        <v>0.2964041031117029</v>
      </c>
      <c r="H422" s="1419">
        <v>0</v>
      </c>
      <c r="I422" s="1420">
        <v>0.57381963001557945</v>
      </c>
      <c r="J422" s="1421">
        <v>0</v>
      </c>
      <c r="K422" s="1420">
        <v>0.5</v>
      </c>
      <c r="L422" s="1421">
        <v>0</v>
      </c>
      <c r="M422" s="1422">
        <v>0</v>
      </c>
    </row>
    <row r="423" spans="4:16">
      <c r="D423" s="740" t="s">
        <v>1681</v>
      </c>
      <c r="E423" s="1418">
        <v>0</v>
      </c>
      <c r="F423" s="1419">
        <v>0</v>
      </c>
      <c r="G423" s="1420">
        <v>1.4872161623080736E-2</v>
      </c>
      <c r="H423" s="1419">
        <v>0</v>
      </c>
      <c r="I423" s="1420">
        <v>2.4487551561187378E-2</v>
      </c>
      <c r="J423" s="1421">
        <v>0</v>
      </c>
      <c r="K423" s="1420">
        <v>0.5</v>
      </c>
      <c r="L423" s="1421">
        <v>0</v>
      </c>
      <c r="M423" s="1422">
        <v>0</v>
      </c>
    </row>
    <row r="424" spans="4:16">
      <c r="D424" s="740" t="s">
        <v>1682</v>
      </c>
      <c r="E424" s="1418">
        <v>3</v>
      </c>
      <c r="F424" s="1419">
        <v>2972</v>
      </c>
      <c r="G424" s="1420">
        <v>3.6184989950201259E-2</v>
      </c>
      <c r="H424" s="1419">
        <v>2185</v>
      </c>
      <c r="I424" s="1420">
        <v>5.9579893602786871E-2</v>
      </c>
      <c r="J424" s="1421">
        <v>238</v>
      </c>
      <c r="K424" s="1420">
        <v>0.5</v>
      </c>
      <c r="L424" s="1421">
        <v>119</v>
      </c>
      <c r="M424" s="1422">
        <v>3205</v>
      </c>
    </row>
    <row r="425" spans="4:16">
      <c r="D425" s="740" t="s">
        <v>1683</v>
      </c>
      <c r="E425" s="1418">
        <v>0</v>
      </c>
      <c r="F425" s="1419">
        <v>0</v>
      </c>
      <c r="G425" s="1420">
        <v>0.97228097517533119</v>
      </c>
      <c r="H425" s="1419">
        <v>0</v>
      </c>
      <c r="I425" s="1420">
        <v>0</v>
      </c>
      <c r="J425" s="1421">
        <v>0</v>
      </c>
      <c r="K425" s="1420">
        <v>0.5</v>
      </c>
      <c r="L425" s="1421">
        <v>0</v>
      </c>
      <c r="M425" s="1422">
        <v>0</v>
      </c>
    </row>
    <row r="426" spans="4:16" ht="15.75" thickBot="1">
      <c r="D426" s="740" t="s">
        <v>1684</v>
      </c>
      <c r="E426" s="446"/>
      <c r="F426" s="444"/>
      <c r="G426" s="448"/>
      <c r="H426" s="444"/>
      <c r="I426" s="463"/>
      <c r="J426" s="472"/>
      <c r="K426" s="463"/>
      <c r="L426" s="472"/>
      <c r="M426" s="470"/>
    </row>
    <row r="427" spans="4:16" ht="15.75" thickBot="1">
      <c r="D427" s="1399" t="s">
        <v>432</v>
      </c>
      <c r="E427" s="1417">
        <f>+SUM(E417:E426)</f>
        <v>3</v>
      </c>
      <c r="F427" s="1417">
        <f t="shared" ref="F427" si="8">+SUM(F417:F426)</f>
        <v>2972</v>
      </c>
      <c r="G427" s="1417"/>
      <c r="H427" s="1417">
        <f t="shared" ref="H427" si="9">+SUM(H417:H426)</f>
        <v>2185</v>
      </c>
      <c r="I427" s="1417"/>
      <c r="J427" s="1417">
        <f t="shared" ref="J427" si="10">+SUM(J417:J426)</f>
        <v>238</v>
      </c>
      <c r="K427" s="1417"/>
      <c r="L427" s="1417">
        <f t="shared" ref="L427" si="11">+SUM(L417:L426)</f>
        <v>119</v>
      </c>
      <c r="M427" s="1417">
        <f t="shared" ref="M427" si="12">+SUM(M417:M426)</f>
        <v>3205</v>
      </c>
    </row>
    <row r="428" spans="4:16" ht="15.75" thickBot="1"/>
    <row r="429" spans="4:16" ht="15" customHeight="1" thickBot="1">
      <c r="D429" s="24"/>
      <c r="E429" s="24" t="s">
        <v>1667</v>
      </c>
      <c r="F429" s="1688" t="s">
        <v>1685</v>
      </c>
      <c r="G429" s="1689"/>
      <c r="H429" s="1690"/>
    </row>
    <row r="430" spans="4:16" ht="15.75" thickBot="1">
      <c r="D430" s="1398"/>
      <c r="E430" s="1398"/>
    </row>
    <row r="431" spans="4:16" ht="15" customHeight="1" thickBot="1">
      <c r="D431" s="24"/>
      <c r="E431" s="24" t="s">
        <v>1668</v>
      </c>
      <c r="F431" s="1691" t="s">
        <v>4136</v>
      </c>
      <c r="G431" s="1692"/>
      <c r="H431" s="1693"/>
    </row>
    <row r="432" spans="4:16" ht="15.75" thickBot="1"/>
    <row r="433" spans="4:16">
      <c r="D433" s="1569" t="s">
        <v>1687</v>
      </c>
      <c r="E433" s="1569" t="s">
        <v>833</v>
      </c>
      <c r="F433" s="1569" t="s">
        <v>1669</v>
      </c>
      <c r="G433" s="1686" t="s">
        <v>1670</v>
      </c>
      <c r="H433" s="1686" t="s">
        <v>544</v>
      </c>
      <c r="I433" s="1569" t="s">
        <v>1670</v>
      </c>
      <c r="J433" s="1569" t="s">
        <v>1671</v>
      </c>
      <c r="K433" s="1686" t="s">
        <v>1672</v>
      </c>
      <c r="L433" s="1686" t="s">
        <v>1673</v>
      </c>
      <c r="M433" s="1569" t="s">
        <v>1674</v>
      </c>
      <c r="N433" s="1685"/>
      <c r="O433" s="1685"/>
      <c r="P433" s="1685"/>
    </row>
    <row r="434" spans="4:16" ht="54.95" customHeight="1" thickBot="1">
      <c r="D434" s="1570"/>
      <c r="E434" s="1570"/>
      <c r="F434" s="1570"/>
      <c r="G434" s="1687"/>
      <c r="H434" s="1687"/>
      <c r="I434" s="1570"/>
      <c r="J434" s="1570"/>
      <c r="K434" s="1687"/>
      <c r="L434" s="1687"/>
      <c r="M434" s="1570"/>
      <c r="N434" s="1685"/>
      <c r="O434" s="1685"/>
      <c r="P434" s="1685"/>
    </row>
    <row r="435" spans="4:16">
      <c r="D435" s="740" t="s">
        <v>1675</v>
      </c>
      <c r="E435" s="425">
        <v>2117</v>
      </c>
      <c r="F435" s="89">
        <v>4235835</v>
      </c>
      <c r="G435" s="1407">
        <v>0.37572906984052473</v>
      </c>
      <c r="H435" s="449">
        <v>3145012</v>
      </c>
      <c r="I435" s="1407">
        <v>0.12991840350142825</v>
      </c>
      <c r="J435" s="89">
        <v>2000121</v>
      </c>
      <c r="K435" s="1407">
        <v>0.33333333333333298</v>
      </c>
      <c r="L435" s="449">
        <v>666707</v>
      </c>
      <c r="M435" s="66">
        <v>17979018</v>
      </c>
      <c r="N435" s="373"/>
      <c r="O435" s="374"/>
      <c r="P435" s="374"/>
    </row>
    <row r="436" spans="4:16">
      <c r="D436" s="740" t="s">
        <v>1676</v>
      </c>
      <c r="E436" s="427">
        <v>347</v>
      </c>
      <c r="F436" s="393">
        <v>755405</v>
      </c>
      <c r="G436" s="1408">
        <v>0.88405151612558019</v>
      </c>
      <c r="H436" s="393">
        <v>558362</v>
      </c>
      <c r="I436" s="1408">
        <v>3.2308138096693202E-2</v>
      </c>
      <c r="J436" s="393">
        <v>685856</v>
      </c>
      <c r="K436" s="1408">
        <v>0.33333333333333298</v>
      </c>
      <c r="L436" s="393">
        <v>228619</v>
      </c>
      <c r="M436" s="204">
        <v>6165139</v>
      </c>
      <c r="N436" s="373"/>
      <c r="O436" s="374"/>
      <c r="P436" s="374"/>
    </row>
    <row r="437" spans="4:16">
      <c r="D437" s="740" t="s">
        <v>1677</v>
      </c>
      <c r="E437" s="427">
        <v>104</v>
      </c>
      <c r="F437" s="393">
        <v>211055</v>
      </c>
      <c r="G437" s="1408">
        <v>7.1979966621369046E-2</v>
      </c>
      <c r="H437" s="393">
        <v>156545</v>
      </c>
      <c r="I437" s="1408">
        <v>0.70299315021901099</v>
      </c>
      <c r="J437" s="393">
        <v>125241</v>
      </c>
      <c r="K437" s="1408">
        <v>0.33333333333333298</v>
      </c>
      <c r="L437" s="393">
        <v>41747</v>
      </c>
      <c r="M437" s="204">
        <v>1125791</v>
      </c>
      <c r="N437" s="373"/>
      <c r="O437" s="374"/>
      <c r="P437" s="374"/>
    </row>
    <row r="438" spans="4:16">
      <c r="D438" s="740" t="s">
        <v>1678</v>
      </c>
      <c r="E438" s="427">
        <v>297</v>
      </c>
      <c r="F438" s="393">
        <v>574516</v>
      </c>
      <c r="G438" s="1408">
        <v>0.56384014734622256</v>
      </c>
      <c r="H438" s="393">
        <v>425836</v>
      </c>
      <c r="I438" s="1408">
        <v>0.1520382969256151</v>
      </c>
      <c r="J438" s="393">
        <v>388679</v>
      </c>
      <c r="K438" s="1408">
        <v>0.33333333333333298</v>
      </c>
      <c r="L438" s="393">
        <v>129560</v>
      </c>
      <c r="M438" s="204">
        <v>3493818</v>
      </c>
      <c r="N438" s="373"/>
      <c r="O438" s="131"/>
      <c r="P438" s="131"/>
    </row>
    <row r="439" spans="4:16">
      <c r="D439" s="740" t="s">
        <v>1679</v>
      </c>
      <c r="E439" s="1418">
        <v>381</v>
      </c>
      <c r="F439" s="1419">
        <v>813645</v>
      </c>
      <c r="G439" s="1420">
        <v>8.7511748317146046E-2</v>
      </c>
      <c r="H439" s="1419">
        <v>604102</v>
      </c>
      <c r="I439" s="1420">
        <v>0.47166450402770116</v>
      </c>
      <c r="J439" s="1421">
        <v>356137</v>
      </c>
      <c r="K439" s="1420">
        <v>0.33333333333333298</v>
      </c>
      <c r="L439" s="1421">
        <v>118712</v>
      </c>
      <c r="M439" s="1422">
        <v>3201301</v>
      </c>
      <c r="N439" s="373"/>
    </row>
    <row r="440" spans="4:16">
      <c r="D440" s="740" t="s">
        <v>1680</v>
      </c>
      <c r="E440" s="1418">
        <v>37</v>
      </c>
      <c r="F440" s="1419">
        <v>115919</v>
      </c>
      <c r="G440" s="1420">
        <v>0.32266175155043825</v>
      </c>
      <c r="H440" s="1419">
        <v>85883</v>
      </c>
      <c r="I440" s="1420">
        <v>0.55124906101250082</v>
      </c>
      <c r="J440" s="1421">
        <v>84746</v>
      </c>
      <c r="K440" s="1420">
        <v>0.33333333333333298</v>
      </c>
      <c r="L440" s="1421">
        <v>28249</v>
      </c>
      <c r="M440" s="1422">
        <v>761776</v>
      </c>
      <c r="N440" s="373"/>
    </row>
    <row r="441" spans="4:16">
      <c r="D441" s="740" t="s">
        <v>1681</v>
      </c>
      <c r="E441" s="1418">
        <v>419</v>
      </c>
      <c r="F441" s="1419">
        <v>801981</v>
      </c>
      <c r="G441" s="1420">
        <v>2.2090143419725157E-2</v>
      </c>
      <c r="H441" s="1419">
        <v>597018</v>
      </c>
      <c r="I441" s="1420">
        <v>2.2823374152995065E-2</v>
      </c>
      <c r="J441" s="1421">
        <v>31342</v>
      </c>
      <c r="K441" s="1420">
        <v>0.33333333333333298</v>
      </c>
      <c r="L441" s="1421">
        <v>10447</v>
      </c>
      <c r="M441" s="1422">
        <v>281731</v>
      </c>
      <c r="N441" s="373"/>
    </row>
    <row r="442" spans="4:16">
      <c r="D442" s="740" t="s">
        <v>1682</v>
      </c>
      <c r="E442" s="1418">
        <v>396</v>
      </c>
      <c r="F442" s="1419">
        <v>979470</v>
      </c>
      <c r="G442" s="1420">
        <v>6.0603488873055174E-2</v>
      </c>
      <c r="H442" s="1419">
        <v>727539</v>
      </c>
      <c r="I442" s="1420">
        <v>6.2615080185107308E-2</v>
      </c>
      <c r="J442" s="1421">
        <v>104914</v>
      </c>
      <c r="K442" s="1420">
        <v>0.33333333333333298</v>
      </c>
      <c r="L442" s="1421">
        <v>34971</v>
      </c>
      <c r="M442" s="1422">
        <v>943070</v>
      </c>
      <c r="N442" s="373"/>
    </row>
    <row r="443" spans="4:16">
      <c r="D443" s="740" t="s">
        <v>1683</v>
      </c>
      <c r="E443" s="1418">
        <v>305</v>
      </c>
      <c r="F443" s="1419">
        <v>544290</v>
      </c>
      <c r="G443" s="1420">
        <v>0.97045775849461313</v>
      </c>
      <c r="H443" s="1419">
        <v>406419</v>
      </c>
      <c r="I443" s="1420">
        <v>0</v>
      </c>
      <c r="J443" s="1421">
        <v>528210</v>
      </c>
      <c r="K443" s="1420">
        <v>0.33333333333333298</v>
      </c>
      <c r="L443" s="1421">
        <v>176070</v>
      </c>
      <c r="M443" s="1422">
        <v>4748062</v>
      </c>
      <c r="N443" s="373"/>
    </row>
    <row r="444" spans="4:16" ht="15.75" thickBot="1">
      <c r="D444" s="740" t="s">
        <v>1684</v>
      </c>
      <c r="E444" s="446"/>
      <c r="F444" s="444"/>
      <c r="G444" s="448"/>
      <c r="H444" s="444"/>
      <c r="I444" s="463"/>
      <c r="J444" s="472"/>
      <c r="K444" s="463"/>
      <c r="L444" s="472"/>
      <c r="M444" s="470"/>
    </row>
    <row r="445" spans="4:16" ht="15.75" thickBot="1">
      <c r="D445" s="1399" t="s">
        <v>432</v>
      </c>
      <c r="E445" s="1417">
        <f>+SUM(E435:E444)</f>
        <v>4403</v>
      </c>
      <c r="F445" s="1417">
        <f t="shared" ref="F445" si="13">+SUM(F435:F444)</f>
        <v>9032116</v>
      </c>
      <c r="G445" s="1417"/>
      <c r="H445" s="1417">
        <f t="shared" ref="H445" si="14">+SUM(H435:H444)</f>
        <v>6706716</v>
      </c>
      <c r="I445" s="1417"/>
      <c r="J445" s="1417">
        <f t="shared" ref="J445" si="15">+SUM(J435:J444)</f>
        <v>4305246</v>
      </c>
      <c r="K445" s="1417"/>
      <c r="L445" s="1417">
        <f t="shared" ref="L445" si="16">+SUM(L435:L444)</f>
        <v>1435082</v>
      </c>
      <c r="M445" s="1417">
        <f t="shared" ref="M445" si="17">+SUM(M435:M444)</f>
        <v>38699706</v>
      </c>
    </row>
    <row r="446" spans="4:16" ht="15.75" thickBot="1"/>
    <row r="447" spans="4:16" ht="15" customHeight="1" thickBot="1">
      <c r="D447" s="24"/>
      <c r="E447" s="24" t="s">
        <v>1667</v>
      </c>
      <c r="F447" s="1688" t="s">
        <v>1686</v>
      </c>
      <c r="G447" s="1689"/>
      <c r="H447" s="1690"/>
    </row>
    <row r="448" spans="4:16" ht="15.75" thickBot="1">
      <c r="D448" s="1398"/>
      <c r="E448" s="1398"/>
    </row>
    <row r="449" spans="4:16" ht="15" customHeight="1" thickBot="1">
      <c r="D449" s="24"/>
      <c r="E449" s="24" t="s">
        <v>1668</v>
      </c>
      <c r="F449" s="1691" t="s">
        <v>4136</v>
      </c>
      <c r="G449" s="1692"/>
      <c r="H449" s="1693"/>
    </row>
    <row r="450" spans="4:16" ht="15.75" thickBot="1"/>
    <row r="451" spans="4:16">
      <c r="D451" s="1569" t="s">
        <v>1687</v>
      </c>
      <c r="E451" s="1569" t="s">
        <v>833</v>
      </c>
      <c r="F451" s="1569" t="s">
        <v>1669</v>
      </c>
      <c r="G451" s="1686" t="s">
        <v>1670</v>
      </c>
      <c r="H451" s="1686" t="s">
        <v>544</v>
      </c>
      <c r="I451" s="1569" t="s">
        <v>1670</v>
      </c>
      <c r="J451" s="1569" t="s">
        <v>1671</v>
      </c>
      <c r="K451" s="1686" t="s">
        <v>1672</v>
      </c>
      <c r="L451" s="1686" t="s">
        <v>1673</v>
      </c>
      <c r="M451" s="1569" t="s">
        <v>1674</v>
      </c>
      <c r="N451" s="1685"/>
      <c r="O451" s="1685"/>
      <c r="P451" s="1685"/>
    </row>
    <row r="452" spans="4:16" ht="54.95" customHeight="1" thickBot="1">
      <c r="D452" s="1570"/>
      <c r="E452" s="1570"/>
      <c r="F452" s="1570"/>
      <c r="G452" s="1687"/>
      <c r="H452" s="1687"/>
      <c r="I452" s="1570"/>
      <c r="J452" s="1570"/>
      <c r="K452" s="1687"/>
      <c r="L452" s="1687"/>
      <c r="M452" s="1570"/>
      <c r="N452" s="1685"/>
      <c r="O452" s="1685"/>
      <c r="P452" s="1685"/>
    </row>
    <row r="453" spans="4:16">
      <c r="D453" s="740" t="s">
        <v>1675</v>
      </c>
      <c r="E453" s="425">
        <v>1386</v>
      </c>
      <c r="F453" s="89">
        <v>3072403</v>
      </c>
      <c r="G453" s="1407">
        <v>0.26765470463623769</v>
      </c>
      <c r="H453" s="449">
        <v>2247029</v>
      </c>
      <c r="I453" s="1407">
        <v>0.14485357341126393</v>
      </c>
      <c r="J453" s="89">
        <v>1147833</v>
      </c>
      <c r="K453" s="1407">
        <v>0.2</v>
      </c>
      <c r="L453" s="449">
        <v>229567</v>
      </c>
      <c r="M453" s="66">
        <v>6190699</v>
      </c>
      <c r="N453" s="373"/>
      <c r="O453" s="374"/>
      <c r="P453" s="374"/>
    </row>
    <row r="454" spans="4:16">
      <c r="D454" s="740" t="s">
        <v>1676</v>
      </c>
      <c r="E454" s="427">
        <v>130</v>
      </c>
      <c r="F454" s="393">
        <v>283464</v>
      </c>
      <c r="G454" s="1408">
        <v>0.84908273520217181</v>
      </c>
      <c r="H454" s="393">
        <v>207622</v>
      </c>
      <c r="I454" s="1408">
        <v>5.3422549959611335E-2</v>
      </c>
      <c r="J454" s="393">
        <v>251776</v>
      </c>
      <c r="K454" s="1408">
        <v>0.2</v>
      </c>
      <c r="L454" s="393">
        <v>50355</v>
      </c>
      <c r="M454" s="204">
        <v>1357926</v>
      </c>
      <c r="N454" s="373"/>
      <c r="O454" s="374"/>
      <c r="P454" s="374"/>
    </row>
    <row r="455" spans="4:16">
      <c r="D455" s="740" t="s">
        <v>1677</v>
      </c>
      <c r="E455" s="427">
        <v>74</v>
      </c>
      <c r="F455" s="393">
        <v>150858</v>
      </c>
      <c r="G455" s="1408">
        <v>6.1855823195751426E-2</v>
      </c>
      <c r="H455" s="393">
        <v>110738</v>
      </c>
      <c r="I455" s="1408">
        <v>0.68591057528015942</v>
      </c>
      <c r="J455" s="393">
        <v>85287</v>
      </c>
      <c r="K455" s="1408">
        <v>0.2</v>
      </c>
      <c r="L455" s="393">
        <v>17057</v>
      </c>
      <c r="M455" s="204">
        <v>459988</v>
      </c>
      <c r="N455" s="373"/>
      <c r="O455" s="374"/>
      <c r="P455" s="374"/>
    </row>
    <row r="456" spans="4:16">
      <c r="D456" s="740" t="s">
        <v>1678</v>
      </c>
      <c r="E456" s="427">
        <v>163</v>
      </c>
      <c r="F456" s="393">
        <v>394344</v>
      </c>
      <c r="G456" s="1408">
        <v>0.53730351891054706</v>
      </c>
      <c r="H456" s="393">
        <v>289239</v>
      </c>
      <c r="I456" s="1408">
        <v>0.18861961740421576</v>
      </c>
      <c r="J456" s="393">
        <v>266438</v>
      </c>
      <c r="K456" s="1408">
        <v>0.2</v>
      </c>
      <c r="L456" s="393">
        <v>53288</v>
      </c>
      <c r="M456" s="204">
        <v>1437003</v>
      </c>
      <c r="N456" s="373"/>
      <c r="O456" s="131"/>
      <c r="P456" s="131"/>
    </row>
    <row r="457" spans="4:16">
      <c r="D457" s="740" t="s">
        <v>1679</v>
      </c>
      <c r="E457" s="1418">
        <v>288</v>
      </c>
      <c r="F457" s="1419">
        <v>663577</v>
      </c>
      <c r="G457" s="1420">
        <v>6.8587262589887704E-2</v>
      </c>
      <c r="H457" s="1419">
        <v>485761</v>
      </c>
      <c r="I457" s="1420">
        <v>0.46878580431505329</v>
      </c>
      <c r="J457" s="1421">
        <v>273231</v>
      </c>
      <c r="K457" s="1420">
        <v>0.2</v>
      </c>
      <c r="L457" s="1421">
        <v>54646</v>
      </c>
      <c r="M457" s="1422">
        <v>1473636</v>
      </c>
      <c r="N457" s="373"/>
    </row>
    <row r="458" spans="4:16">
      <c r="D458" s="740" t="s">
        <v>1680</v>
      </c>
      <c r="E458" s="1418">
        <v>18</v>
      </c>
      <c r="F458" s="1419">
        <v>73870</v>
      </c>
      <c r="G458" s="1420">
        <v>0.2964041031117029</v>
      </c>
      <c r="H458" s="1419">
        <v>53853</v>
      </c>
      <c r="I458" s="1420">
        <v>0.57381963001557945</v>
      </c>
      <c r="J458" s="1421">
        <v>52797</v>
      </c>
      <c r="K458" s="1420">
        <v>0.2</v>
      </c>
      <c r="L458" s="1421">
        <v>10559</v>
      </c>
      <c r="M458" s="1422">
        <v>284757</v>
      </c>
      <c r="N458" s="373"/>
    </row>
    <row r="459" spans="4:16">
      <c r="D459" s="740" t="s">
        <v>1681</v>
      </c>
      <c r="E459" s="1418">
        <v>299</v>
      </c>
      <c r="F459" s="1419">
        <v>644919</v>
      </c>
      <c r="G459" s="1420">
        <v>1.4872161623080736E-2</v>
      </c>
      <c r="H459" s="1419">
        <v>472448</v>
      </c>
      <c r="I459" s="1420">
        <v>2.4487551561187378E-2</v>
      </c>
      <c r="J459" s="1421">
        <v>21160</v>
      </c>
      <c r="K459" s="1420">
        <v>0.2</v>
      </c>
      <c r="L459" s="1421">
        <v>4232</v>
      </c>
      <c r="M459" s="1422">
        <v>114126</v>
      </c>
      <c r="N459" s="373"/>
    </row>
    <row r="460" spans="4:16">
      <c r="D460" s="740" t="s">
        <v>1682</v>
      </c>
      <c r="E460" s="1418">
        <v>328</v>
      </c>
      <c r="F460" s="1419">
        <v>860088</v>
      </c>
      <c r="G460" s="1420">
        <v>3.6184989950201259E-2</v>
      </c>
      <c r="H460" s="1419">
        <v>629640</v>
      </c>
      <c r="I460" s="1420">
        <v>5.9579893602786871E-2</v>
      </c>
      <c r="J460" s="1421">
        <v>68636</v>
      </c>
      <c r="K460" s="1420">
        <v>0.2</v>
      </c>
      <c r="L460" s="1421">
        <v>13727</v>
      </c>
      <c r="M460" s="1422">
        <v>370181</v>
      </c>
      <c r="N460" s="373"/>
    </row>
    <row r="461" spans="4:16">
      <c r="D461" s="740" t="s">
        <v>1683</v>
      </c>
      <c r="E461" s="1418">
        <v>92</v>
      </c>
      <c r="F461" s="1419">
        <v>199526</v>
      </c>
      <c r="G461" s="1420">
        <v>0.97228097517533119</v>
      </c>
      <c r="H461" s="1419">
        <v>145892</v>
      </c>
      <c r="I461" s="1420">
        <v>0</v>
      </c>
      <c r="J461" s="1421">
        <v>193996</v>
      </c>
      <c r="K461" s="1420">
        <v>0.2</v>
      </c>
      <c r="L461" s="1421">
        <v>38799</v>
      </c>
      <c r="M461" s="1422">
        <v>1046292</v>
      </c>
      <c r="N461" s="373"/>
    </row>
    <row r="462" spans="4:16" ht="15.75" thickBot="1">
      <c r="D462" s="740" t="s">
        <v>1684</v>
      </c>
      <c r="E462" s="446"/>
      <c r="F462" s="444"/>
      <c r="G462" s="448"/>
      <c r="H462" s="444"/>
      <c r="I462" s="463"/>
      <c r="J462" s="472"/>
      <c r="K462" s="463"/>
      <c r="L462" s="472"/>
      <c r="M462" s="470"/>
    </row>
    <row r="463" spans="4:16" ht="15.75" thickBot="1">
      <c r="D463" s="1399" t="s">
        <v>432</v>
      </c>
      <c r="E463" s="1417">
        <f>+SUM(E453:E462)</f>
        <v>2778</v>
      </c>
      <c r="F463" s="1417">
        <f t="shared" ref="F463" si="18">+SUM(F453:F462)</f>
        <v>6343049</v>
      </c>
      <c r="G463" s="1417"/>
      <c r="H463" s="1417">
        <f t="shared" ref="H463" si="19">+SUM(H453:H462)</f>
        <v>4642222</v>
      </c>
      <c r="I463" s="1417"/>
      <c r="J463" s="1417">
        <f t="shared" ref="J463" si="20">+SUM(J453:J462)</f>
        <v>2361154</v>
      </c>
      <c r="K463" s="1417"/>
      <c r="L463" s="1417">
        <f t="shared" ref="L463" si="21">+SUM(L453:L462)</f>
        <v>472230</v>
      </c>
      <c r="M463" s="1417">
        <f t="shared" ref="M463" si="22">+SUM(M453:M462)</f>
        <v>12734608</v>
      </c>
    </row>
    <row r="464" spans="4:16">
      <c r="D464" s="1398"/>
      <c r="E464" s="1423"/>
      <c r="F464" s="1431"/>
      <c r="G464" s="1431"/>
      <c r="H464" s="1431"/>
      <c r="I464" s="1423"/>
      <c r="J464" s="1423"/>
      <c r="K464" s="1423"/>
      <c r="L464" s="1423"/>
      <c r="M464" s="1423"/>
    </row>
    <row r="465" spans="4:16" ht="15.75" thickBot="1">
      <c r="D465" s="1398" t="s">
        <v>4137</v>
      </c>
      <c r="E465" s="1423"/>
      <c r="F465" s="1432"/>
      <c r="G465" s="1432"/>
      <c r="H465" s="1432"/>
      <c r="I465" s="1423"/>
      <c r="J465" s="1423"/>
      <c r="K465" s="1423"/>
      <c r="L465" s="1423"/>
      <c r="M465" s="1423"/>
    </row>
    <row r="466" spans="4:16" ht="15" customHeight="1" thickBot="1">
      <c r="D466" s="24"/>
      <c r="E466" s="24" t="s">
        <v>1667</v>
      </c>
      <c r="F466" s="1688" t="s">
        <v>1685</v>
      </c>
      <c r="G466" s="1689"/>
      <c r="H466" s="1690"/>
    </row>
    <row r="467" spans="4:16" ht="15.75" thickBot="1">
      <c r="D467" s="337"/>
      <c r="E467" s="337"/>
    </row>
    <row r="468" spans="4:16" ht="15" customHeight="1" thickBot="1">
      <c r="D468" s="24"/>
      <c r="E468" s="24" t="s">
        <v>1668</v>
      </c>
      <c r="F468" s="1691" t="s">
        <v>4135</v>
      </c>
      <c r="G468" s="1692"/>
      <c r="H468" s="1693"/>
    </row>
    <row r="469" spans="4:16" ht="15.75" thickBot="1"/>
    <row r="470" spans="4:16">
      <c r="D470" s="1569" t="s">
        <v>1689</v>
      </c>
      <c r="E470" s="1569" t="s">
        <v>833</v>
      </c>
      <c r="F470" s="1569" t="s">
        <v>1691</v>
      </c>
      <c r="G470" s="1686" t="s">
        <v>1672</v>
      </c>
      <c r="H470" s="1686" t="s">
        <v>1692</v>
      </c>
      <c r="I470" s="1569" t="s">
        <v>1693</v>
      </c>
      <c r="J470" s="1685"/>
      <c r="K470" s="1685"/>
      <c r="L470" s="1685"/>
      <c r="M470" s="1685"/>
      <c r="N470" s="1685"/>
      <c r="O470" s="1685"/>
      <c r="P470" s="1685"/>
    </row>
    <row r="471" spans="4:16" ht="54.95" customHeight="1" thickBot="1">
      <c r="D471" s="1570"/>
      <c r="E471" s="1570"/>
      <c r="F471" s="1570"/>
      <c r="G471" s="1687"/>
      <c r="H471" s="1687"/>
      <c r="I471" s="1570"/>
      <c r="J471" s="1685"/>
      <c r="K471" s="1685"/>
      <c r="L471" s="1685"/>
      <c r="M471" s="1685"/>
      <c r="N471" s="1685"/>
      <c r="O471" s="1685"/>
      <c r="P471" s="1685"/>
    </row>
    <row r="472" spans="4:16" ht="15.75" thickBot="1">
      <c r="D472" s="406" t="s">
        <v>1690</v>
      </c>
      <c r="E472" s="459">
        <v>39</v>
      </c>
      <c r="F472" s="251">
        <v>18104.062008459314</v>
      </c>
      <c r="G472" s="460">
        <v>0.5714285714285714</v>
      </c>
      <c r="H472" s="461">
        <v>10345.17829054818</v>
      </c>
      <c r="I472" s="462">
        <v>278977.28499160078</v>
      </c>
      <c r="J472" s="451"/>
      <c r="K472" s="452"/>
      <c r="L472" s="453"/>
      <c r="M472" s="373"/>
      <c r="N472" s="373"/>
      <c r="O472" s="374"/>
      <c r="P472" s="374"/>
    </row>
    <row r="473" spans="4:16" ht="15.75" thickBot="1">
      <c r="D473" s="337"/>
      <c r="E473" s="454"/>
      <c r="F473" s="454"/>
      <c r="G473" s="457"/>
      <c r="H473" s="454"/>
      <c r="I473" s="458"/>
      <c r="J473" s="454"/>
      <c r="K473" s="455"/>
      <c r="L473" s="454"/>
      <c r="M473" s="456"/>
    </row>
    <row r="474" spans="4:16" ht="15" customHeight="1" thickBot="1">
      <c r="D474" s="24"/>
      <c r="E474" s="24" t="s">
        <v>1667</v>
      </c>
      <c r="F474" s="1688" t="s">
        <v>1686</v>
      </c>
      <c r="G474" s="1689"/>
      <c r="H474" s="1690"/>
    </row>
    <row r="475" spans="4:16" ht="15.75" thickBot="1">
      <c r="D475" s="1398"/>
      <c r="E475" s="1398"/>
    </row>
    <row r="476" spans="4:16" ht="15" customHeight="1" thickBot="1">
      <c r="D476" s="24"/>
      <c r="E476" s="24" t="s">
        <v>1668</v>
      </c>
      <c r="F476" s="1691" t="s">
        <v>4135</v>
      </c>
      <c r="G476" s="1692"/>
      <c r="H476" s="1693"/>
    </row>
    <row r="477" spans="4:16" ht="15.75" thickBot="1"/>
    <row r="478" spans="4:16">
      <c r="D478" s="1569" t="s">
        <v>1689</v>
      </c>
      <c r="E478" s="1569" t="s">
        <v>833</v>
      </c>
      <c r="F478" s="1569" t="s">
        <v>1691</v>
      </c>
      <c r="G478" s="1686" t="s">
        <v>1672</v>
      </c>
      <c r="H478" s="1686" t="s">
        <v>1692</v>
      </c>
      <c r="I478" s="1569" t="s">
        <v>1693</v>
      </c>
      <c r="J478" s="1685"/>
      <c r="K478" s="1685"/>
      <c r="L478" s="1685"/>
      <c r="M478" s="1685"/>
      <c r="N478" s="1685"/>
      <c r="O478" s="1685"/>
      <c r="P478" s="1685"/>
    </row>
    <row r="479" spans="4:16" ht="54.95" customHeight="1" thickBot="1">
      <c r="D479" s="1570"/>
      <c r="E479" s="1570"/>
      <c r="F479" s="1570"/>
      <c r="G479" s="1687"/>
      <c r="H479" s="1687"/>
      <c r="I479" s="1570"/>
      <c r="J479" s="1685"/>
      <c r="K479" s="1685"/>
      <c r="L479" s="1685"/>
      <c r="M479" s="1685"/>
      <c r="N479" s="1685"/>
      <c r="O479" s="1685"/>
      <c r="P479" s="1685"/>
    </row>
    <row r="480" spans="4:16" ht="15.75" thickBot="1">
      <c r="D480" s="406" t="s">
        <v>1690</v>
      </c>
      <c r="E480" s="459">
        <v>22</v>
      </c>
      <c r="F480" s="251">
        <v>16486.758134955409</v>
      </c>
      <c r="G480" s="460">
        <v>0.5</v>
      </c>
      <c r="H480" s="461">
        <v>8243.3790674777047</v>
      </c>
      <c r="I480" s="462">
        <v>222298.29654097382</v>
      </c>
      <c r="J480" s="451"/>
      <c r="K480" s="452"/>
      <c r="L480" s="453"/>
      <c r="M480" s="373"/>
      <c r="N480" s="373"/>
      <c r="O480" s="374"/>
      <c r="P480" s="374"/>
    </row>
    <row r="482" spans="4:16" ht="15.75" thickBot="1"/>
    <row r="483" spans="4:16" ht="15" customHeight="1" thickBot="1">
      <c r="D483" s="24"/>
      <c r="E483" s="24" t="s">
        <v>1667</v>
      </c>
      <c r="F483" s="1688" t="s">
        <v>1685</v>
      </c>
      <c r="G483" s="1689"/>
      <c r="H483" s="1690"/>
    </row>
    <row r="484" spans="4:16" ht="15.75" thickBot="1">
      <c r="D484" s="1398"/>
      <c r="E484" s="1398"/>
    </row>
    <row r="485" spans="4:16" ht="15" customHeight="1" thickBot="1">
      <c r="D485" s="24"/>
      <c r="E485" s="24" t="s">
        <v>1668</v>
      </c>
      <c r="F485" s="1691" t="s">
        <v>4136</v>
      </c>
      <c r="G485" s="1692"/>
      <c r="H485" s="1693"/>
    </row>
    <row r="486" spans="4:16" ht="15.75" thickBot="1"/>
    <row r="487" spans="4:16">
      <c r="D487" s="1569" t="s">
        <v>1689</v>
      </c>
      <c r="E487" s="1569" t="s">
        <v>833</v>
      </c>
      <c r="F487" s="1569" t="s">
        <v>1691</v>
      </c>
      <c r="G487" s="1686" t="s">
        <v>1672</v>
      </c>
      <c r="H487" s="1686" t="s">
        <v>1692</v>
      </c>
      <c r="I487" s="1569" t="s">
        <v>1693</v>
      </c>
      <c r="J487" s="1685"/>
      <c r="K487" s="1685"/>
      <c r="L487" s="1685"/>
      <c r="M487" s="1685"/>
      <c r="N487" s="1685"/>
      <c r="O487" s="1685"/>
      <c r="P487" s="1685"/>
    </row>
    <row r="488" spans="4:16" ht="54.95" customHeight="1" thickBot="1">
      <c r="D488" s="1570"/>
      <c r="E488" s="1570"/>
      <c r="F488" s="1570"/>
      <c r="G488" s="1687"/>
      <c r="H488" s="1687"/>
      <c r="I488" s="1570"/>
      <c r="J488" s="1685"/>
      <c r="K488" s="1685"/>
      <c r="L488" s="1685"/>
      <c r="M488" s="1685"/>
      <c r="N488" s="1685"/>
      <c r="O488" s="1685"/>
      <c r="P488" s="1685"/>
    </row>
    <row r="489" spans="4:16" ht="15.75" thickBot="1">
      <c r="D489" s="406" t="s">
        <v>1690</v>
      </c>
      <c r="E489" s="459">
        <v>2110</v>
      </c>
      <c r="F489" s="251">
        <v>2969628.3798520761</v>
      </c>
      <c r="G489" s="460">
        <v>0.33333333333333337</v>
      </c>
      <c r="H489" s="461">
        <v>989876.12661735876</v>
      </c>
      <c r="I489" s="462">
        <v>26693880.620116387</v>
      </c>
      <c r="J489" s="451"/>
      <c r="K489" s="452"/>
      <c r="L489" s="453"/>
      <c r="M489" s="373"/>
      <c r="N489" s="373"/>
      <c r="O489" s="374"/>
      <c r="P489" s="374"/>
    </row>
    <row r="490" spans="4:16" ht="15.75" thickBot="1">
      <c r="D490" s="740"/>
      <c r="E490" s="451"/>
      <c r="F490" s="639"/>
      <c r="G490" s="1424"/>
      <c r="H490" s="1425"/>
      <c r="I490" s="465"/>
      <c r="J490" s="451"/>
      <c r="K490" s="452"/>
      <c r="L490" s="453"/>
      <c r="M490" s="373"/>
      <c r="N490" s="373"/>
      <c r="O490" s="374"/>
      <c r="P490" s="374"/>
    </row>
    <row r="491" spans="4:16" ht="15" customHeight="1" thickBot="1">
      <c r="D491" s="24"/>
      <c r="E491" s="24" t="s">
        <v>1667</v>
      </c>
      <c r="F491" s="1688" t="s">
        <v>1686</v>
      </c>
      <c r="G491" s="1689"/>
      <c r="H491" s="1690"/>
    </row>
    <row r="492" spans="4:16" ht="15.75" thickBot="1">
      <c r="D492" s="1398"/>
      <c r="E492" s="1398"/>
    </row>
    <row r="493" spans="4:16" ht="15" customHeight="1" thickBot="1">
      <c r="D493" s="24"/>
      <c r="E493" s="24" t="s">
        <v>1668</v>
      </c>
      <c r="F493" s="1691" t="s">
        <v>4136</v>
      </c>
      <c r="G493" s="1692"/>
      <c r="H493" s="1693"/>
    </row>
    <row r="494" spans="4:16" ht="15.75" thickBot="1"/>
    <row r="495" spans="4:16">
      <c r="D495" s="1569" t="s">
        <v>1689</v>
      </c>
      <c r="E495" s="1569" t="s">
        <v>833</v>
      </c>
      <c r="F495" s="1569" t="s">
        <v>1691</v>
      </c>
      <c r="G495" s="1686" t="s">
        <v>1672</v>
      </c>
      <c r="H495" s="1686" t="s">
        <v>1692</v>
      </c>
      <c r="I495" s="1569" t="s">
        <v>1693</v>
      </c>
      <c r="J495" s="1685"/>
      <c r="K495" s="1685"/>
      <c r="L495" s="1685"/>
      <c r="M495" s="1685"/>
      <c r="N495" s="1685"/>
      <c r="O495" s="1685"/>
      <c r="P495" s="1685"/>
    </row>
    <row r="496" spans="4:16" ht="54.95" customHeight="1" thickBot="1">
      <c r="D496" s="1570"/>
      <c r="E496" s="1570"/>
      <c r="F496" s="1570"/>
      <c r="G496" s="1687"/>
      <c r="H496" s="1687"/>
      <c r="I496" s="1570"/>
      <c r="J496" s="1685"/>
      <c r="K496" s="1685"/>
      <c r="L496" s="1685"/>
      <c r="M496" s="1685"/>
      <c r="N496" s="1685"/>
      <c r="O496" s="1685"/>
      <c r="P496" s="1685"/>
    </row>
    <row r="497" spans="4:16" ht="15.75" thickBot="1">
      <c r="D497" s="406" t="s">
        <v>1690</v>
      </c>
      <c r="E497" s="459">
        <v>1386</v>
      </c>
      <c r="F497" s="251">
        <v>2286372.0417762264</v>
      </c>
      <c r="G497" s="460">
        <v>0.2</v>
      </c>
      <c r="H497" s="461">
        <v>457274.40835524531</v>
      </c>
      <c r="I497" s="462">
        <v>12331268.669930981</v>
      </c>
      <c r="J497" s="451"/>
      <c r="K497" s="452"/>
      <c r="L497" s="453"/>
      <c r="M497" s="373"/>
      <c r="N497" s="373"/>
      <c r="O497" s="374"/>
      <c r="P497" s="374"/>
    </row>
    <row r="498" spans="4:16" s="146" customFormat="1">
      <c r="D498" s="740"/>
      <c r="E498" s="451"/>
      <c r="F498" s="1426"/>
      <c r="G498" s="1427"/>
      <c r="H498" s="1428"/>
      <c r="I498" s="465"/>
      <c r="J498" s="451"/>
      <c r="K498" s="452"/>
      <c r="L498" s="453"/>
      <c r="M498" s="373"/>
      <c r="N498" s="373"/>
      <c r="O498" s="374"/>
      <c r="P498" s="374"/>
    </row>
    <row r="499" spans="4:16" s="146" customFormat="1">
      <c r="D499" s="740"/>
      <c r="E499" s="451"/>
      <c r="F499" s="451"/>
      <c r="G499" s="467"/>
      <c r="H499" s="453"/>
      <c r="I499" s="465"/>
      <c r="J499" s="451"/>
      <c r="K499" s="452"/>
      <c r="L499" s="453"/>
      <c r="M499" s="373"/>
      <c r="N499" s="373"/>
      <c r="O499" s="374"/>
      <c r="P499" s="374"/>
    </row>
    <row r="500" spans="4:16" s="146" customFormat="1" ht="15.75" thickBot="1">
      <c r="D500" s="1398" t="s">
        <v>4138</v>
      </c>
      <c r="E500" s="451"/>
      <c r="F500" s="640"/>
      <c r="G500" s="1429"/>
      <c r="H500" s="1430"/>
      <c r="I500" s="465"/>
      <c r="J500" s="451"/>
      <c r="K500" s="452"/>
      <c r="L500" s="453"/>
      <c r="M500" s="373"/>
      <c r="N500" s="373"/>
      <c r="O500" s="374"/>
      <c r="P500" s="374"/>
    </row>
    <row r="501" spans="4:16" ht="15" customHeight="1" thickBot="1">
      <c r="D501" s="24"/>
      <c r="E501" s="24" t="s">
        <v>1667</v>
      </c>
      <c r="F501" s="1688" t="s">
        <v>1685</v>
      </c>
      <c r="G501" s="1689"/>
      <c r="H501" s="1690"/>
    </row>
    <row r="502" spans="4:16" ht="15.75" thickBot="1">
      <c r="D502" s="337"/>
      <c r="E502" s="337"/>
    </row>
    <row r="503" spans="4:16" ht="15" customHeight="1" thickBot="1">
      <c r="D503" s="24"/>
      <c r="E503" s="24" t="s">
        <v>1668</v>
      </c>
      <c r="F503" s="1691" t="s">
        <v>4134</v>
      </c>
      <c r="G503" s="1692"/>
      <c r="H503" s="1693"/>
    </row>
    <row r="504" spans="4:16" ht="15.75" thickBot="1"/>
    <row r="505" spans="4:16">
      <c r="D505" s="1569" t="s">
        <v>1694</v>
      </c>
      <c r="E505" s="1569" t="s">
        <v>833</v>
      </c>
      <c r="F505" s="1569" t="s">
        <v>1669</v>
      </c>
      <c r="G505" s="1686" t="s">
        <v>1670</v>
      </c>
      <c r="H505" s="1686" t="s">
        <v>544</v>
      </c>
      <c r="I505" s="1569" t="s">
        <v>1670</v>
      </c>
      <c r="J505" s="1569" t="s">
        <v>545</v>
      </c>
      <c r="K505" s="1686" t="s">
        <v>1670</v>
      </c>
      <c r="L505" s="1686" t="s">
        <v>1706</v>
      </c>
      <c r="M505" s="1569" t="s">
        <v>1672</v>
      </c>
      <c r="N505" s="1686" t="s">
        <v>1673</v>
      </c>
      <c r="O505" s="1569" t="s">
        <v>1674</v>
      </c>
      <c r="P505" s="1685"/>
    </row>
    <row r="506" spans="4:16" ht="54.95" customHeight="1" thickBot="1">
      <c r="D506" s="1570"/>
      <c r="E506" s="1570"/>
      <c r="F506" s="1570"/>
      <c r="G506" s="1687"/>
      <c r="H506" s="1687"/>
      <c r="I506" s="1570"/>
      <c r="J506" s="1570"/>
      <c r="K506" s="1687"/>
      <c r="L506" s="1687"/>
      <c r="M506" s="1570"/>
      <c r="N506" s="1687"/>
      <c r="O506" s="1570"/>
      <c r="P506" s="1685"/>
    </row>
    <row r="507" spans="4:16">
      <c r="D507" s="229" t="s">
        <v>1695</v>
      </c>
      <c r="E507" s="425">
        <v>1</v>
      </c>
      <c r="F507" s="1195">
        <v>320</v>
      </c>
      <c r="G507" s="1416">
        <v>0.35200883325013044</v>
      </c>
      <c r="H507" s="1435">
        <v>238</v>
      </c>
      <c r="I507" s="1416">
        <v>0.51386591446133978</v>
      </c>
      <c r="J507" s="1195">
        <v>33</v>
      </c>
      <c r="K507" s="1416">
        <v>0.13412525228852978</v>
      </c>
      <c r="L507" s="1435">
        <v>240</v>
      </c>
      <c r="M507" s="1416">
        <v>0.28571428571428598</v>
      </c>
      <c r="N507" s="1435">
        <v>68</v>
      </c>
      <c r="O507" s="66">
        <v>1846</v>
      </c>
      <c r="P507" s="374"/>
    </row>
    <row r="508" spans="4:16">
      <c r="D508" s="229" t="s">
        <v>1696</v>
      </c>
      <c r="E508" s="427">
        <v>0</v>
      </c>
      <c r="F508" s="1366">
        <v>0</v>
      </c>
      <c r="G508" s="1412">
        <v>0.87751279184033071</v>
      </c>
      <c r="H508" s="1366">
        <v>0</v>
      </c>
      <c r="I508" s="1412">
        <v>9.9999322286605005E-2</v>
      </c>
      <c r="J508" s="1366">
        <v>0</v>
      </c>
      <c r="K508" s="1412">
        <v>2.2487885873064273E-2</v>
      </c>
      <c r="L508" s="1366">
        <v>0</v>
      </c>
      <c r="M508" s="1412">
        <v>0.28571428571428598</v>
      </c>
      <c r="N508" s="1366">
        <v>0</v>
      </c>
      <c r="O508" s="204">
        <v>0</v>
      </c>
      <c r="P508" s="374"/>
    </row>
    <row r="509" spans="4:16">
      <c r="D509" s="229" t="s">
        <v>1697</v>
      </c>
      <c r="E509" s="427">
        <v>0</v>
      </c>
      <c r="F509" s="1366">
        <v>0</v>
      </c>
      <c r="G509" s="1412">
        <v>4.2239386519399819E-2</v>
      </c>
      <c r="H509" s="1366">
        <v>0</v>
      </c>
      <c r="I509" s="1412">
        <v>0.90882257144312339</v>
      </c>
      <c r="J509" s="1366">
        <v>0</v>
      </c>
      <c r="K509" s="1412">
        <v>4.8938042037476759E-2</v>
      </c>
      <c r="L509" s="1366">
        <v>0</v>
      </c>
      <c r="M509" s="1412">
        <v>0.28571428571428598</v>
      </c>
      <c r="N509" s="1366">
        <v>0</v>
      </c>
      <c r="O509" s="204">
        <v>0</v>
      </c>
      <c r="P509" s="374"/>
    </row>
    <row r="510" spans="4:16">
      <c r="D510" s="229" t="s">
        <v>1698</v>
      </c>
      <c r="E510" s="427">
        <v>0</v>
      </c>
      <c r="F510" s="1366">
        <v>0</v>
      </c>
      <c r="G510" s="1412">
        <v>0.6207407407407407</v>
      </c>
      <c r="H510" s="1366">
        <v>0</v>
      </c>
      <c r="I510" s="1412">
        <v>0.30962962962962964</v>
      </c>
      <c r="J510" s="1366">
        <v>0</v>
      </c>
      <c r="K510" s="1412">
        <v>6.9629629629629708E-2</v>
      </c>
      <c r="L510" s="1366">
        <v>0</v>
      </c>
      <c r="M510" s="1412">
        <v>0.28571428571428598</v>
      </c>
      <c r="N510" s="1366">
        <v>0</v>
      </c>
      <c r="O510" s="204">
        <v>0</v>
      </c>
      <c r="P510" s="374"/>
    </row>
    <row r="511" spans="4:16">
      <c r="D511" s="229" t="s">
        <v>1699</v>
      </c>
      <c r="E511" s="1418">
        <v>0</v>
      </c>
      <c r="F511" s="1436">
        <v>0</v>
      </c>
      <c r="G511" s="1437">
        <v>0.12837837837837837</v>
      </c>
      <c r="H511" s="1436">
        <v>0</v>
      </c>
      <c r="I511" s="1437">
        <v>0.57657657657657657</v>
      </c>
      <c r="J511" s="1438">
        <v>0</v>
      </c>
      <c r="K511" s="1437">
        <v>0.29504504504504503</v>
      </c>
      <c r="L511" s="1438">
        <v>0</v>
      </c>
      <c r="M511" s="1437">
        <v>0.28571428571428598</v>
      </c>
      <c r="N511" s="1438">
        <v>0</v>
      </c>
      <c r="O511" s="1422">
        <v>0</v>
      </c>
      <c r="P511" s="374"/>
    </row>
    <row r="512" spans="4:16">
      <c r="D512" s="229" t="s">
        <v>1700</v>
      </c>
      <c r="E512" s="1418">
        <v>0</v>
      </c>
      <c r="F512" s="1436">
        <v>0</v>
      </c>
      <c r="G512" s="1437">
        <v>0.30952380952380953</v>
      </c>
      <c r="H512" s="1436">
        <v>0</v>
      </c>
      <c r="I512" s="1437">
        <v>0.65238095238095239</v>
      </c>
      <c r="J512" s="1438">
        <v>0</v>
      </c>
      <c r="K512" s="1437">
        <v>3.8095238095238071E-2</v>
      </c>
      <c r="L512" s="1438">
        <v>0</v>
      </c>
      <c r="M512" s="1437">
        <v>0.28571428571428598</v>
      </c>
      <c r="N512" s="1438">
        <v>0</v>
      </c>
      <c r="O512" s="1422">
        <v>0</v>
      </c>
      <c r="P512" s="374"/>
    </row>
    <row r="513" spans="4:16">
      <c r="D513" s="229" t="s">
        <v>1701</v>
      </c>
      <c r="E513" s="1418">
        <v>0</v>
      </c>
      <c r="F513" s="1436">
        <v>0</v>
      </c>
      <c r="G513" s="1437">
        <v>4.6381317734954311E-2</v>
      </c>
      <c r="H513" s="1436">
        <v>0</v>
      </c>
      <c r="I513" s="1437">
        <v>0.12227801948306138</v>
      </c>
      <c r="J513" s="1438">
        <v>0</v>
      </c>
      <c r="K513" s="1437">
        <v>0.83134066278198437</v>
      </c>
      <c r="L513" s="1438">
        <v>0</v>
      </c>
      <c r="M513" s="1437">
        <v>0.28571428571428598</v>
      </c>
      <c r="N513" s="1438">
        <v>0</v>
      </c>
      <c r="O513" s="1422">
        <v>0</v>
      </c>
      <c r="P513" s="374"/>
    </row>
    <row r="514" spans="4:16">
      <c r="D514" s="229" t="s">
        <v>1702</v>
      </c>
      <c r="E514" s="1418">
        <v>0</v>
      </c>
      <c r="F514" s="1436">
        <v>0</v>
      </c>
      <c r="G514" s="1437">
        <v>8.8948787061994605E-2</v>
      </c>
      <c r="H514" s="1436">
        <v>0</v>
      </c>
      <c r="I514" s="1437">
        <v>0.23450134770889489</v>
      </c>
      <c r="J514" s="1438">
        <v>0</v>
      </c>
      <c r="K514" s="1437">
        <v>0.67654986522911054</v>
      </c>
      <c r="L514" s="1438">
        <v>0</v>
      </c>
      <c r="M514" s="1437">
        <v>0.28571428571428598</v>
      </c>
      <c r="N514" s="1438">
        <v>0</v>
      </c>
      <c r="O514" s="1422">
        <v>0</v>
      </c>
      <c r="P514" s="374"/>
    </row>
    <row r="515" spans="4:16">
      <c r="D515" s="229" t="s">
        <v>1703</v>
      </c>
      <c r="E515" s="1418">
        <v>0</v>
      </c>
      <c r="F515" s="1436">
        <v>0</v>
      </c>
      <c r="G515" s="1437">
        <v>1</v>
      </c>
      <c r="H515" s="1436">
        <v>0</v>
      </c>
      <c r="I515" s="1437">
        <v>0</v>
      </c>
      <c r="J515" s="1438">
        <v>0</v>
      </c>
      <c r="K515" s="1437">
        <v>0</v>
      </c>
      <c r="L515" s="1438">
        <v>0</v>
      </c>
      <c r="M515" s="1437">
        <v>0.28571428571428598</v>
      </c>
      <c r="N515" s="1438">
        <v>0</v>
      </c>
      <c r="O515" s="1422">
        <v>0</v>
      </c>
      <c r="P515" s="374"/>
    </row>
    <row r="516" spans="4:16">
      <c r="D516" s="229" t="s">
        <v>1704</v>
      </c>
      <c r="E516" s="1418">
        <v>4</v>
      </c>
      <c r="F516" s="1436">
        <v>246</v>
      </c>
      <c r="G516" s="1437">
        <v>0</v>
      </c>
      <c r="H516" s="1436">
        <v>185</v>
      </c>
      <c r="I516" s="1437">
        <v>1</v>
      </c>
      <c r="J516" s="1438">
        <v>0</v>
      </c>
      <c r="K516" s="1437">
        <v>0</v>
      </c>
      <c r="L516" s="1438">
        <v>185</v>
      </c>
      <c r="M516" s="1437">
        <v>0.28571428571428598</v>
      </c>
      <c r="N516" s="1438">
        <v>53</v>
      </c>
      <c r="O516" s="1422">
        <v>1422</v>
      </c>
      <c r="P516" s="374"/>
    </row>
    <row r="517" spans="4:16" ht="15.75" thickBot="1">
      <c r="D517" s="229" t="s">
        <v>1705</v>
      </c>
      <c r="E517" s="1439">
        <v>3</v>
      </c>
      <c r="F517" s="1440">
        <v>0</v>
      </c>
      <c r="G517" s="1441">
        <v>0</v>
      </c>
      <c r="H517" s="1440">
        <v>0</v>
      </c>
      <c r="I517" s="1441">
        <v>0</v>
      </c>
      <c r="J517" s="1442">
        <v>7</v>
      </c>
      <c r="K517" s="1441">
        <v>1</v>
      </c>
      <c r="L517" s="1442">
        <v>7</v>
      </c>
      <c r="M517" s="1441">
        <v>0.28571428571428598</v>
      </c>
      <c r="N517" s="1442">
        <v>2</v>
      </c>
      <c r="O517" s="1443">
        <v>52</v>
      </c>
      <c r="P517" s="374"/>
    </row>
    <row r="518" spans="4:16" ht="15.75" thickBot="1">
      <c r="D518" s="342" t="s">
        <v>432</v>
      </c>
      <c r="E518" s="1444">
        <f>+SUM(E507:E517)</f>
        <v>8</v>
      </c>
      <c r="F518" s="1444">
        <f t="shared" ref="F518:O518" si="23">+SUM(F507:F517)</f>
        <v>566</v>
      </c>
      <c r="G518" s="1444"/>
      <c r="H518" s="1444">
        <f t="shared" si="23"/>
        <v>423</v>
      </c>
      <c r="I518" s="1444"/>
      <c r="J518" s="1444">
        <f t="shared" si="23"/>
        <v>40</v>
      </c>
      <c r="K518" s="1444"/>
      <c r="L518" s="1444">
        <f t="shared" si="23"/>
        <v>432</v>
      </c>
      <c r="M518" s="1444"/>
      <c r="N518" s="1444">
        <f t="shared" si="23"/>
        <v>123</v>
      </c>
      <c r="O518" s="1444">
        <f t="shared" si="23"/>
        <v>3320</v>
      </c>
    </row>
    <row r="519" spans="4:16" ht="15.75" thickBot="1"/>
    <row r="520" spans="4:16" ht="15" customHeight="1" thickBot="1">
      <c r="D520" s="24"/>
      <c r="E520" s="24" t="s">
        <v>1667</v>
      </c>
      <c r="F520" s="1688" t="s">
        <v>1686</v>
      </c>
      <c r="G520" s="1689"/>
      <c r="H520" s="1690"/>
    </row>
    <row r="521" spans="4:16" ht="15.75" thickBot="1">
      <c r="D521" s="1398"/>
      <c r="E521" s="1398"/>
    </row>
    <row r="522" spans="4:16" ht="15" customHeight="1" thickBot="1">
      <c r="D522" s="24"/>
      <c r="E522" s="24" t="s">
        <v>1668</v>
      </c>
      <c r="F522" s="1691" t="s">
        <v>4134</v>
      </c>
      <c r="G522" s="1692"/>
      <c r="H522" s="1693"/>
    </row>
    <row r="523" spans="4:16" ht="15.75" thickBot="1"/>
    <row r="524" spans="4:16">
      <c r="D524" s="1569" t="s">
        <v>1694</v>
      </c>
      <c r="E524" s="1569" t="s">
        <v>833</v>
      </c>
      <c r="F524" s="1569" t="s">
        <v>1669</v>
      </c>
      <c r="G524" s="1686" t="s">
        <v>1670</v>
      </c>
      <c r="H524" s="1686" t="s">
        <v>544</v>
      </c>
      <c r="I524" s="1569" t="s">
        <v>1670</v>
      </c>
      <c r="J524" s="1569" t="s">
        <v>545</v>
      </c>
      <c r="K524" s="1686" t="s">
        <v>1670</v>
      </c>
      <c r="L524" s="1686" t="s">
        <v>1706</v>
      </c>
      <c r="M524" s="1569" t="s">
        <v>1672</v>
      </c>
      <c r="N524" s="1686" t="s">
        <v>1673</v>
      </c>
      <c r="O524" s="1569" t="s">
        <v>1674</v>
      </c>
      <c r="P524" s="1685"/>
    </row>
    <row r="525" spans="4:16" ht="54.95" customHeight="1" thickBot="1">
      <c r="D525" s="1570"/>
      <c r="E525" s="1570"/>
      <c r="F525" s="1570"/>
      <c r="G525" s="1687"/>
      <c r="H525" s="1687"/>
      <c r="I525" s="1570"/>
      <c r="J525" s="1570"/>
      <c r="K525" s="1687"/>
      <c r="L525" s="1687"/>
      <c r="M525" s="1570"/>
      <c r="N525" s="1687"/>
      <c r="O525" s="1570"/>
      <c r="P525" s="1685"/>
    </row>
    <row r="526" spans="4:16">
      <c r="D526" s="740" t="s">
        <v>1695</v>
      </c>
      <c r="E526" s="425">
        <v>1</v>
      </c>
      <c r="F526" s="1195">
        <v>0</v>
      </c>
      <c r="G526" s="1416">
        <v>0.33310788042537265</v>
      </c>
      <c r="H526" s="1435">
        <v>1</v>
      </c>
      <c r="I526" s="1416">
        <v>0.53962731141617537</v>
      </c>
      <c r="J526" s="1195">
        <v>4</v>
      </c>
      <c r="K526" s="1416">
        <v>0.12726480815845198</v>
      </c>
      <c r="L526" s="1435">
        <v>1</v>
      </c>
      <c r="M526" s="1416">
        <v>0.25</v>
      </c>
      <c r="N526" s="1435">
        <v>0</v>
      </c>
      <c r="O526" s="66">
        <v>5</v>
      </c>
      <c r="P526" s="374"/>
    </row>
    <row r="527" spans="4:16">
      <c r="D527" s="740" t="s">
        <v>1696</v>
      </c>
      <c r="E527" s="427">
        <v>0</v>
      </c>
      <c r="F527" s="1366">
        <v>0</v>
      </c>
      <c r="G527" s="1412">
        <v>0.85060197253500303</v>
      </c>
      <c r="H527" s="1366">
        <v>0</v>
      </c>
      <c r="I527" s="1412">
        <v>0.12449835622083075</v>
      </c>
      <c r="J527" s="1366">
        <v>0</v>
      </c>
      <c r="K527" s="1412">
        <v>2.4899671244166227E-2</v>
      </c>
      <c r="L527" s="1366">
        <v>0</v>
      </c>
      <c r="M527" s="1412">
        <v>0.25</v>
      </c>
      <c r="N527" s="1366">
        <v>0</v>
      </c>
      <c r="O527" s="204">
        <v>0</v>
      </c>
      <c r="P527" s="374"/>
    </row>
    <row r="528" spans="4:16">
      <c r="D528" s="740" t="s">
        <v>1697</v>
      </c>
      <c r="E528" s="427">
        <v>0</v>
      </c>
      <c r="F528" s="1366">
        <v>0</v>
      </c>
      <c r="G528" s="1412">
        <v>4.4771922049219579E-2</v>
      </c>
      <c r="H528" s="1366">
        <v>0</v>
      </c>
      <c r="I528" s="1412">
        <v>0.91258258294676309</v>
      </c>
      <c r="J528" s="1366">
        <v>0</v>
      </c>
      <c r="K528" s="1412">
        <v>4.2645495004017375E-2</v>
      </c>
      <c r="L528" s="1366">
        <v>0</v>
      </c>
      <c r="M528" s="1412">
        <v>0.25</v>
      </c>
      <c r="N528" s="1366">
        <v>0</v>
      </c>
      <c r="O528" s="204">
        <v>0</v>
      </c>
      <c r="P528" s="374"/>
    </row>
    <row r="529" spans="4:16">
      <c r="D529" s="740" t="s">
        <v>1698</v>
      </c>
      <c r="E529" s="427">
        <v>0</v>
      </c>
      <c r="F529" s="1366">
        <v>0</v>
      </c>
      <c r="G529" s="1412">
        <v>0.62116040955631402</v>
      </c>
      <c r="H529" s="1366">
        <v>0</v>
      </c>
      <c r="I529" s="1412">
        <v>0.31569965870307165</v>
      </c>
      <c r="J529" s="1366">
        <v>0</v>
      </c>
      <c r="K529" s="1412">
        <v>6.313993174061433E-2</v>
      </c>
      <c r="L529" s="1366">
        <v>0</v>
      </c>
      <c r="M529" s="1412">
        <v>0.25</v>
      </c>
      <c r="N529" s="1366">
        <v>0</v>
      </c>
      <c r="O529" s="204">
        <v>0</v>
      </c>
      <c r="P529" s="374"/>
    </row>
    <row r="530" spans="4:16">
      <c r="D530" s="740" t="s">
        <v>1699</v>
      </c>
      <c r="E530" s="1418">
        <v>0</v>
      </c>
      <c r="F530" s="1436">
        <v>0</v>
      </c>
      <c r="G530" s="1437">
        <v>0.12034383954154727</v>
      </c>
      <c r="H530" s="1436">
        <v>0</v>
      </c>
      <c r="I530" s="1437">
        <v>0.63037249283667618</v>
      </c>
      <c r="J530" s="1438">
        <v>0</v>
      </c>
      <c r="K530" s="1437">
        <v>0.24928366762177656</v>
      </c>
      <c r="L530" s="1438">
        <v>0</v>
      </c>
      <c r="M530" s="1437">
        <v>0.25</v>
      </c>
      <c r="N530" s="1438">
        <v>0</v>
      </c>
      <c r="O530" s="1422">
        <v>0</v>
      </c>
      <c r="P530" s="374"/>
    </row>
    <row r="531" spans="4:16">
      <c r="D531" s="740" t="s">
        <v>1700</v>
      </c>
      <c r="E531" s="1418">
        <v>0</v>
      </c>
      <c r="F531" s="1436">
        <v>0</v>
      </c>
      <c r="G531" s="1437">
        <v>0.27536231884057971</v>
      </c>
      <c r="H531" s="1436">
        <v>0</v>
      </c>
      <c r="I531" s="1437">
        <v>0.6908212560386473</v>
      </c>
      <c r="J531" s="1438">
        <v>0</v>
      </c>
      <c r="K531" s="1437">
        <v>3.3816425120772986E-2</v>
      </c>
      <c r="L531" s="1438">
        <v>0</v>
      </c>
      <c r="M531" s="1437">
        <v>0.25</v>
      </c>
      <c r="N531" s="1438">
        <v>0</v>
      </c>
      <c r="O531" s="1422">
        <v>0</v>
      </c>
      <c r="P531" s="374"/>
    </row>
    <row r="532" spans="4:16">
      <c r="D532" s="740" t="s">
        <v>1701</v>
      </c>
      <c r="E532" s="1418">
        <v>0</v>
      </c>
      <c r="F532" s="1436">
        <v>0</v>
      </c>
      <c r="G532" s="1437">
        <v>4.7579781847640543E-2</v>
      </c>
      <c r="H532" s="1436">
        <v>0</v>
      </c>
      <c r="I532" s="1437">
        <v>0.12205248387003442</v>
      </c>
      <c r="J532" s="1438">
        <v>0</v>
      </c>
      <c r="K532" s="1437">
        <v>0.83036773428232502</v>
      </c>
      <c r="L532" s="1438">
        <v>0</v>
      </c>
      <c r="M532" s="1437">
        <v>0.25</v>
      </c>
      <c r="N532" s="1438">
        <v>0</v>
      </c>
      <c r="O532" s="1422">
        <v>0</v>
      </c>
      <c r="P532" s="374"/>
    </row>
    <row r="533" spans="4:16">
      <c r="D533" s="740" t="s">
        <v>1702</v>
      </c>
      <c r="E533" s="1418">
        <v>0</v>
      </c>
      <c r="F533" s="1436">
        <v>0</v>
      </c>
      <c r="G533" s="1437">
        <v>8.1850533807829182E-2</v>
      </c>
      <c r="H533" s="1436">
        <v>0</v>
      </c>
      <c r="I533" s="1437">
        <v>0.20996441281138789</v>
      </c>
      <c r="J533" s="1438">
        <v>0</v>
      </c>
      <c r="K533" s="1437">
        <v>0.70818505338078297</v>
      </c>
      <c r="L533" s="1438">
        <v>0</v>
      </c>
      <c r="M533" s="1437">
        <v>0.25</v>
      </c>
      <c r="N533" s="1438">
        <v>0</v>
      </c>
      <c r="O533" s="1422">
        <v>0</v>
      </c>
      <c r="P533" s="374"/>
    </row>
    <row r="534" spans="4:16">
      <c r="D534" s="740" t="s">
        <v>1703</v>
      </c>
      <c r="E534" s="1418">
        <v>0</v>
      </c>
      <c r="F534" s="1436">
        <v>0</v>
      </c>
      <c r="G534" s="1437">
        <v>1</v>
      </c>
      <c r="H534" s="1436">
        <v>0</v>
      </c>
      <c r="I534" s="1437">
        <v>0</v>
      </c>
      <c r="J534" s="1438">
        <v>0</v>
      </c>
      <c r="K534" s="1437">
        <v>0</v>
      </c>
      <c r="L534" s="1438">
        <v>0</v>
      </c>
      <c r="M534" s="1437">
        <v>0.25</v>
      </c>
      <c r="N534" s="1438">
        <v>0</v>
      </c>
      <c r="O534" s="1422">
        <v>0</v>
      </c>
      <c r="P534" s="374"/>
    </row>
    <row r="535" spans="4:16">
      <c r="D535" s="740" t="s">
        <v>1704</v>
      </c>
      <c r="E535" s="1418">
        <v>0</v>
      </c>
      <c r="F535" s="1436">
        <v>0</v>
      </c>
      <c r="G535" s="1437">
        <v>0</v>
      </c>
      <c r="H535" s="1436">
        <v>0</v>
      </c>
      <c r="I535" s="1437">
        <v>1</v>
      </c>
      <c r="J535" s="1438">
        <v>0</v>
      </c>
      <c r="K535" s="1437">
        <v>0</v>
      </c>
      <c r="L535" s="1438">
        <v>0</v>
      </c>
      <c r="M535" s="1437">
        <v>0.25</v>
      </c>
      <c r="N535" s="1438">
        <v>0</v>
      </c>
      <c r="O535" s="1422">
        <v>0</v>
      </c>
      <c r="P535" s="374"/>
    </row>
    <row r="536" spans="4:16" ht="15.75" thickBot="1">
      <c r="D536" s="740" t="s">
        <v>1705</v>
      </c>
      <c r="E536" s="1439">
        <v>0</v>
      </c>
      <c r="F536" s="1440">
        <v>0</v>
      </c>
      <c r="G536" s="1441">
        <v>0</v>
      </c>
      <c r="H536" s="1440">
        <v>0</v>
      </c>
      <c r="I536" s="1441">
        <v>0</v>
      </c>
      <c r="J536" s="1442">
        <v>0</v>
      </c>
      <c r="K536" s="1441">
        <v>1</v>
      </c>
      <c r="L536" s="1442">
        <v>0</v>
      </c>
      <c r="M536" s="1441">
        <v>0.25</v>
      </c>
      <c r="N536" s="1442">
        <v>0</v>
      </c>
      <c r="O536" s="1443">
        <v>0</v>
      </c>
      <c r="P536" s="374"/>
    </row>
    <row r="537" spans="4:16" ht="15.75" thickBot="1">
      <c r="D537" s="1399" t="s">
        <v>432</v>
      </c>
      <c r="E537" s="1444">
        <f>+SUM(E526:E536)</f>
        <v>1</v>
      </c>
      <c r="F537" s="1444">
        <f t="shared" ref="F537" si="24">+SUM(F526:F536)</f>
        <v>0</v>
      </c>
      <c r="G537" s="1444"/>
      <c r="H537" s="1444">
        <f t="shared" ref="H537" si="25">+SUM(H526:H536)</f>
        <v>1</v>
      </c>
      <c r="I537" s="1444"/>
      <c r="J537" s="1444">
        <f t="shared" ref="J537" si="26">+SUM(J526:J536)</f>
        <v>4</v>
      </c>
      <c r="K537" s="1444"/>
      <c r="L537" s="1444">
        <f t="shared" ref="L537" si="27">+SUM(L526:L536)</f>
        <v>1</v>
      </c>
      <c r="M537" s="1444"/>
      <c r="N537" s="1444">
        <f t="shared" ref="N537" si="28">+SUM(N526:N536)</f>
        <v>0</v>
      </c>
      <c r="O537" s="1444">
        <f t="shared" ref="O537" si="29">+SUM(O526:O536)</f>
        <v>5</v>
      </c>
    </row>
    <row r="538" spans="4:16" ht="15.75" thickBot="1">
      <c r="D538" s="1398"/>
      <c r="E538" s="1401"/>
      <c r="F538" s="1405"/>
      <c r="G538" s="1406"/>
      <c r="H538" s="1405"/>
      <c r="I538" s="1433"/>
      <c r="J538" s="1401"/>
      <c r="K538" s="1402"/>
      <c r="L538" s="1401"/>
      <c r="M538" s="1434"/>
      <c r="N538" s="1401"/>
      <c r="O538" s="1404"/>
    </row>
    <row r="539" spans="4:16" ht="15" customHeight="1" thickBot="1">
      <c r="D539" s="24"/>
      <c r="E539" s="24" t="s">
        <v>1667</v>
      </c>
      <c r="F539" s="1688" t="s">
        <v>1685</v>
      </c>
      <c r="G539" s="1689"/>
      <c r="H539" s="1690"/>
    </row>
    <row r="540" spans="4:16" ht="15.75" thickBot="1">
      <c r="D540" s="1398"/>
      <c r="E540" s="1398"/>
    </row>
    <row r="541" spans="4:16" ht="15" customHeight="1" thickBot="1">
      <c r="D541" s="24"/>
      <c r="E541" s="24" t="s">
        <v>1668</v>
      </c>
      <c r="F541" s="1691" t="s">
        <v>4135</v>
      </c>
      <c r="G541" s="1692"/>
      <c r="H541" s="1693"/>
    </row>
    <row r="542" spans="4:16" ht="15.75" thickBot="1"/>
    <row r="543" spans="4:16">
      <c r="D543" s="1569" t="s">
        <v>1694</v>
      </c>
      <c r="E543" s="1569" t="s">
        <v>833</v>
      </c>
      <c r="F543" s="1569" t="s">
        <v>1669</v>
      </c>
      <c r="G543" s="1686" t="s">
        <v>1670</v>
      </c>
      <c r="H543" s="1686" t="s">
        <v>544</v>
      </c>
      <c r="I543" s="1569" t="s">
        <v>1670</v>
      </c>
      <c r="J543" s="1569" t="s">
        <v>545</v>
      </c>
      <c r="K543" s="1686" t="s">
        <v>1670</v>
      </c>
      <c r="L543" s="1686" t="s">
        <v>1706</v>
      </c>
      <c r="M543" s="1569" t="s">
        <v>1672</v>
      </c>
      <c r="N543" s="1686" t="s">
        <v>1673</v>
      </c>
      <c r="O543" s="1569" t="s">
        <v>1674</v>
      </c>
      <c r="P543" s="1685"/>
    </row>
    <row r="544" spans="4:16" ht="54.95" customHeight="1" thickBot="1">
      <c r="D544" s="1570"/>
      <c r="E544" s="1570"/>
      <c r="F544" s="1570"/>
      <c r="G544" s="1687"/>
      <c r="H544" s="1687"/>
      <c r="I544" s="1570"/>
      <c r="J544" s="1570"/>
      <c r="K544" s="1687"/>
      <c r="L544" s="1687"/>
      <c r="M544" s="1570"/>
      <c r="N544" s="1687"/>
      <c r="O544" s="1570"/>
      <c r="P544" s="1685"/>
    </row>
    <row r="545" spans="4:16">
      <c r="D545" s="740" t="s">
        <v>1695</v>
      </c>
      <c r="E545" s="425">
        <v>27</v>
      </c>
      <c r="F545" s="1195">
        <v>31550</v>
      </c>
      <c r="G545" s="1416">
        <v>0.35200883325013044</v>
      </c>
      <c r="H545" s="1435">
        <v>23001</v>
      </c>
      <c r="I545" s="1416">
        <v>0.51386591446133978</v>
      </c>
      <c r="J545" s="1195">
        <v>818</v>
      </c>
      <c r="K545" s="1416">
        <v>0.13412525228852978</v>
      </c>
      <c r="L545" s="1435">
        <v>23035</v>
      </c>
      <c r="M545" s="1416">
        <v>0.5714285714285714</v>
      </c>
      <c r="N545" s="1435">
        <v>13163</v>
      </c>
      <c r="O545" s="66">
        <v>354960</v>
      </c>
      <c r="P545" s="374"/>
    </row>
    <row r="546" spans="4:16">
      <c r="D546" s="740" t="s">
        <v>1696</v>
      </c>
      <c r="E546" s="427">
        <v>4</v>
      </c>
      <c r="F546" s="1366">
        <v>2785</v>
      </c>
      <c r="G546" s="1412">
        <v>0.87751279184033071</v>
      </c>
      <c r="H546" s="1366">
        <v>2030</v>
      </c>
      <c r="I546" s="1412">
        <v>9.9999322286605005E-2</v>
      </c>
      <c r="J546" s="1366">
        <v>69</v>
      </c>
      <c r="K546" s="1412">
        <v>2.2487885873064287E-2</v>
      </c>
      <c r="L546" s="1366">
        <v>2648</v>
      </c>
      <c r="M546" s="1412">
        <v>0.5714285714285714</v>
      </c>
      <c r="N546" s="1366">
        <v>1513</v>
      </c>
      <c r="O546" s="204">
        <v>40811</v>
      </c>
      <c r="P546" s="374"/>
    </row>
    <row r="547" spans="4:16">
      <c r="D547" s="740" t="s">
        <v>1697</v>
      </c>
      <c r="E547" s="427">
        <v>4</v>
      </c>
      <c r="F547" s="1366">
        <v>4500</v>
      </c>
      <c r="G547" s="1412">
        <v>4.2239386519399819E-2</v>
      </c>
      <c r="H547" s="1366">
        <v>3276</v>
      </c>
      <c r="I547" s="1412">
        <v>0.90882257144312339</v>
      </c>
      <c r="J547" s="1366">
        <v>117</v>
      </c>
      <c r="K547" s="1412">
        <v>4.8938042037476759E-2</v>
      </c>
      <c r="L547" s="1366">
        <v>3173</v>
      </c>
      <c r="M547" s="1412">
        <v>0.5714285714285714</v>
      </c>
      <c r="N547" s="1366">
        <v>1813</v>
      </c>
      <c r="O547" s="204">
        <v>48903</v>
      </c>
      <c r="P547" s="374"/>
    </row>
    <row r="548" spans="4:16">
      <c r="D548" s="740" t="s">
        <v>1698</v>
      </c>
      <c r="E548" s="427">
        <v>20</v>
      </c>
      <c r="F548" s="1366">
        <v>25157</v>
      </c>
      <c r="G548" s="1412">
        <v>0.6207407407407407</v>
      </c>
      <c r="H548" s="1366">
        <v>18468</v>
      </c>
      <c r="I548" s="1412">
        <v>0.30962962962962964</v>
      </c>
      <c r="J548" s="1366">
        <v>1048</v>
      </c>
      <c r="K548" s="1412">
        <v>6.9629629629629652E-2</v>
      </c>
      <c r="L548" s="1366">
        <v>21407</v>
      </c>
      <c r="M548" s="1412">
        <v>0.5714285714285714</v>
      </c>
      <c r="N548" s="1366">
        <v>12233</v>
      </c>
      <c r="O548" s="204">
        <v>329874</v>
      </c>
      <c r="P548" s="374"/>
    </row>
    <row r="549" spans="4:16">
      <c r="D549" s="740" t="s">
        <v>1699</v>
      </c>
      <c r="E549" s="1418">
        <v>19</v>
      </c>
      <c r="F549" s="1436">
        <v>22432</v>
      </c>
      <c r="G549" s="1437">
        <v>0.12837837837837837</v>
      </c>
      <c r="H549" s="1436">
        <v>16460</v>
      </c>
      <c r="I549" s="1437">
        <v>0.57657657657657657</v>
      </c>
      <c r="J549" s="1438">
        <v>786</v>
      </c>
      <c r="K549" s="1437">
        <v>0.29504504504504503</v>
      </c>
      <c r="L549" s="1438">
        <v>12602</v>
      </c>
      <c r="M549" s="1437">
        <v>0.5714285714285714</v>
      </c>
      <c r="N549" s="1438">
        <v>7201</v>
      </c>
      <c r="O549" s="1422">
        <v>194194</v>
      </c>
      <c r="P549" s="374"/>
    </row>
    <row r="550" spans="4:16">
      <c r="D550" s="740" t="s">
        <v>1700</v>
      </c>
      <c r="E550" s="1418">
        <v>2</v>
      </c>
      <c r="F550" s="1436">
        <v>935</v>
      </c>
      <c r="G550" s="1437">
        <v>0.30952380952380953</v>
      </c>
      <c r="H550" s="1436">
        <v>689</v>
      </c>
      <c r="I550" s="1437">
        <v>0.65238095238095239</v>
      </c>
      <c r="J550" s="1438">
        <v>35</v>
      </c>
      <c r="K550" s="1437">
        <v>3.8095238095238071E-2</v>
      </c>
      <c r="L550" s="1438">
        <v>740</v>
      </c>
      <c r="M550" s="1437">
        <v>0.5714285714285714</v>
      </c>
      <c r="N550" s="1438">
        <v>423</v>
      </c>
      <c r="O550" s="1422">
        <v>11408</v>
      </c>
      <c r="P550" s="374"/>
    </row>
    <row r="551" spans="4:16">
      <c r="D551" s="740" t="s">
        <v>1701</v>
      </c>
      <c r="E551" s="1418">
        <v>1</v>
      </c>
      <c r="F551" s="1436">
        <v>3359</v>
      </c>
      <c r="G551" s="1437">
        <v>4.6381317734954311E-2</v>
      </c>
      <c r="H551" s="1436">
        <v>2430</v>
      </c>
      <c r="I551" s="1437">
        <v>0.12227801948306138</v>
      </c>
      <c r="J551" s="1438">
        <v>48</v>
      </c>
      <c r="K551" s="1437">
        <v>0.83134066278198426</v>
      </c>
      <c r="L551" s="1438">
        <v>493</v>
      </c>
      <c r="M551" s="1437">
        <v>0.5714285714285714</v>
      </c>
      <c r="N551" s="1438">
        <v>282</v>
      </c>
      <c r="O551" s="1422">
        <v>7593</v>
      </c>
      <c r="P551" s="374"/>
    </row>
    <row r="552" spans="4:16">
      <c r="D552" s="740" t="s">
        <v>1702</v>
      </c>
      <c r="E552" s="1418">
        <v>8</v>
      </c>
      <c r="F552" s="1436">
        <v>17280</v>
      </c>
      <c r="G552" s="1437">
        <v>8.8948787061994605E-2</v>
      </c>
      <c r="H552" s="1436">
        <v>12570</v>
      </c>
      <c r="I552" s="1437">
        <v>0.23450134770889489</v>
      </c>
      <c r="J552" s="1438">
        <v>492</v>
      </c>
      <c r="K552" s="1437">
        <v>0.67654986522911054</v>
      </c>
      <c r="L552" s="1438">
        <v>4817</v>
      </c>
      <c r="M552" s="1437">
        <v>0.5714285714285714</v>
      </c>
      <c r="N552" s="1438">
        <v>2753</v>
      </c>
      <c r="O552" s="1422">
        <v>74234</v>
      </c>
      <c r="P552" s="374"/>
    </row>
    <row r="553" spans="4:16">
      <c r="D553" s="740" t="s">
        <v>1703</v>
      </c>
      <c r="E553" s="1418">
        <v>7</v>
      </c>
      <c r="F553" s="1436">
        <v>7351</v>
      </c>
      <c r="G553" s="1437">
        <v>1</v>
      </c>
      <c r="H553" s="1436">
        <v>5368</v>
      </c>
      <c r="I553" s="1437">
        <v>0</v>
      </c>
      <c r="J553" s="1438">
        <v>0</v>
      </c>
      <c r="K553" s="1437">
        <v>0</v>
      </c>
      <c r="L553" s="1438">
        <v>7351</v>
      </c>
      <c r="M553" s="1437">
        <v>0.5714285714285714</v>
      </c>
      <c r="N553" s="1438">
        <v>4201</v>
      </c>
      <c r="O553" s="1422">
        <v>113280</v>
      </c>
      <c r="P553" s="374"/>
    </row>
    <row r="554" spans="4:16">
      <c r="D554" s="740" t="s">
        <v>1704</v>
      </c>
      <c r="E554" s="1418">
        <v>10</v>
      </c>
      <c r="F554" s="1436">
        <v>9775</v>
      </c>
      <c r="G554" s="1437">
        <v>0</v>
      </c>
      <c r="H554" s="1436">
        <v>7163</v>
      </c>
      <c r="I554" s="1437">
        <v>1</v>
      </c>
      <c r="J554" s="1438">
        <v>0</v>
      </c>
      <c r="K554" s="1437">
        <v>0</v>
      </c>
      <c r="L554" s="1438">
        <v>7163</v>
      </c>
      <c r="M554" s="1437">
        <v>0.5714285714285714</v>
      </c>
      <c r="N554" s="1438">
        <v>4093</v>
      </c>
      <c r="O554" s="1422">
        <v>110381</v>
      </c>
      <c r="P554" s="374"/>
    </row>
    <row r="555" spans="4:16" ht="15.75" thickBot="1">
      <c r="D555" s="740" t="s">
        <v>1705</v>
      </c>
      <c r="E555" s="1439">
        <v>13</v>
      </c>
      <c r="F555" s="1440">
        <v>10684</v>
      </c>
      <c r="G555" s="1441">
        <v>0</v>
      </c>
      <c r="H555" s="1440">
        <v>7782</v>
      </c>
      <c r="I555" s="1441">
        <v>0</v>
      </c>
      <c r="J555" s="1442">
        <v>402</v>
      </c>
      <c r="K555" s="1441">
        <v>1</v>
      </c>
      <c r="L555" s="1442">
        <v>402</v>
      </c>
      <c r="M555" s="1441">
        <v>0.5714285714285714</v>
      </c>
      <c r="N555" s="1442">
        <v>230</v>
      </c>
      <c r="O555" s="1443">
        <v>6195</v>
      </c>
      <c r="P555" s="374"/>
    </row>
    <row r="556" spans="4:16" ht="15.75" thickBot="1">
      <c r="D556" s="1399" t="s">
        <v>432</v>
      </c>
      <c r="E556" s="1444">
        <f>+SUM(E545:E555)</f>
        <v>115</v>
      </c>
      <c r="F556" s="1444">
        <f t="shared" ref="F556" si="30">+SUM(F545:F555)</f>
        <v>135808</v>
      </c>
      <c r="G556" s="1444"/>
      <c r="H556" s="1444">
        <f t="shared" ref="H556" si="31">+SUM(H545:H555)</f>
        <v>99237</v>
      </c>
      <c r="I556" s="1444"/>
      <c r="J556" s="1444">
        <f t="shared" ref="J556" si="32">+SUM(J545:J555)</f>
        <v>3815</v>
      </c>
      <c r="K556" s="1444"/>
      <c r="L556" s="1444">
        <f t="shared" ref="L556" si="33">+SUM(L545:L555)</f>
        <v>83831</v>
      </c>
      <c r="M556" s="1444"/>
      <c r="N556" s="1444">
        <f t="shared" ref="N556" si="34">+SUM(N545:N555)</f>
        <v>47905</v>
      </c>
      <c r="O556" s="1444">
        <f t="shared" ref="O556" si="35">+SUM(O545:O555)</f>
        <v>1291833</v>
      </c>
    </row>
    <row r="557" spans="4:16" ht="15.75" thickBot="1"/>
    <row r="558" spans="4:16" ht="15" customHeight="1" thickBot="1">
      <c r="D558" s="24"/>
      <c r="E558" s="24" t="s">
        <v>1667</v>
      </c>
      <c r="F558" s="1688" t="s">
        <v>1686</v>
      </c>
      <c r="G558" s="1689"/>
      <c r="H558" s="1690"/>
    </row>
    <row r="559" spans="4:16" ht="15.75" thickBot="1">
      <c r="D559" s="1398"/>
      <c r="E559" s="1398"/>
    </row>
    <row r="560" spans="4:16" ht="15" customHeight="1" thickBot="1">
      <c r="D560" s="24"/>
      <c r="E560" s="24" t="s">
        <v>1668</v>
      </c>
      <c r="F560" s="1691" t="s">
        <v>4135</v>
      </c>
      <c r="G560" s="1692"/>
      <c r="H560" s="1693"/>
    </row>
    <row r="561" spans="4:16" ht="15.75" thickBot="1"/>
    <row r="562" spans="4:16">
      <c r="D562" s="1569" t="s">
        <v>1694</v>
      </c>
      <c r="E562" s="1569" t="s">
        <v>833</v>
      </c>
      <c r="F562" s="1569" t="s">
        <v>1669</v>
      </c>
      <c r="G562" s="1686" t="s">
        <v>1670</v>
      </c>
      <c r="H562" s="1686" t="s">
        <v>544</v>
      </c>
      <c r="I562" s="1569" t="s">
        <v>1670</v>
      </c>
      <c r="J562" s="1569" t="s">
        <v>545</v>
      </c>
      <c r="K562" s="1686" t="s">
        <v>1670</v>
      </c>
      <c r="L562" s="1686" t="s">
        <v>1706</v>
      </c>
      <c r="M562" s="1569" t="s">
        <v>1672</v>
      </c>
      <c r="N562" s="1686" t="s">
        <v>1673</v>
      </c>
      <c r="O562" s="1569" t="s">
        <v>1674</v>
      </c>
      <c r="P562" s="1685"/>
    </row>
    <row r="563" spans="4:16" ht="54.95" customHeight="1" thickBot="1">
      <c r="D563" s="1570"/>
      <c r="E563" s="1570"/>
      <c r="F563" s="1570"/>
      <c r="G563" s="1687"/>
      <c r="H563" s="1687"/>
      <c r="I563" s="1570"/>
      <c r="J563" s="1570"/>
      <c r="K563" s="1687"/>
      <c r="L563" s="1687"/>
      <c r="M563" s="1570"/>
      <c r="N563" s="1687"/>
      <c r="O563" s="1570"/>
      <c r="P563" s="1685"/>
    </row>
    <row r="564" spans="4:16">
      <c r="D564" s="740" t="s">
        <v>1695</v>
      </c>
      <c r="E564" s="425">
        <v>19</v>
      </c>
      <c r="F564" s="1195">
        <v>29687</v>
      </c>
      <c r="G564" s="1416">
        <v>0.33310788042537265</v>
      </c>
      <c r="H564" s="1435">
        <v>21533</v>
      </c>
      <c r="I564" s="1416">
        <v>0.53962731141617537</v>
      </c>
      <c r="J564" s="1195">
        <v>559</v>
      </c>
      <c r="K564" s="1416">
        <v>0.12726480815845198</v>
      </c>
      <c r="L564" s="1435">
        <v>21580</v>
      </c>
      <c r="M564" s="1416">
        <v>0.5</v>
      </c>
      <c r="N564" s="1435">
        <v>10790</v>
      </c>
      <c r="O564" s="66">
        <v>290970</v>
      </c>
      <c r="P564" s="374"/>
    </row>
    <row r="565" spans="4:16">
      <c r="D565" s="740" t="s">
        <v>1696</v>
      </c>
      <c r="E565" s="427">
        <v>3</v>
      </c>
      <c r="F565" s="1366">
        <v>5142</v>
      </c>
      <c r="G565" s="1412">
        <v>0.85060197253500303</v>
      </c>
      <c r="H565" s="1366">
        <v>3730</v>
      </c>
      <c r="I565" s="1412">
        <v>0.12449835622083075</v>
      </c>
      <c r="J565" s="1366">
        <v>115</v>
      </c>
      <c r="K565" s="1412">
        <v>2.4899671244166227E-2</v>
      </c>
      <c r="L565" s="1366">
        <v>4841</v>
      </c>
      <c r="M565" s="1412">
        <v>0.5</v>
      </c>
      <c r="N565" s="1366">
        <v>2420</v>
      </c>
      <c r="O565" s="204">
        <v>65268</v>
      </c>
      <c r="P565" s="374"/>
    </row>
    <row r="566" spans="4:16">
      <c r="D566" s="740" t="s">
        <v>1697</v>
      </c>
      <c r="E566" s="427">
        <v>12</v>
      </c>
      <c r="F566" s="1366">
        <v>14802</v>
      </c>
      <c r="G566" s="1412">
        <v>4.4771922049219579E-2</v>
      </c>
      <c r="H566" s="1366">
        <v>10751</v>
      </c>
      <c r="I566" s="1412">
        <v>0.91258258294676309</v>
      </c>
      <c r="J566" s="1366">
        <v>309</v>
      </c>
      <c r="K566" s="1412">
        <v>4.2645495004017375E-2</v>
      </c>
      <c r="L566" s="1366">
        <v>10487</v>
      </c>
      <c r="M566" s="1412">
        <v>0.5</v>
      </c>
      <c r="N566" s="1366">
        <v>5243</v>
      </c>
      <c r="O566" s="204">
        <v>141400</v>
      </c>
      <c r="P566" s="374"/>
    </row>
    <row r="567" spans="4:16">
      <c r="D567" s="740" t="s">
        <v>1698</v>
      </c>
      <c r="E567" s="427">
        <v>8</v>
      </c>
      <c r="F567" s="1366">
        <v>13000</v>
      </c>
      <c r="G567" s="1412">
        <v>0.62116040955631402</v>
      </c>
      <c r="H567" s="1366">
        <v>9480</v>
      </c>
      <c r="I567" s="1412">
        <v>0.31569965870307165</v>
      </c>
      <c r="J567" s="1366">
        <v>351</v>
      </c>
      <c r="K567" s="1412">
        <v>6.313993174061433E-2</v>
      </c>
      <c r="L567" s="1366">
        <v>11090</v>
      </c>
      <c r="M567" s="1412">
        <v>0.5</v>
      </c>
      <c r="N567" s="1366">
        <v>5545</v>
      </c>
      <c r="O567" s="204">
        <v>149535</v>
      </c>
      <c r="P567" s="374"/>
    </row>
    <row r="568" spans="4:16">
      <c r="D568" s="740" t="s">
        <v>1699</v>
      </c>
      <c r="E568" s="1418">
        <v>6</v>
      </c>
      <c r="F568" s="1436">
        <v>15653</v>
      </c>
      <c r="G568" s="1437">
        <v>0.12034383954154727</v>
      </c>
      <c r="H568" s="1436">
        <v>11333</v>
      </c>
      <c r="I568" s="1437">
        <v>0.63037249283667618</v>
      </c>
      <c r="J568" s="1438">
        <v>266</v>
      </c>
      <c r="K568" s="1437">
        <v>0.24928366762177656</v>
      </c>
      <c r="L568" s="1438">
        <v>9094</v>
      </c>
      <c r="M568" s="1437">
        <v>0.5</v>
      </c>
      <c r="N568" s="1438">
        <v>4547</v>
      </c>
      <c r="O568" s="1422">
        <v>122616</v>
      </c>
      <c r="P568" s="374"/>
    </row>
    <row r="569" spans="4:16">
      <c r="D569" s="740" t="s">
        <v>1700</v>
      </c>
      <c r="E569" s="1418">
        <v>3</v>
      </c>
      <c r="F569" s="1436">
        <v>3692</v>
      </c>
      <c r="G569" s="1437">
        <v>0.27536231884057971</v>
      </c>
      <c r="H569" s="1436">
        <v>2678</v>
      </c>
      <c r="I569" s="1437">
        <v>0.6908212560386473</v>
      </c>
      <c r="J569" s="1438">
        <v>71</v>
      </c>
      <c r="K569" s="1437">
        <v>3.3816425120772986E-2</v>
      </c>
      <c r="L569" s="1438">
        <v>2869</v>
      </c>
      <c r="M569" s="1437">
        <v>0.5</v>
      </c>
      <c r="N569" s="1438">
        <v>1434</v>
      </c>
      <c r="O569" s="1422">
        <v>38679</v>
      </c>
      <c r="P569" s="374"/>
    </row>
    <row r="570" spans="4:16">
      <c r="D570" s="740" t="s">
        <v>1701</v>
      </c>
      <c r="E570" s="1418">
        <v>3</v>
      </c>
      <c r="F570" s="1436">
        <v>3169</v>
      </c>
      <c r="G570" s="1437">
        <v>4.7579781847640543E-2</v>
      </c>
      <c r="H570" s="1436">
        <v>2296</v>
      </c>
      <c r="I570" s="1437">
        <v>0.12205248387003442</v>
      </c>
      <c r="J570" s="1438">
        <v>57</v>
      </c>
      <c r="K570" s="1437">
        <v>0.83036773428232502</v>
      </c>
      <c r="L570" s="1438">
        <v>479</v>
      </c>
      <c r="M570" s="1437">
        <v>0.5</v>
      </c>
      <c r="N570" s="1438">
        <v>239</v>
      </c>
      <c r="O570" s="1422">
        <v>6452</v>
      </c>
      <c r="P570" s="374"/>
    </row>
    <row r="571" spans="4:16">
      <c r="D571" s="740" t="s">
        <v>1702</v>
      </c>
      <c r="E571" s="1418">
        <v>8</v>
      </c>
      <c r="F571" s="1436">
        <v>18276</v>
      </c>
      <c r="G571" s="1437">
        <v>8.1850533807829182E-2</v>
      </c>
      <c r="H571" s="1436">
        <v>13267</v>
      </c>
      <c r="I571" s="1437">
        <v>0.20996441281138789</v>
      </c>
      <c r="J571" s="1438">
        <v>391</v>
      </c>
      <c r="K571" s="1437">
        <v>0.70818505338078297</v>
      </c>
      <c r="L571" s="1438">
        <v>4558</v>
      </c>
      <c r="M571" s="1437">
        <v>0.5</v>
      </c>
      <c r="N571" s="1438">
        <v>2279</v>
      </c>
      <c r="O571" s="1422">
        <v>61463</v>
      </c>
      <c r="P571" s="374"/>
    </row>
    <row r="572" spans="4:16">
      <c r="D572" s="740" t="s">
        <v>1703</v>
      </c>
      <c r="E572" s="1418">
        <v>4</v>
      </c>
      <c r="F572" s="1436">
        <v>7509</v>
      </c>
      <c r="G572" s="1437">
        <v>1</v>
      </c>
      <c r="H572" s="1436">
        <v>5422</v>
      </c>
      <c r="I572" s="1437">
        <v>0</v>
      </c>
      <c r="J572" s="1438">
        <v>0</v>
      </c>
      <c r="K572" s="1437">
        <v>0</v>
      </c>
      <c r="L572" s="1438">
        <v>7509</v>
      </c>
      <c r="M572" s="1437">
        <v>0.5</v>
      </c>
      <c r="N572" s="1438">
        <v>3754</v>
      </c>
      <c r="O572" s="1422">
        <v>101245</v>
      </c>
      <c r="P572" s="374"/>
    </row>
    <row r="573" spans="4:16">
      <c r="D573" s="740" t="s">
        <v>1704</v>
      </c>
      <c r="E573" s="1418">
        <v>10</v>
      </c>
      <c r="F573" s="1436">
        <v>16500</v>
      </c>
      <c r="G573" s="1437">
        <v>0</v>
      </c>
      <c r="H573" s="1436">
        <v>11973</v>
      </c>
      <c r="I573" s="1437">
        <v>1</v>
      </c>
      <c r="J573" s="1438">
        <v>0</v>
      </c>
      <c r="K573" s="1437">
        <v>0</v>
      </c>
      <c r="L573" s="1438">
        <v>11973</v>
      </c>
      <c r="M573" s="1437">
        <v>0.5</v>
      </c>
      <c r="N573" s="1438">
        <v>5986</v>
      </c>
      <c r="O573" s="1422">
        <v>161432</v>
      </c>
      <c r="P573" s="374"/>
    </row>
    <row r="574" spans="4:16" ht="15.75" thickBot="1">
      <c r="D574" s="740" t="s">
        <v>1705</v>
      </c>
      <c r="E574" s="1439">
        <v>8</v>
      </c>
      <c r="F574" s="1440">
        <v>10954</v>
      </c>
      <c r="G574" s="1441">
        <v>0</v>
      </c>
      <c r="H574" s="1440">
        <v>7934</v>
      </c>
      <c r="I574" s="1441">
        <v>0</v>
      </c>
      <c r="J574" s="1442">
        <v>177</v>
      </c>
      <c r="K574" s="1441">
        <v>1</v>
      </c>
      <c r="L574" s="1442">
        <v>177</v>
      </c>
      <c r="M574" s="1441">
        <v>0.5</v>
      </c>
      <c r="N574" s="1442">
        <v>88</v>
      </c>
      <c r="O574" s="1443">
        <v>2381</v>
      </c>
      <c r="P574" s="374"/>
    </row>
    <row r="575" spans="4:16" ht="15.75" thickBot="1">
      <c r="D575" s="1399" t="s">
        <v>432</v>
      </c>
      <c r="E575" s="1444">
        <f>+SUM(E564:E574)</f>
        <v>84</v>
      </c>
      <c r="F575" s="1444">
        <f t="shared" ref="F575" si="36">+SUM(F564:F574)</f>
        <v>138384</v>
      </c>
      <c r="G575" s="1444"/>
      <c r="H575" s="1444">
        <f t="shared" ref="H575" si="37">+SUM(H564:H574)</f>
        <v>100397</v>
      </c>
      <c r="I575" s="1444"/>
      <c r="J575" s="1444">
        <f t="shared" ref="J575" si="38">+SUM(J564:J574)</f>
        <v>2296</v>
      </c>
      <c r="K575" s="1444"/>
      <c r="L575" s="1444">
        <f t="shared" ref="L575" si="39">+SUM(L564:L574)</f>
        <v>84657</v>
      </c>
      <c r="M575" s="1444"/>
      <c r="N575" s="1444">
        <f t="shared" ref="N575" si="40">+SUM(N564:N574)</f>
        <v>42325</v>
      </c>
      <c r="O575" s="1444">
        <f t="shared" ref="O575" si="41">+SUM(O564:O574)</f>
        <v>1141441</v>
      </c>
    </row>
    <row r="576" spans="4:16" ht="15.75" thickBot="1">
      <c r="D576" s="1398"/>
      <c r="E576" s="1401"/>
      <c r="F576" s="1405"/>
      <c r="G576" s="1406"/>
      <c r="H576" s="1405"/>
      <c r="I576" s="1433"/>
      <c r="J576" s="1401"/>
      <c r="K576" s="1402"/>
      <c r="L576" s="1401"/>
      <c r="M576" s="1434"/>
      <c r="N576" s="1401"/>
      <c r="O576" s="1404"/>
    </row>
    <row r="577" spans="4:16" ht="15" customHeight="1" thickBot="1">
      <c r="D577" s="24"/>
      <c r="E577" s="24" t="s">
        <v>1667</v>
      </c>
      <c r="F577" s="1688" t="s">
        <v>1685</v>
      </c>
      <c r="G577" s="1689"/>
      <c r="H577" s="1690"/>
    </row>
    <row r="578" spans="4:16" ht="15.75" thickBot="1">
      <c r="D578" s="1398"/>
      <c r="E578" s="1398"/>
    </row>
    <row r="579" spans="4:16" ht="15" customHeight="1" thickBot="1">
      <c r="D579" s="24"/>
      <c r="E579" s="24" t="s">
        <v>1668</v>
      </c>
      <c r="F579" s="1691" t="s">
        <v>4136</v>
      </c>
      <c r="G579" s="1692"/>
      <c r="H579" s="1693"/>
    </row>
    <row r="580" spans="4:16" ht="15.75" thickBot="1"/>
    <row r="581" spans="4:16">
      <c r="D581" s="1569" t="s">
        <v>1694</v>
      </c>
      <c r="E581" s="1569" t="s">
        <v>833</v>
      </c>
      <c r="F581" s="1569" t="s">
        <v>1669</v>
      </c>
      <c r="G581" s="1686" t="s">
        <v>1670</v>
      </c>
      <c r="H581" s="1686" t="s">
        <v>544</v>
      </c>
      <c r="I581" s="1569" t="s">
        <v>1670</v>
      </c>
      <c r="J581" s="1569" t="s">
        <v>545</v>
      </c>
      <c r="K581" s="1686" t="s">
        <v>1670</v>
      </c>
      <c r="L581" s="1686" t="s">
        <v>1706</v>
      </c>
      <c r="M581" s="1569" t="s">
        <v>1672</v>
      </c>
      <c r="N581" s="1686" t="s">
        <v>1673</v>
      </c>
      <c r="O581" s="1569" t="s">
        <v>1674</v>
      </c>
      <c r="P581" s="1685"/>
    </row>
    <row r="582" spans="4:16" ht="54.95" customHeight="1" thickBot="1">
      <c r="D582" s="1570"/>
      <c r="E582" s="1570"/>
      <c r="F582" s="1570"/>
      <c r="G582" s="1687"/>
      <c r="H582" s="1687"/>
      <c r="I582" s="1570"/>
      <c r="J582" s="1570"/>
      <c r="K582" s="1687"/>
      <c r="L582" s="1687"/>
      <c r="M582" s="1570"/>
      <c r="N582" s="1687"/>
      <c r="O582" s="1570"/>
      <c r="P582" s="1685"/>
    </row>
    <row r="583" spans="4:16">
      <c r="D583" s="740" t="s">
        <v>1695</v>
      </c>
      <c r="E583" s="425">
        <v>23</v>
      </c>
      <c r="F583" s="1195">
        <v>50113</v>
      </c>
      <c r="G583" s="1416">
        <v>0.35200883325013044</v>
      </c>
      <c r="H583" s="1435">
        <v>37556</v>
      </c>
      <c r="I583" s="1416">
        <v>0.51386591446133978</v>
      </c>
      <c r="J583" s="1195">
        <v>1302</v>
      </c>
      <c r="K583" s="1416">
        <v>0.13412525228852978</v>
      </c>
      <c r="L583" s="1435">
        <v>37114</v>
      </c>
      <c r="M583" s="1416">
        <v>0.33333333333333337</v>
      </c>
      <c r="N583" s="1435">
        <v>12371</v>
      </c>
      <c r="O583" s="66">
        <v>333615</v>
      </c>
      <c r="P583" s="374"/>
    </row>
    <row r="584" spans="4:16">
      <c r="D584" s="740" t="s">
        <v>1696</v>
      </c>
      <c r="E584" s="427">
        <v>2</v>
      </c>
      <c r="F584" s="1366">
        <v>3889</v>
      </c>
      <c r="G584" s="1412">
        <v>0.87751279184033071</v>
      </c>
      <c r="H584" s="1366">
        <v>2933</v>
      </c>
      <c r="I584" s="1412">
        <v>9.9999322286605005E-2</v>
      </c>
      <c r="J584" s="1366">
        <v>96</v>
      </c>
      <c r="K584" s="1412">
        <v>2.2487885873064287E-2</v>
      </c>
      <c r="L584" s="1366">
        <v>3708</v>
      </c>
      <c r="M584" s="1412">
        <v>0.33333333333333337</v>
      </c>
      <c r="N584" s="1366">
        <v>1236</v>
      </c>
      <c r="O584" s="204">
        <v>33329</v>
      </c>
      <c r="P584" s="374"/>
    </row>
    <row r="585" spans="4:16">
      <c r="D585" s="740" t="s">
        <v>1697</v>
      </c>
      <c r="E585" s="427">
        <v>4</v>
      </c>
      <c r="F585" s="1366">
        <v>5329</v>
      </c>
      <c r="G585" s="1412">
        <v>4.2239386519399819E-2</v>
      </c>
      <c r="H585" s="1366">
        <v>4090</v>
      </c>
      <c r="I585" s="1412">
        <v>0.90882257144312339</v>
      </c>
      <c r="J585" s="1366">
        <v>183</v>
      </c>
      <c r="K585" s="1412">
        <v>4.8938042037476759E-2</v>
      </c>
      <c r="L585" s="1366">
        <v>3951</v>
      </c>
      <c r="M585" s="1412">
        <v>0.33333333333333337</v>
      </c>
      <c r="N585" s="1366">
        <v>1317</v>
      </c>
      <c r="O585" s="204">
        <v>35519</v>
      </c>
      <c r="P585" s="374"/>
    </row>
    <row r="586" spans="4:16">
      <c r="D586" s="740" t="s">
        <v>1698</v>
      </c>
      <c r="E586" s="427">
        <v>1</v>
      </c>
      <c r="F586" s="1366">
        <v>0</v>
      </c>
      <c r="G586" s="1412">
        <v>0.6207407407407407</v>
      </c>
      <c r="H586" s="1366">
        <v>4</v>
      </c>
      <c r="I586" s="1412">
        <v>0.30962962962962964</v>
      </c>
      <c r="J586" s="1366">
        <v>24</v>
      </c>
      <c r="K586" s="1412">
        <v>6.9629629629629652E-2</v>
      </c>
      <c r="L586" s="1366">
        <v>3</v>
      </c>
      <c r="M586" s="1412">
        <v>0.33333333333333337</v>
      </c>
      <c r="N586" s="1366">
        <v>1</v>
      </c>
      <c r="O586" s="204">
        <v>25</v>
      </c>
      <c r="P586" s="374"/>
    </row>
    <row r="587" spans="4:16">
      <c r="D587" s="740" t="s">
        <v>1699</v>
      </c>
      <c r="E587" s="1418">
        <v>1</v>
      </c>
      <c r="F587" s="1436">
        <v>708</v>
      </c>
      <c r="G587" s="1437">
        <v>0.12837837837837837</v>
      </c>
      <c r="H587" s="1436">
        <v>529</v>
      </c>
      <c r="I587" s="1437">
        <v>0.57657657657657657</v>
      </c>
      <c r="J587" s="1438">
        <v>29</v>
      </c>
      <c r="K587" s="1437">
        <v>0.29504504504504503</v>
      </c>
      <c r="L587" s="1438">
        <v>404</v>
      </c>
      <c r="M587" s="1437">
        <v>0.33333333333333337</v>
      </c>
      <c r="N587" s="1438">
        <v>135</v>
      </c>
      <c r="O587" s="1422">
        <v>3633</v>
      </c>
      <c r="P587" s="374"/>
    </row>
    <row r="588" spans="4:16">
      <c r="D588" s="740" t="s">
        <v>1700</v>
      </c>
      <c r="E588" s="1418">
        <v>1</v>
      </c>
      <c r="F588" s="1436">
        <v>3863</v>
      </c>
      <c r="G588" s="1437">
        <v>0.30952380952380953</v>
      </c>
      <c r="H588" s="1436">
        <v>2917</v>
      </c>
      <c r="I588" s="1437">
        <v>0.65238095238095239</v>
      </c>
      <c r="J588" s="1438">
        <v>104</v>
      </c>
      <c r="K588" s="1437">
        <v>3.8095238095238071E-2</v>
      </c>
      <c r="L588" s="1438">
        <v>3103</v>
      </c>
      <c r="M588" s="1437">
        <v>0.33333333333333337</v>
      </c>
      <c r="N588" s="1438">
        <v>1034</v>
      </c>
      <c r="O588" s="1422">
        <v>27892</v>
      </c>
      <c r="P588" s="374"/>
    </row>
    <row r="589" spans="4:16">
      <c r="D589" s="740" t="s">
        <v>1701</v>
      </c>
      <c r="E589" s="1418">
        <v>0</v>
      </c>
      <c r="F589" s="1436">
        <v>0</v>
      </c>
      <c r="G589" s="1437">
        <v>4.6381317734954311E-2</v>
      </c>
      <c r="H589" s="1436">
        <v>0</v>
      </c>
      <c r="I589" s="1437">
        <v>0.12227801948306138</v>
      </c>
      <c r="J589" s="1438">
        <v>0</v>
      </c>
      <c r="K589" s="1437">
        <v>0.83134066278198426</v>
      </c>
      <c r="L589" s="1438">
        <v>0</v>
      </c>
      <c r="M589" s="1437">
        <v>0.33333333333333337</v>
      </c>
      <c r="N589" s="1438">
        <v>0</v>
      </c>
      <c r="O589" s="1422">
        <v>0</v>
      </c>
      <c r="P589" s="374"/>
    </row>
    <row r="590" spans="4:16">
      <c r="D590" s="740" t="s">
        <v>1702</v>
      </c>
      <c r="E590" s="1418">
        <v>0</v>
      </c>
      <c r="F590" s="1436">
        <v>0</v>
      </c>
      <c r="G590" s="1437">
        <v>8.8948787061994605E-2</v>
      </c>
      <c r="H590" s="1436">
        <v>0</v>
      </c>
      <c r="I590" s="1437">
        <v>0.23450134770889489</v>
      </c>
      <c r="J590" s="1438">
        <v>0</v>
      </c>
      <c r="K590" s="1437">
        <v>0.67654986522911054</v>
      </c>
      <c r="L590" s="1438">
        <v>0</v>
      </c>
      <c r="M590" s="1437">
        <v>0.33333333333333337</v>
      </c>
      <c r="N590" s="1438">
        <v>0</v>
      </c>
      <c r="O590" s="1422">
        <v>0</v>
      </c>
      <c r="P590" s="374"/>
    </row>
    <row r="591" spans="4:16">
      <c r="D591" s="740" t="s">
        <v>1703</v>
      </c>
      <c r="E591" s="1418">
        <v>4</v>
      </c>
      <c r="F591" s="1436">
        <v>4760</v>
      </c>
      <c r="G591" s="1437">
        <v>1</v>
      </c>
      <c r="H591" s="1436">
        <v>3531</v>
      </c>
      <c r="I591" s="1437">
        <v>0</v>
      </c>
      <c r="J591" s="1438">
        <v>0</v>
      </c>
      <c r="K591" s="1437">
        <v>0</v>
      </c>
      <c r="L591" s="1438">
        <v>4760</v>
      </c>
      <c r="M591" s="1437">
        <v>0.33333333333333337</v>
      </c>
      <c r="N591" s="1438">
        <v>1587</v>
      </c>
      <c r="O591" s="1422">
        <v>42791</v>
      </c>
      <c r="P591" s="374"/>
    </row>
    <row r="592" spans="4:16">
      <c r="D592" s="740" t="s">
        <v>1704</v>
      </c>
      <c r="E592" s="1418">
        <v>2</v>
      </c>
      <c r="F592" s="1436">
        <v>4677</v>
      </c>
      <c r="G592" s="1437">
        <v>0</v>
      </c>
      <c r="H592" s="1436">
        <v>3379</v>
      </c>
      <c r="I592" s="1437">
        <v>1</v>
      </c>
      <c r="J592" s="1438">
        <v>0</v>
      </c>
      <c r="K592" s="1437">
        <v>0</v>
      </c>
      <c r="L592" s="1438">
        <v>3379</v>
      </c>
      <c r="M592" s="1437">
        <v>0.33333333333333337</v>
      </c>
      <c r="N592" s="1438">
        <v>1126</v>
      </c>
      <c r="O592" s="1422">
        <v>30375</v>
      </c>
      <c r="P592" s="374"/>
    </row>
    <row r="593" spans="4:16" ht="15.75" thickBot="1">
      <c r="D593" s="740" t="s">
        <v>1705</v>
      </c>
      <c r="E593" s="1439">
        <v>2</v>
      </c>
      <c r="F593" s="1440">
        <v>5364</v>
      </c>
      <c r="G593" s="1441">
        <v>0</v>
      </c>
      <c r="H593" s="1440">
        <v>4140</v>
      </c>
      <c r="I593" s="1441">
        <v>0</v>
      </c>
      <c r="J593" s="1442">
        <v>15</v>
      </c>
      <c r="K593" s="1441">
        <v>1</v>
      </c>
      <c r="L593" s="1442">
        <v>15</v>
      </c>
      <c r="M593" s="1441">
        <v>0.33333333333333337</v>
      </c>
      <c r="N593" s="1442">
        <v>5</v>
      </c>
      <c r="O593" s="1443">
        <v>134</v>
      </c>
      <c r="P593" s="374"/>
    </row>
    <row r="594" spans="4:16" ht="15.75" thickBot="1">
      <c r="D594" s="1399" t="s">
        <v>432</v>
      </c>
      <c r="E594" s="1444">
        <f>+SUM(E583:E593)</f>
        <v>40</v>
      </c>
      <c r="F594" s="1444">
        <f t="shared" ref="F594" si="42">+SUM(F583:F593)</f>
        <v>78703</v>
      </c>
      <c r="G594" s="1444"/>
      <c r="H594" s="1444">
        <f t="shared" ref="H594" si="43">+SUM(H583:H593)</f>
        <v>59079</v>
      </c>
      <c r="I594" s="1444"/>
      <c r="J594" s="1444">
        <f t="shared" ref="J594" si="44">+SUM(J583:J593)</f>
        <v>1753</v>
      </c>
      <c r="K594" s="1444"/>
      <c r="L594" s="1444">
        <f t="shared" ref="L594" si="45">+SUM(L583:L593)</f>
        <v>56437</v>
      </c>
      <c r="M594" s="1444"/>
      <c r="N594" s="1444">
        <f t="shared" ref="N594" si="46">+SUM(N583:N593)</f>
        <v>18812</v>
      </c>
      <c r="O594" s="1444">
        <f t="shared" ref="O594" si="47">+SUM(O583:O593)</f>
        <v>507313</v>
      </c>
    </row>
    <row r="595" spans="4:16" ht="15.75" thickBot="1">
      <c r="D595" s="1398"/>
      <c r="E595" s="1401"/>
      <c r="F595" s="1405"/>
      <c r="G595" s="1406"/>
      <c r="H595" s="1405"/>
      <c r="I595" s="1433"/>
      <c r="J595" s="1401"/>
      <c r="K595" s="1402"/>
      <c r="L595" s="1401"/>
      <c r="M595" s="1434"/>
      <c r="N595" s="1401"/>
      <c r="O595" s="1404"/>
    </row>
    <row r="596" spans="4:16" ht="15" customHeight="1" thickBot="1">
      <c r="D596" s="24"/>
      <c r="E596" s="24" t="s">
        <v>1667</v>
      </c>
      <c r="F596" s="1688" t="s">
        <v>1686</v>
      </c>
      <c r="G596" s="1689"/>
      <c r="H596" s="1690"/>
    </row>
    <row r="597" spans="4:16" ht="15.75" thickBot="1">
      <c r="D597" s="1398"/>
      <c r="E597" s="1398"/>
    </row>
    <row r="598" spans="4:16" ht="15" customHeight="1" thickBot="1">
      <c r="D598" s="24"/>
      <c r="E598" s="24" t="s">
        <v>1668</v>
      </c>
      <c r="F598" s="1691" t="s">
        <v>4136</v>
      </c>
      <c r="G598" s="1692"/>
      <c r="H598" s="1693"/>
    </row>
    <row r="599" spans="4:16" ht="15.75" thickBot="1"/>
    <row r="600" spans="4:16">
      <c r="D600" s="1569" t="s">
        <v>1694</v>
      </c>
      <c r="E600" s="1569" t="s">
        <v>833</v>
      </c>
      <c r="F600" s="1569" t="s">
        <v>1669</v>
      </c>
      <c r="G600" s="1686" t="s">
        <v>1670</v>
      </c>
      <c r="H600" s="1686" t="s">
        <v>544</v>
      </c>
      <c r="I600" s="1569" t="s">
        <v>1670</v>
      </c>
      <c r="J600" s="1569" t="s">
        <v>545</v>
      </c>
      <c r="K600" s="1686" t="s">
        <v>1670</v>
      </c>
      <c r="L600" s="1686" t="s">
        <v>1706</v>
      </c>
      <c r="M600" s="1569" t="s">
        <v>1672</v>
      </c>
      <c r="N600" s="1686" t="s">
        <v>1673</v>
      </c>
      <c r="O600" s="1569" t="s">
        <v>1674</v>
      </c>
      <c r="P600" s="1685"/>
    </row>
    <row r="601" spans="4:16" ht="54.95" customHeight="1" thickBot="1">
      <c r="D601" s="1570"/>
      <c r="E601" s="1570"/>
      <c r="F601" s="1570"/>
      <c r="G601" s="1687"/>
      <c r="H601" s="1687"/>
      <c r="I601" s="1570"/>
      <c r="J601" s="1570"/>
      <c r="K601" s="1687"/>
      <c r="L601" s="1687"/>
      <c r="M601" s="1570"/>
      <c r="N601" s="1687"/>
      <c r="O601" s="1570"/>
      <c r="P601" s="1685"/>
    </row>
    <row r="602" spans="4:16">
      <c r="D602" s="740" t="s">
        <v>1695</v>
      </c>
      <c r="E602" s="425">
        <v>7</v>
      </c>
      <c r="F602" s="1195">
        <v>24718</v>
      </c>
      <c r="G602" s="1416">
        <v>0.33310788042537265</v>
      </c>
      <c r="H602" s="1435">
        <v>18041</v>
      </c>
      <c r="I602" s="1416">
        <v>0.53962731141617537</v>
      </c>
      <c r="J602" s="1195">
        <v>396</v>
      </c>
      <c r="K602" s="1416">
        <v>0.12726480815845198</v>
      </c>
      <c r="L602" s="1435">
        <v>18020</v>
      </c>
      <c r="M602" s="1416">
        <v>0.2</v>
      </c>
      <c r="N602" s="1435">
        <v>3604</v>
      </c>
      <c r="O602" s="66">
        <v>97186</v>
      </c>
      <c r="P602" s="374"/>
    </row>
    <row r="603" spans="4:16">
      <c r="D603" s="740" t="s">
        <v>1696</v>
      </c>
      <c r="E603" s="427">
        <v>2</v>
      </c>
      <c r="F603" s="1366">
        <v>3376</v>
      </c>
      <c r="G603" s="1412">
        <v>0.85060197253500303</v>
      </c>
      <c r="H603" s="1366">
        <v>2475</v>
      </c>
      <c r="I603" s="1412">
        <v>0.12449835622083075</v>
      </c>
      <c r="J603" s="1366">
        <v>60</v>
      </c>
      <c r="K603" s="1412">
        <v>2.4899671244166227E-2</v>
      </c>
      <c r="L603" s="1366">
        <v>3182</v>
      </c>
      <c r="M603" s="1412">
        <v>0.2</v>
      </c>
      <c r="N603" s="1366">
        <v>636</v>
      </c>
      <c r="O603" s="204">
        <v>17159</v>
      </c>
      <c r="P603" s="374"/>
    </row>
    <row r="604" spans="4:16">
      <c r="D604" s="740" t="s">
        <v>1697</v>
      </c>
      <c r="E604" s="427">
        <v>0</v>
      </c>
      <c r="F604" s="1366">
        <v>0</v>
      </c>
      <c r="G604" s="1412">
        <v>4.4771922049219579E-2</v>
      </c>
      <c r="H604" s="1366">
        <v>0</v>
      </c>
      <c r="I604" s="1412">
        <v>0.91258258294676309</v>
      </c>
      <c r="J604" s="1366">
        <v>0</v>
      </c>
      <c r="K604" s="1412">
        <v>4.2645495004017375E-2</v>
      </c>
      <c r="L604" s="1366">
        <v>0</v>
      </c>
      <c r="M604" s="1412">
        <v>0.2</v>
      </c>
      <c r="N604" s="1366">
        <v>0</v>
      </c>
      <c r="O604" s="204">
        <v>0</v>
      </c>
      <c r="P604" s="374"/>
    </row>
    <row r="605" spans="4:16">
      <c r="D605" s="740" t="s">
        <v>1698</v>
      </c>
      <c r="E605" s="427">
        <v>2</v>
      </c>
      <c r="F605" s="1366">
        <v>8956</v>
      </c>
      <c r="G605" s="1412">
        <v>0.62116040955631402</v>
      </c>
      <c r="H605" s="1366">
        <v>6520</v>
      </c>
      <c r="I605" s="1412">
        <v>0.31569965870307165</v>
      </c>
      <c r="J605" s="1366">
        <v>132</v>
      </c>
      <c r="K605" s="1412">
        <v>6.313993174061433E-2</v>
      </c>
      <c r="L605" s="1366">
        <v>7630</v>
      </c>
      <c r="M605" s="1412">
        <v>0.2</v>
      </c>
      <c r="N605" s="1366">
        <v>1526</v>
      </c>
      <c r="O605" s="204">
        <v>41151</v>
      </c>
      <c r="P605" s="374"/>
    </row>
    <row r="606" spans="4:16">
      <c r="D606" s="740" t="s">
        <v>1699</v>
      </c>
      <c r="E606" s="1418">
        <v>0</v>
      </c>
      <c r="F606" s="1436">
        <v>0</v>
      </c>
      <c r="G606" s="1437">
        <v>0.12034383954154727</v>
      </c>
      <c r="H606" s="1436">
        <v>0</v>
      </c>
      <c r="I606" s="1437">
        <v>0.63037249283667618</v>
      </c>
      <c r="J606" s="1438">
        <v>0</v>
      </c>
      <c r="K606" s="1437">
        <v>0.24928366762177656</v>
      </c>
      <c r="L606" s="1438">
        <v>0</v>
      </c>
      <c r="M606" s="1437">
        <v>0.2</v>
      </c>
      <c r="N606" s="1438">
        <v>0</v>
      </c>
      <c r="O606" s="1422">
        <v>0</v>
      </c>
      <c r="P606" s="374"/>
    </row>
    <row r="607" spans="4:16">
      <c r="D607" s="740" t="s">
        <v>1700</v>
      </c>
      <c r="E607" s="1418">
        <v>3</v>
      </c>
      <c r="F607" s="1436">
        <v>8771</v>
      </c>
      <c r="G607" s="1437">
        <v>0.27536231884057971</v>
      </c>
      <c r="H607" s="1436">
        <v>6387</v>
      </c>
      <c r="I607" s="1437">
        <v>0.6908212560386473</v>
      </c>
      <c r="J607" s="1438">
        <v>151</v>
      </c>
      <c r="K607" s="1437">
        <v>3.3816425120772986E-2</v>
      </c>
      <c r="L607" s="1438">
        <v>6833</v>
      </c>
      <c r="M607" s="1437">
        <v>0.2</v>
      </c>
      <c r="N607" s="1438">
        <v>1367</v>
      </c>
      <c r="O607" s="1422">
        <v>36853</v>
      </c>
      <c r="P607" s="374"/>
    </row>
    <row r="608" spans="4:16">
      <c r="D608" s="740" t="s">
        <v>1701</v>
      </c>
      <c r="E608" s="1418">
        <v>0</v>
      </c>
      <c r="F608" s="1436">
        <v>0</v>
      </c>
      <c r="G608" s="1437">
        <v>4.7579781847640543E-2</v>
      </c>
      <c r="H608" s="1436">
        <v>0</v>
      </c>
      <c r="I608" s="1437">
        <v>0.12205248387003442</v>
      </c>
      <c r="J608" s="1438">
        <v>0</v>
      </c>
      <c r="K608" s="1437">
        <v>0.83036773428232502</v>
      </c>
      <c r="L608" s="1438">
        <v>0</v>
      </c>
      <c r="M608" s="1437">
        <v>0.2</v>
      </c>
      <c r="N608" s="1438">
        <v>0</v>
      </c>
      <c r="O608" s="1422">
        <v>0</v>
      </c>
      <c r="P608" s="374"/>
    </row>
    <row r="609" spans="3:16">
      <c r="D609" s="740" t="s">
        <v>1702</v>
      </c>
      <c r="E609" s="1418">
        <v>0</v>
      </c>
      <c r="F609" s="1436">
        <v>0</v>
      </c>
      <c r="G609" s="1437">
        <v>8.1850533807829182E-2</v>
      </c>
      <c r="H609" s="1436">
        <v>0</v>
      </c>
      <c r="I609" s="1437">
        <v>0.20996441281138789</v>
      </c>
      <c r="J609" s="1438">
        <v>0</v>
      </c>
      <c r="K609" s="1437">
        <v>0.70818505338078297</v>
      </c>
      <c r="L609" s="1438">
        <v>0</v>
      </c>
      <c r="M609" s="1437">
        <v>0.2</v>
      </c>
      <c r="N609" s="1438">
        <v>0</v>
      </c>
      <c r="O609" s="1422">
        <v>0</v>
      </c>
      <c r="P609" s="374"/>
    </row>
    <row r="610" spans="3:16">
      <c r="D610" s="740" t="s">
        <v>1703</v>
      </c>
      <c r="E610" s="1418">
        <v>0</v>
      </c>
      <c r="F610" s="1436">
        <v>0</v>
      </c>
      <c r="G610" s="1437">
        <v>1</v>
      </c>
      <c r="H610" s="1436">
        <v>0</v>
      </c>
      <c r="I610" s="1437">
        <v>0</v>
      </c>
      <c r="J610" s="1438">
        <v>0</v>
      </c>
      <c r="K610" s="1437">
        <v>0</v>
      </c>
      <c r="L610" s="1438">
        <v>0</v>
      </c>
      <c r="M610" s="1437">
        <v>0.2</v>
      </c>
      <c r="N610" s="1438">
        <v>0</v>
      </c>
      <c r="O610" s="1422">
        <v>0</v>
      </c>
      <c r="P610" s="374"/>
    </row>
    <row r="611" spans="3:16">
      <c r="D611" s="740" t="s">
        <v>1704</v>
      </c>
      <c r="E611" s="1418">
        <v>2</v>
      </c>
      <c r="F611" s="1436">
        <v>6141</v>
      </c>
      <c r="G611" s="1437">
        <v>0</v>
      </c>
      <c r="H611" s="1436">
        <v>4411</v>
      </c>
      <c r="I611" s="1437">
        <v>1</v>
      </c>
      <c r="J611" s="1438">
        <v>0</v>
      </c>
      <c r="K611" s="1437">
        <v>0</v>
      </c>
      <c r="L611" s="1438">
        <v>4411</v>
      </c>
      <c r="M611" s="1437">
        <v>0.2</v>
      </c>
      <c r="N611" s="1438">
        <v>882</v>
      </c>
      <c r="O611" s="1422">
        <v>23792</v>
      </c>
      <c r="P611" s="374"/>
    </row>
    <row r="612" spans="3:16" ht="15.75" thickBot="1">
      <c r="D612" s="740" t="s">
        <v>1705</v>
      </c>
      <c r="E612" s="1439">
        <v>0</v>
      </c>
      <c r="F612" s="1440">
        <v>0</v>
      </c>
      <c r="G612" s="1441">
        <v>0</v>
      </c>
      <c r="H612" s="1440">
        <v>0</v>
      </c>
      <c r="I612" s="1441">
        <v>0</v>
      </c>
      <c r="J612" s="1442">
        <v>0</v>
      </c>
      <c r="K612" s="1441">
        <v>1</v>
      </c>
      <c r="L612" s="1442">
        <v>0</v>
      </c>
      <c r="M612" s="1441">
        <v>0.2</v>
      </c>
      <c r="N612" s="1442">
        <v>0</v>
      </c>
      <c r="O612" s="1443">
        <v>0</v>
      </c>
      <c r="P612" s="374"/>
    </row>
    <row r="613" spans="3:16" ht="15.75" thickBot="1">
      <c r="D613" s="1399" t="s">
        <v>432</v>
      </c>
      <c r="E613" s="1444">
        <f>+SUM(E602:E612)</f>
        <v>16</v>
      </c>
      <c r="F613" s="1444">
        <f t="shared" ref="F613" si="48">+SUM(F602:F612)</f>
        <v>51962</v>
      </c>
      <c r="G613" s="1444"/>
      <c r="H613" s="1444">
        <f t="shared" ref="H613" si="49">+SUM(H602:H612)</f>
        <v>37834</v>
      </c>
      <c r="I613" s="1444"/>
      <c r="J613" s="1444">
        <f t="shared" ref="J613" si="50">+SUM(J602:J612)</f>
        <v>739</v>
      </c>
      <c r="K613" s="1444"/>
      <c r="L613" s="1444">
        <f t="shared" ref="L613" si="51">+SUM(L602:L612)</f>
        <v>40076</v>
      </c>
      <c r="M613" s="1444"/>
      <c r="N613" s="1444">
        <f t="shared" ref="N613" si="52">+SUM(N602:N612)</f>
        <v>8015</v>
      </c>
      <c r="O613" s="1444">
        <f t="shared" ref="O613" si="53">+SUM(O602:O612)</f>
        <v>216141</v>
      </c>
    </row>
    <row r="614" spans="3:16" ht="15.75" thickBot="1">
      <c r="D614" s="1398"/>
      <c r="E614" s="1401"/>
      <c r="F614" s="1405"/>
      <c r="G614" s="1406"/>
      <c r="H614" s="1405"/>
      <c r="I614" s="1433"/>
      <c r="J614" s="1401"/>
      <c r="K614" s="1402"/>
      <c r="L614" s="1401"/>
      <c r="M614" s="1434"/>
      <c r="N614" s="1401"/>
      <c r="O614" s="1404"/>
    </row>
    <row r="615" spans="3:16" ht="15" customHeight="1" thickBot="1">
      <c r="D615" s="24"/>
      <c r="E615" s="24" t="s">
        <v>1667</v>
      </c>
      <c r="F615" s="1688" t="s">
        <v>1685</v>
      </c>
      <c r="G615" s="1689"/>
      <c r="H615" s="1690"/>
    </row>
    <row r="616" spans="3:16" ht="15.75" thickBot="1">
      <c r="D616" s="337"/>
      <c r="E616" s="337"/>
    </row>
    <row r="617" spans="3:16" ht="15" customHeight="1" thickBot="1">
      <c r="D617" s="24"/>
      <c r="E617" s="24" t="s">
        <v>1668</v>
      </c>
      <c r="F617" s="1691" t="s">
        <v>4136</v>
      </c>
      <c r="G617" s="1692"/>
      <c r="H617" s="1693"/>
    </row>
    <row r="618" spans="3:16" ht="15.75" thickBot="1"/>
    <row r="619" spans="3:16" ht="15" customHeight="1">
      <c r="D619" s="1569" t="s">
        <v>1707</v>
      </c>
      <c r="E619" s="1569" t="s">
        <v>833</v>
      </c>
      <c r="F619" s="1569" t="s">
        <v>1708</v>
      </c>
      <c r="G619" s="1686" t="s">
        <v>1672</v>
      </c>
      <c r="H619" s="1686" t="s">
        <v>1709</v>
      </c>
      <c r="I619" s="24"/>
      <c r="J619" s="1685"/>
      <c r="K619" s="1685"/>
      <c r="L619" s="1685"/>
      <c r="M619" s="1685"/>
      <c r="N619" s="1685"/>
      <c r="O619" s="1685"/>
      <c r="P619" s="1685"/>
    </row>
    <row r="620" spans="3:16" ht="54.95" customHeight="1" thickBot="1">
      <c r="D620" s="1570"/>
      <c r="E620" s="1570"/>
      <c r="F620" s="1570"/>
      <c r="G620" s="1687"/>
      <c r="H620" s="1687"/>
      <c r="I620" s="24"/>
      <c r="J620" s="1685"/>
      <c r="K620" s="1685"/>
      <c r="L620" s="1685"/>
      <c r="M620" s="1685"/>
      <c r="N620" s="1685"/>
      <c r="O620" s="1685"/>
      <c r="P620" s="1685"/>
    </row>
    <row r="621" spans="3:16" ht="15.75" thickBot="1">
      <c r="D621" s="406" t="s">
        <v>546</v>
      </c>
      <c r="E621" s="459">
        <v>1</v>
      </c>
      <c r="F621" s="1445">
        <v>1033</v>
      </c>
      <c r="G621" s="460"/>
      <c r="H621" s="464"/>
      <c r="I621" s="465"/>
      <c r="J621" s="451"/>
      <c r="K621" s="452"/>
      <c r="L621" s="453"/>
      <c r="M621" s="373"/>
      <c r="N621" s="373"/>
      <c r="O621" s="374"/>
      <c r="P621" s="374"/>
    </row>
    <row r="624" spans="3:16">
      <c r="C624" s="424" t="s">
        <v>1710</v>
      </c>
    </row>
    <row r="625" spans="3:16">
      <c r="C625" s="424"/>
    </row>
    <row r="626" spans="3:16" ht="15.75" thickBot="1">
      <c r="D626" s="8" t="s">
        <v>4139</v>
      </c>
    </row>
    <row r="627" spans="3:16">
      <c r="D627" s="1569" t="s">
        <v>1710</v>
      </c>
      <c r="E627" s="1569" t="s">
        <v>833</v>
      </c>
      <c r="F627" s="1569" t="s">
        <v>1711</v>
      </c>
      <c r="G627" s="1686" t="s">
        <v>1670</v>
      </c>
      <c r="H627" s="1686" t="s">
        <v>1691</v>
      </c>
      <c r="I627" s="1569" t="s">
        <v>1672</v>
      </c>
      <c r="J627" s="1569" t="s">
        <v>1673</v>
      </c>
      <c r="K627" s="1686" t="s">
        <v>1674</v>
      </c>
      <c r="L627" s="1685"/>
      <c r="M627" s="1685"/>
      <c r="N627" s="1685"/>
      <c r="O627" s="1685"/>
      <c r="P627" s="1685"/>
    </row>
    <row r="628" spans="3:16" ht="54.95" customHeight="1" thickBot="1">
      <c r="D628" s="1570"/>
      <c r="E628" s="1570"/>
      <c r="F628" s="1570"/>
      <c r="G628" s="1687"/>
      <c r="H628" s="1687"/>
      <c r="I628" s="1570"/>
      <c r="J628" s="1570"/>
      <c r="K628" s="1687"/>
      <c r="L628" s="1685"/>
      <c r="M628" s="1685"/>
      <c r="N628" s="1685"/>
      <c r="O628" s="1685"/>
      <c r="P628" s="1685"/>
    </row>
    <row r="629" spans="3:16">
      <c r="D629" s="229" t="s">
        <v>1712</v>
      </c>
      <c r="E629" s="425">
        <v>4</v>
      </c>
      <c r="F629" s="89">
        <v>1449</v>
      </c>
      <c r="G629" s="1416">
        <v>0.96565000000000001</v>
      </c>
      <c r="H629" s="449">
        <v>1399</v>
      </c>
      <c r="I629" s="1221">
        <v>0.5714285714285714</v>
      </c>
      <c r="J629" s="89">
        <v>800</v>
      </c>
      <c r="K629" s="421">
        <v>800</v>
      </c>
      <c r="L629" s="453"/>
      <c r="M629" s="466"/>
      <c r="N629" s="453"/>
      <c r="O629" s="373"/>
      <c r="P629" s="374"/>
    </row>
    <row r="630" spans="3:16" s="146" customFormat="1" ht="15.75" thickBot="1">
      <c r="D630" s="420" t="s">
        <v>1713</v>
      </c>
      <c r="E630" s="468"/>
      <c r="F630" s="394"/>
      <c r="G630" s="397"/>
      <c r="H630" s="394"/>
      <c r="I630" s="397"/>
      <c r="J630" s="394"/>
      <c r="K630" s="388"/>
      <c r="L630" s="453"/>
      <c r="M630" s="452"/>
      <c r="N630" s="453"/>
      <c r="O630" s="374"/>
      <c r="P630" s="374"/>
    </row>
    <row r="631" spans="3:16" s="315" customFormat="1">
      <c r="D631" s="229"/>
      <c r="E631" s="453"/>
      <c r="F631" s="453"/>
      <c r="G631" s="467"/>
      <c r="H631" s="453"/>
      <c r="I631" s="467"/>
      <c r="J631" s="453"/>
      <c r="K631" s="467"/>
      <c r="L631" s="453"/>
      <c r="M631" s="452"/>
      <c r="N631" s="453"/>
      <c r="O631" s="374"/>
      <c r="P631" s="374"/>
    </row>
    <row r="632" spans="3:16" ht="15.75" thickBot="1">
      <c r="D632" s="8" t="s">
        <v>4140</v>
      </c>
    </row>
    <row r="633" spans="3:16">
      <c r="D633" s="1569" t="s">
        <v>1710</v>
      </c>
      <c r="E633" s="1569" t="s">
        <v>833</v>
      </c>
      <c r="F633" s="1569" t="s">
        <v>1711</v>
      </c>
      <c r="G633" s="1686" t="s">
        <v>1670</v>
      </c>
      <c r="H633" s="1686" t="s">
        <v>1691</v>
      </c>
      <c r="I633" s="1569" t="s">
        <v>1672</v>
      </c>
      <c r="J633" s="1569" t="s">
        <v>1673</v>
      </c>
      <c r="K633" s="1686" t="s">
        <v>1674</v>
      </c>
      <c r="L633" s="1685"/>
      <c r="M633" s="1685"/>
      <c r="N633" s="1685"/>
      <c r="O633" s="1685"/>
      <c r="P633" s="1685"/>
    </row>
    <row r="634" spans="3:16" ht="54.95" customHeight="1" thickBot="1">
      <c r="D634" s="1570"/>
      <c r="E634" s="1570"/>
      <c r="F634" s="1570"/>
      <c r="G634" s="1687"/>
      <c r="H634" s="1687"/>
      <c r="I634" s="1570"/>
      <c r="J634" s="1570"/>
      <c r="K634" s="1687"/>
      <c r="L634" s="1685"/>
      <c r="M634" s="1685"/>
      <c r="N634" s="1685"/>
      <c r="O634" s="1685"/>
      <c r="P634" s="1685"/>
    </row>
    <row r="635" spans="3:16">
      <c r="D635" s="740" t="s">
        <v>1712</v>
      </c>
      <c r="E635" s="425">
        <v>1</v>
      </c>
      <c r="F635" s="89">
        <v>0</v>
      </c>
      <c r="G635" s="447">
        <v>0.96255201109570043</v>
      </c>
      <c r="H635" s="449">
        <v>0</v>
      </c>
      <c r="I635" s="214">
        <v>0.5</v>
      </c>
      <c r="J635" s="89">
        <v>0</v>
      </c>
      <c r="K635" s="421">
        <v>0</v>
      </c>
      <c r="L635" s="1446"/>
      <c r="M635" s="466"/>
      <c r="N635" s="453"/>
      <c r="O635" s="373"/>
      <c r="P635" s="374"/>
    </row>
    <row r="636" spans="3:16" s="146" customFormat="1" ht="15.75" thickBot="1">
      <c r="D636" s="1400" t="s">
        <v>1713</v>
      </c>
      <c r="E636" s="468"/>
      <c r="F636" s="394"/>
      <c r="G636" s="397"/>
      <c r="H636" s="394"/>
      <c r="I636" s="397"/>
      <c r="J636" s="394"/>
      <c r="K636" s="388"/>
      <c r="L636" s="453"/>
      <c r="M636" s="452"/>
      <c r="N636" s="453"/>
      <c r="O636" s="374"/>
      <c r="P636" s="374"/>
    </row>
    <row r="637" spans="3:16" s="315" customFormat="1">
      <c r="D637" s="229"/>
      <c r="E637" s="453"/>
      <c r="F637" s="453"/>
      <c r="G637" s="467"/>
      <c r="H637" s="453"/>
      <c r="I637" s="467"/>
      <c r="J637" s="453"/>
      <c r="K637" s="467"/>
      <c r="L637" s="453"/>
      <c r="M637" s="452"/>
      <c r="N637" s="453"/>
      <c r="O637" s="374"/>
      <c r="P637" s="131"/>
    </row>
    <row r="638" spans="3:16" ht="15.75" thickBot="1">
      <c r="D638" s="8" t="s">
        <v>4141</v>
      </c>
    </row>
    <row r="639" spans="3:16">
      <c r="D639" s="1569" t="s">
        <v>1710</v>
      </c>
      <c r="E639" s="1569" t="s">
        <v>833</v>
      </c>
      <c r="F639" s="1569" t="s">
        <v>1711</v>
      </c>
      <c r="G639" s="1686" t="s">
        <v>1670</v>
      </c>
      <c r="H639" s="1686" t="s">
        <v>1691</v>
      </c>
      <c r="I639" s="1569" t="s">
        <v>1672</v>
      </c>
      <c r="J639" s="1569" t="s">
        <v>1673</v>
      </c>
      <c r="K639" s="1686" t="s">
        <v>1674</v>
      </c>
      <c r="L639" s="1685"/>
      <c r="M639" s="1685"/>
      <c r="N639" s="1685"/>
      <c r="O639" s="1685"/>
      <c r="P639" s="1685"/>
    </row>
    <row r="640" spans="3:16" ht="54.95" customHeight="1" thickBot="1">
      <c r="D640" s="1570"/>
      <c r="E640" s="1570"/>
      <c r="F640" s="1570"/>
      <c r="G640" s="1687"/>
      <c r="H640" s="1687"/>
      <c r="I640" s="1570"/>
      <c r="J640" s="1570"/>
      <c r="K640" s="1687"/>
      <c r="L640" s="1685"/>
      <c r="M640" s="1685"/>
      <c r="N640" s="1685"/>
      <c r="O640" s="1685"/>
      <c r="P640" s="1685"/>
    </row>
    <row r="641" spans="3:16">
      <c r="D641" s="740" t="s">
        <v>1712</v>
      </c>
      <c r="E641" s="425">
        <v>178</v>
      </c>
      <c r="F641" s="89">
        <v>158595</v>
      </c>
      <c r="G641" s="447">
        <v>0.96565000000000001</v>
      </c>
      <c r="H641" s="449">
        <v>153147</v>
      </c>
      <c r="I641" s="214">
        <v>0.33333333333333331</v>
      </c>
      <c r="J641" s="89">
        <v>51049</v>
      </c>
      <c r="K641" s="421">
        <v>1376636</v>
      </c>
      <c r="L641" s="1446"/>
      <c r="M641" s="466"/>
      <c r="N641" s="453"/>
      <c r="O641" s="373"/>
      <c r="P641" s="374"/>
    </row>
    <row r="642" spans="3:16" s="146" customFormat="1" ht="15.75" thickBot="1">
      <c r="D642" s="1400" t="s">
        <v>1713</v>
      </c>
      <c r="E642" s="468"/>
      <c r="F642" s="394"/>
      <c r="G642" s="397"/>
      <c r="H642" s="394"/>
      <c r="I642" s="397"/>
      <c r="J642" s="394"/>
      <c r="K642" s="388"/>
      <c r="L642" s="453"/>
      <c r="M642" s="452"/>
      <c r="N642" s="453"/>
      <c r="O642" s="374"/>
      <c r="P642" s="374"/>
    </row>
    <row r="643" spans="3:16" s="146" customFormat="1">
      <c r="D643" s="740"/>
      <c r="E643" s="453"/>
      <c r="F643" s="453"/>
      <c r="G643" s="467"/>
      <c r="H643" s="453"/>
      <c r="I643" s="467"/>
      <c r="J643" s="453"/>
      <c r="K643" s="374"/>
      <c r="L643" s="453"/>
      <c r="M643" s="452"/>
      <c r="N643" s="453"/>
      <c r="O643" s="374"/>
      <c r="P643" s="374"/>
    </row>
    <row r="644" spans="3:16" s="146" customFormat="1" ht="15.75" thickBot="1">
      <c r="D644" s="8" t="s">
        <v>4142</v>
      </c>
      <c r="E644" s="453"/>
      <c r="F644" s="453"/>
      <c r="G644" s="467"/>
      <c r="H644" s="453"/>
      <c r="I644" s="467"/>
      <c r="J644" s="453"/>
      <c r="K644" s="374"/>
      <c r="L644" s="453"/>
      <c r="M644" s="452"/>
      <c r="N644" s="453"/>
      <c r="O644" s="374"/>
      <c r="P644" s="374"/>
    </row>
    <row r="645" spans="3:16">
      <c r="D645" s="1569" t="s">
        <v>1710</v>
      </c>
      <c r="E645" s="1569" t="s">
        <v>833</v>
      </c>
      <c r="F645" s="1569" t="s">
        <v>1711</v>
      </c>
      <c r="G645" s="1686" t="s">
        <v>1670</v>
      </c>
      <c r="H645" s="1686" t="s">
        <v>1691</v>
      </c>
      <c r="I645" s="1569" t="s">
        <v>1672</v>
      </c>
      <c r="J645" s="1569" t="s">
        <v>1673</v>
      </c>
      <c r="K645" s="1686" t="s">
        <v>1674</v>
      </c>
      <c r="L645" s="1685"/>
      <c r="M645" s="1685"/>
      <c r="N645" s="1685"/>
      <c r="O645" s="1685"/>
      <c r="P645" s="1685"/>
    </row>
    <row r="646" spans="3:16" ht="54.95" customHeight="1" thickBot="1">
      <c r="D646" s="1570"/>
      <c r="E646" s="1570"/>
      <c r="F646" s="1570"/>
      <c r="G646" s="1687"/>
      <c r="H646" s="1687"/>
      <c r="I646" s="1570"/>
      <c r="J646" s="1570"/>
      <c r="K646" s="1687"/>
      <c r="L646" s="1685"/>
      <c r="M646" s="1685"/>
      <c r="N646" s="1685"/>
      <c r="O646" s="1685"/>
      <c r="P646" s="1685"/>
    </row>
    <row r="647" spans="3:16">
      <c r="D647" s="740" t="s">
        <v>1712</v>
      </c>
      <c r="E647" s="425">
        <v>32</v>
      </c>
      <c r="F647" s="89">
        <v>31692</v>
      </c>
      <c r="G647" s="447">
        <v>0.96255201109570043</v>
      </c>
      <c r="H647" s="449">
        <v>30505</v>
      </c>
      <c r="I647" s="214">
        <v>0.2</v>
      </c>
      <c r="J647" s="89">
        <v>6101</v>
      </c>
      <c r="K647" s="421">
        <v>164525</v>
      </c>
      <c r="L647" s="1446"/>
      <c r="M647" s="466"/>
      <c r="N647" s="453"/>
      <c r="O647" s="373"/>
      <c r="P647" s="374"/>
    </row>
    <row r="648" spans="3:16" s="146" customFormat="1" ht="15.75" thickBot="1">
      <c r="D648" s="1400" t="s">
        <v>1713</v>
      </c>
      <c r="E648" s="468"/>
      <c r="F648" s="394"/>
      <c r="G648" s="397"/>
      <c r="H648" s="394"/>
      <c r="I648" s="397"/>
      <c r="J648" s="394"/>
      <c r="K648" s="388"/>
      <c r="L648" s="453"/>
      <c r="M648" s="452"/>
      <c r="N648" s="453"/>
      <c r="O648" s="374"/>
      <c r="P648" s="374"/>
    </row>
    <row r="649" spans="3:16" s="146" customFormat="1">
      <c r="D649" s="740"/>
      <c r="E649" s="453"/>
      <c r="F649" s="453"/>
      <c r="G649" s="467"/>
      <c r="H649" s="453"/>
      <c r="I649" s="467"/>
      <c r="J649" s="453"/>
      <c r="K649" s="374"/>
      <c r="L649" s="453"/>
      <c r="M649" s="452"/>
      <c r="N649" s="453"/>
      <c r="O649" s="374"/>
      <c r="P649" s="374"/>
    </row>
    <row r="650" spans="3:16" s="315" customFormat="1">
      <c r="C650" s="424" t="s">
        <v>1715</v>
      </c>
    </row>
    <row r="651" spans="3:16" ht="15.75" thickBot="1"/>
    <row r="652" spans="3:16" ht="15" customHeight="1" thickBot="1">
      <c r="D652" s="24"/>
      <c r="E652" s="24" t="s">
        <v>1667</v>
      </c>
      <c r="F652" s="1688" t="s">
        <v>1685</v>
      </c>
      <c r="G652" s="1689"/>
      <c r="H652" s="1690"/>
    </row>
    <row r="653" spans="3:16" ht="15.75" thickBot="1">
      <c r="D653" s="337"/>
      <c r="E653" s="337"/>
    </row>
    <row r="654" spans="3:16" ht="15" customHeight="1" thickBot="1">
      <c r="D654" s="24"/>
      <c r="E654" s="24" t="s">
        <v>1668</v>
      </c>
      <c r="F654" s="1691" t="s">
        <v>4134</v>
      </c>
      <c r="G654" s="1692"/>
      <c r="H654" s="1693"/>
    </row>
    <row r="655" spans="3:16" ht="15.75" thickBot="1"/>
    <row r="656" spans="3:16">
      <c r="D656" s="1569" t="s">
        <v>1716</v>
      </c>
      <c r="E656" s="1569" t="s">
        <v>833</v>
      </c>
      <c r="F656" s="1569" t="s">
        <v>1717</v>
      </c>
      <c r="G656" s="1686" t="s">
        <v>452</v>
      </c>
      <c r="H656" s="1686" t="s">
        <v>1718</v>
      </c>
      <c r="I656" s="1569" t="s">
        <v>1719</v>
      </c>
      <c r="J656" s="1569" t="s">
        <v>1720</v>
      </c>
      <c r="K656" s="1686" t="s">
        <v>1721</v>
      </c>
      <c r="L656" s="1685"/>
      <c r="M656" s="1685"/>
      <c r="N656" s="1685"/>
      <c r="O656" s="1685"/>
      <c r="P656" s="1685"/>
    </row>
    <row r="657" spans="4:16" ht="54.95" customHeight="1" thickBot="1">
      <c r="D657" s="1570"/>
      <c r="E657" s="1570"/>
      <c r="F657" s="1570"/>
      <c r="G657" s="1687"/>
      <c r="H657" s="1687"/>
      <c r="I657" s="1570"/>
      <c r="J657" s="1570"/>
      <c r="K657" s="1687"/>
      <c r="L657" s="1685"/>
      <c r="M657" s="1685"/>
      <c r="N657" s="1685"/>
      <c r="O657" s="1685"/>
      <c r="P657" s="1685"/>
    </row>
    <row r="658" spans="4:16">
      <c r="D658" s="229" t="s">
        <v>1722</v>
      </c>
      <c r="E658" s="1447">
        <f>+E659+E663</f>
        <v>9</v>
      </c>
      <c r="F658" s="1447">
        <f t="shared" ref="F658:K658" si="54">+F659+F663</f>
        <v>218</v>
      </c>
      <c r="G658" s="1447">
        <f t="shared" si="54"/>
        <v>0</v>
      </c>
      <c r="H658" s="1447">
        <f t="shared" si="54"/>
        <v>0</v>
      </c>
      <c r="I658" s="1447">
        <f t="shared" si="54"/>
        <v>57</v>
      </c>
      <c r="J658" s="1447">
        <f t="shared" si="54"/>
        <v>218</v>
      </c>
      <c r="K658" s="1447">
        <f t="shared" si="54"/>
        <v>161</v>
      </c>
      <c r="L658" s="453"/>
      <c r="M658" s="373"/>
      <c r="N658" s="373"/>
      <c r="O658" s="374"/>
      <c r="P658" s="374"/>
    </row>
    <row r="659" spans="4:16">
      <c r="D659" s="229" t="s">
        <v>1723</v>
      </c>
      <c r="E659" s="1448">
        <f>+E660+E661+E662</f>
        <v>9</v>
      </c>
      <c r="F659" s="1448">
        <f t="shared" ref="F659:K659" si="55">+F660+F661+F662</f>
        <v>218</v>
      </c>
      <c r="G659" s="1448">
        <f t="shared" si="55"/>
        <v>0</v>
      </c>
      <c r="H659" s="1448">
        <f t="shared" si="55"/>
        <v>0</v>
      </c>
      <c r="I659" s="1448">
        <f t="shared" si="55"/>
        <v>57</v>
      </c>
      <c r="J659" s="1448">
        <f t="shared" si="55"/>
        <v>218</v>
      </c>
      <c r="K659" s="1448">
        <f t="shared" si="55"/>
        <v>161</v>
      </c>
      <c r="L659" s="453"/>
      <c r="M659" s="374"/>
      <c r="N659" s="374"/>
      <c r="O659" s="374"/>
      <c r="P659" s="374"/>
    </row>
    <row r="660" spans="4:16">
      <c r="D660" s="229" t="s">
        <v>1724</v>
      </c>
      <c r="E660" s="1448">
        <v>0</v>
      </c>
      <c r="F660" s="1449">
        <v>0</v>
      </c>
      <c r="G660" s="1449">
        <v>0</v>
      </c>
      <c r="H660" s="1449">
        <v>0</v>
      </c>
      <c r="I660" s="1449">
        <v>0</v>
      </c>
      <c r="J660" s="1449">
        <v>0</v>
      </c>
      <c r="K660" s="1450">
        <v>0</v>
      </c>
      <c r="L660" s="453"/>
      <c r="M660" s="374"/>
      <c r="N660" s="374"/>
      <c r="O660" s="374"/>
      <c r="P660" s="374"/>
    </row>
    <row r="661" spans="4:16">
      <c r="D661" s="229" t="s">
        <v>1725</v>
      </c>
      <c r="E661" s="1448">
        <v>9</v>
      </c>
      <c r="F661" s="1449">
        <v>218</v>
      </c>
      <c r="G661" s="1449">
        <v>0</v>
      </c>
      <c r="H661" s="1449">
        <v>0</v>
      </c>
      <c r="I661" s="1449">
        <v>57</v>
      </c>
      <c r="J661" s="1449">
        <v>218</v>
      </c>
      <c r="K661" s="1450">
        <v>161</v>
      </c>
      <c r="L661" s="453"/>
      <c r="M661" s="374"/>
      <c r="N661" s="131"/>
      <c r="O661" s="131"/>
      <c r="P661" s="131"/>
    </row>
    <row r="662" spans="4:16">
      <c r="D662" s="229" t="s">
        <v>1726</v>
      </c>
      <c r="E662" s="1451">
        <v>0</v>
      </c>
      <c r="F662" s="1452">
        <v>0</v>
      </c>
      <c r="G662" s="1452">
        <v>0</v>
      </c>
      <c r="H662" s="1452">
        <v>0</v>
      </c>
      <c r="I662" s="1453">
        <v>0</v>
      </c>
      <c r="J662" s="1453">
        <v>0</v>
      </c>
      <c r="K662" s="1454">
        <v>0</v>
      </c>
      <c r="L662" s="453"/>
      <c r="M662" s="474"/>
    </row>
    <row r="663" spans="4:16">
      <c r="D663" s="229" t="s">
        <v>1727</v>
      </c>
      <c r="E663" s="1451">
        <f>+E664+E665</f>
        <v>0</v>
      </c>
      <c r="F663" s="1451">
        <f t="shared" ref="F663:K663" si="56">+F664+F665</f>
        <v>0</v>
      </c>
      <c r="G663" s="1451">
        <f t="shared" si="56"/>
        <v>0</v>
      </c>
      <c r="H663" s="1451">
        <f t="shared" si="56"/>
        <v>0</v>
      </c>
      <c r="I663" s="1451">
        <f t="shared" si="56"/>
        <v>0</v>
      </c>
      <c r="J663" s="1451">
        <f t="shared" si="56"/>
        <v>0</v>
      </c>
      <c r="K663" s="1451">
        <f t="shared" si="56"/>
        <v>0</v>
      </c>
      <c r="L663" s="473"/>
      <c r="M663" s="474"/>
    </row>
    <row r="664" spans="4:16">
      <c r="D664" s="229" t="s">
        <v>1728</v>
      </c>
      <c r="E664" s="1451">
        <v>0</v>
      </c>
      <c r="F664" s="1452">
        <v>0</v>
      </c>
      <c r="G664" s="1452">
        <v>0</v>
      </c>
      <c r="H664" s="1452">
        <v>0</v>
      </c>
      <c r="I664" s="1453">
        <v>0</v>
      </c>
      <c r="J664" s="1453">
        <v>0</v>
      </c>
      <c r="K664" s="1454">
        <v>0</v>
      </c>
      <c r="L664" s="453"/>
      <c r="M664" s="474"/>
    </row>
    <row r="665" spans="4:16">
      <c r="D665" s="229" t="s">
        <v>1729</v>
      </c>
      <c r="E665" s="1451">
        <v>0</v>
      </c>
      <c r="F665" s="1452">
        <v>0</v>
      </c>
      <c r="G665" s="1452">
        <v>0</v>
      </c>
      <c r="H665" s="1452">
        <v>0</v>
      </c>
      <c r="I665" s="1453">
        <v>0</v>
      </c>
      <c r="J665" s="1453">
        <v>0</v>
      </c>
      <c r="K665" s="1454">
        <v>0</v>
      </c>
      <c r="L665" s="453"/>
      <c r="M665" s="474"/>
    </row>
    <row r="666" spans="4:16">
      <c r="D666" s="229" t="s">
        <v>1730</v>
      </c>
      <c r="E666" s="477">
        <f>+SUM(E667:E669)</f>
        <v>0</v>
      </c>
      <c r="F666" s="477">
        <f t="shared" ref="F666" si="57">+SUM(F667:F669)</f>
        <v>0</v>
      </c>
      <c r="G666" s="477">
        <f t="shared" ref="G666" si="58">+SUM(G667:G669)</f>
        <v>0</v>
      </c>
      <c r="H666" s="477">
        <f t="shared" ref="H666" si="59">+SUM(H667:H669)</f>
        <v>0</v>
      </c>
      <c r="I666" s="477">
        <f t="shared" ref="I666" si="60">+SUM(I667:I669)</f>
        <v>0</v>
      </c>
      <c r="J666" s="477">
        <f t="shared" ref="J666" si="61">+SUM(J667:J669)</f>
        <v>0</v>
      </c>
      <c r="K666" s="477">
        <f t="shared" ref="K666" si="62">+SUM(K667:K669)</f>
        <v>0</v>
      </c>
      <c r="L666" s="473"/>
      <c r="M666" s="474"/>
    </row>
    <row r="667" spans="4:16">
      <c r="D667" s="229" t="s">
        <v>1731</v>
      </c>
      <c r="E667" s="1455">
        <v>0</v>
      </c>
      <c r="F667" s="1456">
        <v>0</v>
      </c>
      <c r="G667" s="1456">
        <v>0</v>
      </c>
      <c r="H667" s="1456">
        <v>0</v>
      </c>
      <c r="I667" s="1457">
        <v>0</v>
      </c>
      <c r="J667" s="1457">
        <v>0</v>
      </c>
      <c r="K667" s="1458">
        <v>0</v>
      </c>
      <c r="L667" s="453"/>
      <c r="M667" s="474"/>
    </row>
    <row r="668" spans="4:16">
      <c r="D668" s="229" t="s">
        <v>1732</v>
      </c>
      <c r="E668" s="1455">
        <v>0</v>
      </c>
      <c r="F668" s="1456">
        <v>0</v>
      </c>
      <c r="G668" s="1456">
        <v>0</v>
      </c>
      <c r="H668" s="1456">
        <v>0</v>
      </c>
      <c r="I668" s="1457">
        <v>0</v>
      </c>
      <c r="J668" s="1457">
        <v>0</v>
      </c>
      <c r="K668" s="1458">
        <v>0</v>
      </c>
      <c r="L668" s="453"/>
      <c r="M668" s="474"/>
    </row>
    <row r="669" spans="4:16" ht="15.75" thickBot="1">
      <c r="D669" s="229" t="s">
        <v>1733</v>
      </c>
      <c r="E669" s="1455">
        <v>0</v>
      </c>
      <c r="F669" s="1456">
        <v>0</v>
      </c>
      <c r="G669" s="1456">
        <v>0</v>
      </c>
      <c r="H669" s="1456">
        <v>0</v>
      </c>
      <c r="I669" s="1457">
        <v>0</v>
      </c>
      <c r="J669" s="1457">
        <v>0</v>
      </c>
      <c r="K669" s="1458">
        <v>0</v>
      </c>
      <c r="L669" s="453"/>
      <c r="M669" s="474"/>
    </row>
    <row r="670" spans="4:16" ht="15.75" thickBot="1">
      <c r="D670" s="342" t="s">
        <v>432</v>
      </c>
      <c r="E670" s="478">
        <f>+E658+E666</f>
        <v>9</v>
      </c>
      <c r="F670" s="478">
        <f t="shared" ref="F670:J670" si="63">+F658+F666</f>
        <v>218</v>
      </c>
      <c r="G670" s="478">
        <f t="shared" si="63"/>
        <v>0</v>
      </c>
      <c r="H670" s="478">
        <f t="shared" si="63"/>
        <v>0</v>
      </c>
      <c r="I670" s="478">
        <f t="shared" si="63"/>
        <v>57</v>
      </c>
      <c r="J670" s="478">
        <f t="shared" si="63"/>
        <v>218</v>
      </c>
      <c r="K670" s="1459">
        <f>+K658+K666</f>
        <v>161</v>
      </c>
      <c r="L670" s="475"/>
      <c r="M670" s="476"/>
    </row>
    <row r="671" spans="4:16">
      <c r="D671" s="1398"/>
      <c r="E671" s="1403"/>
      <c r="F671" s="475"/>
      <c r="G671" s="475"/>
      <c r="H671" s="475"/>
      <c r="I671" s="1403"/>
      <c r="J671" s="1403"/>
      <c r="K671" s="1403"/>
      <c r="L671" s="475"/>
      <c r="M671" s="476"/>
    </row>
    <row r="672" spans="4:16" ht="15.75" thickBot="1">
      <c r="D672" s="1398"/>
      <c r="E672" s="1403"/>
      <c r="F672" s="475"/>
      <c r="G672" s="475"/>
      <c r="H672" s="475"/>
      <c r="I672" s="1403"/>
      <c r="J672" s="1403"/>
      <c r="K672" s="1403"/>
      <c r="L672" s="475"/>
      <c r="M672" s="476"/>
    </row>
    <row r="673" spans="4:20" ht="15" customHeight="1" thickBot="1">
      <c r="D673" s="24"/>
      <c r="E673" s="24" t="s">
        <v>1667</v>
      </c>
      <c r="F673" s="1688" t="s">
        <v>1685</v>
      </c>
      <c r="G673" s="1689"/>
      <c r="H673" s="1690"/>
    </row>
    <row r="674" spans="4:20" ht="15.75" thickBot="1">
      <c r="D674" s="1398"/>
      <c r="E674" s="1398"/>
    </row>
    <row r="675" spans="4:20" ht="15" customHeight="1" thickBot="1">
      <c r="D675" s="24"/>
      <c r="E675" s="24" t="s">
        <v>1668</v>
      </c>
      <c r="F675" s="1691" t="s">
        <v>4135</v>
      </c>
      <c r="G675" s="1692"/>
      <c r="H675" s="1693"/>
    </row>
    <row r="676" spans="4:20" ht="15.75" thickBot="1"/>
    <row r="677" spans="4:20">
      <c r="D677" s="1569" t="s">
        <v>1716</v>
      </c>
      <c r="E677" s="1569" t="s">
        <v>833</v>
      </c>
      <c r="F677" s="1569" t="s">
        <v>1717</v>
      </c>
      <c r="G677" s="1686" t="s">
        <v>452</v>
      </c>
      <c r="H677" s="1686" t="s">
        <v>1718</v>
      </c>
      <c r="I677" s="1569" t="s">
        <v>1719</v>
      </c>
      <c r="J677" s="1569" t="s">
        <v>1720</v>
      </c>
      <c r="K677" s="1686" t="s">
        <v>1721</v>
      </c>
      <c r="L677" s="1685"/>
      <c r="M677" s="1685"/>
      <c r="N677" s="1685"/>
      <c r="O677" s="1685"/>
      <c r="P677" s="1685"/>
    </row>
    <row r="678" spans="4:20" ht="54.95" customHeight="1" thickBot="1">
      <c r="D678" s="1570"/>
      <c r="E678" s="1570"/>
      <c r="F678" s="1570"/>
      <c r="G678" s="1687"/>
      <c r="H678" s="1687"/>
      <c r="I678" s="1570"/>
      <c r="J678" s="1570"/>
      <c r="K678" s="1687"/>
      <c r="L678" s="1685"/>
      <c r="M678" s="1685"/>
      <c r="N678" s="1685"/>
      <c r="O678" s="1685"/>
      <c r="P678" s="1685"/>
    </row>
    <row r="679" spans="4:20">
      <c r="D679" s="740" t="s">
        <v>1722</v>
      </c>
      <c r="E679" s="1460">
        <f>+E680+E684</f>
        <v>159</v>
      </c>
      <c r="F679" s="1461">
        <f t="shared" ref="F679" si="64">+F680+F684</f>
        <v>59239</v>
      </c>
      <c r="G679" s="1462">
        <f t="shared" ref="G679" si="65">+G680+G684</f>
        <v>0</v>
      </c>
      <c r="H679" s="1462">
        <f t="shared" ref="H679" si="66">+H680+H684</f>
        <v>0</v>
      </c>
      <c r="I679" s="1461">
        <f t="shared" ref="I679" si="67">+I680+I684</f>
        <v>59239</v>
      </c>
      <c r="J679" s="1461">
        <f t="shared" ref="J679" si="68">+J680+J684</f>
        <v>0</v>
      </c>
      <c r="K679" s="1463">
        <f t="shared" ref="K679" si="69">+K680+K684</f>
        <v>59239</v>
      </c>
      <c r="L679" s="453"/>
      <c r="M679" s="373"/>
      <c r="N679" s="373"/>
      <c r="O679" s="374"/>
      <c r="P679" s="374"/>
    </row>
    <row r="680" spans="4:20">
      <c r="D680" s="740" t="s">
        <v>1723</v>
      </c>
      <c r="E680" s="1464">
        <f>+E681+E682+E683</f>
        <v>159</v>
      </c>
      <c r="F680" s="1465">
        <f t="shared" ref="F680" si="70">+F681+F682+F683</f>
        <v>59239</v>
      </c>
      <c r="G680" s="1465">
        <f t="shared" ref="G680" si="71">+G681+G682+G683</f>
        <v>0</v>
      </c>
      <c r="H680" s="1465">
        <f t="shared" ref="H680" si="72">+H681+H682+H683</f>
        <v>0</v>
      </c>
      <c r="I680" s="1465">
        <f t="shared" ref="I680" si="73">+I681+I682+I683</f>
        <v>59239</v>
      </c>
      <c r="J680" s="1465">
        <f t="shared" ref="J680" si="74">+J681+J682+J683</f>
        <v>0</v>
      </c>
      <c r="K680" s="1466">
        <f t="shared" ref="K680" si="75">+K681+K682+K683</f>
        <v>59239</v>
      </c>
      <c r="L680" s="453"/>
      <c r="M680" s="374"/>
      <c r="N680" s="374"/>
      <c r="O680" s="374"/>
      <c r="P680" s="374"/>
    </row>
    <row r="681" spans="4:20">
      <c r="D681" s="740" t="s">
        <v>1724</v>
      </c>
      <c r="E681" s="1464">
        <v>2</v>
      </c>
      <c r="F681" s="1465">
        <v>350</v>
      </c>
      <c r="G681" s="1465">
        <v>0</v>
      </c>
      <c r="H681" s="1465">
        <v>0</v>
      </c>
      <c r="I681" s="1465">
        <v>350</v>
      </c>
      <c r="J681" s="1465">
        <v>0</v>
      </c>
      <c r="K681" s="1466">
        <v>350</v>
      </c>
      <c r="L681" s="453"/>
      <c r="M681" s="374"/>
      <c r="N681" s="374"/>
      <c r="O681" s="374"/>
      <c r="P681" s="374"/>
    </row>
    <row r="682" spans="4:20">
      <c r="D682" s="740" t="s">
        <v>1725</v>
      </c>
      <c r="E682" s="1464">
        <v>157</v>
      </c>
      <c r="F682" s="1465">
        <v>58889</v>
      </c>
      <c r="G682" s="1465">
        <v>0</v>
      </c>
      <c r="H682" s="1465">
        <v>0</v>
      </c>
      <c r="I682" s="1465">
        <v>58889</v>
      </c>
      <c r="J682" s="1465">
        <v>0</v>
      </c>
      <c r="K682" s="1466">
        <v>58889</v>
      </c>
      <c r="L682" s="453"/>
      <c r="M682" s="374"/>
      <c r="N682" s="131"/>
      <c r="O682" s="131"/>
      <c r="P682" s="131"/>
    </row>
    <row r="683" spans="4:20">
      <c r="D683" s="740" t="s">
        <v>1726</v>
      </c>
      <c r="E683" s="1467">
        <v>0</v>
      </c>
      <c r="F683" s="1468">
        <v>0</v>
      </c>
      <c r="G683" s="1468">
        <v>0</v>
      </c>
      <c r="H683" s="1468">
        <v>0</v>
      </c>
      <c r="I683" s="1469">
        <v>0</v>
      </c>
      <c r="J683" s="1469">
        <v>0</v>
      </c>
      <c r="K683" s="1470">
        <v>0</v>
      </c>
      <c r="L683" s="453"/>
      <c r="M683" s="474"/>
    </row>
    <row r="684" spans="4:20">
      <c r="D684" s="740" t="s">
        <v>1727</v>
      </c>
      <c r="E684" s="1467">
        <f>+E685+E686</f>
        <v>0</v>
      </c>
      <c r="F684" s="1468">
        <f t="shared" ref="F684" si="76">+F685+F686</f>
        <v>0</v>
      </c>
      <c r="G684" s="1468">
        <f t="shared" ref="G684" si="77">+G685+G686</f>
        <v>0</v>
      </c>
      <c r="H684" s="1468">
        <f t="shared" ref="H684" si="78">+H685+H686</f>
        <v>0</v>
      </c>
      <c r="I684" s="1469">
        <f t="shared" ref="I684" si="79">+I685+I686</f>
        <v>0</v>
      </c>
      <c r="J684" s="1469">
        <f t="shared" ref="J684" si="80">+J685+J686</f>
        <v>0</v>
      </c>
      <c r="K684" s="1470">
        <f t="shared" ref="K684" si="81">+K685+K686</f>
        <v>0</v>
      </c>
      <c r="L684" s="473"/>
      <c r="M684" s="474"/>
    </row>
    <row r="685" spans="4:20">
      <c r="D685" s="740" t="s">
        <v>1728</v>
      </c>
      <c r="E685" s="1467"/>
      <c r="F685" s="1468"/>
      <c r="G685" s="1468"/>
      <c r="H685" s="1468"/>
      <c r="I685" s="1469"/>
      <c r="J685" s="1469"/>
      <c r="K685" s="1470"/>
      <c r="L685" s="473"/>
      <c r="M685" s="474"/>
    </row>
    <row r="686" spans="4:20">
      <c r="D686" s="740" t="s">
        <v>1729</v>
      </c>
      <c r="E686" s="1467"/>
      <c r="F686" s="1468"/>
      <c r="G686" s="1468"/>
      <c r="H686" s="1468"/>
      <c r="I686" s="1469"/>
      <c r="J686" s="1469"/>
      <c r="K686" s="1470"/>
      <c r="L686" s="473"/>
      <c r="M686" s="474"/>
    </row>
    <row r="687" spans="4:20">
      <c r="D687" s="740" t="s">
        <v>1730</v>
      </c>
      <c r="E687" s="1467">
        <f>+SUM(E688:E690)</f>
        <v>3110</v>
      </c>
      <c r="F687" s="1467">
        <f t="shared" ref="F687" si="82">+SUM(F688:F690)</f>
        <v>0</v>
      </c>
      <c r="G687" s="1467">
        <f t="shared" ref="G687" si="83">+SUM(G688:G690)</f>
        <v>0</v>
      </c>
      <c r="H687" s="1467">
        <f t="shared" ref="H687" si="84">+SUM(H688:H690)</f>
        <v>3110</v>
      </c>
      <c r="I687" s="1467">
        <f t="shared" ref="I687" si="85">+SUM(I688:I690)</f>
        <v>0</v>
      </c>
      <c r="J687" s="1467">
        <f t="shared" ref="J687" si="86">+SUM(J688:J690)</f>
        <v>3110</v>
      </c>
      <c r="K687" s="1467">
        <f t="shared" ref="K687" si="87">+SUM(K688:K690)</f>
        <v>3110</v>
      </c>
      <c r="L687" s="473"/>
      <c r="M687" s="474"/>
    </row>
    <row r="688" spans="4:20">
      <c r="D688" s="740" t="s">
        <v>1731</v>
      </c>
      <c r="E688" s="1471">
        <v>0</v>
      </c>
      <c r="F688" s="1472">
        <v>0</v>
      </c>
      <c r="G688" s="1472">
        <v>0</v>
      </c>
      <c r="H688" s="1472">
        <v>0</v>
      </c>
      <c r="I688" s="1473">
        <v>0</v>
      </c>
      <c r="J688" s="1473">
        <v>0</v>
      </c>
      <c r="K688" s="1474">
        <v>0</v>
      </c>
      <c r="L688" s="473"/>
      <c r="M688" s="473"/>
      <c r="N688" s="473"/>
      <c r="O688" s="473"/>
      <c r="P688" s="473"/>
      <c r="Q688" s="473"/>
      <c r="R688" s="473"/>
      <c r="S688" s="473"/>
      <c r="T688" s="473"/>
    </row>
    <row r="689" spans="4:20">
      <c r="D689" s="740" t="s">
        <v>1732</v>
      </c>
      <c r="E689" s="1471">
        <v>800</v>
      </c>
      <c r="F689" s="1472">
        <v>0</v>
      </c>
      <c r="G689" s="1472">
        <v>0</v>
      </c>
      <c r="H689" s="1472">
        <v>800</v>
      </c>
      <c r="I689" s="1473">
        <v>0</v>
      </c>
      <c r="J689" s="1473">
        <v>800</v>
      </c>
      <c r="K689" s="1474">
        <v>800</v>
      </c>
      <c r="L689" s="473"/>
      <c r="M689" s="473"/>
      <c r="N689" s="473"/>
      <c r="O689" s="473"/>
      <c r="P689" s="473"/>
      <c r="Q689" s="473"/>
      <c r="R689" s="473"/>
      <c r="S689" s="473"/>
      <c r="T689" s="473"/>
    </row>
    <row r="690" spans="4:20" ht="15.75" thickBot="1">
      <c r="D690" s="740" t="s">
        <v>1733</v>
      </c>
      <c r="E690" s="1471">
        <v>2310</v>
      </c>
      <c r="F690" s="1472">
        <v>0</v>
      </c>
      <c r="G690" s="1472">
        <v>0</v>
      </c>
      <c r="H690" s="1472">
        <v>2310</v>
      </c>
      <c r="I690" s="1473">
        <v>0</v>
      </c>
      <c r="J690" s="1473">
        <v>2310</v>
      </c>
      <c r="K690" s="1474">
        <v>2310</v>
      </c>
      <c r="L690" s="473"/>
      <c r="M690" s="473"/>
      <c r="N690" s="473"/>
      <c r="O690" s="473"/>
      <c r="P690" s="473"/>
      <c r="Q690" s="473"/>
      <c r="R690" s="473"/>
      <c r="S690" s="473"/>
      <c r="T690" s="473"/>
    </row>
    <row r="691" spans="4:20" ht="15.75" thickBot="1">
      <c r="D691" s="1399" t="s">
        <v>432</v>
      </c>
      <c r="E691" s="1475">
        <f>+E679+E687</f>
        <v>3269</v>
      </c>
      <c r="F691" s="1476">
        <f t="shared" ref="F691:K691" si="88">+F679+F687</f>
        <v>59239</v>
      </c>
      <c r="G691" s="1476">
        <f t="shared" si="88"/>
        <v>0</v>
      </c>
      <c r="H691" s="1476">
        <f t="shared" si="88"/>
        <v>3110</v>
      </c>
      <c r="I691" s="1477">
        <f t="shared" si="88"/>
        <v>59239</v>
      </c>
      <c r="J691" s="1477">
        <f t="shared" si="88"/>
        <v>3110</v>
      </c>
      <c r="K691" s="1478">
        <f t="shared" si="88"/>
        <v>62349</v>
      </c>
      <c r="L691" s="475"/>
      <c r="M691" s="476"/>
    </row>
    <row r="692" spans="4:20" ht="15.75" thickBot="1">
      <c r="D692" s="1398"/>
      <c r="E692" s="1403"/>
      <c r="F692" s="475"/>
      <c r="G692" s="475"/>
      <c r="H692" s="475"/>
      <c r="I692" s="1403"/>
      <c r="J692" s="1403"/>
      <c r="K692" s="1403"/>
      <c r="L692" s="475"/>
      <c r="M692" s="476"/>
    </row>
    <row r="693" spans="4:20" ht="15" customHeight="1" thickBot="1">
      <c r="D693" s="24"/>
      <c r="E693" s="24" t="s">
        <v>1667</v>
      </c>
      <c r="F693" s="1688" t="s">
        <v>1686</v>
      </c>
      <c r="G693" s="1689"/>
      <c r="H693" s="1690"/>
    </row>
    <row r="694" spans="4:20" ht="15.75" thickBot="1">
      <c r="D694" s="1398"/>
      <c r="E694" s="1398"/>
    </row>
    <row r="695" spans="4:20" ht="15" customHeight="1" thickBot="1">
      <c r="D695" s="24"/>
      <c r="E695" s="24" t="s">
        <v>1668</v>
      </c>
      <c r="F695" s="1691" t="s">
        <v>4135</v>
      </c>
      <c r="G695" s="1692"/>
      <c r="H695" s="1693"/>
    </row>
    <row r="696" spans="4:20" ht="15.75" thickBot="1"/>
    <row r="697" spans="4:20">
      <c r="D697" s="1569" t="s">
        <v>1716</v>
      </c>
      <c r="E697" s="1569" t="s">
        <v>833</v>
      </c>
      <c r="F697" s="1569" t="s">
        <v>1717</v>
      </c>
      <c r="G697" s="1686" t="s">
        <v>452</v>
      </c>
      <c r="H697" s="1686" t="s">
        <v>1718</v>
      </c>
      <c r="I697" s="1569" t="s">
        <v>1719</v>
      </c>
      <c r="J697" s="1569" t="s">
        <v>1720</v>
      </c>
      <c r="K697" s="1686" t="s">
        <v>1721</v>
      </c>
      <c r="L697" s="1685"/>
      <c r="M697" s="1685"/>
      <c r="N697" s="1685"/>
      <c r="O697" s="1685"/>
      <c r="P697" s="1685"/>
    </row>
    <row r="698" spans="4:20" ht="54.95" customHeight="1" thickBot="1">
      <c r="D698" s="1570"/>
      <c r="E698" s="1570"/>
      <c r="F698" s="1570"/>
      <c r="G698" s="1687"/>
      <c r="H698" s="1687"/>
      <c r="I698" s="1570"/>
      <c r="J698" s="1570"/>
      <c r="K698" s="1687"/>
      <c r="L698" s="1685"/>
      <c r="M698" s="1685"/>
      <c r="N698" s="1685"/>
      <c r="O698" s="1685"/>
      <c r="P698" s="1685"/>
    </row>
    <row r="699" spans="4:20">
      <c r="D699" s="740" t="s">
        <v>1722</v>
      </c>
      <c r="E699" s="1460">
        <f>+E700+E704</f>
        <v>109</v>
      </c>
      <c r="F699" s="1461">
        <f t="shared" ref="F699" si="89">+F700+F704</f>
        <v>50690</v>
      </c>
      <c r="G699" s="1462">
        <f t="shared" ref="G699" si="90">+G700+G704</f>
        <v>0</v>
      </c>
      <c r="H699" s="1462">
        <f t="shared" ref="H699" si="91">+H700+H704</f>
        <v>0</v>
      </c>
      <c r="I699" s="1461">
        <f t="shared" ref="I699" si="92">+I700+I704</f>
        <v>50690</v>
      </c>
      <c r="J699" s="1461">
        <f t="shared" ref="J699" si="93">+J700+J704</f>
        <v>0</v>
      </c>
      <c r="K699" s="1463">
        <f t="shared" ref="K699" si="94">+K700+K704</f>
        <v>50690</v>
      </c>
      <c r="L699" s="453"/>
      <c r="M699" s="373"/>
      <c r="N699" s="373"/>
      <c r="O699" s="374"/>
      <c r="P699" s="374"/>
    </row>
    <row r="700" spans="4:20">
      <c r="D700" s="740" t="s">
        <v>1723</v>
      </c>
      <c r="E700" s="1464">
        <f>+E701+E702+E703</f>
        <v>109</v>
      </c>
      <c r="F700" s="1465">
        <f t="shared" ref="F700" si="95">+F701+F702+F703</f>
        <v>50690</v>
      </c>
      <c r="G700" s="1465">
        <f t="shared" ref="G700" si="96">+G701+G702+G703</f>
        <v>0</v>
      </c>
      <c r="H700" s="1465">
        <f t="shared" ref="H700" si="97">+H701+H702+H703</f>
        <v>0</v>
      </c>
      <c r="I700" s="1465">
        <f t="shared" ref="I700" si="98">+I701+I702+I703</f>
        <v>50690</v>
      </c>
      <c r="J700" s="1465">
        <f t="shared" ref="J700" si="99">+J701+J702+J703</f>
        <v>0</v>
      </c>
      <c r="K700" s="1466">
        <f t="shared" ref="K700" si="100">+K701+K702+K703</f>
        <v>50690</v>
      </c>
      <c r="L700" s="453"/>
      <c r="M700" s="374"/>
      <c r="N700" s="374"/>
      <c r="O700" s="374"/>
      <c r="P700" s="374"/>
    </row>
    <row r="701" spans="4:20">
      <c r="D701" s="740" t="s">
        <v>1724</v>
      </c>
      <c r="E701" s="1464">
        <v>0</v>
      </c>
      <c r="F701" s="1465">
        <v>0</v>
      </c>
      <c r="G701" s="1465">
        <v>0</v>
      </c>
      <c r="H701" s="1465">
        <v>0</v>
      </c>
      <c r="I701" s="1465">
        <v>0</v>
      </c>
      <c r="J701" s="1465">
        <v>0</v>
      </c>
      <c r="K701" s="1466">
        <v>0</v>
      </c>
      <c r="L701" s="453"/>
      <c r="M701" s="453"/>
      <c r="N701" s="453"/>
      <c r="O701" s="453"/>
      <c r="P701" s="453"/>
      <c r="Q701" s="453"/>
      <c r="R701" s="453"/>
    </row>
    <row r="702" spans="4:20">
      <c r="D702" s="740" t="s">
        <v>1725</v>
      </c>
      <c r="E702" s="1464">
        <v>109</v>
      </c>
      <c r="F702" s="1465">
        <v>50690</v>
      </c>
      <c r="G702" s="1465">
        <v>0</v>
      </c>
      <c r="H702" s="1465">
        <v>0</v>
      </c>
      <c r="I702" s="1465">
        <v>50690</v>
      </c>
      <c r="J702" s="1465">
        <v>0</v>
      </c>
      <c r="K702" s="1466">
        <v>50690</v>
      </c>
      <c r="L702" s="453"/>
      <c r="M702" s="453"/>
      <c r="N702" s="453"/>
      <c r="O702" s="453"/>
      <c r="P702" s="453"/>
      <c r="Q702" s="453"/>
      <c r="R702" s="453"/>
    </row>
    <row r="703" spans="4:20">
      <c r="D703" s="740" t="s">
        <v>1726</v>
      </c>
      <c r="E703" s="1467">
        <v>0</v>
      </c>
      <c r="F703" s="1468">
        <v>0</v>
      </c>
      <c r="G703" s="1468">
        <v>0</v>
      </c>
      <c r="H703" s="1468">
        <v>0</v>
      </c>
      <c r="I703" s="1469">
        <v>0</v>
      </c>
      <c r="J703" s="1469">
        <v>0</v>
      </c>
      <c r="K703" s="1470">
        <v>0</v>
      </c>
      <c r="L703" s="453"/>
      <c r="M703" s="453"/>
      <c r="N703" s="453"/>
      <c r="O703" s="453"/>
      <c r="P703" s="453"/>
      <c r="Q703" s="453"/>
      <c r="R703" s="453"/>
    </row>
    <row r="704" spans="4:20">
      <c r="D704" s="740" t="s">
        <v>1727</v>
      </c>
      <c r="E704" s="1467">
        <f>+E705+E706</f>
        <v>0</v>
      </c>
      <c r="F704" s="1468">
        <f t="shared" ref="F704" si="101">+F705+F706</f>
        <v>0</v>
      </c>
      <c r="G704" s="1468">
        <f t="shared" ref="G704" si="102">+G705+G706</f>
        <v>0</v>
      </c>
      <c r="H704" s="1468">
        <f t="shared" ref="H704" si="103">+H705+H706</f>
        <v>0</v>
      </c>
      <c r="I704" s="1469">
        <f t="shared" ref="I704" si="104">+I705+I706</f>
        <v>0</v>
      </c>
      <c r="J704" s="1469">
        <f t="shared" ref="J704" si="105">+J705+J706</f>
        <v>0</v>
      </c>
      <c r="K704" s="1470">
        <f t="shared" ref="K704" si="106">+K705+K706</f>
        <v>0</v>
      </c>
      <c r="L704" s="473"/>
      <c r="M704" s="474"/>
    </row>
    <row r="705" spans="4:18">
      <c r="D705" s="740" t="s">
        <v>1728</v>
      </c>
      <c r="E705" s="1467"/>
      <c r="F705" s="1468"/>
      <c r="G705" s="1468"/>
      <c r="H705" s="1468"/>
      <c r="I705" s="1469"/>
      <c r="J705" s="1469"/>
      <c r="K705" s="1470"/>
      <c r="L705" s="473"/>
      <c r="M705" s="474"/>
    </row>
    <row r="706" spans="4:18">
      <c r="D706" s="740" t="s">
        <v>1729</v>
      </c>
      <c r="E706" s="1467"/>
      <c r="F706" s="1468"/>
      <c r="G706" s="1468"/>
      <c r="H706" s="1468"/>
      <c r="I706" s="1469"/>
      <c r="J706" s="1469"/>
      <c r="K706" s="1470"/>
      <c r="L706" s="473"/>
      <c r="M706" s="474"/>
    </row>
    <row r="707" spans="4:18">
      <c r="D707" s="740" t="s">
        <v>1730</v>
      </c>
      <c r="E707" s="1467">
        <f>+SUM(E708:E710)</f>
        <v>1</v>
      </c>
      <c r="F707" s="1467">
        <f t="shared" ref="F707" si="107">+SUM(F708:F710)</f>
        <v>611</v>
      </c>
      <c r="G707" s="1467">
        <f t="shared" ref="G707" si="108">+SUM(G708:G710)</f>
        <v>0</v>
      </c>
      <c r="H707" s="1467">
        <f t="shared" ref="H707" si="109">+SUM(H708:H710)</f>
        <v>0</v>
      </c>
      <c r="I707" s="1467">
        <f t="shared" ref="I707" si="110">+SUM(I708:I710)</f>
        <v>611</v>
      </c>
      <c r="J707" s="1467">
        <f t="shared" ref="J707" si="111">+SUM(J708:J710)</f>
        <v>0</v>
      </c>
      <c r="K707" s="1467">
        <f t="shared" ref="K707" si="112">+SUM(K708:K710)</f>
        <v>611</v>
      </c>
      <c r="L707" s="473"/>
      <c r="M707" s="474"/>
    </row>
    <row r="708" spans="4:18">
      <c r="D708" s="740" t="s">
        <v>1731</v>
      </c>
      <c r="E708" s="1471">
        <v>0</v>
      </c>
      <c r="F708" s="1472">
        <v>0</v>
      </c>
      <c r="G708" s="1472">
        <v>0</v>
      </c>
      <c r="H708" s="1472">
        <v>0</v>
      </c>
      <c r="I708" s="1473">
        <v>0</v>
      </c>
      <c r="J708" s="1473">
        <v>0</v>
      </c>
      <c r="K708" s="1474">
        <v>0</v>
      </c>
      <c r="L708" s="453"/>
      <c r="M708" s="453"/>
      <c r="N708" s="453"/>
      <c r="O708" s="453"/>
      <c r="P708" s="453"/>
      <c r="Q708" s="453"/>
      <c r="R708" s="453"/>
    </row>
    <row r="709" spans="4:18">
      <c r="D709" s="740" t="s">
        <v>1732</v>
      </c>
      <c r="E709" s="1471">
        <v>1</v>
      </c>
      <c r="F709" s="1472">
        <v>0</v>
      </c>
      <c r="G709" s="1472">
        <v>0</v>
      </c>
      <c r="H709" s="1472">
        <v>0</v>
      </c>
      <c r="I709" s="1473">
        <v>0</v>
      </c>
      <c r="J709" s="1473">
        <v>0</v>
      </c>
      <c r="K709" s="1474">
        <v>0</v>
      </c>
      <c r="L709" s="453"/>
      <c r="M709" s="453"/>
      <c r="N709" s="453"/>
      <c r="O709" s="453"/>
      <c r="P709" s="453"/>
      <c r="Q709" s="453"/>
      <c r="R709" s="453"/>
    </row>
    <row r="710" spans="4:18" ht="15.75" thickBot="1">
      <c r="D710" s="740" t="s">
        <v>1733</v>
      </c>
      <c r="E710" s="1471">
        <v>0</v>
      </c>
      <c r="F710" s="1472">
        <v>611</v>
      </c>
      <c r="G710" s="1472">
        <v>0</v>
      </c>
      <c r="H710" s="1472">
        <v>0</v>
      </c>
      <c r="I710" s="1473">
        <v>611</v>
      </c>
      <c r="J710" s="1473">
        <v>0</v>
      </c>
      <c r="K710" s="1474">
        <v>611</v>
      </c>
      <c r="L710" s="453"/>
      <c r="M710" s="453"/>
      <c r="N710" s="453"/>
      <c r="O710" s="453"/>
      <c r="P710" s="453"/>
      <c r="Q710" s="453"/>
      <c r="R710" s="453"/>
    </row>
    <row r="711" spans="4:18" ht="15.75" thickBot="1">
      <c r="D711" s="1399" t="s">
        <v>432</v>
      </c>
      <c r="E711" s="1475">
        <f>+E699+E707</f>
        <v>110</v>
      </c>
      <c r="F711" s="1476">
        <f t="shared" ref="F711:K711" si="113">+F699+F707</f>
        <v>51301</v>
      </c>
      <c r="G711" s="1476">
        <f t="shared" si="113"/>
        <v>0</v>
      </c>
      <c r="H711" s="1476">
        <f t="shared" si="113"/>
        <v>0</v>
      </c>
      <c r="I711" s="1477">
        <f t="shared" si="113"/>
        <v>51301</v>
      </c>
      <c r="J711" s="1477">
        <f t="shared" si="113"/>
        <v>0</v>
      </c>
      <c r="K711" s="1478">
        <f t="shared" si="113"/>
        <v>51301</v>
      </c>
      <c r="L711" s="475"/>
      <c r="M711" s="476"/>
    </row>
    <row r="712" spans="4:18" ht="15.75" thickBot="1">
      <c r="D712" s="1398"/>
      <c r="E712" s="1403"/>
      <c r="F712" s="475"/>
      <c r="G712" s="475"/>
      <c r="H712" s="475"/>
      <c r="I712" s="1403"/>
      <c r="J712" s="1403"/>
      <c r="K712" s="1403"/>
      <c r="L712" s="475"/>
      <c r="M712" s="476"/>
    </row>
    <row r="713" spans="4:18" ht="15" customHeight="1" thickBot="1">
      <c r="D713" s="24"/>
      <c r="E713" s="24" t="s">
        <v>1667</v>
      </c>
      <c r="F713" s="1688" t="s">
        <v>1685</v>
      </c>
      <c r="G713" s="1689"/>
      <c r="H713" s="1690"/>
    </row>
    <row r="714" spans="4:18" ht="15.75" thickBot="1">
      <c r="D714" s="1398"/>
      <c r="E714" s="1398"/>
    </row>
    <row r="715" spans="4:18" ht="15" customHeight="1" thickBot="1">
      <c r="D715" s="24"/>
      <c r="E715" s="24" t="s">
        <v>1668</v>
      </c>
      <c r="F715" s="1691" t="s">
        <v>4136</v>
      </c>
      <c r="G715" s="1692"/>
      <c r="H715" s="1693"/>
    </row>
    <row r="716" spans="4:18" ht="15.75" thickBot="1"/>
    <row r="717" spans="4:18">
      <c r="D717" s="1569" t="s">
        <v>1716</v>
      </c>
      <c r="E717" s="1569" t="s">
        <v>833</v>
      </c>
      <c r="F717" s="1569" t="s">
        <v>1717</v>
      </c>
      <c r="G717" s="1686" t="s">
        <v>452</v>
      </c>
      <c r="H717" s="1686" t="s">
        <v>1718</v>
      </c>
      <c r="I717" s="1569" t="s">
        <v>1719</v>
      </c>
      <c r="J717" s="1569" t="s">
        <v>1720</v>
      </c>
      <c r="K717" s="1686" t="s">
        <v>1721</v>
      </c>
      <c r="L717" s="1685"/>
      <c r="M717" s="1685"/>
      <c r="N717" s="1685"/>
      <c r="O717" s="1685"/>
      <c r="P717" s="1685"/>
    </row>
    <row r="718" spans="4:18" ht="54.95" customHeight="1" thickBot="1">
      <c r="D718" s="1570"/>
      <c r="E718" s="1570"/>
      <c r="F718" s="1570"/>
      <c r="G718" s="1687"/>
      <c r="H718" s="1687"/>
      <c r="I718" s="1570"/>
      <c r="J718" s="1570"/>
      <c r="K718" s="1687"/>
      <c r="L718" s="1685"/>
      <c r="M718" s="1685"/>
      <c r="N718" s="1685"/>
      <c r="O718" s="1685"/>
      <c r="P718" s="1685"/>
    </row>
    <row r="719" spans="4:18">
      <c r="D719" s="740" t="s">
        <v>1722</v>
      </c>
      <c r="E719" s="1460">
        <f>+E720+E724</f>
        <v>7623</v>
      </c>
      <c r="F719" s="1461">
        <f t="shared" ref="F719" si="114">+F720+F724</f>
        <v>2788097</v>
      </c>
      <c r="G719" s="1462">
        <f t="shared" ref="G719" si="115">+G720+G724</f>
        <v>37883</v>
      </c>
      <c r="H719" s="1462">
        <f t="shared" ref="H719" si="116">+H720+H724</f>
        <v>0</v>
      </c>
      <c r="I719" s="1461">
        <f t="shared" ref="I719" si="117">+I720+I724</f>
        <v>2825980</v>
      </c>
      <c r="J719" s="1461">
        <f t="shared" ref="J719" si="118">+J720+J724</f>
        <v>1148295</v>
      </c>
      <c r="K719" s="1463">
        <f t="shared" ref="K719" si="119">+K720+K724</f>
        <v>1677686</v>
      </c>
      <c r="L719" s="453"/>
      <c r="M719" s="453"/>
      <c r="N719" s="453"/>
      <c r="O719" s="453"/>
      <c r="P719" s="453"/>
      <c r="Q719" s="453"/>
      <c r="R719" s="453"/>
    </row>
    <row r="720" spans="4:18">
      <c r="D720" s="740" t="s">
        <v>1723</v>
      </c>
      <c r="E720" s="1464">
        <f>+E721+E722+E723</f>
        <v>7622</v>
      </c>
      <c r="F720" s="1465">
        <f t="shared" ref="F720" si="120">+F721+F722+F723</f>
        <v>2787753</v>
      </c>
      <c r="G720" s="1465">
        <f t="shared" ref="G720" si="121">+G721+G722+G723</f>
        <v>37883</v>
      </c>
      <c r="H720" s="1465">
        <f t="shared" ref="H720" si="122">+H721+H722+H723</f>
        <v>0</v>
      </c>
      <c r="I720" s="1465">
        <f t="shared" ref="I720" si="123">+I721+I722+I723</f>
        <v>2825636</v>
      </c>
      <c r="J720" s="1465">
        <f t="shared" ref="J720" si="124">+J721+J722+J723</f>
        <v>1148157</v>
      </c>
      <c r="K720" s="1466">
        <f t="shared" ref="K720" si="125">+K721+K722+K723</f>
        <v>1677479</v>
      </c>
      <c r="L720" s="453"/>
      <c r="M720" s="453"/>
      <c r="N720" s="453"/>
      <c r="O720" s="453"/>
      <c r="P720" s="453"/>
      <c r="Q720" s="453"/>
      <c r="R720" s="453"/>
    </row>
    <row r="721" spans="4:18">
      <c r="D721" s="740" t="s">
        <v>1724</v>
      </c>
      <c r="E721" s="1464">
        <v>31</v>
      </c>
      <c r="F721" s="1465">
        <v>12702</v>
      </c>
      <c r="G721" s="1465">
        <v>37883</v>
      </c>
      <c r="H721" s="1465">
        <v>0</v>
      </c>
      <c r="I721" s="1465">
        <v>50585</v>
      </c>
      <c r="J721" s="1465">
        <v>28521</v>
      </c>
      <c r="K721" s="1466">
        <v>22064</v>
      </c>
      <c r="L721" s="453"/>
      <c r="M721" s="453"/>
      <c r="N721" s="453"/>
      <c r="O721" s="453"/>
      <c r="P721" s="453"/>
      <c r="Q721" s="453"/>
      <c r="R721" s="453"/>
    </row>
    <row r="722" spans="4:18">
      <c r="D722" s="740" t="s">
        <v>1725</v>
      </c>
      <c r="E722" s="1464">
        <v>6553</v>
      </c>
      <c r="F722" s="1465">
        <v>2443771</v>
      </c>
      <c r="G722" s="1465">
        <v>0</v>
      </c>
      <c r="H722" s="1465">
        <v>0</v>
      </c>
      <c r="I722" s="1465">
        <v>2443771</v>
      </c>
      <c r="J722" s="1465">
        <v>987124</v>
      </c>
      <c r="K722" s="1466">
        <v>1456647</v>
      </c>
      <c r="L722" s="453"/>
      <c r="M722" s="453"/>
      <c r="N722" s="453"/>
      <c r="O722" s="453"/>
      <c r="P722" s="453"/>
      <c r="Q722" s="453"/>
      <c r="R722" s="453"/>
    </row>
    <row r="723" spans="4:18">
      <c r="D723" s="740" t="s">
        <v>1726</v>
      </c>
      <c r="E723" s="1467">
        <v>1038</v>
      </c>
      <c r="F723" s="1468">
        <v>331280</v>
      </c>
      <c r="G723" s="1468">
        <v>0</v>
      </c>
      <c r="H723" s="1468">
        <v>0</v>
      </c>
      <c r="I723" s="1469">
        <v>331280</v>
      </c>
      <c r="J723" s="1469">
        <v>132512</v>
      </c>
      <c r="K723" s="1470">
        <v>198768</v>
      </c>
      <c r="L723" s="453"/>
      <c r="M723" s="453"/>
      <c r="N723" s="453"/>
      <c r="O723" s="453"/>
      <c r="P723" s="453"/>
      <c r="Q723" s="453"/>
      <c r="R723" s="453"/>
    </row>
    <row r="724" spans="4:18">
      <c r="D724" s="740" t="s">
        <v>1727</v>
      </c>
      <c r="E724" s="1467">
        <f>+E725+E726</f>
        <v>1</v>
      </c>
      <c r="F724" s="1468">
        <f t="shared" ref="F724" si="126">+F725+F726</f>
        <v>344</v>
      </c>
      <c r="G724" s="1468">
        <f t="shared" ref="G724" si="127">+G725+G726</f>
        <v>0</v>
      </c>
      <c r="H724" s="1468">
        <f t="shared" ref="H724" si="128">+H725+H726</f>
        <v>0</v>
      </c>
      <c r="I724" s="1469">
        <f t="shared" ref="I724" si="129">+I725+I726</f>
        <v>344</v>
      </c>
      <c r="J724" s="1469">
        <f t="shared" ref="J724" si="130">+J725+J726</f>
        <v>138</v>
      </c>
      <c r="K724" s="1470">
        <f t="shared" ref="K724" si="131">+K725+K726</f>
        <v>207</v>
      </c>
      <c r="L724" s="453"/>
      <c r="M724" s="453"/>
      <c r="N724" s="453"/>
      <c r="O724" s="453"/>
      <c r="P724" s="453"/>
      <c r="Q724" s="453"/>
      <c r="R724" s="453"/>
    </row>
    <row r="725" spans="4:18">
      <c r="D725" s="740" t="s">
        <v>1728</v>
      </c>
      <c r="E725" s="1467">
        <v>0</v>
      </c>
      <c r="F725" s="1468">
        <v>0</v>
      </c>
      <c r="G725" s="1468">
        <v>0</v>
      </c>
      <c r="H725" s="1468">
        <v>0</v>
      </c>
      <c r="I725" s="1469">
        <v>0</v>
      </c>
      <c r="J725" s="1469">
        <v>0</v>
      </c>
      <c r="K725" s="1470">
        <v>0</v>
      </c>
      <c r="L725" s="453"/>
      <c r="M725" s="453"/>
      <c r="N725" s="453"/>
      <c r="O725" s="453"/>
      <c r="P725" s="453"/>
      <c r="Q725" s="453"/>
      <c r="R725" s="453"/>
    </row>
    <row r="726" spans="4:18">
      <c r="D726" s="740" t="s">
        <v>1729</v>
      </c>
      <c r="E726" s="1467">
        <v>1</v>
      </c>
      <c r="F726" s="1468">
        <v>344</v>
      </c>
      <c r="G726" s="1468">
        <v>0</v>
      </c>
      <c r="H726" s="1468">
        <v>0</v>
      </c>
      <c r="I726" s="1469">
        <v>344</v>
      </c>
      <c r="J726" s="1469">
        <v>138</v>
      </c>
      <c r="K726" s="1470">
        <v>207</v>
      </c>
      <c r="L726" s="453"/>
      <c r="M726" s="453"/>
      <c r="N726" s="453"/>
      <c r="O726" s="453"/>
      <c r="P726" s="453"/>
      <c r="Q726" s="453"/>
      <c r="R726" s="453"/>
    </row>
    <row r="727" spans="4:18">
      <c r="D727" s="740" t="s">
        <v>1730</v>
      </c>
      <c r="E727" s="1467">
        <f>+SUM(E728:E730)</f>
        <v>576</v>
      </c>
      <c r="F727" s="1467">
        <f t="shared" ref="F727:K727" si="132">+SUM(F728:F730)</f>
        <v>360343</v>
      </c>
      <c r="G727" s="1467">
        <f t="shared" si="132"/>
        <v>4757</v>
      </c>
      <c r="H727" s="1467">
        <f t="shared" si="132"/>
        <v>0</v>
      </c>
      <c r="I727" s="1467">
        <f t="shared" si="132"/>
        <v>365100</v>
      </c>
      <c r="J727" s="1467">
        <f t="shared" si="132"/>
        <v>147081</v>
      </c>
      <c r="K727" s="1467">
        <f t="shared" si="132"/>
        <v>218019</v>
      </c>
      <c r="L727" s="453"/>
      <c r="M727" s="453"/>
      <c r="N727" s="453"/>
      <c r="O727" s="453"/>
      <c r="P727" s="453"/>
      <c r="Q727" s="453"/>
      <c r="R727" s="453"/>
    </row>
    <row r="728" spans="4:18">
      <c r="D728" s="740" t="s">
        <v>1731</v>
      </c>
      <c r="E728" s="1471">
        <v>19</v>
      </c>
      <c r="F728" s="1472">
        <v>8029</v>
      </c>
      <c r="G728" s="1472">
        <v>4757</v>
      </c>
      <c r="H728" s="1472">
        <v>0</v>
      </c>
      <c r="I728" s="1473">
        <v>12786</v>
      </c>
      <c r="J728" s="1473">
        <v>6155</v>
      </c>
      <c r="K728" s="1474">
        <v>6631</v>
      </c>
      <c r="L728" s="453"/>
      <c r="M728" s="453"/>
      <c r="N728" s="453"/>
      <c r="O728" s="453"/>
      <c r="P728" s="453"/>
      <c r="Q728" s="453"/>
      <c r="R728" s="453"/>
    </row>
    <row r="729" spans="4:18">
      <c r="D729" s="740" t="s">
        <v>1732</v>
      </c>
      <c r="E729" s="1471">
        <v>178</v>
      </c>
      <c r="F729" s="1472">
        <v>51049</v>
      </c>
      <c r="G729" s="1472">
        <v>0</v>
      </c>
      <c r="H729" s="1472">
        <v>0</v>
      </c>
      <c r="I729" s="1473">
        <v>51049</v>
      </c>
      <c r="J729" s="1473">
        <v>20420</v>
      </c>
      <c r="K729" s="1474">
        <v>30629</v>
      </c>
      <c r="L729" s="453"/>
      <c r="M729" s="453"/>
      <c r="N729" s="453"/>
      <c r="O729" s="453"/>
      <c r="P729" s="453"/>
      <c r="Q729" s="453"/>
      <c r="R729" s="453"/>
    </row>
    <row r="730" spans="4:18" ht="15.75" thickBot="1">
      <c r="D730" s="740" t="s">
        <v>1733</v>
      </c>
      <c r="E730" s="1471">
        <v>379</v>
      </c>
      <c r="F730" s="1472">
        <v>301265</v>
      </c>
      <c r="G730" s="1472">
        <v>0</v>
      </c>
      <c r="H730" s="1472">
        <v>0</v>
      </c>
      <c r="I730" s="1473">
        <v>301265</v>
      </c>
      <c r="J730" s="1473">
        <v>120506</v>
      </c>
      <c r="K730" s="1474">
        <v>180759</v>
      </c>
      <c r="L730" s="453"/>
      <c r="M730" s="453"/>
      <c r="N730" s="453"/>
      <c r="O730" s="453"/>
      <c r="P730" s="453"/>
      <c r="Q730" s="453"/>
      <c r="R730" s="453"/>
    </row>
    <row r="731" spans="4:18" ht="15.75" thickBot="1">
      <c r="D731" s="1399" t="s">
        <v>432</v>
      </c>
      <c r="E731" s="1475">
        <f>+E719+E727</f>
        <v>8199</v>
      </c>
      <c r="F731" s="1476">
        <f t="shared" ref="F731:K731" si="133">+F719+F727</f>
        <v>3148440</v>
      </c>
      <c r="G731" s="1476">
        <f t="shared" si="133"/>
        <v>42640</v>
      </c>
      <c r="H731" s="1476">
        <f t="shared" si="133"/>
        <v>0</v>
      </c>
      <c r="I731" s="1477">
        <f t="shared" si="133"/>
        <v>3191080</v>
      </c>
      <c r="J731" s="1477">
        <f t="shared" si="133"/>
        <v>1295376</v>
      </c>
      <c r="K731" s="1478">
        <f t="shared" si="133"/>
        <v>1895705</v>
      </c>
      <c r="L731" s="475"/>
      <c r="M731" s="476"/>
    </row>
    <row r="732" spans="4:18" ht="15.75" thickBot="1">
      <c r="D732" s="1398"/>
      <c r="E732" s="1403"/>
      <c r="F732" s="475"/>
      <c r="G732" s="475"/>
      <c r="H732" s="475"/>
      <c r="I732" s="1403"/>
      <c r="J732" s="1403"/>
      <c r="K732" s="1403"/>
      <c r="L732" s="475"/>
      <c r="M732" s="476"/>
    </row>
    <row r="733" spans="4:18" ht="15" customHeight="1" thickBot="1">
      <c r="D733" s="24"/>
      <c r="E733" s="24" t="s">
        <v>1667</v>
      </c>
      <c r="F733" s="1688" t="s">
        <v>1686</v>
      </c>
      <c r="G733" s="1689"/>
      <c r="H733" s="1690"/>
    </row>
    <row r="734" spans="4:18" ht="15.75" thickBot="1">
      <c r="D734" s="1398"/>
      <c r="E734" s="1398"/>
    </row>
    <row r="735" spans="4:18" ht="15" customHeight="1" thickBot="1">
      <c r="D735" s="24"/>
      <c r="E735" s="24" t="s">
        <v>1668</v>
      </c>
      <c r="F735" s="1691" t="s">
        <v>4136</v>
      </c>
      <c r="G735" s="1692"/>
      <c r="H735" s="1693"/>
    </row>
    <row r="736" spans="4:18" ht="15.75" thickBot="1"/>
    <row r="737" spans="4:18">
      <c r="D737" s="1569" t="s">
        <v>1716</v>
      </c>
      <c r="E737" s="1569" t="s">
        <v>833</v>
      </c>
      <c r="F737" s="1569" t="s">
        <v>1717</v>
      </c>
      <c r="G737" s="1686" t="s">
        <v>452</v>
      </c>
      <c r="H737" s="1686" t="s">
        <v>1718</v>
      </c>
      <c r="I737" s="1569" t="s">
        <v>1719</v>
      </c>
      <c r="J737" s="1569" t="s">
        <v>1720</v>
      </c>
      <c r="K737" s="1686" t="s">
        <v>1721</v>
      </c>
      <c r="L737" s="1685"/>
      <c r="M737" s="1685"/>
      <c r="N737" s="1685"/>
      <c r="O737" s="1685"/>
      <c r="P737" s="1685"/>
    </row>
    <row r="738" spans="4:18" ht="54.95" customHeight="1" thickBot="1">
      <c r="D738" s="1570"/>
      <c r="E738" s="1570"/>
      <c r="F738" s="1570"/>
      <c r="G738" s="1687"/>
      <c r="H738" s="1687"/>
      <c r="I738" s="1570"/>
      <c r="J738" s="1570"/>
      <c r="K738" s="1687"/>
      <c r="L738" s="1685"/>
      <c r="M738" s="1685"/>
      <c r="N738" s="1685"/>
      <c r="O738" s="1685"/>
      <c r="P738" s="1685"/>
    </row>
    <row r="739" spans="4:18">
      <c r="D739" s="740" t="s">
        <v>1722</v>
      </c>
      <c r="E739" s="1460">
        <f>+E740+E744</f>
        <v>4830</v>
      </c>
      <c r="F739" s="1461">
        <f t="shared" ref="F739" si="134">+F740+F744</f>
        <v>1043438</v>
      </c>
      <c r="G739" s="1462">
        <f t="shared" ref="G739" si="135">+G740+G744</f>
        <v>0</v>
      </c>
      <c r="H739" s="1462">
        <f t="shared" ref="H739" si="136">+H740+H744</f>
        <v>0</v>
      </c>
      <c r="I739" s="1461">
        <f t="shared" ref="I739" si="137">+I740+I744</f>
        <v>1043438</v>
      </c>
      <c r="J739" s="1461">
        <f t="shared" ref="J739" si="138">+J740+J744</f>
        <v>417375</v>
      </c>
      <c r="K739" s="1463">
        <f t="shared" ref="K739" si="139">+K740+K744</f>
        <v>626062</v>
      </c>
      <c r="L739" s="453"/>
      <c r="M739" s="373"/>
      <c r="N739" s="373"/>
      <c r="O739" s="374"/>
      <c r="P739" s="374"/>
    </row>
    <row r="740" spans="4:18">
      <c r="D740" s="740" t="s">
        <v>1723</v>
      </c>
      <c r="E740" s="1464">
        <f>+E741+E742+E743</f>
        <v>4830</v>
      </c>
      <c r="F740" s="1465">
        <f t="shared" ref="F740" si="140">+F741+F742+F743</f>
        <v>1043438</v>
      </c>
      <c r="G740" s="1465">
        <f t="shared" ref="G740" si="141">+G741+G742+G743</f>
        <v>0</v>
      </c>
      <c r="H740" s="1465">
        <f t="shared" ref="H740" si="142">+H741+H742+H743</f>
        <v>0</v>
      </c>
      <c r="I740" s="1465">
        <f t="shared" ref="I740" si="143">+I741+I742+I743</f>
        <v>1043438</v>
      </c>
      <c r="J740" s="1465">
        <f t="shared" ref="J740" si="144">+J741+J742+J743</f>
        <v>417375</v>
      </c>
      <c r="K740" s="1466">
        <f t="shared" ref="K740" si="145">+K741+K742+K743</f>
        <v>626062</v>
      </c>
      <c r="L740" s="453"/>
      <c r="M740" s="374"/>
      <c r="N740" s="374"/>
      <c r="O740" s="374"/>
      <c r="P740" s="374"/>
    </row>
    <row r="741" spans="4:18">
      <c r="D741" s="740" t="s">
        <v>1724</v>
      </c>
      <c r="E741" s="1464">
        <v>7</v>
      </c>
      <c r="F741" s="1465">
        <v>1122</v>
      </c>
      <c r="G741" s="1465">
        <v>0</v>
      </c>
      <c r="H741" s="1465">
        <v>0</v>
      </c>
      <c r="I741" s="1465">
        <v>1122</v>
      </c>
      <c r="J741" s="1465">
        <v>449</v>
      </c>
      <c r="K741" s="1466">
        <v>673</v>
      </c>
      <c r="L741" s="1479"/>
      <c r="M741" s="1479"/>
      <c r="N741" s="1479"/>
      <c r="O741" s="1479"/>
      <c r="P741" s="1479"/>
      <c r="Q741" s="1479"/>
      <c r="R741" s="1479"/>
    </row>
    <row r="742" spans="4:18">
      <c r="D742" s="740" t="s">
        <v>1725</v>
      </c>
      <c r="E742" s="1464">
        <v>4180</v>
      </c>
      <c r="F742" s="1465">
        <v>937521</v>
      </c>
      <c r="G742" s="1465">
        <v>0</v>
      </c>
      <c r="H742" s="1465">
        <v>0</v>
      </c>
      <c r="I742" s="1465">
        <v>937521</v>
      </c>
      <c r="J742" s="1465">
        <v>375008</v>
      </c>
      <c r="K742" s="1466">
        <v>562512</v>
      </c>
      <c r="L742" s="1479"/>
      <c r="M742" s="1479"/>
      <c r="N742" s="1479"/>
      <c r="O742" s="1479"/>
      <c r="P742" s="1479"/>
      <c r="Q742" s="1479"/>
      <c r="R742" s="1479"/>
    </row>
    <row r="743" spans="4:18">
      <c r="D743" s="740" t="s">
        <v>1726</v>
      </c>
      <c r="E743" s="1467">
        <v>643</v>
      </c>
      <c r="F743" s="1468">
        <v>104795</v>
      </c>
      <c r="G743" s="1468">
        <v>0</v>
      </c>
      <c r="H743" s="1468">
        <v>0</v>
      </c>
      <c r="I743" s="1469">
        <v>104795</v>
      </c>
      <c r="J743" s="1469">
        <v>41918</v>
      </c>
      <c r="K743" s="1470">
        <v>62877</v>
      </c>
      <c r="L743" s="1479"/>
      <c r="M743" s="1479"/>
      <c r="N743" s="1479"/>
      <c r="O743" s="1479"/>
      <c r="P743" s="1479"/>
      <c r="Q743" s="1479"/>
      <c r="R743" s="1479"/>
    </row>
    <row r="744" spans="4:18">
      <c r="D744" s="740" t="s">
        <v>1727</v>
      </c>
      <c r="E744" s="1467">
        <f>+E745+E746</f>
        <v>0</v>
      </c>
      <c r="F744" s="1468">
        <f t="shared" ref="F744" si="146">+F745+F746</f>
        <v>0</v>
      </c>
      <c r="G744" s="1468">
        <f t="shared" ref="G744" si="147">+G745+G746</f>
        <v>0</v>
      </c>
      <c r="H744" s="1468">
        <f t="shared" ref="H744" si="148">+H745+H746</f>
        <v>0</v>
      </c>
      <c r="I744" s="1469">
        <f t="shared" ref="I744" si="149">+I745+I746</f>
        <v>0</v>
      </c>
      <c r="J744" s="1469">
        <f t="shared" ref="J744" si="150">+J745+J746</f>
        <v>0</v>
      </c>
      <c r="K744" s="1470">
        <f t="shared" ref="K744" si="151">+K745+K746</f>
        <v>0</v>
      </c>
      <c r="L744" s="473"/>
      <c r="M744" s="474"/>
    </row>
    <row r="745" spans="4:18">
      <c r="D745" s="740" t="s">
        <v>1728</v>
      </c>
      <c r="E745" s="1467">
        <v>0</v>
      </c>
      <c r="F745" s="1468">
        <v>0</v>
      </c>
      <c r="G745" s="1468">
        <v>0</v>
      </c>
      <c r="H745" s="1468">
        <v>0</v>
      </c>
      <c r="I745" s="1469">
        <v>0</v>
      </c>
      <c r="J745" s="1469">
        <v>0</v>
      </c>
      <c r="K745" s="1470">
        <v>0</v>
      </c>
      <c r="L745" s="473"/>
      <c r="M745" s="474"/>
    </row>
    <row r="746" spans="4:18">
      <c r="D746" s="740" t="s">
        <v>1729</v>
      </c>
      <c r="E746" s="1467">
        <v>0</v>
      </c>
      <c r="F746" s="1468">
        <v>0</v>
      </c>
      <c r="G746" s="1468">
        <v>0</v>
      </c>
      <c r="H746" s="1468">
        <v>0</v>
      </c>
      <c r="I746" s="1469">
        <v>0</v>
      </c>
      <c r="J746" s="1469">
        <v>0</v>
      </c>
      <c r="K746" s="1470">
        <v>0</v>
      </c>
      <c r="L746" s="473"/>
      <c r="M746" s="474"/>
    </row>
    <row r="747" spans="4:18">
      <c r="D747" s="740" t="s">
        <v>1730</v>
      </c>
      <c r="E747" s="1467">
        <f>+SUM(E748:E750)</f>
        <v>266</v>
      </c>
      <c r="F747" s="1467">
        <f t="shared" ref="F747" si="152">+SUM(F748:F750)</f>
        <v>67103</v>
      </c>
      <c r="G747" s="1467">
        <f t="shared" ref="G747" si="153">+SUM(G748:G750)</f>
        <v>0</v>
      </c>
      <c r="H747" s="1467">
        <f t="shared" ref="H747" si="154">+SUM(H748:H750)</f>
        <v>0</v>
      </c>
      <c r="I747" s="1467">
        <f t="shared" ref="I747" si="155">+SUM(I748:I750)</f>
        <v>67103</v>
      </c>
      <c r="J747" s="1467">
        <f t="shared" ref="J747" si="156">+SUM(J748:J750)</f>
        <v>26840</v>
      </c>
      <c r="K747" s="1467">
        <f t="shared" ref="K747" si="157">+SUM(K748:K750)</f>
        <v>40261</v>
      </c>
      <c r="L747" s="473"/>
      <c r="M747" s="474"/>
    </row>
    <row r="748" spans="4:18">
      <c r="D748" s="740" t="s">
        <v>1731</v>
      </c>
      <c r="E748" s="1471">
        <v>8</v>
      </c>
      <c r="F748" s="1472">
        <v>1456</v>
      </c>
      <c r="G748" s="1472">
        <v>0</v>
      </c>
      <c r="H748" s="1472">
        <v>0</v>
      </c>
      <c r="I748" s="1473">
        <v>1456</v>
      </c>
      <c r="J748" s="1473">
        <v>582</v>
      </c>
      <c r="K748" s="1474">
        <v>873</v>
      </c>
      <c r="L748" s="1479"/>
      <c r="M748" s="1479"/>
      <c r="N748" s="1479"/>
      <c r="O748" s="1479"/>
      <c r="P748" s="1479"/>
      <c r="Q748" s="1479"/>
      <c r="R748" s="1479"/>
    </row>
    <row r="749" spans="4:18">
      <c r="D749" s="740" t="s">
        <v>1732</v>
      </c>
      <c r="E749" s="1471">
        <v>32</v>
      </c>
      <c r="F749" s="1472">
        <v>6101</v>
      </c>
      <c r="G749" s="1472">
        <v>0</v>
      </c>
      <c r="H749" s="1472">
        <v>0</v>
      </c>
      <c r="I749" s="1473">
        <v>6101</v>
      </c>
      <c r="J749" s="1473">
        <v>2440</v>
      </c>
      <c r="K749" s="1474">
        <v>3661</v>
      </c>
      <c r="L749" s="1479"/>
      <c r="M749" s="1479"/>
      <c r="N749" s="1479"/>
      <c r="O749" s="1479"/>
      <c r="P749" s="1479"/>
      <c r="Q749" s="1479"/>
      <c r="R749" s="1479"/>
    </row>
    <row r="750" spans="4:18" ht="15.75" thickBot="1">
      <c r="D750" s="740" t="s">
        <v>1733</v>
      </c>
      <c r="E750" s="1471">
        <v>226</v>
      </c>
      <c r="F750" s="1472">
        <v>59546</v>
      </c>
      <c r="G750" s="1472">
        <v>0</v>
      </c>
      <c r="H750" s="1472">
        <v>0</v>
      </c>
      <c r="I750" s="1473">
        <v>59546</v>
      </c>
      <c r="J750" s="1473">
        <v>23818</v>
      </c>
      <c r="K750" s="1474">
        <v>35727</v>
      </c>
      <c r="L750" s="1479"/>
      <c r="M750" s="1479"/>
      <c r="N750" s="1479"/>
      <c r="O750" s="1479"/>
      <c r="P750" s="1479"/>
      <c r="Q750" s="1479"/>
      <c r="R750" s="1479"/>
    </row>
    <row r="751" spans="4:18" ht="15.75" thickBot="1">
      <c r="D751" s="1399" t="s">
        <v>432</v>
      </c>
      <c r="E751" s="1475">
        <f>+E739+E747</f>
        <v>5096</v>
      </c>
      <c r="F751" s="1476">
        <f t="shared" ref="F751:K751" si="158">+F739+F747</f>
        <v>1110541</v>
      </c>
      <c r="G751" s="1476">
        <f t="shared" si="158"/>
        <v>0</v>
      </c>
      <c r="H751" s="1476">
        <f t="shared" si="158"/>
        <v>0</v>
      </c>
      <c r="I751" s="1477">
        <f t="shared" si="158"/>
        <v>1110541</v>
      </c>
      <c r="J751" s="1477">
        <f t="shared" si="158"/>
        <v>444215</v>
      </c>
      <c r="K751" s="1478">
        <f t="shared" si="158"/>
        <v>666323</v>
      </c>
      <c r="L751" s="475"/>
      <c r="M751" s="476"/>
    </row>
    <row r="752" spans="4:18">
      <c r="D752" s="1398"/>
      <c r="E752" s="1403"/>
      <c r="F752" s="475"/>
      <c r="G752" s="475"/>
      <c r="H752" s="475"/>
      <c r="I752" s="1403"/>
      <c r="J752" s="1403"/>
      <c r="K752" s="1403"/>
      <c r="L752" s="475"/>
      <c r="M752" s="476"/>
    </row>
    <row r="753" spans="3:13">
      <c r="D753" s="1398"/>
      <c r="E753" s="1403"/>
      <c r="F753" s="475"/>
      <c r="G753" s="475"/>
      <c r="H753" s="475"/>
      <c r="I753" s="1403"/>
      <c r="J753" s="1403"/>
      <c r="K753" s="1403"/>
      <c r="L753" s="475"/>
      <c r="M753" s="476"/>
    </row>
    <row r="755" spans="3:13">
      <c r="C755" s="424" t="s">
        <v>1734</v>
      </c>
    </row>
    <row r="756" spans="3:13" ht="15.75" thickBot="1"/>
    <row r="757" spans="3:13" ht="15" customHeight="1">
      <c r="D757" s="1569"/>
      <c r="E757" s="1569" t="s">
        <v>1736</v>
      </c>
      <c r="F757" s="1569" t="s">
        <v>1737</v>
      </c>
      <c r="G757" s="1569" t="s">
        <v>1738</v>
      </c>
      <c r="H757" s="1569" t="s">
        <v>1739</v>
      </c>
    </row>
    <row r="758" spans="3:13" ht="54.95" customHeight="1" thickBot="1">
      <c r="D758" s="1570"/>
      <c r="E758" s="1570"/>
      <c r="F758" s="1570"/>
      <c r="G758" s="1570"/>
      <c r="H758" s="1570"/>
    </row>
    <row r="759" spans="3:13" ht="14.1" customHeight="1">
      <c r="D759" s="740" t="s">
        <v>1735</v>
      </c>
      <c r="E759" s="425" t="s">
        <v>4136</v>
      </c>
      <c r="F759" s="89" t="s">
        <v>4136</v>
      </c>
      <c r="G759" s="449"/>
      <c r="H759" s="449"/>
    </row>
    <row r="760" spans="3:13" ht="14.1" customHeight="1">
      <c r="D760" s="740" t="s">
        <v>1666</v>
      </c>
      <c r="E760" s="427" t="s">
        <v>1685</v>
      </c>
      <c r="F760" s="427" t="s">
        <v>1686</v>
      </c>
      <c r="G760" s="427" t="s">
        <v>1685</v>
      </c>
      <c r="H760" s="427" t="s">
        <v>1686</v>
      </c>
    </row>
    <row r="761" spans="3:13" ht="14.1" customHeight="1">
      <c r="D761" s="740" t="s">
        <v>548</v>
      </c>
      <c r="E761" s="1480">
        <v>1149848</v>
      </c>
      <c r="F761" s="58">
        <v>0</v>
      </c>
      <c r="G761" s="58"/>
      <c r="H761" s="58"/>
    </row>
    <row r="762" spans="3:13" ht="14.1" customHeight="1" thickBot="1">
      <c r="D762" s="740" t="s">
        <v>549</v>
      </c>
      <c r="E762" s="1480">
        <v>711466</v>
      </c>
      <c r="F762" s="58">
        <v>0</v>
      </c>
      <c r="G762" s="58"/>
      <c r="H762" s="58"/>
    </row>
    <row r="763" spans="3:13" ht="14.1" customHeight="1" thickBot="1">
      <c r="D763" s="342" t="s">
        <v>550</v>
      </c>
      <c r="E763" s="1481">
        <f>E761-E762</f>
        <v>438382</v>
      </c>
      <c r="F763" s="480">
        <f t="shared" ref="F763:H763" si="159">F761-F762</f>
        <v>0</v>
      </c>
      <c r="G763" s="480">
        <f t="shared" si="159"/>
        <v>0</v>
      </c>
      <c r="H763" s="480">
        <f t="shared" si="159"/>
        <v>0</v>
      </c>
    </row>
    <row r="766" spans="3:13">
      <c r="C766" s="424" t="s">
        <v>1740</v>
      </c>
    </row>
    <row r="767" spans="3:13" ht="9.9499999999999993" customHeight="1"/>
    <row r="768" spans="3:13" ht="14.1" customHeight="1">
      <c r="C768" s="701" t="s">
        <v>2767</v>
      </c>
    </row>
    <row r="769" spans="3:18" ht="9.9499999999999993" customHeight="1"/>
    <row r="770" spans="3:18">
      <c r="C770" s="701" t="s">
        <v>2626</v>
      </c>
    </row>
    <row r="771" spans="3:18" ht="15.75" thickBot="1"/>
    <row r="772" spans="3:18" ht="15.75" customHeight="1" thickBot="1">
      <c r="D772" s="1569"/>
      <c r="E772" s="1660" t="s">
        <v>1741</v>
      </c>
      <c r="F772" s="1662"/>
      <c r="G772" s="1660" t="s">
        <v>1742</v>
      </c>
      <c r="H772" s="1661"/>
      <c r="I772" s="1662"/>
      <c r="J772" s="1660" t="s">
        <v>1743</v>
      </c>
      <c r="K772" s="1661"/>
      <c r="L772" s="1662"/>
      <c r="M772" s="1660" t="s">
        <v>1744</v>
      </c>
      <c r="N772" s="1661"/>
      <c r="O772" s="1662"/>
      <c r="P772" s="1660" t="s">
        <v>1745</v>
      </c>
      <c r="Q772" s="1661"/>
      <c r="R772" s="1662"/>
    </row>
    <row r="773" spans="3:18" ht="54.95" customHeight="1" thickBot="1">
      <c r="D773" s="1570"/>
      <c r="E773" s="739" t="s">
        <v>551</v>
      </c>
      <c r="F773" s="737" t="s">
        <v>552</v>
      </c>
      <c r="G773" s="739" t="s">
        <v>553</v>
      </c>
      <c r="H773" s="739" t="s">
        <v>554</v>
      </c>
      <c r="I773" s="739" t="s">
        <v>555</v>
      </c>
      <c r="J773" s="739" t="s">
        <v>553</v>
      </c>
      <c r="K773" s="739" t="s">
        <v>554</v>
      </c>
      <c r="L773" s="739" t="s">
        <v>555</v>
      </c>
      <c r="M773" s="739" t="s">
        <v>553</v>
      </c>
      <c r="N773" s="739" t="s">
        <v>554</v>
      </c>
      <c r="O773" s="739" t="s">
        <v>555</v>
      </c>
      <c r="P773" s="739" t="s">
        <v>553</v>
      </c>
      <c r="Q773" s="739" t="s">
        <v>554</v>
      </c>
      <c r="R773" s="739" t="s">
        <v>555</v>
      </c>
    </row>
    <row r="774" spans="3:18" ht="14.1" customHeight="1">
      <c r="C774" s="704">
        <v>1</v>
      </c>
      <c r="D774" s="384"/>
      <c r="E774" s="738"/>
      <c r="F774" s="762"/>
      <c r="G774" s="449"/>
      <c r="H774" s="449"/>
      <c r="I774" s="449"/>
      <c r="J774" s="449"/>
      <c r="K774" s="449"/>
      <c r="L774" s="449"/>
      <c r="M774" s="449"/>
      <c r="N774" s="449"/>
      <c r="O774" s="449"/>
      <c r="P774" s="449">
        <f>G774+J774+M774</f>
        <v>0</v>
      </c>
      <c r="Q774" s="449">
        <f t="shared" ref="Q774:R789" si="160">H774+K774+N774</f>
        <v>0</v>
      </c>
      <c r="R774" s="449">
        <f t="shared" si="160"/>
        <v>0</v>
      </c>
    </row>
    <row r="775" spans="3:18" ht="14.1" customHeight="1">
      <c r="C775" s="704">
        <v>2</v>
      </c>
      <c r="D775" s="386"/>
      <c r="E775" s="705"/>
      <c r="F775" s="321"/>
      <c r="G775" s="393"/>
      <c r="H775" s="393"/>
      <c r="I775" s="393"/>
      <c r="J775" s="393"/>
      <c r="K775" s="393"/>
      <c r="L775" s="393"/>
      <c r="M775" s="393"/>
      <c r="N775" s="393"/>
      <c r="O775" s="393"/>
      <c r="P775" s="393">
        <f t="shared" ref="P775:R793" si="161">G775+J775+M775</f>
        <v>0</v>
      </c>
      <c r="Q775" s="393">
        <f t="shared" si="160"/>
        <v>0</v>
      </c>
      <c r="R775" s="393">
        <f t="shared" si="160"/>
        <v>0</v>
      </c>
    </row>
    <row r="776" spans="3:18" ht="14.1" customHeight="1">
      <c r="C776" s="704">
        <v>3</v>
      </c>
      <c r="D776" s="386"/>
      <c r="E776" s="706"/>
      <c r="F776" s="321"/>
      <c r="G776" s="393"/>
      <c r="H776" s="393"/>
      <c r="I776" s="393"/>
      <c r="J776" s="393"/>
      <c r="K776" s="393"/>
      <c r="L776" s="393"/>
      <c r="M776" s="393"/>
      <c r="N776" s="393"/>
      <c r="O776" s="393"/>
      <c r="P776" s="393">
        <f t="shared" si="161"/>
        <v>0</v>
      </c>
      <c r="Q776" s="393">
        <f t="shared" si="160"/>
        <v>0</v>
      </c>
      <c r="R776" s="393">
        <f t="shared" si="160"/>
        <v>0</v>
      </c>
    </row>
    <row r="777" spans="3:18" ht="14.1" customHeight="1">
      <c r="C777" s="704">
        <v>4</v>
      </c>
      <c r="D777" s="386"/>
      <c r="E777" s="706"/>
      <c r="F777" s="321"/>
      <c r="G777" s="393"/>
      <c r="H777" s="393"/>
      <c r="I777" s="393"/>
      <c r="J777" s="393"/>
      <c r="K777" s="393"/>
      <c r="L777" s="393"/>
      <c r="M777" s="393"/>
      <c r="N777" s="393"/>
      <c r="O777" s="393"/>
      <c r="P777" s="393">
        <f t="shared" si="161"/>
        <v>0</v>
      </c>
      <c r="Q777" s="393">
        <f t="shared" si="160"/>
        <v>0</v>
      </c>
      <c r="R777" s="393">
        <f t="shared" si="160"/>
        <v>0</v>
      </c>
    </row>
    <row r="778" spans="3:18" ht="14.1" customHeight="1">
      <c r="C778" s="704">
        <v>5</v>
      </c>
      <c r="D778" s="386"/>
      <c r="E778" s="706"/>
      <c r="F778" s="321"/>
      <c r="G778" s="393"/>
      <c r="H778" s="393"/>
      <c r="I778" s="393"/>
      <c r="J778" s="393"/>
      <c r="K778" s="393"/>
      <c r="L778" s="393"/>
      <c r="M778" s="393"/>
      <c r="N778" s="393"/>
      <c r="O778" s="393"/>
      <c r="P778" s="393">
        <f t="shared" si="161"/>
        <v>0</v>
      </c>
      <c r="Q778" s="393">
        <f t="shared" si="160"/>
        <v>0</v>
      </c>
      <c r="R778" s="393">
        <f t="shared" si="160"/>
        <v>0</v>
      </c>
    </row>
    <row r="779" spans="3:18" ht="14.1" customHeight="1">
      <c r="C779" s="704">
        <v>6</v>
      </c>
      <c r="D779" s="386"/>
      <c r="E779" s="706"/>
      <c r="F779" s="321"/>
      <c r="G779" s="393"/>
      <c r="H779" s="393"/>
      <c r="I779" s="393"/>
      <c r="J779" s="393"/>
      <c r="K779" s="393"/>
      <c r="L779" s="393"/>
      <c r="M779" s="393"/>
      <c r="N779" s="393"/>
      <c r="O779" s="393"/>
      <c r="P779" s="393">
        <f t="shared" si="161"/>
        <v>0</v>
      </c>
      <c r="Q779" s="393">
        <f t="shared" si="160"/>
        <v>0</v>
      </c>
      <c r="R779" s="393">
        <f t="shared" si="160"/>
        <v>0</v>
      </c>
    </row>
    <row r="780" spans="3:18" ht="14.1" customHeight="1">
      <c r="C780" s="704">
        <v>7</v>
      </c>
      <c r="D780" s="386"/>
      <c r="E780" s="706"/>
      <c r="F780" s="321"/>
      <c r="G780" s="393"/>
      <c r="H780" s="393"/>
      <c r="I780" s="393"/>
      <c r="J780" s="393"/>
      <c r="K780" s="393"/>
      <c r="L780" s="393"/>
      <c r="M780" s="393"/>
      <c r="N780" s="393"/>
      <c r="O780" s="393"/>
      <c r="P780" s="393">
        <f t="shared" si="161"/>
        <v>0</v>
      </c>
      <c r="Q780" s="393">
        <f t="shared" si="160"/>
        <v>0</v>
      </c>
      <c r="R780" s="393">
        <f t="shared" si="160"/>
        <v>0</v>
      </c>
    </row>
    <row r="781" spans="3:18" ht="14.1" customHeight="1">
      <c r="C781" s="704">
        <v>8</v>
      </c>
      <c r="D781" s="386"/>
      <c r="E781" s="706"/>
      <c r="F781" s="321"/>
      <c r="G781" s="393"/>
      <c r="H781" s="393"/>
      <c r="I781" s="393"/>
      <c r="J781" s="393"/>
      <c r="K781" s="393"/>
      <c r="L781" s="393"/>
      <c r="M781" s="393"/>
      <c r="N781" s="393"/>
      <c r="O781" s="393"/>
      <c r="P781" s="393">
        <f t="shared" si="161"/>
        <v>0</v>
      </c>
      <c r="Q781" s="393">
        <f t="shared" si="160"/>
        <v>0</v>
      </c>
      <c r="R781" s="393">
        <f t="shared" si="160"/>
        <v>0</v>
      </c>
    </row>
    <row r="782" spans="3:18" ht="14.1" customHeight="1">
      <c r="C782" s="704">
        <v>9</v>
      </c>
      <c r="D782" s="386"/>
      <c r="E782" s="706"/>
      <c r="F782" s="321"/>
      <c r="G782" s="393"/>
      <c r="H782" s="393"/>
      <c r="I782" s="393"/>
      <c r="J782" s="393"/>
      <c r="K782" s="393"/>
      <c r="L782" s="393"/>
      <c r="M782" s="393"/>
      <c r="N782" s="393"/>
      <c r="O782" s="393"/>
      <c r="P782" s="393">
        <f t="shared" si="161"/>
        <v>0</v>
      </c>
      <c r="Q782" s="393">
        <f t="shared" si="160"/>
        <v>0</v>
      </c>
      <c r="R782" s="393">
        <f t="shared" si="160"/>
        <v>0</v>
      </c>
    </row>
    <row r="783" spans="3:18" ht="14.1" customHeight="1">
      <c r="C783" s="704">
        <v>10</v>
      </c>
      <c r="D783" s="386"/>
      <c r="E783" s="706"/>
      <c r="F783" s="321"/>
      <c r="G783" s="393"/>
      <c r="H783" s="393"/>
      <c r="I783" s="393"/>
      <c r="J783" s="393"/>
      <c r="K783" s="393"/>
      <c r="L783" s="393"/>
      <c r="M783" s="393"/>
      <c r="N783" s="393"/>
      <c r="O783" s="393"/>
      <c r="P783" s="393">
        <f t="shared" si="161"/>
        <v>0</v>
      </c>
      <c r="Q783" s="393">
        <f t="shared" si="160"/>
        <v>0</v>
      </c>
      <c r="R783" s="393">
        <f t="shared" si="160"/>
        <v>0</v>
      </c>
    </row>
    <row r="784" spans="3:18" ht="14.1" customHeight="1">
      <c r="C784" s="704">
        <v>11</v>
      </c>
      <c r="D784" s="386"/>
      <c r="E784" s="706"/>
      <c r="F784" s="321"/>
      <c r="G784" s="393"/>
      <c r="H784" s="393"/>
      <c r="I784" s="393"/>
      <c r="J784" s="393"/>
      <c r="K784" s="393"/>
      <c r="L784" s="393"/>
      <c r="M784" s="393"/>
      <c r="N784" s="393"/>
      <c r="O784" s="393"/>
      <c r="P784" s="393">
        <f t="shared" si="161"/>
        <v>0</v>
      </c>
      <c r="Q784" s="393">
        <f t="shared" si="160"/>
        <v>0</v>
      </c>
      <c r="R784" s="393">
        <f t="shared" si="160"/>
        <v>0</v>
      </c>
    </row>
    <row r="785" spans="3:18" ht="14.1" customHeight="1">
      <c r="C785" s="704">
        <v>12</v>
      </c>
      <c r="D785" s="386"/>
      <c r="E785" s="706"/>
      <c r="F785" s="321"/>
      <c r="G785" s="393"/>
      <c r="H785" s="393"/>
      <c r="I785" s="393"/>
      <c r="J785" s="393"/>
      <c r="K785" s="393"/>
      <c r="L785" s="393"/>
      <c r="M785" s="393"/>
      <c r="N785" s="393"/>
      <c r="O785" s="393"/>
      <c r="P785" s="393">
        <f t="shared" si="161"/>
        <v>0</v>
      </c>
      <c r="Q785" s="393">
        <f t="shared" si="160"/>
        <v>0</v>
      </c>
      <c r="R785" s="393">
        <f t="shared" si="160"/>
        <v>0</v>
      </c>
    </row>
    <row r="786" spans="3:18" ht="14.1" customHeight="1">
      <c r="C786" s="704">
        <v>13</v>
      </c>
      <c r="D786" s="386"/>
      <c r="E786" s="706"/>
      <c r="F786" s="321"/>
      <c r="G786" s="393"/>
      <c r="H786" s="393"/>
      <c r="I786" s="393"/>
      <c r="J786" s="393"/>
      <c r="K786" s="393"/>
      <c r="L786" s="393"/>
      <c r="M786" s="393"/>
      <c r="N786" s="393"/>
      <c r="O786" s="393"/>
      <c r="P786" s="393">
        <f t="shared" si="161"/>
        <v>0</v>
      </c>
      <c r="Q786" s="393">
        <f t="shared" si="160"/>
        <v>0</v>
      </c>
      <c r="R786" s="393">
        <f t="shared" si="160"/>
        <v>0</v>
      </c>
    </row>
    <row r="787" spans="3:18" ht="14.1" customHeight="1">
      <c r="C787" s="704">
        <v>14</v>
      </c>
      <c r="D787" s="386"/>
      <c r="E787" s="706"/>
      <c r="F787" s="321"/>
      <c r="G787" s="393"/>
      <c r="H787" s="393"/>
      <c r="I787" s="393"/>
      <c r="J787" s="393"/>
      <c r="K787" s="393"/>
      <c r="L787" s="393"/>
      <c r="M787" s="393"/>
      <c r="N787" s="393"/>
      <c r="O787" s="393"/>
      <c r="P787" s="393">
        <f t="shared" si="161"/>
        <v>0</v>
      </c>
      <c r="Q787" s="393">
        <f t="shared" si="160"/>
        <v>0</v>
      </c>
      <c r="R787" s="393">
        <f t="shared" si="160"/>
        <v>0</v>
      </c>
    </row>
    <row r="788" spans="3:18" ht="14.1" customHeight="1">
      <c r="C788" s="704">
        <v>15</v>
      </c>
      <c r="D788" s="386"/>
      <c r="E788" s="706"/>
      <c r="F788" s="321"/>
      <c r="G788" s="393"/>
      <c r="H788" s="393"/>
      <c r="I788" s="393"/>
      <c r="J788" s="393"/>
      <c r="K788" s="393"/>
      <c r="L788" s="393"/>
      <c r="M788" s="393"/>
      <c r="N788" s="393"/>
      <c r="O788" s="393"/>
      <c r="P788" s="393">
        <f t="shared" si="161"/>
        <v>0</v>
      </c>
      <c r="Q788" s="393">
        <f t="shared" si="160"/>
        <v>0</v>
      </c>
      <c r="R788" s="393">
        <f t="shared" si="160"/>
        <v>0</v>
      </c>
    </row>
    <row r="789" spans="3:18" ht="14.1" customHeight="1">
      <c r="C789" s="704">
        <v>16</v>
      </c>
      <c r="D789" s="386"/>
      <c r="E789" s="706"/>
      <c r="F789" s="321"/>
      <c r="G789" s="393"/>
      <c r="H789" s="393"/>
      <c r="I789" s="393"/>
      <c r="J789" s="393"/>
      <c r="K789" s="393"/>
      <c r="L789" s="393"/>
      <c r="M789" s="393"/>
      <c r="N789" s="393"/>
      <c r="O789" s="393"/>
      <c r="P789" s="393">
        <f t="shared" si="161"/>
        <v>0</v>
      </c>
      <c r="Q789" s="393">
        <f t="shared" si="160"/>
        <v>0</v>
      </c>
      <c r="R789" s="393">
        <f t="shared" si="160"/>
        <v>0</v>
      </c>
    </row>
    <row r="790" spans="3:18" ht="14.1" customHeight="1">
      <c r="C790" s="704">
        <v>17</v>
      </c>
      <c r="D790" s="386"/>
      <c r="E790" s="706"/>
      <c r="F790" s="321"/>
      <c r="G790" s="393"/>
      <c r="H790" s="393"/>
      <c r="I790" s="393"/>
      <c r="J790" s="393"/>
      <c r="K790" s="393"/>
      <c r="L790" s="393"/>
      <c r="M790" s="393"/>
      <c r="N790" s="393"/>
      <c r="O790" s="393"/>
      <c r="P790" s="393">
        <f t="shared" si="161"/>
        <v>0</v>
      </c>
      <c r="Q790" s="393">
        <f t="shared" si="161"/>
        <v>0</v>
      </c>
      <c r="R790" s="393">
        <f t="shared" si="161"/>
        <v>0</v>
      </c>
    </row>
    <row r="791" spans="3:18" ht="14.1" customHeight="1">
      <c r="C791" s="704">
        <v>18</v>
      </c>
      <c r="D791" s="386"/>
      <c r="E791" s="706"/>
      <c r="F791" s="321"/>
      <c r="G791" s="393"/>
      <c r="H791" s="393"/>
      <c r="I791" s="393"/>
      <c r="J791" s="393"/>
      <c r="K791" s="393"/>
      <c r="L791" s="393"/>
      <c r="M791" s="393"/>
      <c r="N791" s="393"/>
      <c r="O791" s="393"/>
      <c r="P791" s="393">
        <f t="shared" si="161"/>
        <v>0</v>
      </c>
      <c r="Q791" s="393">
        <f t="shared" si="161"/>
        <v>0</v>
      </c>
      <c r="R791" s="393">
        <f t="shared" si="161"/>
        <v>0</v>
      </c>
    </row>
    <row r="792" spans="3:18" ht="14.1" customHeight="1">
      <c r="C792" s="704">
        <v>19</v>
      </c>
      <c r="D792" s="386"/>
      <c r="E792" s="706"/>
      <c r="F792" s="321"/>
      <c r="G792" s="393"/>
      <c r="H792" s="393"/>
      <c r="I792" s="393"/>
      <c r="J792" s="393"/>
      <c r="K792" s="393"/>
      <c r="L792" s="393"/>
      <c r="M792" s="393"/>
      <c r="N792" s="393"/>
      <c r="O792" s="393"/>
      <c r="P792" s="393">
        <f t="shared" si="161"/>
        <v>0</v>
      </c>
      <c r="Q792" s="393">
        <f t="shared" si="161"/>
        <v>0</v>
      </c>
      <c r="R792" s="393">
        <f t="shared" si="161"/>
        <v>0</v>
      </c>
    </row>
    <row r="793" spans="3:18" ht="14.1" customHeight="1" thickBot="1">
      <c r="C793" s="704">
        <v>20</v>
      </c>
      <c r="D793" s="387"/>
      <c r="E793" s="707"/>
      <c r="F793" s="321"/>
      <c r="G793" s="394"/>
      <c r="H793" s="394"/>
      <c r="I793" s="394"/>
      <c r="J793" s="394"/>
      <c r="K793" s="394"/>
      <c r="L793" s="394"/>
      <c r="M793" s="394"/>
      <c r="N793" s="394"/>
      <c r="O793" s="394"/>
      <c r="P793" s="394">
        <f t="shared" si="161"/>
        <v>0</v>
      </c>
      <c r="Q793" s="394">
        <f t="shared" si="161"/>
        <v>0</v>
      </c>
      <c r="R793" s="394">
        <f t="shared" si="161"/>
        <v>0</v>
      </c>
    </row>
    <row r="794" spans="3:18" ht="14.1" customHeight="1" thickBot="1">
      <c r="D794" s="736" t="s">
        <v>432</v>
      </c>
      <c r="E794" s="481"/>
      <c r="F794" s="480"/>
      <c r="G794" s="479">
        <f>SUM(G774:G793)</f>
        <v>0</v>
      </c>
      <c r="H794" s="479">
        <f t="shared" ref="H794:R794" si="162">SUM(H774:H793)</f>
        <v>0</v>
      </c>
      <c r="I794" s="479">
        <f t="shared" si="162"/>
        <v>0</v>
      </c>
      <c r="J794" s="479">
        <f t="shared" si="162"/>
        <v>0</v>
      </c>
      <c r="K794" s="479">
        <f t="shared" si="162"/>
        <v>0</v>
      </c>
      <c r="L794" s="479">
        <f t="shared" si="162"/>
        <v>0</v>
      </c>
      <c r="M794" s="479">
        <f t="shared" si="162"/>
        <v>0</v>
      </c>
      <c r="N794" s="479">
        <f t="shared" si="162"/>
        <v>0</v>
      </c>
      <c r="O794" s="479">
        <f t="shared" si="162"/>
        <v>0</v>
      </c>
      <c r="P794" s="479">
        <f t="shared" si="162"/>
        <v>0</v>
      </c>
      <c r="Q794" s="479">
        <f t="shared" si="162"/>
        <v>0</v>
      </c>
      <c r="R794" s="479">
        <f t="shared" si="162"/>
        <v>0</v>
      </c>
    </row>
    <row r="797" spans="3:18">
      <c r="C797" s="701" t="s">
        <v>2627</v>
      </c>
    </row>
    <row r="798" spans="3:18" ht="15.75" thickBot="1"/>
    <row r="799" spans="3:18" ht="15.75" customHeight="1" thickBot="1">
      <c r="D799" s="1569"/>
      <c r="E799" s="1660" t="s">
        <v>1741</v>
      </c>
      <c r="F799" s="1662"/>
      <c r="G799" s="1660" t="s">
        <v>2628</v>
      </c>
      <c r="H799" s="1661"/>
      <c r="I799" s="1662"/>
      <c r="J799" s="1660" t="s">
        <v>2629</v>
      </c>
      <c r="K799" s="1661"/>
      <c r="L799" s="1662"/>
      <c r="M799" s="1660" t="s">
        <v>2630</v>
      </c>
      <c r="N799" s="1661"/>
      <c r="O799" s="1662"/>
      <c r="P799" s="1660" t="s">
        <v>2631</v>
      </c>
      <c r="Q799" s="1661"/>
      <c r="R799" s="1662"/>
    </row>
    <row r="800" spans="3:18" ht="54.95" customHeight="1" thickBot="1">
      <c r="D800" s="1570"/>
      <c r="E800" s="739" t="s">
        <v>551</v>
      </c>
      <c r="F800" s="737" t="s">
        <v>552</v>
      </c>
      <c r="G800" s="739" t="s">
        <v>553</v>
      </c>
      <c r="H800" s="739" t="s">
        <v>554</v>
      </c>
      <c r="I800" s="739" t="s">
        <v>555</v>
      </c>
      <c r="J800" s="739" t="s">
        <v>553</v>
      </c>
      <c r="K800" s="739" t="s">
        <v>554</v>
      </c>
      <c r="L800" s="739" t="s">
        <v>555</v>
      </c>
      <c r="M800" s="739" t="s">
        <v>553</v>
      </c>
      <c r="N800" s="739" t="s">
        <v>554</v>
      </c>
      <c r="O800" s="739" t="s">
        <v>555</v>
      </c>
      <c r="P800" s="739" t="s">
        <v>553</v>
      </c>
      <c r="Q800" s="739" t="s">
        <v>554</v>
      </c>
      <c r="R800" s="739" t="s">
        <v>555</v>
      </c>
    </row>
    <row r="801" spans="3:18" ht="14.1" customHeight="1">
      <c r="C801" s="704">
        <v>1</v>
      </c>
      <c r="D801" s="384"/>
      <c r="E801" s="738"/>
      <c r="F801" s="762"/>
      <c r="G801" s="449"/>
      <c r="H801" s="449"/>
      <c r="I801" s="449"/>
      <c r="J801" s="449"/>
      <c r="K801" s="449"/>
      <c r="L801" s="449"/>
      <c r="M801" s="449"/>
      <c r="N801" s="449"/>
      <c r="O801" s="449"/>
      <c r="P801" s="449">
        <f>G801+J801+M801</f>
        <v>0</v>
      </c>
      <c r="Q801" s="449">
        <f t="shared" ref="Q801:R820" si="163">H801+K801+N801</f>
        <v>0</v>
      </c>
      <c r="R801" s="449">
        <f t="shared" si="163"/>
        <v>0</v>
      </c>
    </row>
    <row r="802" spans="3:18" ht="14.1" customHeight="1">
      <c r="C802" s="704">
        <v>2</v>
      </c>
      <c r="D802" s="386"/>
      <c r="E802" s="705"/>
      <c r="F802" s="321"/>
      <c r="G802" s="393"/>
      <c r="H802" s="393"/>
      <c r="I802" s="393"/>
      <c r="J802" s="393"/>
      <c r="K802" s="393"/>
      <c r="L802" s="393"/>
      <c r="M802" s="393"/>
      <c r="N802" s="393"/>
      <c r="O802" s="393"/>
      <c r="P802" s="393">
        <f t="shared" ref="P802:P820" si="164">G802+J802+M802</f>
        <v>0</v>
      </c>
      <c r="Q802" s="393">
        <f t="shared" si="163"/>
        <v>0</v>
      </c>
      <c r="R802" s="393">
        <f t="shared" si="163"/>
        <v>0</v>
      </c>
    </row>
    <row r="803" spans="3:18" ht="14.1" customHeight="1">
      <c r="C803" s="704">
        <v>3</v>
      </c>
      <c r="D803" s="386"/>
      <c r="E803" s="706"/>
      <c r="F803" s="321"/>
      <c r="G803" s="393"/>
      <c r="H803" s="393"/>
      <c r="I803" s="393"/>
      <c r="J803" s="393"/>
      <c r="K803" s="393"/>
      <c r="L803" s="393"/>
      <c r="M803" s="393"/>
      <c r="N803" s="393"/>
      <c r="O803" s="393"/>
      <c r="P803" s="393">
        <f t="shared" si="164"/>
        <v>0</v>
      </c>
      <c r="Q803" s="393">
        <f t="shared" si="163"/>
        <v>0</v>
      </c>
      <c r="R803" s="393">
        <f t="shared" si="163"/>
        <v>0</v>
      </c>
    </row>
    <row r="804" spans="3:18" ht="14.1" customHeight="1">
      <c r="C804" s="704">
        <v>4</v>
      </c>
      <c r="D804" s="386"/>
      <c r="E804" s="706"/>
      <c r="F804" s="321"/>
      <c r="G804" s="393"/>
      <c r="H804" s="393"/>
      <c r="I804" s="393"/>
      <c r="J804" s="393"/>
      <c r="K804" s="393"/>
      <c r="L804" s="393"/>
      <c r="M804" s="393"/>
      <c r="N804" s="393"/>
      <c r="O804" s="393"/>
      <c r="P804" s="393">
        <f t="shared" si="164"/>
        <v>0</v>
      </c>
      <c r="Q804" s="393">
        <f t="shared" si="163"/>
        <v>0</v>
      </c>
      <c r="R804" s="393">
        <f t="shared" si="163"/>
        <v>0</v>
      </c>
    </row>
    <row r="805" spans="3:18" ht="14.1" customHeight="1">
      <c r="C805" s="704">
        <v>5</v>
      </c>
      <c r="D805" s="386"/>
      <c r="E805" s="706"/>
      <c r="F805" s="321"/>
      <c r="G805" s="393"/>
      <c r="H805" s="393"/>
      <c r="I805" s="393"/>
      <c r="J805" s="393"/>
      <c r="K805" s="393"/>
      <c r="L805" s="393"/>
      <c r="M805" s="393"/>
      <c r="N805" s="393"/>
      <c r="O805" s="393"/>
      <c r="P805" s="393">
        <f t="shared" si="164"/>
        <v>0</v>
      </c>
      <c r="Q805" s="393">
        <f t="shared" si="163"/>
        <v>0</v>
      </c>
      <c r="R805" s="393">
        <f t="shared" si="163"/>
        <v>0</v>
      </c>
    </row>
    <row r="806" spans="3:18" ht="14.1" customHeight="1">
      <c r="C806" s="704">
        <v>6</v>
      </c>
      <c r="D806" s="386"/>
      <c r="E806" s="706"/>
      <c r="F806" s="321"/>
      <c r="G806" s="393"/>
      <c r="H806" s="393"/>
      <c r="I806" s="393"/>
      <c r="J806" s="393"/>
      <c r="K806" s="393"/>
      <c r="L806" s="393"/>
      <c r="M806" s="393"/>
      <c r="N806" s="393"/>
      <c r="O806" s="393"/>
      <c r="P806" s="393">
        <f t="shared" si="164"/>
        <v>0</v>
      </c>
      <c r="Q806" s="393">
        <f t="shared" si="163"/>
        <v>0</v>
      </c>
      <c r="R806" s="393">
        <f t="shared" si="163"/>
        <v>0</v>
      </c>
    </row>
    <row r="807" spans="3:18" ht="14.1" customHeight="1">
      <c r="C807" s="704">
        <v>7</v>
      </c>
      <c r="D807" s="386"/>
      <c r="E807" s="706"/>
      <c r="F807" s="321"/>
      <c r="G807" s="393"/>
      <c r="H807" s="393"/>
      <c r="I807" s="393"/>
      <c r="J807" s="393"/>
      <c r="K807" s="393"/>
      <c r="L807" s="393"/>
      <c r="M807" s="393"/>
      <c r="N807" s="393"/>
      <c r="O807" s="393"/>
      <c r="P807" s="393">
        <f t="shared" si="164"/>
        <v>0</v>
      </c>
      <c r="Q807" s="393">
        <f t="shared" si="163"/>
        <v>0</v>
      </c>
      <c r="R807" s="393">
        <f t="shared" si="163"/>
        <v>0</v>
      </c>
    </row>
    <row r="808" spans="3:18" ht="14.1" customHeight="1">
      <c r="C808" s="704">
        <v>8</v>
      </c>
      <c r="D808" s="386"/>
      <c r="E808" s="706"/>
      <c r="F808" s="321"/>
      <c r="G808" s="393"/>
      <c r="H808" s="393"/>
      <c r="I808" s="393"/>
      <c r="J808" s="393"/>
      <c r="K808" s="393"/>
      <c r="L808" s="393"/>
      <c r="M808" s="393"/>
      <c r="N808" s="393"/>
      <c r="O808" s="393"/>
      <c r="P808" s="393">
        <f t="shared" si="164"/>
        <v>0</v>
      </c>
      <c r="Q808" s="393">
        <f t="shared" si="163"/>
        <v>0</v>
      </c>
      <c r="R808" s="393">
        <f t="shared" si="163"/>
        <v>0</v>
      </c>
    </row>
    <row r="809" spans="3:18" ht="14.1" customHeight="1">
      <c r="C809" s="704">
        <v>9</v>
      </c>
      <c r="D809" s="386"/>
      <c r="E809" s="706"/>
      <c r="F809" s="321"/>
      <c r="G809" s="393"/>
      <c r="H809" s="393"/>
      <c r="I809" s="393"/>
      <c r="J809" s="393"/>
      <c r="K809" s="393"/>
      <c r="L809" s="393"/>
      <c r="M809" s="393"/>
      <c r="N809" s="393"/>
      <c r="O809" s="393"/>
      <c r="P809" s="393">
        <f t="shared" si="164"/>
        <v>0</v>
      </c>
      <c r="Q809" s="393">
        <f t="shared" si="163"/>
        <v>0</v>
      </c>
      <c r="R809" s="393">
        <f t="shared" si="163"/>
        <v>0</v>
      </c>
    </row>
    <row r="810" spans="3:18" ht="14.1" customHeight="1">
      <c r="C810" s="704">
        <v>10</v>
      </c>
      <c r="D810" s="386"/>
      <c r="E810" s="706"/>
      <c r="F810" s="321"/>
      <c r="G810" s="393"/>
      <c r="H810" s="393"/>
      <c r="I810" s="393"/>
      <c r="J810" s="393"/>
      <c r="K810" s="393"/>
      <c r="L810" s="393"/>
      <c r="M810" s="393"/>
      <c r="N810" s="393"/>
      <c r="O810" s="393"/>
      <c r="P810" s="393">
        <f t="shared" si="164"/>
        <v>0</v>
      </c>
      <c r="Q810" s="393">
        <f t="shared" si="163"/>
        <v>0</v>
      </c>
      <c r="R810" s="393">
        <f t="shared" si="163"/>
        <v>0</v>
      </c>
    </row>
    <row r="811" spans="3:18" ht="14.1" customHeight="1">
      <c r="C811" s="704">
        <v>11</v>
      </c>
      <c r="D811" s="386"/>
      <c r="E811" s="706"/>
      <c r="F811" s="321"/>
      <c r="G811" s="393"/>
      <c r="H811" s="393"/>
      <c r="I811" s="393"/>
      <c r="J811" s="393"/>
      <c r="K811" s="393"/>
      <c r="L811" s="393"/>
      <c r="M811" s="393"/>
      <c r="N811" s="393"/>
      <c r="O811" s="393"/>
      <c r="P811" s="393">
        <f t="shared" si="164"/>
        <v>0</v>
      </c>
      <c r="Q811" s="393">
        <f t="shared" si="163"/>
        <v>0</v>
      </c>
      <c r="R811" s="393">
        <f t="shared" si="163"/>
        <v>0</v>
      </c>
    </row>
    <row r="812" spans="3:18" ht="14.1" customHeight="1">
      <c r="C812" s="704">
        <v>12</v>
      </c>
      <c r="D812" s="386"/>
      <c r="E812" s="706"/>
      <c r="F812" s="321"/>
      <c r="G812" s="393"/>
      <c r="H812" s="393"/>
      <c r="I812" s="393"/>
      <c r="J812" s="393"/>
      <c r="K812" s="393"/>
      <c r="L812" s="393"/>
      <c r="M812" s="393"/>
      <c r="N812" s="393"/>
      <c r="O812" s="393"/>
      <c r="P812" s="393">
        <f t="shared" si="164"/>
        <v>0</v>
      </c>
      <c r="Q812" s="393">
        <f t="shared" si="163"/>
        <v>0</v>
      </c>
      <c r="R812" s="393">
        <f t="shared" si="163"/>
        <v>0</v>
      </c>
    </row>
    <row r="813" spans="3:18" ht="14.1" customHeight="1">
      <c r="C813" s="704">
        <v>13</v>
      </c>
      <c r="D813" s="386"/>
      <c r="E813" s="706"/>
      <c r="F813" s="321"/>
      <c r="G813" s="393"/>
      <c r="H813" s="393"/>
      <c r="I813" s="393"/>
      <c r="J813" s="393"/>
      <c r="K813" s="393"/>
      <c r="L813" s="393"/>
      <c r="M813" s="393"/>
      <c r="N813" s="393"/>
      <c r="O813" s="393"/>
      <c r="P813" s="393">
        <f t="shared" si="164"/>
        <v>0</v>
      </c>
      <c r="Q813" s="393">
        <f t="shared" si="163"/>
        <v>0</v>
      </c>
      <c r="R813" s="393">
        <f t="shared" si="163"/>
        <v>0</v>
      </c>
    </row>
    <row r="814" spans="3:18" ht="14.1" customHeight="1">
      <c r="C814" s="704">
        <v>14</v>
      </c>
      <c r="D814" s="386"/>
      <c r="E814" s="706"/>
      <c r="F814" s="321"/>
      <c r="G814" s="393"/>
      <c r="H814" s="393"/>
      <c r="I814" s="393"/>
      <c r="J814" s="393"/>
      <c r="K814" s="393"/>
      <c r="L814" s="393"/>
      <c r="M814" s="393"/>
      <c r="N814" s="393"/>
      <c r="O814" s="393"/>
      <c r="P814" s="393">
        <f t="shared" si="164"/>
        <v>0</v>
      </c>
      <c r="Q814" s="393">
        <f t="shared" si="163"/>
        <v>0</v>
      </c>
      <c r="R814" s="393">
        <f t="shared" si="163"/>
        <v>0</v>
      </c>
    </row>
    <row r="815" spans="3:18" ht="14.1" customHeight="1">
      <c r="C815" s="704">
        <v>15</v>
      </c>
      <c r="D815" s="386"/>
      <c r="E815" s="706"/>
      <c r="F815" s="321"/>
      <c r="G815" s="393"/>
      <c r="H815" s="393"/>
      <c r="I815" s="393"/>
      <c r="J815" s="393"/>
      <c r="K815" s="393"/>
      <c r="L815" s="393"/>
      <c r="M815" s="393"/>
      <c r="N815" s="393"/>
      <c r="O815" s="393"/>
      <c r="P815" s="393">
        <f t="shared" si="164"/>
        <v>0</v>
      </c>
      <c r="Q815" s="393">
        <f t="shared" si="163"/>
        <v>0</v>
      </c>
      <c r="R815" s="393">
        <f t="shared" si="163"/>
        <v>0</v>
      </c>
    </row>
    <row r="816" spans="3:18" ht="14.1" customHeight="1">
      <c r="C816" s="704">
        <v>16</v>
      </c>
      <c r="D816" s="386"/>
      <c r="E816" s="706"/>
      <c r="F816" s="321"/>
      <c r="G816" s="393"/>
      <c r="H816" s="393"/>
      <c r="I816" s="393"/>
      <c r="J816" s="393"/>
      <c r="K816" s="393"/>
      <c r="L816" s="393"/>
      <c r="M816" s="393"/>
      <c r="N816" s="393"/>
      <c r="O816" s="393"/>
      <c r="P816" s="393">
        <f t="shared" si="164"/>
        <v>0</v>
      </c>
      <c r="Q816" s="393">
        <f t="shared" si="163"/>
        <v>0</v>
      </c>
      <c r="R816" s="393">
        <f t="shared" si="163"/>
        <v>0</v>
      </c>
    </row>
    <row r="817" spans="3:24" ht="14.1" customHeight="1">
      <c r="C817" s="704">
        <v>17</v>
      </c>
      <c r="D817" s="386"/>
      <c r="E817" s="706"/>
      <c r="F817" s="321"/>
      <c r="G817" s="393"/>
      <c r="H817" s="393"/>
      <c r="I817" s="393"/>
      <c r="J817" s="393"/>
      <c r="K817" s="393"/>
      <c r="L817" s="393"/>
      <c r="M817" s="393"/>
      <c r="N817" s="393"/>
      <c r="O817" s="393"/>
      <c r="P817" s="393">
        <f t="shared" si="164"/>
        <v>0</v>
      </c>
      <c r="Q817" s="393">
        <f t="shared" si="163"/>
        <v>0</v>
      </c>
      <c r="R817" s="393">
        <f t="shared" si="163"/>
        <v>0</v>
      </c>
    </row>
    <row r="818" spans="3:24" ht="14.1" customHeight="1">
      <c r="C818" s="704">
        <v>18</v>
      </c>
      <c r="D818" s="386"/>
      <c r="E818" s="706"/>
      <c r="F818" s="321"/>
      <c r="G818" s="393"/>
      <c r="H818" s="393"/>
      <c r="I818" s="393"/>
      <c r="J818" s="393"/>
      <c r="K818" s="393"/>
      <c r="L818" s="393"/>
      <c r="M818" s="393"/>
      <c r="N818" s="393"/>
      <c r="O818" s="393"/>
      <c r="P818" s="393">
        <f t="shared" si="164"/>
        <v>0</v>
      </c>
      <c r="Q818" s="393">
        <f t="shared" si="163"/>
        <v>0</v>
      </c>
      <c r="R818" s="393">
        <f t="shared" si="163"/>
        <v>0</v>
      </c>
    </row>
    <row r="819" spans="3:24" ht="14.1" customHeight="1">
      <c r="C819" s="704">
        <v>19</v>
      </c>
      <c r="D819" s="386"/>
      <c r="E819" s="706"/>
      <c r="F819" s="321"/>
      <c r="G819" s="393"/>
      <c r="H819" s="393"/>
      <c r="I819" s="393"/>
      <c r="J819" s="393"/>
      <c r="K819" s="393"/>
      <c r="L819" s="393"/>
      <c r="M819" s="393"/>
      <c r="N819" s="393"/>
      <c r="O819" s="393"/>
      <c r="P819" s="393">
        <f t="shared" si="164"/>
        <v>0</v>
      </c>
      <c r="Q819" s="393">
        <f t="shared" si="163"/>
        <v>0</v>
      </c>
      <c r="R819" s="393">
        <f t="shared" si="163"/>
        <v>0</v>
      </c>
    </row>
    <row r="820" spans="3:24" ht="14.1" customHeight="1" thickBot="1">
      <c r="C820" s="704">
        <v>20</v>
      </c>
      <c r="D820" s="387"/>
      <c r="E820" s="707"/>
      <c r="F820" s="321"/>
      <c r="G820" s="394"/>
      <c r="H820" s="394"/>
      <c r="I820" s="394"/>
      <c r="J820" s="394"/>
      <c r="K820" s="394"/>
      <c r="L820" s="394"/>
      <c r="M820" s="394"/>
      <c r="N820" s="394"/>
      <c r="O820" s="394"/>
      <c r="P820" s="394">
        <f t="shared" si="164"/>
        <v>0</v>
      </c>
      <c r="Q820" s="394">
        <f t="shared" si="163"/>
        <v>0</v>
      </c>
      <c r="R820" s="394">
        <f t="shared" si="163"/>
        <v>0</v>
      </c>
    </row>
    <row r="821" spans="3:24" ht="14.1" customHeight="1" thickBot="1">
      <c r="D821" s="736" t="s">
        <v>432</v>
      </c>
      <c r="E821" s="481"/>
      <c r="F821" s="480"/>
      <c r="G821" s="479">
        <f>SUM(G801:G820)</f>
        <v>0</v>
      </c>
      <c r="H821" s="479">
        <f t="shared" ref="H821:R821" si="165">SUM(H801:H820)</f>
        <v>0</v>
      </c>
      <c r="I821" s="479">
        <f t="shared" si="165"/>
        <v>0</v>
      </c>
      <c r="J821" s="479">
        <f t="shared" si="165"/>
        <v>0</v>
      </c>
      <c r="K821" s="479">
        <f t="shared" si="165"/>
        <v>0</v>
      </c>
      <c r="L821" s="479">
        <f t="shared" si="165"/>
        <v>0</v>
      </c>
      <c r="M821" s="479">
        <f t="shared" si="165"/>
        <v>0</v>
      </c>
      <c r="N821" s="479">
        <f t="shared" si="165"/>
        <v>0</v>
      </c>
      <c r="O821" s="479">
        <f t="shared" si="165"/>
        <v>0</v>
      </c>
      <c r="P821" s="479">
        <f t="shared" si="165"/>
        <v>0</v>
      </c>
      <c r="Q821" s="479">
        <f t="shared" si="165"/>
        <v>0</v>
      </c>
      <c r="R821" s="479">
        <f t="shared" si="165"/>
        <v>0</v>
      </c>
    </row>
    <row r="824" spans="3:24">
      <c r="C824" s="701" t="s">
        <v>2632</v>
      </c>
    </row>
    <row r="825" spans="3:24" ht="15.75" thickBot="1"/>
    <row r="826" spans="3:24" ht="24.95" customHeight="1" thickBot="1">
      <c r="D826" s="1569"/>
      <c r="E826" s="1660" t="s">
        <v>1741</v>
      </c>
      <c r="F826" s="1662"/>
      <c r="G826" s="1660" t="s">
        <v>2633</v>
      </c>
      <c r="H826" s="1661"/>
      <c r="I826" s="1662"/>
      <c r="J826" s="1660" t="s">
        <v>2634</v>
      </c>
      <c r="K826" s="1661"/>
      <c r="L826" s="1662"/>
      <c r="M826" s="1660" t="s">
        <v>2635</v>
      </c>
      <c r="N826" s="1661"/>
      <c r="O826" s="1662"/>
      <c r="P826" s="1660" t="s">
        <v>2636</v>
      </c>
      <c r="Q826" s="1661"/>
      <c r="R826" s="1662"/>
      <c r="S826" s="1660" t="s">
        <v>2637</v>
      </c>
      <c r="T826" s="1661"/>
      <c r="U826" s="1662"/>
      <c r="V826" s="1660" t="s">
        <v>2638</v>
      </c>
      <c r="W826" s="1661"/>
      <c r="X826" s="1662"/>
    </row>
    <row r="827" spans="3:24" ht="54.95" customHeight="1" thickBot="1">
      <c r="D827" s="1570"/>
      <c r="E827" s="739" t="s">
        <v>551</v>
      </c>
      <c r="F827" s="737" t="s">
        <v>552</v>
      </c>
      <c r="G827" s="739" t="s">
        <v>553</v>
      </c>
      <c r="H827" s="739" t="s">
        <v>554</v>
      </c>
      <c r="I827" s="739" t="s">
        <v>555</v>
      </c>
      <c r="J827" s="739" t="s">
        <v>553</v>
      </c>
      <c r="K827" s="739" t="s">
        <v>554</v>
      </c>
      <c r="L827" s="739" t="s">
        <v>555</v>
      </c>
      <c r="M827" s="739" t="s">
        <v>553</v>
      </c>
      <c r="N827" s="739" t="s">
        <v>554</v>
      </c>
      <c r="O827" s="739" t="s">
        <v>555</v>
      </c>
      <c r="P827" s="739" t="s">
        <v>553</v>
      </c>
      <c r="Q827" s="739" t="s">
        <v>554</v>
      </c>
      <c r="R827" s="739" t="s">
        <v>555</v>
      </c>
      <c r="S827" s="739" t="s">
        <v>553</v>
      </c>
      <c r="T827" s="739" t="s">
        <v>554</v>
      </c>
      <c r="U827" s="739" t="s">
        <v>555</v>
      </c>
      <c r="V827" s="739" t="s">
        <v>553</v>
      </c>
      <c r="W827" s="739" t="s">
        <v>554</v>
      </c>
      <c r="X827" s="739" t="s">
        <v>555</v>
      </c>
    </row>
    <row r="828" spans="3:24" ht="14.1" customHeight="1">
      <c r="C828" s="704">
        <v>1</v>
      </c>
      <c r="D828" s="384"/>
      <c r="E828" s="738"/>
      <c r="F828" s="762"/>
      <c r="G828" s="449"/>
      <c r="H828" s="449"/>
      <c r="I828" s="449"/>
      <c r="J828" s="449"/>
      <c r="K828" s="449"/>
      <c r="L828" s="449"/>
      <c r="M828" s="449"/>
      <c r="N828" s="449"/>
      <c r="O828" s="449"/>
      <c r="P828" s="449"/>
      <c r="Q828" s="449"/>
      <c r="R828" s="449"/>
      <c r="S828" s="449"/>
      <c r="T828" s="449"/>
      <c r="U828" s="449"/>
      <c r="V828" s="449">
        <f>S828+P828+M828+J828+G828</f>
        <v>0</v>
      </c>
      <c r="W828" s="449">
        <f t="shared" ref="W828:X847" si="166">T828+Q828+N828+K828+H828</f>
        <v>0</v>
      </c>
      <c r="X828" s="449">
        <f t="shared" si="166"/>
        <v>0</v>
      </c>
    </row>
    <row r="829" spans="3:24" ht="14.1" customHeight="1">
      <c r="C829" s="704">
        <v>2</v>
      </c>
      <c r="D829" s="386"/>
      <c r="E829" s="705"/>
      <c r="F829" s="762"/>
      <c r="G829" s="393"/>
      <c r="H829" s="393"/>
      <c r="I829" s="393"/>
      <c r="J829" s="393"/>
      <c r="K829" s="393"/>
      <c r="L829" s="393"/>
      <c r="M829" s="393"/>
      <c r="N829" s="393"/>
      <c r="O829" s="393"/>
      <c r="P829" s="393"/>
      <c r="Q829" s="393"/>
      <c r="R829" s="393"/>
      <c r="S829" s="393"/>
      <c r="T829" s="393"/>
      <c r="U829" s="393"/>
      <c r="V829" s="393">
        <f t="shared" ref="V829:V847" si="167">S829+P829+M829+J829+G829</f>
        <v>0</v>
      </c>
      <c r="W829" s="393">
        <f t="shared" si="166"/>
        <v>0</v>
      </c>
      <c r="X829" s="393">
        <f t="shared" si="166"/>
        <v>0</v>
      </c>
    </row>
    <row r="830" spans="3:24" ht="14.1" customHeight="1">
      <c r="C830" s="704">
        <v>3</v>
      </c>
      <c r="D830" s="386"/>
      <c r="E830" s="706"/>
      <c r="F830" s="762"/>
      <c r="G830" s="393"/>
      <c r="H830" s="393"/>
      <c r="I830" s="393"/>
      <c r="J830" s="393"/>
      <c r="K830" s="393"/>
      <c r="L830" s="393"/>
      <c r="M830" s="393"/>
      <c r="N830" s="393"/>
      <c r="O830" s="393"/>
      <c r="P830" s="393"/>
      <c r="Q830" s="393"/>
      <c r="R830" s="393"/>
      <c r="S830" s="393"/>
      <c r="T830" s="393"/>
      <c r="U830" s="393"/>
      <c r="V830" s="393">
        <f t="shared" si="167"/>
        <v>0</v>
      </c>
      <c r="W830" s="393">
        <f t="shared" si="166"/>
        <v>0</v>
      </c>
      <c r="X830" s="393">
        <f t="shared" si="166"/>
        <v>0</v>
      </c>
    </row>
    <row r="831" spans="3:24" ht="14.1" customHeight="1">
      <c r="C831" s="704">
        <v>4</v>
      </c>
      <c r="D831" s="386"/>
      <c r="E831" s="706"/>
      <c r="F831" s="762"/>
      <c r="G831" s="393"/>
      <c r="H831" s="393"/>
      <c r="I831" s="393"/>
      <c r="J831" s="393"/>
      <c r="K831" s="393"/>
      <c r="L831" s="393"/>
      <c r="M831" s="393"/>
      <c r="N831" s="393"/>
      <c r="O831" s="393"/>
      <c r="P831" s="393"/>
      <c r="Q831" s="393"/>
      <c r="R831" s="393"/>
      <c r="S831" s="393"/>
      <c r="T831" s="393"/>
      <c r="U831" s="393"/>
      <c r="V831" s="393">
        <f t="shared" si="167"/>
        <v>0</v>
      </c>
      <c r="W831" s="393">
        <f t="shared" si="166"/>
        <v>0</v>
      </c>
      <c r="X831" s="393">
        <f t="shared" si="166"/>
        <v>0</v>
      </c>
    </row>
    <row r="832" spans="3:24" ht="14.1" customHeight="1">
      <c r="C832" s="704">
        <v>5</v>
      </c>
      <c r="D832" s="386"/>
      <c r="E832" s="706"/>
      <c r="F832" s="762"/>
      <c r="G832" s="393"/>
      <c r="H832" s="393"/>
      <c r="I832" s="393"/>
      <c r="J832" s="393"/>
      <c r="K832" s="393"/>
      <c r="L832" s="393"/>
      <c r="M832" s="393"/>
      <c r="N832" s="393"/>
      <c r="O832" s="393"/>
      <c r="P832" s="393"/>
      <c r="Q832" s="393"/>
      <c r="R832" s="393"/>
      <c r="S832" s="393"/>
      <c r="T832" s="393"/>
      <c r="U832" s="393"/>
      <c r="V832" s="393">
        <f t="shared" si="167"/>
        <v>0</v>
      </c>
      <c r="W832" s="393">
        <f t="shared" si="166"/>
        <v>0</v>
      </c>
      <c r="X832" s="393">
        <f t="shared" si="166"/>
        <v>0</v>
      </c>
    </row>
    <row r="833" spans="3:24" ht="14.1" customHeight="1">
      <c r="C833" s="704">
        <v>6</v>
      </c>
      <c r="D833" s="386"/>
      <c r="E833" s="706"/>
      <c r="F833" s="762"/>
      <c r="G833" s="393"/>
      <c r="H833" s="393"/>
      <c r="I833" s="393"/>
      <c r="J833" s="393"/>
      <c r="K833" s="393"/>
      <c r="L833" s="393"/>
      <c r="M833" s="393"/>
      <c r="N833" s="393"/>
      <c r="O833" s="393"/>
      <c r="P833" s="393"/>
      <c r="Q833" s="393"/>
      <c r="R833" s="393"/>
      <c r="S833" s="393"/>
      <c r="T833" s="393"/>
      <c r="U833" s="393"/>
      <c r="V833" s="393">
        <f t="shared" si="167"/>
        <v>0</v>
      </c>
      <c r="W833" s="393">
        <f t="shared" si="166"/>
        <v>0</v>
      </c>
      <c r="X833" s="393">
        <f t="shared" si="166"/>
        <v>0</v>
      </c>
    </row>
    <row r="834" spans="3:24" ht="14.1" customHeight="1">
      <c r="C834" s="704">
        <v>7</v>
      </c>
      <c r="D834" s="386"/>
      <c r="E834" s="706"/>
      <c r="F834" s="762"/>
      <c r="G834" s="393"/>
      <c r="H834" s="393"/>
      <c r="I834" s="393"/>
      <c r="J834" s="393"/>
      <c r="K834" s="393"/>
      <c r="L834" s="393"/>
      <c r="M834" s="393"/>
      <c r="N834" s="393"/>
      <c r="O834" s="393"/>
      <c r="P834" s="393"/>
      <c r="Q834" s="393"/>
      <c r="R834" s="393"/>
      <c r="S834" s="393"/>
      <c r="T834" s="393"/>
      <c r="U834" s="393"/>
      <c r="V834" s="393">
        <f t="shared" si="167"/>
        <v>0</v>
      </c>
      <c r="W834" s="393">
        <f t="shared" si="166"/>
        <v>0</v>
      </c>
      <c r="X834" s="393">
        <f t="shared" si="166"/>
        <v>0</v>
      </c>
    </row>
    <row r="835" spans="3:24" ht="14.1" customHeight="1">
      <c r="C835" s="704">
        <v>8</v>
      </c>
      <c r="D835" s="386"/>
      <c r="E835" s="706"/>
      <c r="F835" s="762"/>
      <c r="G835" s="393"/>
      <c r="H835" s="393"/>
      <c r="I835" s="393"/>
      <c r="J835" s="393"/>
      <c r="K835" s="393"/>
      <c r="L835" s="393"/>
      <c r="M835" s="393"/>
      <c r="N835" s="393"/>
      <c r="O835" s="393"/>
      <c r="P835" s="393"/>
      <c r="Q835" s="393"/>
      <c r="R835" s="393"/>
      <c r="S835" s="393"/>
      <c r="T835" s="393"/>
      <c r="U835" s="393"/>
      <c r="V835" s="393">
        <f t="shared" si="167"/>
        <v>0</v>
      </c>
      <c r="W835" s="393">
        <f t="shared" si="166"/>
        <v>0</v>
      </c>
      <c r="X835" s="393">
        <f t="shared" si="166"/>
        <v>0</v>
      </c>
    </row>
    <row r="836" spans="3:24" ht="14.1" customHeight="1">
      <c r="C836" s="704">
        <v>9</v>
      </c>
      <c r="D836" s="386"/>
      <c r="E836" s="706"/>
      <c r="F836" s="762"/>
      <c r="G836" s="393"/>
      <c r="H836" s="393"/>
      <c r="I836" s="393"/>
      <c r="J836" s="393"/>
      <c r="K836" s="393"/>
      <c r="L836" s="393"/>
      <c r="M836" s="393"/>
      <c r="N836" s="393"/>
      <c r="O836" s="393"/>
      <c r="P836" s="393"/>
      <c r="Q836" s="393"/>
      <c r="R836" s="393"/>
      <c r="S836" s="393"/>
      <c r="T836" s="393"/>
      <c r="U836" s="393"/>
      <c r="V836" s="393">
        <f t="shared" si="167"/>
        <v>0</v>
      </c>
      <c r="W836" s="393">
        <f t="shared" si="166"/>
        <v>0</v>
      </c>
      <c r="X836" s="393">
        <f t="shared" si="166"/>
        <v>0</v>
      </c>
    </row>
    <row r="837" spans="3:24" ht="14.1" customHeight="1">
      <c r="C837" s="704">
        <v>10</v>
      </c>
      <c r="D837" s="386"/>
      <c r="E837" s="706"/>
      <c r="F837" s="762"/>
      <c r="G837" s="393"/>
      <c r="H837" s="393"/>
      <c r="I837" s="393"/>
      <c r="J837" s="393"/>
      <c r="K837" s="393"/>
      <c r="L837" s="393"/>
      <c r="M837" s="393"/>
      <c r="N837" s="393"/>
      <c r="O837" s="393"/>
      <c r="P837" s="393"/>
      <c r="Q837" s="393"/>
      <c r="R837" s="393"/>
      <c r="S837" s="393"/>
      <c r="T837" s="393"/>
      <c r="U837" s="393"/>
      <c r="V837" s="393">
        <f t="shared" si="167"/>
        <v>0</v>
      </c>
      <c r="W837" s="393">
        <f t="shared" si="166"/>
        <v>0</v>
      </c>
      <c r="X837" s="393">
        <f t="shared" si="166"/>
        <v>0</v>
      </c>
    </row>
    <row r="838" spans="3:24" ht="14.1" customHeight="1">
      <c r="C838" s="704">
        <v>11</v>
      </c>
      <c r="D838" s="386"/>
      <c r="E838" s="706"/>
      <c r="F838" s="762"/>
      <c r="G838" s="393"/>
      <c r="H838" s="393"/>
      <c r="I838" s="393"/>
      <c r="J838" s="393"/>
      <c r="K838" s="393"/>
      <c r="L838" s="393"/>
      <c r="M838" s="393"/>
      <c r="N838" s="393"/>
      <c r="O838" s="393"/>
      <c r="P838" s="393"/>
      <c r="Q838" s="393"/>
      <c r="R838" s="393"/>
      <c r="S838" s="393"/>
      <c r="T838" s="393"/>
      <c r="U838" s="393"/>
      <c r="V838" s="393">
        <f t="shared" si="167"/>
        <v>0</v>
      </c>
      <c r="W838" s="393">
        <f t="shared" si="166"/>
        <v>0</v>
      </c>
      <c r="X838" s="393">
        <f t="shared" si="166"/>
        <v>0</v>
      </c>
    </row>
    <row r="839" spans="3:24" ht="14.1" customHeight="1">
      <c r="C839" s="704">
        <v>12</v>
      </c>
      <c r="D839" s="386"/>
      <c r="E839" s="706"/>
      <c r="F839" s="762"/>
      <c r="G839" s="393"/>
      <c r="H839" s="393"/>
      <c r="I839" s="393"/>
      <c r="J839" s="393"/>
      <c r="K839" s="393"/>
      <c r="L839" s="393"/>
      <c r="M839" s="393"/>
      <c r="N839" s="393"/>
      <c r="O839" s="393"/>
      <c r="P839" s="393"/>
      <c r="Q839" s="393"/>
      <c r="R839" s="393"/>
      <c r="S839" s="393"/>
      <c r="T839" s="393"/>
      <c r="U839" s="393"/>
      <c r="V839" s="393">
        <f t="shared" si="167"/>
        <v>0</v>
      </c>
      <c r="W839" s="393">
        <f t="shared" si="166"/>
        <v>0</v>
      </c>
      <c r="X839" s="393">
        <f t="shared" si="166"/>
        <v>0</v>
      </c>
    </row>
    <row r="840" spans="3:24" ht="14.1" customHeight="1">
      <c r="C840" s="704">
        <v>13</v>
      </c>
      <c r="D840" s="386"/>
      <c r="E840" s="706"/>
      <c r="F840" s="762"/>
      <c r="G840" s="393"/>
      <c r="H840" s="393"/>
      <c r="I840" s="393"/>
      <c r="J840" s="393"/>
      <c r="K840" s="393"/>
      <c r="L840" s="393"/>
      <c r="M840" s="393"/>
      <c r="N840" s="393"/>
      <c r="O840" s="393"/>
      <c r="P840" s="393"/>
      <c r="Q840" s="393"/>
      <c r="R840" s="393"/>
      <c r="S840" s="393"/>
      <c r="T840" s="393"/>
      <c r="U840" s="393"/>
      <c r="V840" s="393">
        <f t="shared" si="167"/>
        <v>0</v>
      </c>
      <c r="W840" s="393">
        <f t="shared" si="166"/>
        <v>0</v>
      </c>
      <c r="X840" s="393">
        <f t="shared" si="166"/>
        <v>0</v>
      </c>
    </row>
    <row r="841" spans="3:24" ht="14.1" customHeight="1">
      <c r="C841" s="704">
        <v>14</v>
      </c>
      <c r="D841" s="386"/>
      <c r="E841" s="706"/>
      <c r="F841" s="762"/>
      <c r="G841" s="393"/>
      <c r="H841" s="393"/>
      <c r="I841" s="393"/>
      <c r="J841" s="393"/>
      <c r="K841" s="393"/>
      <c r="L841" s="393"/>
      <c r="M841" s="393"/>
      <c r="N841" s="393"/>
      <c r="O841" s="393"/>
      <c r="P841" s="393"/>
      <c r="Q841" s="393"/>
      <c r="R841" s="393"/>
      <c r="S841" s="393"/>
      <c r="T841" s="393"/>
      <c r="U841" s="393"/>
      <c r="V841" s="393">
        <f t="shared" si="167"/>
        <v>0</v>
      </c>
      <c r="W841" s="393">
        <f t="shared" si="166"/>
        <v>0</v>
      </c>
      <c r="X841" s="393">
        <f t="shared" si="166"/>
        <v>0</v>
      </c>
    </row>
    <row r="842" spans="3:24" ht="14.1" customHeight="1">
      <c r="C842" s="704">
        <v>15</v>
      </c>
      <c r="D842" s="386"/>
      <c r="E842" s="706"/>
      <c r="F842" s="762"/>
      <c r="G842" s="393"/>
      <c r="H842" s="393"/>
      <c r="I842" s="393"/>
      <c r="J842" s="393"/>
      <c r="K842" s="393"/>
      <c r="L842" s="393"/>
      <c r="M842" s="393"/>
      <c r="N842" s="393"/>
      <c r="O842" s="393"/>
      <c r="P842" s="393"/>
      <c r="Q842" s="393"/>
      <c r="R842" s="393"/>
      <c r="S842" s="393"/>
      <c r="T842" s="393"/>
      <c r="U842" s="393"/>
      <c r="V842" s="393">
        <f t="shared" si="167"/>
        <v>0</v>
      </c>
      <c r="W842" s="393">
        <f t="shared" si="166"/>
        <v>0</v>
      </c>
      <c r="X842" s="393">
        <f t="shared" si="166"/>
        <v>0</v>
      </c>
    </row>
    <row r="843" spans="3:24" ht="14.1" customHeight="1">
      <c r="C843" s="704">
        <v>16</v>
      </c>
      <c r="D843" s="386"/>
      <c r="E843" s="706"/>
      <c r="F843" s="762"/>
      <c r="G843" s="393"/>
      <c r="H843" s="393"/>
      <c r="I843" s="393"/>
      <c r="J843" s="393"/>
      <c r="K843" s="393"/>
      <c r="L843" s="393"/>
      <c r="M843" s="393"/>
      <c r="N843" s="393"/>
      <c r="O843" s="393"/>
      <c r="P843" s="393"/>
      <c r="Q843" s="393"/>
      <c r="R843" s="393"/>
      <c r="S843" s="393"/>
      <c r="T843" s="393"/>
      <c r="U843" s="393"/>
      <c r="V843" s="393">
        <f t="shared" si="167"/>
        <v>0</v>
      </c>
      <c r="W843" s="393">
        <f t="shared" si="166"/>
        <v>0</v>
      </c>
      <c r="X843" s="393">
        <f t="shared" si="166"/>
        <v>0</v>
      </c>
    </row>
    <row r="844" spans="3:24" ht="14.1" customHeight="1">
      <c r="C844" s="704">
        <v>17</v>
      </c>
      <c r="D844" s="386"/>
      <c r="E844" s="706"/>
      <c r="F844" s="762"/>
      <c r="G844" s="393"/>
      <c r="H844" s="393"/>
      <c r="I844" s="393"/>
      <c r="J844" s="393"/>
      <c r="K844" s="393"/>
      <c r="L844" s="393"/>
      <c r="M844" s="393"/>
      <c r="N844" s="393"/>
      <c r="O844" s="393"/>
      <c r="P844" s="393"/>
      <c r="Q844" s="393"/>
      <c r="R844" s="393"/>
      <c r="S844" s="393"/>
      <c r="T844" s="393"/>
      <c r="U844" s="393"/>
      <c r="V844" s="393">
        <f t="shared" si="167"/>
        <v>0</v>
      </c>
      <c r="W844" s="393">
        <f t="shared" si="166"/>
        <v>0</v>
      </c>
      <c r="X844" s="393">
        <f t="shared" si="166"/>
        <v>0</v>
      </c>
    </row>
    <row r="845" spans="3:24" ht="14.1" customHeight="1">
      <c r="C845" s="704">
        <v>18</v>
      </c>
      <c r="D845" s="386"/>
      <c r="E845" s="706"/>
      <c r="F845" s="762"/>
      <c r="G845" s="393"/>
      <c r="H845" s="393"/>
      <c r="I845" s="393"/>
      <c r="J845" s="393"/>
      <c r="K845" s="393"/>
      <c r="L845" s="393"/>
      <c r="M845" s="393"/>
      <c r="N845" s="393"/>
      <c r="O845" s="393"/>
      <c r="P845" s="393"/>
      <c r="Q845" s="393"/>
      <c r="R845" s="393"/>
      <c r="S845" s="393"/>
      <c r="T845" s="393"/>
      <c r="U845" s="393"/>
      <c r="V845" s="393">
        <f t="shared" si="167"/>
        <v>0</v>
      </c>
      <c r="W845" s="393">
        <f t="shared" si="166"/>
        <v>0</v>
      </c>
      <c r="X845" s="393">
        <f t="shared" si="166"/>
        <v>0</v>
      </c>
    </row>
    <row r="846" spans="3:24" ht="14.1" customHeight="1">
      <c r="C846" s="704">
        <v>19</v>
      </c>
      <c r="D846" s="386"/>
      <c r="E846" s="706"/>
      <c r="F846" s="762"/>
      <c r="G846" s="393"/>
      <c r="H846" s="393"/>
      <c r="I846" s="393"/>
      <c r="J846" s="393"/>
      <c r="K846" s="393"/>
      <c r="L846" s="393"/>
      <c r="M846" s="393"/>
      <c r="N846" s="393"/>
      <c r="O846" s="393"/>
      <c r="P846" s="393"/>
      <c r="Q846" s="393"/>
      <c r="R846" s="393"/>
      <c r="S846" s="393"/>
      <c r="T846" s="393"/>
      <c r="U846" s="393"/>
      <c r="V846" s="393">
        <f t="shared" si="167"/>
        <v>0</v>
      </c>
      <c r="W846" s="393">
        <f t="shared" si="166"/>
        <v>0</v>
      </c>
      <c r="X846" s="393">
        <f t="shared" si="166"/>
        <v>0</v>
      </c>
    </row>
    <row r="847" spans="3:24" ht="14.1" customHeight="1" thickBot="1">
      <c r="C847" s="704">
        <v>20</v>
      </c>
      <c r="D847" s="387"/>
      <c r="E847" s="707"/>
      <c r="F847" s="762"/>
      <c r="G847" s="394"/>
      <c r="H847" s="394"/>
      <c r="I847" s="394"/>
      <c r="J847" s="394"/>
      <c r="K847" s="394"/>
      <c r="L847" s="394"/>
      <c r="M847" s="394"/>
      <c r="N847" s="394"/>
      <c r="O847" s="394"/>
      <c r="P847" s="394"/>
      <c r="Q847" s="394"/>
      <c r="R847" s="394"/>
      <c r="S847" s="394"/>
      <c r="T847" s="394"/>
      <c r="U847" s="394"/>
      <c r="V847" s="394">
        <f t="shared" si="167"/>
        <v>0</v>
      </c>
      <c r="W847" s="394">
        <f t="shared" si="166"/>
        <v>0</v>
      </c>
      <c r="X847" s="394">
        <f t="shared" si="166"/>
        <v>0</v>
      </c>
    </row>
    <row r="848" spans="3:24" ht="14.1" customHeight="1" thickBot="1">
      <c r="D848" s="736" t="s">
        <v>432</v>
      </c>
      <c r="E848" s="481"/>
      <c r="F848" s="480"/>
      <c r="G848" s="479">
        <f>SUM(G828:G847)</f>
        <v>0</v>
      </c>
      <c r="H848" s="479">
        <f t="shared" ref="H848:O848" si="168">SUM(H828:H847)</f>
        <v>0</v>
      </c>
      <c r="I848" s="479">
        <f t="shared" si="168"/>
        <v>0</v>
      </c>
      <c r="J848" s="479">
        <f t="shared" si="168"/>
        <v>0</v>
      </c>
      <c r="K848" s="479">
        <f t="shared" si="168"/>
        <v>0</v>
      </c>
      <c r="L848" s="479">
        <f t="shared" si="168"/>
        <v>0</v>
      </c>
      <c r="M848" s="479">
        <f t="shared" si="168"/>
        <v>0</v>
      </c>
      <c r="N848" s="479">
        <f t="shared" si="168"/>
        <v>0</v>
      </c>
      <c r="O848" s="479">
        <f t="shared" si="168"/>
        <v>0</v>
      </c>
      <c r="P848" s="479">
        <f>SUM(P828:P847)</f>
        <v>0</v>
      </c>
      <c r="Q848" s="479">
        <f t="shared" ref="Q848:X848" si="169">SUM(Q828:Q847)</f>
        <v>0</v>
      </c>
      <c r="R848" s="479">
        <f t="shared" si="169"/>
        <v>0</v>
      </c>
      <c r="S848" s="479">
        <f t="shared" si="169"/>
        <v>0</v>
      </c>
      <c r="T848" s="479">
        <f t="shared" si="169"/>
        <v>0</v>
      </c>
      <c r="U848" s="479">
        <f t="shared" si="169"/>
        <v>0</v>
      </c>
      <c r="V848" s="479">
        <f t="shared" si="169"/>
        <v>0</v>
      </c>
      <c r="W848" s="479">
        <f t="shared" si="169"/>
        <v>0</v>
      </c>
      <c r="X848" s="479">
        <f t="shared" si="169"/>
        <v>0</v>
      </c>
    </row>
    <row r="851" spans="3:27">
      <c r="C851" s="701" t="s">
        <v>2646</v>
      </c>
    </row>
    <row r="852" spans="3:27" ht="15.75" thickBot="1"/>
    <row r="853" spans="3:27" ht="15.75" customHeight="1" thickBot="1">
      <c r="E853" s="1660" t="s">
        <v>2642</v>
      </c>
      <c r="F853" s="1661"/>
      <c r="G853" s="1661"/>
      <c r="H853" s="1661"/>
      <c r="I853" s="1661"/>
      <c r="J853" s="1661"/>
      <c r="K853" s="1661"/>
      <c r="L853" s="1661"/>
      <c r="M853" s="1661"/>
      <c r="N853" s="1661"/>
      <c r="O853" s="1661"/>
      <c r="P853" s="1661"/>
      <c r="Q853" s="1661"/>
      <c r="R853" s="1662"/>
    </row>
    <row r="854" spans="3:27" ht="24.95" customHeight="1" thickBot="1">
      <c r="D854" s="1569"/>
      <c r="E854" s="1660" t="s">
        <v>1741</v>
      </c>
      <c r="F854" s="1662"/>
      <c r="G854" s="1660" t="s">
        <v>556</v>
      </c>
      <c r="H854" s="1661"/>
      <c r="I854" s="1662"/>
      <c r="J854" s="1660" t="s">
        <v>2639</v>
      </c>
      <c r="K854" s="1661"/>
      <c r="L854" s="1662"/>
      <c r="M854" s="1660" t="s">
        <v>2640</v>
      </c>
      <c r="N854" s="1661"/>
      <c r="O854" s="1662"/>
      <c r="P854" s="1660" t="s">
        <v>2641</v>
      </c>
      <c r="Q854" s="1661"/>
      <c r="R854" s="1662"/>
      <c r="S854" s="1660" t="s">
        <v>2643</v>
      </c>
      <c r="T854" s="1661"/>
      <c r="U854" s="1662"/>
      <c r="V854" s="1660" t="s">
        <v>2644</v>
      </c>
      <c r="W854" s="1661"/>
      <c r="X854" s="1662"/>
      <c r="Y854" s="1660" t="s">
        <v>2645</v>
      </c>
      <c r="Z854" s="1661"/>
      <c r="AA854" s="1662"/>
    </row>
    <row r="855" spans="3:27" ht="54.95" customHeight="1" thickBot="1">
      <c r="D855" s="1570"/>
      <c r="E855" s="739" t="s">
        <v>551</v>
      </c>
      <c r="F855" s="737" t="s">
        <v>552</v>
      </c>
      <c r="G855" s="739" t="s">
        <v>553</v>
      </c>
      <c r="H855" s="739" t="s">
        <v>554</v>
      </c>
      <c r="I855" s="739" t="s">
        <v>555</v>
      </c>
      <c r="J855" s="739" t="s">
        <v>553</v>
      </c>
      <c r="K855" s="739" t="s">
        <v>554</v>
      </c>
      <c r="L855" s="739" t="s">
        <v>555</v>
      </c>
      <c r="M855" s="739" t="s">
        <v>553</v>
      </c>
      <c r="N855" s="739" t="s">
        <v>554</v>
      </c>
      <c r="O855" s="739" t="s">
        <v>555</v>
      </c>
      <c r="P855" s="739" t="s">
        <v>553</v>
      </c>
      <c r="Q855" s="739" t="s">
        <v>554</v>
      </c>
      <c r="R855" s="739" t="s">
        <v>555</v>
      </c>
      <c r="S855" s="739" t="s">
        <v>553</v>
      </c>
      <c r="T855" s="739" t="s">
        <v>554</v>
      </c>
      <c r="U855" s="739" t="s">
        <v>555</v>
      </c>
      <c r="V855" s="739" t="s">
        <v>553</v>
      </c>
      <c r="W855" s="739" t="s">
        <v>554</v>
      </c>
      <c r="X855" s="739" t="s">
        <v>555</v>
      </c>
      <c r="Y855" s="739" t="s">
        <v>553</v>
      </c>
      <c r="Z855" s="739" t="s">
        <v>554</v>
      </c>
      <c r="AA855" s="739" t="s">
        <v>555</v>
      </c>
    </row>
    <row r="856" spans="3:27" ht="14.1" customHeight="1">
      <c r="C856" s="704">
        <v>1</v>
      </c>
      <c r="D856" s="384"/>
      <c r="E856" s="738"/>
      <c r="F856" s="762"/>
      <c r="G856" s="449"/>
      <c r="H856" s="449"/>
      <c r="I856" s="449"/>
      <c r="J856" s="449"/>
      <c r="K856" s="449"/>
      <c r="L856" s="449"/>
      <c r="M856" s="449"/>
      <c r="N856" s="449"/>
      <c r="O856" s="449"/>
      <c r="P856" s="449">
        <f>M856+J856+G856</f>
        <v>0</v>
      </c>
      <c r="Q856" s="449">
        <f t="shared" ref="Q856:R875" si="170">N856+K856+H856</f>
        <v>0</v>
      </c>
      <c r="R856" s="449">
        <f t="shared" si="170"/>
        <v>0</v>
      </c>
      <c r="S856" s="449"/>
      <c r="T856" s="449"/>
      <c r="U856" s="449"/>
      <c r="V856" s="449"/>
      <c r="W856" s="449"/>
      <c r="X856" s="449"/>
      <c r="Y856" s="449">
        <f>V856+S856+P856</f>
        <v>0</v>
      </c>
      <c r="Z856" s="449">
        <f t="shared" ref="Z856:AA875" si="171">W856+T856+Q856</f>
        <v>0</v>
      </c>
      <c r="AA856" s="449">
        <f t="shared" si="171"/>
        <v>0</v>
      </c>
    </row>
    <row r="857" spans="3:27" ht="14.1" customHeight="1">
      <c r="C857" s="704">
        <v>2</v>
      </c>
      <c r="D857" s="386"/>
      <c r="E857" s="705"/>
      <c r="F857" s="762"/>
      <c r="G857" s="393"/>
      <c r="H857" s="393"/>
      <c r="I857" s="393"/>
      <c r="J857" s="393"/>
      <c r="K857" s="393"/>
      <c r="L857" s="393"/>
      <c r="M857" s="393"/>
      <c r="N857" s="393"/>
      <c r="O857" s="393"/>
      <c r="P857" s="393">
        <f t="shared" ref="P857:P875" si="172">M857+J857+G857</f>
        <v>0</v>
      </c>
      <c r="Q857" s="393">
        <f t="shared" si="170"/>
        <v>0</v>
      </c>
      <c r="R857" s="393">
        <f t="shared" si="170"/>
        <v>0</v>
      </c>
      <c r="S857" s="393"/>
      <c r="T857" s="393"/>
      <c r="U857" s="393"/>
      <c r="V857" s="393"/>
      <c r="W857" s="393"/>
      <c r="X857" s="393"/>
      <c r="Y857" s="393">
        <f t="shared" ref="Y857:Y875" si="173">V857+S857+P857</f>
        <v>0</v>
      </c>
      <c r="Z857" s="393">
        <f t="shared" si="171"/>
        <v>0</v>
      </c>
      <c r="AA857" s="393">
        <f t="shared" si="171"/>
        <v>0</v>
      </c>
    </row>
    <row r="858" spans="3:27" ht="14.1" customHeight="1">
      <c r="C858" s="704">
        <v>3</v>
      </c>
      <c r="D858" s="386"/>
      <c r="E858" s="706"/>
      <c r="F858" s="762"/>
      <c r="G858" s="393"/>
      <c r="H858" s="393"/>
      <c r="I858" s="393"/>
      <c r="J858" s="393"/>
      <c r="K858" s="393"/>
      <c r="L858" s="393"/>
      <c r="M858" s="393"/>
      <c r="N858" s="393"/>
      <c r="O858" s="393"/>
      <c r="P858" s="393">
        <f t="shared" si="172"/>
        <v>0</v>
      </c>
      <c r="Q858" s="393">
        <f t="shared" si="170"/>
        <v>0</v>
      </c>
      <c r="R858" s="393">
        <f t="shared" si="170"/>
        <v>0</v>
      </c>
      <c r="S858" s="393"/>
      <c r="T858" s="393"/>
      <c r="U858" s="393"/>
      <c r="V858" s="393"/>
      <c r="W858" s="393"/>
      <c r="X858" s="393"/>
      <c r="Y858" s="393">
        <f t="shared" si="173"/>
        <v>0</v>
      </c>
      <c r="Z858" s="393">
        <f t="shared" si="171"/>
        <v>0</v>
      </c>
      <c r="AA858" s="393">
        <f t="shared" si="171"/>
        <v>0</v>
      </c>
    </row>
    <row r="859" spans="3:27" ht="14.1" customHeight="1">
      <c r="C859" s="704">
        <v>4</v>
      </c>
      <c r="D859" s="386"/>
      <c r="E859" s="706"/>
      <c r="F859" s="762"/>
      <c r="G859" s="393"/>
      <c r="H859" s="393"/>
      <c r="I859" s="393"/>
      <c r="J859" s="393"/>
      <c r="K859" s="393"/>
      <c r="L859" s="393"/>
      <c r="M859" s="393"/>
      <c r="N859" s="393"/>
      <c r="O859" s="393"/>
      <c r="P859" s="393">
        <f t="shared" si="172"/>
        <v>0</v>
      </c>
      <c r="Q859" s="393">
        <f t="shared" si="170"/>
        <v>0</v>
      </c>
      <c r="R859" s="393">
        <f t="shared" si="170"/>
        <v>0</v>
      </c>
      <c r="S859" s="393"/>
      <c r="T859" s="393"/>
      <c r="U859" s="393"/>
      <c r="V859" s="393"/>
      <c r="W859" s="393"/>
      <c r="X859" s="393"/>
      <c r="Y859" s="393">
        <f t="shared" si="173"/>
        <v>0</v>
      </c>
      <c r="Z859" s="393">
        <f t="shared" si="171"/>
        <v>0</v>
      </c>
      <c r="AA859" s="393">
        <f t="shared" si="171"/>
        <v>0</v>
      </c>
    </row>
    <row r="860" spans="3:27" ht="14.1" customHeight="1">
      <c r="C860" s="704">
        <v>5</v>
      </c>
      <c r="D860" s="386"/>
      <c r="E860" s="706"/>
      <c r="F860" s="762"/>
      <c r="G860" s="393"/>
      <c r="H860" s="393"/>
      <c r="I860" s="393"/>
      <c r="J860" s="393"/>
      <c r="K860" s="393"/>
      <c r="L860" s="393"/>
      <c r="M860" s="393"/>
      <c r="N860" s="393"/>
      <c r="O860" s="393"/>
      <c r="P860" s="393">
        <f t="shared" si="172"/>
        <v>0</v>
      </c>
      <c r="Q860" s="393">
        <f t="shared" si="170"/>
        <v>0</v>
      </c>
      <c r="R860" s="393">
        <f t="shared" si="170"/>
        <v>0</v>
      </c>
      <c r="S860" s="393"/>
      <c r="T860" s="393"/>
      <c r="U860" s="393"/>
      <c r="V860" s="393"/>
      <c r="W860" s="393"/>
      <c r="X860" s="393"/>
      <c r="Y860" s="393">
        <f t="shared" si="173"/>
        <v>0</v>
      </c>
      <c r="Z860" s="393">
        <f t="shared" si="171"/>
        <v>0</v>
      </c>
      <c r="AA860" s="393">
        <f t="shared" si="171"/>
        <v>0</v>
      </c>
    </row>
    <row r="861" spans="3:27" ht="14.1" customHeight="1">
      <c r="C861" s="704">
        <v>6</v>
      </c>
      <c r="D861" s="386"/>
      <c r="E861" s="706"/>
      <c r="F861" s="762"/>
      <c r="G861" s="393"/>
      <c r="H861" s="393"/>
      <c r="I861" s="393"/>
      <c r="J861" s="393"/>
      <c r="K861" s="393"/>
      <c r="L861" s="393"/>
      <c r="M861" s="393"/>
      <c r="N861" s="393"/>
      <c r="O861" s="393"/>
      <c r="P861" s="393">
        <f t="shared" si="172"/>
        <v>0</v>
      </c>
      <c r="Q861" s="393">
        <f t="shared" si="170"/>
        <v>0</v>
      </c>
      <c r="R861" s="393">
        <f t="shared" si="170"/>
        <v>0</v>
      </c>
      <c r="S861" s="393"/>
      <c r="T861" s="393"/>
      <c r="U861" s="393"/>
      <c r="V861" s="393"/>
      <c r="W861" s="393"/>
      <c r="X861" s="393"/>
      <c r="Y861" s="393">
        <f t="shared" si="173"/>
        <v>0</v>
      </c>
      <c r="Z861" s="393">
        <f t="shared" si="171"/>
        <v>0</v>
      </c>
      <c r="AA861" s="393">
        <f t="shared" si="171"/>
        <v>0</v>
      </c>
    </row>
    <row r="862" spans="3:27" ht="14.1" customHeight="1">
      <c r="C862" s="704">
        <v>7</v>
      </c>
      <c r="D862" s="386"/>
      <c r="E862" s="706"/>
      <c r="F862" s="762"/>
      <c r="G862" s="393"/>
      <c r="H862" s="393"/>
      <c r="I862" s="393"/>
      <c r="J862" s="393"/>
      <c r="K862" s="393"/>
      <c r="L862" s="393"/>
      <c r="M862" s="393"/>
      <c r="N862" s="393"/>
      <c r="O862" s="393"/>
      <c r="P862" s="393">
        <f t="shared" si="172"/>
        <v>0</v>
      </c>
      <c r="Q862" s="393">
        <f t="shared" si="170"/>
        <v>0</v>
      </c>
      <c r="R862" s="393">
        <f t="shared" si="170"/>
        <v>0</v>
      </c>
      <c r="S862" s="393"/>
      <c r="T862" s="393"/>
      <c r="U862" s="393"/>
      <c r="V862" s="393"/>
      <c r="W862" s="393"/>
      <c r="X862" s="393"/>
      <c r="Y862" s="393">
        <f t="shared" si="173"/>
        <v>0</v>
      </c>
      <c r="Z862" s="393">
        <f t="shared" si="171"/>
        <v>0</v>
      </c>
      <c r="AA862" s="393">
        <f t="shared" si="171"/>
        <v>0</v>
      </c>
    </row>
    <row r="863" spans="3:27" ht="14.1" customHeight="1">
      <c r="C863" s="704">
        <v>8</v>
      </c>
      <c r="D863" s="386"/>
      <c r="E863" s="706"/>
      <c r="F863" s="762"/>
      <c r="G863" s="393"/>
      <c r="H863" s="393"/>
      <c r="I863" s="393"/>
      <c r="J863" s="393"/>
      <c r="K863" s="393"/>
      <c r="L863" s="393"/>
      <c r="M863" s="393"/>
      <c r="N863" s="393"/>
      <c r="O863" s="393"/>
      <c r="P863" s="393">
        <f t="shared" si="172"/>
        <v>0</v>
      </c>
      <c r="Q863" s="393">
        <f t="shared" si="170"/>
        <v>0</v>
      </c>
      <c r="R863" s="393">
        <f t="shared" si="170"/>
        <v>0</v>
      </c>
      <c r="S863" s="393"/>
      <c r="T863" s="393"/>
      <c r="U863" s="393"/>
      <c r="V863" s="393"/>
      <c r="W863" s="393"/>
      <c r="X863" s="393"/>
      <c r="Y863" s="393">
        <f t="shared" si="173"/>
        <v>0</v>
      </c>
      <c r="Z863" s="393">
        <f t="shared" si="171"/>
        <v>0</v>
      </c>
      <c r="AA863" s="393">
        <f t="shared" si="171"/>
        <v>0</v>
      </c>
    </row>
    <row r="864" spans="3:27" ht="14.1" customHeight="1">
      <c r="C864" s="704">
        <v>9</v>
      </c>
      <c r="D864" s="386"/>
      <c r="E864" s="706"/>
      <c r="F864" s="762"/>
      <c r="G864" s="393"/>
      <c r="H864" s="393"/>
      <c r="I864" s="393"/>
      <c r="J864" s="393"/>
      <c r="K864" s="393"/>
      <c r="L864" s="393"/>
      <c r="M864" s="393"/>
      <c r="N864" s="393"/>
      <c r="O864" s="393"/>
      <c r="P864" s="393">
        <f t="shared" si="172"/>
        <v>0</v>
      </c>
      <c r="Q864" s="393">
        <f t="shared" si="170"/>
        <v>0</v>
      </c>
      <c r="R864" s="393">
        <f t="shared" si="170"/>
        <v>0</v>
      </c>
      <c r="S864" s="393"/>
      <c r="T864" s="393"/>
      <c r="U864" s="393"/>
      <c r="V864" s="393"/>
      <c r="W864" s="393"/>
      <c r="X864" s="393"/>
      <c r="Y864" s="393">
        <f t="shared" si="173"/>
        <v>0</v>
      </c>
      <c r="Z864" s="393">
        <f t="shared" si="171"/>
        <v>0</v>
      </c>
      <c r="AA864" s="393">
        <f t="shared" si="171"/>
        <v>0</v>
      </c>
    </row>
    <row r="865" spans="3:27" ht="14.1" customHeight="1">
      <c r="C865" s="704">
        <v>10</v>
      </c>
      <c r="D865" s="386"/>
      <c r="E865" s="706"/>
      <c r="F865" s="762"/>
      <c r="G865" s="393"/>
      <c r="H865" s="393"/>
      <c r="I865" s="393"/>
      <c r="J865" s="393"/>
      <c r="K865" s="393"/>
      <c r="L865" s="393"/>
      <c r="M865" s="393"/>
      <c r="N865" s="393"/>
      <c r="O865" s="393"/>
      <c r="P865" s="393">
        <f t="shared" si="172"/>
        <v>0</v>
      </c>
      <c r="Q865" s="393">
        <f t="shared" si="170"/>
        <v>0</v>
      </c>
      <c r="R865" s="393">
        <f t="shared" si="170"/>
        <v>0</v>
      </c>
      <c r="S865" s="393"/>
      <c r="T865" s="393"/>
      <c r="U865" s="393"/>
      <c r="V865" s="393"/>
      <c r="W865" s="393"/>
      <c r="X865" s="393"/>
      <c r="Y865" s="393">
        <f t="shared" si="173"/>
        <v>0</v>
      </c>
      <c r="Z865" s="393">
        <f t="shared" si="171"/>
        <v>0</v>
      </c>
      <c r="AA865" s="393">
        <f t="shared" si="171"/>
        <v>0</v>
      </c>
    </row>
    <row r="866" spans="3:27" ht="14.1" customHeight="1">
      <c r="C866" s="704">
        <v>11</v>
      </c>
      <c r="D866" s="386"/>
      <c r="E866" s="706"/>
      <c r="F866" s="762"/>
      <c r="G866" s="393"/>
      <c r="H866" s="393"/>
      <c r="I866" s="393"/>
      <c r="J866" s="393"/>
      <c r="K866" s="393"/>
      <c r="L866" s="393"/>
      <c r="M866" s="393"/>
      <c r="N866" s="393"/>
      <c r="O866" s="393"/>
      <c r="P866" s="393">
        <f t="shared" si="172"/>
        <v>0</v>
      </c>
      <c r="Q866" s="393">
        <f t="shared" si="170"/>
        <v>0</v>
      </c>
      <c r="R866" s="393">
        <f t="shared" si="170"/>
        <v>0</v>
      </c>
      <c r="S866" s="393"/>
      <c r="T866" s="393"/>
      <c r="U866" s="393"/>
      <c r="V866" s="393"/>
      <c r="W866" s="393"/>
      <c r="X866" s="393"/>
      <c r="Y866" s="393">
        <f t="shared" si="173"/>
        <v>0</v>
      </c>
      <c r="Z866" s="393">
        <f t="shared" si="171"/>
        <v>0</v>
      </c>
      <c r="AA866" s="393">
        <f t="shared" si="171"/>
        <v>0</v>
      </c>
    </row>
    <row r="867" spans="3:27" ht="14.1" customHeight="1">
      <c r="C867" s="704">
        <v>12</v>
      </c>
      <c r="D867" s="386"/>
      <c r="E867" s="706"/>
      <c r="F867" s="762"/>
      <c r="G867" s="393"/>
      <c r="H867" s="393"/>
      <c r="I867" s="393"/>
      <c r="J867" s="393"/>
      <c r="K867" s="393"/>
      <c r="L867" s="393"/>
      <c r="M867" s="393"/>
      <c r="N867" s="393"/>
      <c r="O867" s="393"/>
      <c r="P867" s="393">
        <f t="shared" si="172"/>
        <v>0</v>
      </c>
      <c r="Q867" s="393">
        <f t="shared" si="170"/>
        <v>0</v>
      </c>
      <c r="R867" s="393">
        <f t="shared" si="170"/>
        <v>0</v>
      </c>
      <c r="S867" s="393"/>
      <c r="T867" s="393"/>
      <c r="U867" s="393"/>
      <c r="V867" s="393"/>
      <c r="W867" s="393"/>
      <c r="X867" s="393"/>
      <c r="Y867" s="393">
        <f t="shared" si="173"/>
        <v>0</v>
      </c>
      <c r="Z867" s="393">
        <f t="shared" si="171"/>
        <v>0</v>
      </c>
      <c r="AA867" s="393">
        <f t="shared" si="171"/>
        <v>0</v>
      </c>
    </row>
    <row r="868" spans="3:27" ht="14.1" customHeight="1">
      <c r="C868" s="704">
        <v>13</v>
      </c>
      <c r="D868" s="386"/>
      <c r="E868" s="706"/>
      <c r="F868" s="762"/>
      <c r="G868" s="393"/>
      <c r="H868" s="393"/>
      <c r="I868" s="393"/>
      <c r="J868" s="393"/>
      <c r="K868" s="393"/>
      <c r="L868" s="393"/>
      <c r="M868" s="393"/>
      <c r="N868" s="393"/>
      <c r="O868" s="393"/>
      <c r="P868" s="393">
        <f t="shared" si="172"/>
        <v>0</v>
      </c>
      <c r="Q868" s="393">
        <f t="shared" si="170"/>
        <v>0</v>
      </c>
      <c r="R868" s="393">
        <f t="shared" si="170"/>
        <v>0</v>
      </c>
      <c r="S868" s="393"/>
      <c r="T868" s="393"/>
      <c r="U868" s="393"/>
      <c r="V868" s="393"/>
      <c r="W868" s="393"/>
      <c r="X868" s="393"/>
      <c r="Y868" s="393">
        <f t="shared" si="173"/>
        <v>0</v>
      </c>
      <c r="Z868" s="393">
        <f t="shared" si="171"/>
        <v>0</v>
      </c>
      <c r="AA868" s="393">
        <f t="shared" si="171"/>
        <v>0</v>
      </c>
    </row>
    <row r="869" spans="3:27" ht="14.1" customHeight="1">
      <c r="C869" s="704">
        <v>14</v>
      </c>
      <c r="D869" s="386"/>
      <c r="E869" s="706"/>
      <c r="F869" s="762"/>
      <c r="G869" s="393"/>
      <c r="H869" s="393"/>
      <c r="I869" s="393"/>
      <c r="J869" s="393"/>
      <c r="K869" s="393"/>
      <c r="L869" s="393"/>
      <c r="M869" s="393"/>
      <c r="N869" s="393"/>
      <c r="O869" s="393"/>
      <c r="P869" s="393">
        <f t="shared" si="172"/>
        <v>0</v>
      </c>
      <c r="Q869" s="393">
        <f t="shared" si="170"/>
        <v>0</v>
      </c>
      <c r="R869" s="393">
        <f t="shared" si="170"/>
        <v>0</v>
      </c>
      <c r="S869" s="393"/>
      <c r="T869" s="393"/>
      <c r="U869" s="393"/>
      <c r="V869" s="393"/>
      <c r="W869" s="393"/>
      <c r="X869" s="393"/>
      <c r="Y869" s="393">
        <f t="shared" si="173"/>
        <v>0</v>
      </c>
      <c r="Z869" s="393">
        <f t="shared" si="171"/>
        <v>0</v>
      </c>
      <c r="AA869" s="393">
        <f t="shared" si="171"/>
        <v>0</v>
      </c>
    </row>
    <row r="870" spans="3:27" ht="14.1" customHeight="1">
      <c r="C870" s="704">
        <v>15</v>
      </c>
      <c r="D870" s="386"/>
      <c r="E870" s="706"/>
      <c r="F870" s="762"/>
      <c r="G870" s="393"/>
      <c r="H870" s="393"/>
      <c r="I870" s="393"/>
      <c r="J870" s="393"/>
      <c r="K870" s="393"/>
      <c r="L870" s="393"/>
      <c r="M870" s="393"/>
      <c r="N870" s="393"/>
      <c r="O870" s="393"/>
      <c r="P870" s="393">
        <f t="shared" si="172"/>
        <v>0</v>
      </c>
      <c r="Q870" s="393">
        <f t="shared" si="170"/>
        <v>0</v>
      </c>
      <c r="R870" s="393">
        <f t="shared" si="170"/>
        <v>0</v>
      </c>
      <c r="S870" s="393"/>
      <c r="T870" s="393"/>
      <c r="U870" s="393"/>
      <c r="V870" s="393"/>
      <c r="W870" s="393"/>
      <c r="X870" s="393"/>
      <c r="Y870" s="393">
        <f t="shared" si="173"/>
        <v>0</v>
      </c>
      <c r="Z870" s="393">
        <f t="shared" si="171"/>
        <v>0</v>
      </c>
      <c r="AA870" s="393">
        <f t="shared" si="171"/>
        <v>0</v>
      </c>
    </row>
    <row r="871" spans="3:27" ht="14.1" customHeight="1">
      <c r="C871" s="704">
        <v>16</v>
      </c>
      <c r="D871" s="386"/>
      <c r="E871" s="706"/>
      <c r="F871" s="762"/>
      <c r="G871" s="393"/>
      <c r="H871" s="393"/>
      <c r="I871" s="393"/>
      <c r="J871" s="393"/>
      <c r="K871" s="393"/>
      <c r="L871" s="393"/>
      <c r="M871" s="393"/>
      <c r="N871" s="393"/>
      <c r="O871" s="393"/>
      <c r="P871" s="393">
        <f t="shared" si="172"/>
        <v>0</v>
      </c>
      <c r="Q871" s="393">
        <f t="shared" si="170"/>
        <v>0</v>
      </c>
      <c r="R871" s="393">
        <f t="shared" si="170"/>
        <v>0</v>
      </c>
      <c r="S871" s="393"/>
      <c r="T871" s="393"/>
      <c r="U871" s="393"/>
      <c r="V871" s="393"/>
      <c r="W871" s="393"/>
      <c r="X871" s="393"/>
      <c r="Y871" s="393">
        <f t="shared" si="173"/>
        <v>0</v>
      </c>
      <c r="Z871" s="393">
        <f t="shared" si="171"/>
        <v>0</v>
      </c>
      <c r="AA871" s="393">
        <f t="shared" si="171"/>
        <v>0</v>
      </c>
    </row>
    <row r="872" spans="3:27" ht="14.1" customHeight="1">
      <c r="C872" s="704">
        <v>17</v>
      </c>
      <c r="D872" s="386"/>
      <c r="E872" s="706"/>
      <c r="F872" s="762"/>
      <c r="G872" s="393"/>
      <c r="H872" s="393"/>
      <c r="I872" s="393"/>
      <c r="J872" s="393"/>
      <c r="K872" s="393"/>
      <c r="L872" s="393"/>
      <c r="M872" s="393"/>
      <c r="N872" s="393"/>
      <c r="O872" s="393"/>
      <c r="P872" s="393">
        <f t="shared" si="172"/>
        <v>0</v>
      </c>
      <c r="Q872" s="393">
        <f t="shared" si="170"/>
        <v>0</v>
      </c>
      <c r="R872" s="393">
        <f t="shared" si="170"/>
        <v>0</v>
      </c>
      <c r="S872" s="393"/>
      <c r="T872" s="393"/>
      <c r="U872" s="393"/>
      <c r="V872" s="393"/>
      <c r="W872" s="393"/>
      <c r="X872" s="393"/>
      <c r="Y872" s="393">
        <f t="shared" si="173"/>
        <v>0</v>
      </c>
      <c r="Z872" s="393">
        <f t="shared" si="171"/>
        <v>0</v>
      </c>
      <c r="AA872" s="393">
        <f t="shared" si="171"/>
        <v>0</v>
      </c>
    </row>
    <row r="873" spans="3:27" ht="14.1" customHeight="1">
      <c r="C873" s="704">
        <v>18</v>
      </c>
      <c r="D873" s="386"/>
      <c r="E873" s="706"/>
      <c r="F873" s="762"/>
      <c r="G873" s="393"/>
      <c r="H873" s="393"/>
      <c r="I873" s="393"/>
      <c r="J873" s="393"/>
      <c r="K873" s="393"/>
      <c r="L873" s="393"/>
      <c r="M873" s="393"/>
      <c r="N873" s="393"/>
      <c r="O873" s="393"/>
      <c r="P873" s="393">
        <f t="shared" si="172"/>
        <v>0</v>
      </c>
      <c r="Q873" s="393">
        <f t="shared" si="170"/>
        <v>0</v>
      </c>
      <c r="R873" s="393">
        <f t="shared" si="170"/>
        <v>0</v>
      </c>
      <c r="S873" s="393"/>
      <c r="T873" s="393"/>
      <c r="U873" s="393"/>
      <c r="V873" s="393"/>
      <c r="W873" s="393"/>
      <c r="X873" s="393"/>
      <c r="Y873" s="393">
        <f t="shared" si="173"/>
        <v>0</v>
      </c>
      <c r="Z873" s="393">
        <f t="shared" si="171"/>
        <v>0</v>
      </c>
      <c r="AA873" s="393">
        <f t="shared" si="171"/>
        <v>0</v>
      </c>
    </row>
    <row r="874" spans="3:27" ht="14.1" customHeight="1">
      <c r="C874" s="704">
        <v>19</v>
      </c>
      <c r="D874" s="386"/>
      <c r="E874" s="706"/>
      <c r="F874" s="762"/>
      <c r="G874" s="393"/>
      <c r="H874" s="393"/>
      <c r="I874" s="393"/>
      <c r="J874" s="393"/>
      <c r="K874" s="393"/>
      <c r="L874" s="393"/>
      <c r="M874" s="393"/>
      <c r="N874" s="393"/>
      <c r="O874" s="393"/>
      <c r="P874" s="393">
        <f t="shared" si="172"/>
        <v>0</v>
      </c>
      <c r="Q874" s="393">
        <f t="shared" si="170"/>
        <v>0</v>
      </c>
      <c r="R874" s="393">
        <f t="shared" si="170"/>
        <v>0</v>
      </c>
      <c r="S874" s="393"/>
      <c r="T874" s="393"/>
      <c r="U874" s="393"/>
      <c r="V874" s="393"/>
      <c r="W874" s="393"/>
      <c r="X874" s="393"/>
      <c r="Y874" s="393">
        <f t="shared" si="173"/>
        <v>0</v>
      </c>
      <c r="Z874" s="393">
        <f t="shared" si="171"/>
        <v>0</v>
      </c>
      <c r="AA874" s="393">
        <f t="shared" si="171"/>
        <v>0</v>
      </c>
    </row>
    <row r="875" spans="3:27" ht="14.1" customHeight="1" thickBot="1">
      <c r="C875" s="704">
        <v>20</v>
      </c>
      <c r="D875" s="387"/>
      <c r="E875" s="707"/>
      <c r="F875" s="762"/>
      <c r="G875" s="394"/>
      <c r="H875" s="394"/>
      <c r="I875" s="394"/>
      <c r="J875" s="394"/>
      <c r="K875" s="394"/>
      <c r="L875" s="394"/>
      <c r="M875" s="394"/>
      <c r="N875" s="394"/>
      <c r="O875" s="394"/>
      <c r="P875" s="394">
        <f t="shared" si="172"/>
        <v>0</v>
      </c>
      <c r="Q875" s="394">
        <f t="shared" si="170"/>
        <v>0</v>
      </c>
      <c r="R875" s="394">
        <f t="shared" si="170"/>
        <v>0</v>
      </c>
      <c r="S875" s="394"/>
      <c r="T875" s="394"/>
      <c r="U875" s="394"/>
      <c r="V875" s="394"/>
      <c r="W875" s="394"/>
      <c r="X875" s="394"/>
      <c r="Y875" s="394">
        <f t="shared" si="173"/>
        <v>0</v>
      </c>
      <c r="Z875" s="394">
        <f t="shared" si="171"/>
        <v>0</v>
      </c>
      <c r="AA875" s="394">
        <f t="shared" si="171"/>
        <v>0</v>
      </c>
    </row>
    <row r="876" spans="3:27" ht="14.1" customHeight="1" thickBot="1">
      <c r="D876" s="736" t="s">
        <v>432</v>
      </c>
      <c r="E876" s="481"/>
      <c r="F876" s="480"/>
      <c r="G876" s="479">
        <f>SUM(G856:G875)</f>
        <v>0</v>
      </c>
      <c r="H876" s="479">
        <f t="shared" ref="H876:O876" si="174">SUM(H856:H875)</f>
        <v>0</v>
      </c>
      <c r="I876" s="479">
        <f t="shared" si="174"/>
        <v>0</v>
      </c>
      <c r="J876" s="479">
        <f t="shared" si="174"/>
        <v>0</v>
      </c>
      <c r="K876" s="479">
        <f t="shared" si="174"/>
        <v>0</v>
      </c>
      <c r="L876" s="479">
        <f t="shared" si="174"/>
        <v>0</v>
      </c>
      <c r="M876" s="479">
        <f t="shared" si="174"/>
        <v>0</v>
      </c>
      <c r="N876" s="479">
        <f t="shared" si="174"/>
        <v>0</v>
      </c>
      <c r="O876" s="479">
        <f t="shared" si="174"/>
        <v>0</v>
      </c>
      <c r="P876" s="479">
        <f>SUM(P856:P875)</f>
        <v>0</v>
      </c>
      <c r="Q876" s="479">
        <f t="shared" ref="Q876:AA876" si="175">SUM(Q856:Q875)</f>
        <v>0</v>
      </c>
      <c r="R876" s="479">
        <f t="shared" si="175"/>
        <v>0</v>
      </c>
      <c r="S876" s="479">
        <f t="shared" si="175"/>
        <v>0</v>
      </c>
      <c r="T876" s="479">
        <f t="shared" si="175"/>
        <v>0</v>
      </c>
      <c r="U876" s="479">
        <f t="shared" si="175"/>
        <v>0</v>
      </c>
      <c r="V876" s="479">
        <f t="shared" si="175"/>
        <v>0</v>
      </c>
      <c r="W876" s="479">
        <f t="shared" si="175"/>
        <v>0</v>
      </c>
      <c r="X876" s="479">
        <f t="shared" si="175"/>
        <v>0</v>
      </c>
      <c r="Y876" s="479">
        <f t="shared" si="175"/>
        <v>0</v>
      </c>
      <c r="Z876" s="479">
        <f t="shared" si="175"/>
        <v>0</v>
      </c>
      <c r="AA876" s="479">
        <f t="shared" si="175"/>
        <v>0</v>
      </c>
    </row>
    <row r="879" spans="3:27">
      <c r="C879" s="701" t="s">
        <v>2647</v>
      </c>
    </row>
    <row r="880" spans="3:27" ht="15.75" thickBot="1"/>
    <row r="881" spans="3:21" ht="15.75" customHeight="1" thickBot="1">
      <c r="D881" s="1569"/>
      <c r="E881" s="1660" t="s">
        <v>1741</v>
      </c>
      <c r="F881" s="1662"/>
      <c r="G881" s="1660" t="s">
        <v>2648</v>
      </c>
      <c r="H881" s="1661"/>
      <c r="I881" s="1662"/>
      <c r="J881" s="1660" t="s">
        <v>2649</v>
      </c>
      <c r="K881" s="1661"/>
      <c r="L881" s="1662"/>
      <c r="M881" s="1660" t="s">
        <v>2650</v>
      </c>
      <c r="N881" s="1661"/>
      <c r="O881" s="1662"/>
      <c r="P881" s="1660" t="s">
        <v>2651</v>
      </c>
      <c r="Q881" s="1661"/>
      <c r="R881" s="1662"/>
      <c r="S881" s="1706" t="s">
        <v>2652</v>
      </c>
      <c r="T881" s="1707"/>
      <c r="U881" s="1708"/>
    </row>
    <row r="882" spans="3:21" ht="54.95" customHeight="1" thickBot="1">
      <c r="D882" s="1570"/>
      <c r="E882" s="739" t="s">
        <v>551</v>
      </c>
      <c r="F882" s="737" t="s">
        <v>552</v>
      </c>
      <c r="G882" s="739" t="s">
        <v>553</v>
      </c>
      <c r="H882" s="739" t="s">
        <v>554</v>
      </c>
      <c r="I882" s="739" t="s">
        <v>555</v>
      </c>
      <c r="J882" s="739" t="s">
        <v>553</v>
      </c>
      <c r="K882" s="739" t="s">
        <v>554</v>
      </c>
      <c r="L882" s="739" t="s">
        <v>555</v>
      </c>
      <c r="M882" s="739" t="s">
        <v>553</v>
      </c>
      <c r="N882" s="739" t="s">
        <v>554</v>
      </c>
      <c r="O882" s="739" t="s">
        <v>555</v>
      </c>
      <c r="P882" s="739" t="s">
        <v>553</v>
      </c>
      <c r="Q882" s="739" t="s">
        <v>554</v>
      </c>
      <c r="R882" s="739" t="s">
        <v>555</v>
      </c>
      <c r="S882" s="739" t="s">
        <v>553</v>
      </c>
      <c r="T882" s="739" t="s">
        <v>554</v>
      </c>
      <c r="U882" s="739" t="s">
        <v>555</v>
      </c>
    </row>
    <row r="883" spans="3:21" ht="14.1" customHeight="1">
      <c r="C883" s="704">
        <v>1</v>
      </c>
      <c r="D883" s="384"/>
      <c r="E883" s="738"/>
      <c r="F883" s="762"/>
      <c r="G883" s="449"/>
      <c r="H883" s="449"/>
      <c r="I883" s="449"/>
      <c r="J883" s="449"/>
      <c r="K883" s="449"/>
      <c r="L883" s="449"/>
      <c r="M883" s="449"/>
      <c r="N883" s="449"/>
      <c r="O883" s="449"/>
      <c r="P883" s="449"/>
      <c r="Q883" s="449"/>
      <c r="R883" s="449"/>
      <c r="S883" s="449">
        <f>G883+J883+M883-P883</f>
        <v>0</v>
      </c>
      <c r="T883" s="449">
        <f t="shared" ref="T883:U902" si="176">H883+K883+N883-Q883</f>
        <v>0</v>
      </c>
      <c r="U883" s="449">
        <f t="shared" si="176"/>
        <v>0</v>
      </c>
    </row>
    <row r="884" spans="3:21" ht="14.1" customHeight="1">
      <c r="C884" s="704">
        <v>2</v>
      </c>
      <c r="D884" s="386"/>
      <c r="E884" s="705"/>
      <c r="F884" s="762"/>
      <c r="G884" s="393"/>
      <c r="H884" s="393"/>
      <c r="I884" s="393"/>
      <c r="J884" s="393"/>
      <c r="K884" s="393"/>
      <c r="L884" s="393"/>
      <c r="M884" s="393"/>
      <c r="N884" s="393"/>
      <c r="O884" s="393"/>
      <c r="P884" s="393"/>
      <c r="Q884" s="393"/>
      <c r="R884" s="393"/>
      <c r="S884" s="393">
        <f t="shared" ref="S884:S902" si="177">G884+J884+M884-P884</f>
        <v>0</v>
      </c>
      <c r="T884" s="393">
        <f t="shared" si="176"/>
        <v>0</v>
      </c>
      <c r="U884" s="393">
        <f t="shared" si="176"/>
        <v>0</v>
      </c>
    </row>
    <row r="885" spans="3:21" ht="14.1" customHeight="1">
      <c r="C885" s="704">
        <v>3</v>
      </c>
      <c r="D885" s="386"/>
      <c r="E885" s="706"/>
      <c r="F885" s="762"/>
      <c r="G885" s="393"/>
      <c r="H885" s="393"/>
      <c r="I885" s="393"/>
      <c r="J885" s="393"/>
      <c r="K885" s="393"/>
      <c r="L885" s="393"/>
      <c r="M885" s="393"/>
      <c r="N885" s="393"/>
      <c r="O885" s="393"/>
      <c r="P885" s="393"/>
      <c r="Q885" s="393"/>
      <c r="R885" s="393"/>
      <c r="S885" s="393">
        <f t="shared" si="177"/>
        <v>0</v>
      </c>
      <c r="T885" s="393">
        <f t="shared" si="176"/>
        <v>0</v>
      </c>
      <c r="U885" s="393">
        <f t="shared" si="176"/>
        <v>0</v>
      </c>
    </row>
    <row r="886" spans="3:21" ht="14.1" customHeight="1">
      <c r="C886" s="704">
        <v>4</v>
      </c>
      <c r="D886" s="386"/>
      <c r="E886" s="706"/>
      <c r="F886" s="762"/>
      <c r="G886" s="393"/>
      <c r="H886" s="393"/>
      <c r="I886" s="393"/>
      <c r="J886" s="393"/>
      <c r="K886" s="393"/>
      <c r="L886" s="393"/>
      <c r="M886" s="393"/>
      <c r="N886" s="393"/>
      <c r="O886" s="393"/>
      <c r="P886" s="393"/>
      <c r="Q886" s="393"/>
      <c r="R886" s="393"/>
      <c r="S886" s="393">
        <f t="shared" si="177"/>
        <v>0</v>
      </c>
      <c r="T886" s="393">
        <f t="shared" si="176"/>
        <v>0</v>
      </c>
      <c r="U886" s="393">
        <f t="shared" si="176"/>
        <v>0</v>
      </c>
    </row>
    <row r="887" spans="3:21" ht="14.1" customHeight="1">
      <c r="C887" s="704">
        <v>5</v>
      </c>
      <c r="D887" s="386"/>
      <c r="E887" s="706"/>
      <c r="F887" s="762"/>
      <c r="G887" s="393"/>
      <c r="H887" s="393"/>
      <c r="I887" s="393"/>
      <c r="J887" s="393"/>
      <c r="K887" s="393"/>
      <c r="L887" s="393"/>
      <c r="M887" s="393"/>
      <c r="N887" s="393"/>
      <c r="O887" s="393"/>
      <c r="P887" s="393"/>
      <c r="Q887" s="393"/>
      <c r="R887" s="393"/>
      <c r="S887" s="393">
        <f t="shared" si="177"/>
        <v>0</v>
      </c>
      <c r="T887" s="393">
        <f>H887+K887+N887-Q887</f>
        <v>0</v>
      </c>
      <c r="U887" s="393">
        <f t="shared" si="176"/>
        <v>0</v>
      </c>
    </row>
    <row r="888" spans="3:21" ht="14.1" customHeight="1">
      <c r="C888" s="704">
        <v>6</v>
      </c>
      <c r="D888" s="386"/>
      <c r="E888" s="706"/>
      <c r="F888" s="762"/>
      <c r="G888" s="393"/>
      <c r="H888" s="393"/>
      <c r="I888" s="393"/>
      <c r="J888" s="393"/>
      <c r="K888" s="393"/>
      <c r="L888" s="393"/>
      <c r="M888" s="393"/>
      <c r="N888" s="393"/>
      <c r="O888" s="393"/>
      <c r="P888" s="393"/>
      <c r="Q888" s="393"/>
      <c r="R888" s="393"/>
      <c r="S888" s="393">
        <f t="shared" si="177"/>
        <v>0</v>
      </c>
      <c r="T888" s="393">
        <f t="shared" si="176"/>
        <v>0</v>
      </c>
      <c r="U888" s="393">
        <f t="shared" si="176"/>
        <v>0</v>
      </c>
    </row>
    <row r="889" spans="3:21" ht="14.1" customHeight="1">
      <c r="C889" s="704">
        <v>7</v>
      </c>
      <c r="D889" s="386"/>
      <c r="E889" s="706"/>
      <c r="F889" s="762"/>
      <c r="G889" s="393"/>
      <c r="H889" s="393"/>
      <c r="I889" s="393"/>
      <c r="J889" s="393"/>
      <c r="K889" s="393"/>
      <c r="L889" s="393"/>
      <c r="M889" s="393"/>
      <c r="N889" s="393"/>
      <c r="O889" s="393"/>
      <c r="P889" s="393"/>
      <c r="Q889" s="393"/>
      <c r="R889" s="393"/>
      <c r="S889" s="393">
        <f t="shared" si="177"/>
        <v>0</v>
      </c>
      <c r="T889" s="393">
        <f t="shared" si="176"/>
        <v>0</v>
      </c>
      <c r="U889" s="393">
        <f t="shared" si="176"/>
        <v>0</v>
      </c>
    </row>
    <row r="890" spans="3:21" ht="14.1" customHeight="1">
      <c r="C890" s="704">
        <v>8</v>
      </c>
      <c r="D890" s="386"/>
      <c r="E890" s="706"/>
      <c r="F890" s="762"/>
      <c r="G890" s="393"/>
      <c r="H890" s="393"/>
      <c r="I890" s="393"/>
      <c r="J890" s="393"/>
      <c r="K890" s="393"/>
      <c r="L890" s="393"/>
      <c r="M890" s="393"/>
      <c r="N890" s="393"/>
      <c r="O890" s="393"/>
      <c r="P890" s="393"/>
      <c r="Q890" s="393"/>
      <c r="R890" s="393"/>
      <c r="S890" s="393">
        <f t="shared" si="177"/>
        <v>0</v>
      </c>
      <c r="T890" s="393">
        <f t="shared" si="176"/>
        <v>0</v>
      </c>
      <c r="U890" s="393">
        <f t="shared" si="176"/>
        <v>0</v>
      </c>
    </row>
    <row r="891" spans="3:21" ht="14.1" customHeight="1">
      <c r="C891" s="704">
        <v>9</v>
      </c>
      <c r="D891" s="386"/>
      <c r="E891" s="706"/>
      <c r="F891" s="762"/>
      <c r="G891" s="393"/>
      <c r="H891" s="393"/>
      <c r="I891" s="393"/>
      <c r="J891" s="393"/>
      <c r="K891" s="393"/>
      <c r="L891" s="393"/>
      <c r="M891" s="393"/>
      <c r="N891" s="393"/>
      <c r="O891" s="393"/>
      <c r="P891" s="393"/>
      <c r="Q891" s="393"/>
      <c r="R891" s="393"/>
      <c r="S891" s="393">
        <f t="shared" si="177"/>
        <v>0</v>
      </c>
      <c r="T891" s="393">
        <f t="shared" si="176"/>
        <v>0</v>
      </c>
      <c r="U891" s="393">
        <f t="shared" si="176"/>
        <v>0</v>
      </c>
    </row>
    <row r="892" spans="3:21" ht="14.1" customHeight="1">
      <c r="C892" s="704">
        <v>10</v>
      </c>
      <c r="D892" s="386"/>
      <c r="E892" s="706"/>
      <c r="F892" s="762"/>
      <c r="G892" s="393"/>
      <c r="H892" s="393"/>
      <c r="I892" s="393"/>
      <c r="J892" s="393"/>
      <c r="K892" s="393"/>
      <c r="L892" s="393"/>
      <c r="M892" s="393"/>
      <c r="N892" s="393"/>
      <c r="O892" s="393"/>
      <c r="P892" s="393"/>
      <c r="Q892" s="393"/>
      <c r="R892" s="393"/>
      <c r="S892" s="393">
        <f t="shared" si="177"/>
        <v>0</v>
      </c>
      <c r="T892" s="393">
        <f t="shared" si="176"/>
        <v>0</v>
      </c>
      <c r="U892" s="393">
        <f t="shared" si="176"/>
        <v>0</v>
      </c>
    </row>
    <row r="893" spans="3:21" ht="14.1" customHeight="1">
      <c r="C893" s="704">
        <v>11</v>
      </c>
      <c r="D893" s="386"/>
      <c r="E893" s="706"/>
      <c r="F893" s="762"/>
      <c r="G893" s="393"/>
      <c r="H893" s="393"/>
      <c r="I893" s="393"/>
      <c r="J893" s="393"/>
      <c r="K893" s="393"/>
      <c r="L893" s="393"/>
      <c r="M893" s="393"/>
      <c r="N893" s="393"/>
      <c r="O893" s="393"/>
      <c r="P893" s="393"/>
      <c r="Q893" s="393"/>
      <c r="R893" s="393"/>
      <c r="S893" s="393">
        <f t="shared" si="177"/>
        <v>0</v>
      </c>
      <c r="T893" s="393">
        <f t="shared" si="176"/>
        <v>0</v>
      </c>
      <c r="U893" s="393">
        <f t="shared" si="176"/>
        <v>0</v>
      </c>
    </row>
    <row r="894" spans="3:21" ht="14.1" customHeight="1">
      <c r="C894" s="704">
        <v>12</v>
      </c>
      <c r="D894" s="386"/>
      <c r="E894" s="706"/>
      <c r="F894" s="762"/>
      <c r="G894" s="393"/>
      <c r="H894" s="393"/>
      <c r="I894" s="393"/>
      <c r="J894" s="393"/>
      <c r="K894" s="393"/>
      <c r="L894" s="393"/>
      <c r="M894" s="393"/>
      <c r="N894" s="393"/>
      <c r="O894" s="393"/>
      <c r="P894" s="393"/>
      <c r="Q894" s="393"/>
      <c r="R894" s="393"/>
      <c r="S894" s="393">
        <f t="shared" si="177"/>
        <v>0</v>
      </c>
      <c r="T894" s="393">
        <f t="shared" si="176"/>
        <v>0</v>
      </c>
      <c r="U894" s="393">
        <f t="shared" si="176"/>
        <v>0</v>
      </c>
    </row>
    <row r="895" spans="3:21" ht="14.1" customHeight="1">
      <c r="C895" s="704">
        <v>13</v>
      </c>
      <c r="D895" s="386"/>
      <c r="E895" s="706"/>
      <c r="F895" s="762"/>
      <c r="G895" s="393"/>
      <c r="H895" s="393"/>
      <c r="I895" s="393"/>
      <c r="J895" s="393"/>
      <c r="K895" s="393"/>
      <c r="L895" s="393"/>
      <c r="M895" s="393"/>
      <c r="N895" s="393"/>
      <c r="O895" s="393"/>
      <c r="P895" s="393"/>
      <c r="Q895" s="393"/>
      <c r="R895" s="393"/>
      <c r="S895" s="393">
        <f t="shared" si="177"/>
        <v>0</v>
      </c>
      <c r="T895" s="393">
        <f t="shared" si="176"/>
        <v>0</v>
      </c>
      <c r="U895" s="393">
        <f t="shared" si="176"/>
        <v>0</v>
      </c>
    </row>
    <row r="896" spans="3:21" ht="14.1" customHeight="1">
      <c r="C896" s="704">
        <v>14</v>
      </c>
      <c r="D896" s="386"/>
      <c r="E896" s="706"/>
      <c r="F896" s="762"/>
      <c r="G896" s="393"/>
      <c r="H896" s="393"/>
      <c r="I896" s="393"/>
      <c r="J896" s="393"/>
      <c r="K896" s="393"/>
      <c r="L896" s="393"/>
      <c r="M896" s="393"/>
      <c r="N896" s="393"/>
      <c r="O896" s="393"/>
      <c r="P896" s="393"/>
      <c r="Q896" s="393"/>
      <c r="R896" s="393"/>
      <c r="S896" s="393">
        <f t="shared" si="177"/>
        <v>0</v>
      </c>
      <c r="T896" s="393">
        <f t="shared" si="176"/>
        <v>0</v>
      </c>
      <c r="U896" s="393">
        <f t="shared" si="176"/>
        <v>0</v>
      </c>
    </row>
    <row r="897" spans="3:28" ht="14.1" customHeight="1">
      <c r="C897" s="704">
        <v>15</v>
      </c>
      <c r="D897" s="386"/>
      <c r="E897" s="706"/>
      <c r="F897" s="762"/>
      <c r="G897" s="393"/>
      <c r="H897" s="393"/>
      <c r="I897" s="393"/>
      <c r="J897" s="393"/>
      <c r="K897" s="393"/>
      <c r="L897" s="393"/>
      <c r="M897" s="393"/>
      <c r="N897" s="393"/>
      <c r="O897" s="393"/>
      <c r="P897" s="393"/>
      <c r="Q897" s="393"/>
      <c r="R897" s="393"/>
      <c r="S897" s="393">
        <f t="shared" si="177"/>
        <v>0</v>
      </c>
      <c r="T897" s="393">
        <f t="shared" si="176"/>
        <v>0</v>
      </c>
      <c r="U897" s="393">
        <f t="shared" si="176"/>
        <v>0</v>
      </c>
    </row>
    <row r="898" spans="3:28" ht="14.1" customHeight="1">
      <c r="C898" s="704">
        <v>16</v>
      </c>
      <c r="D898" s="386"/>
      <c r="E898" s="706"/>
      <c r="F898" s="762"/>
      <c r="G898" s="393"/>
      <c r="H898" s="393"/>
      <c r="I898" s="393"/>
      <c r="J898" s="393"/>
      <c r="K898" s="393"/>
      <c r="L898" s="393"/>
      <c r="M898" s="393"/>
      <c r="N898" s="393"/>
      <c r="O898" s="393"/>
      <c r="P898" s="393"/>
      <c r="Q898" s="393"/>
      <c r="R898" s="393"/>
      <c r="S898" s="393">
        <f t="shared" si="177"/>
        <v>0</v>
      </c>
      <c r="T898" s="393">
        <f t="shared" si="176"/>
        <v>0</v>
      </c>
      <c r="U898" s="393">
        <f t="shared" si="176"/>
        <v>0</v>
      </c>
    </row>
    <row r="899" spans="3:28" ht="14.1" customHeight="1">
      <c r="C899" s="704">
        <v>17</v>
      </c>
      <c r="D899" s="386"/>
      <c r="E899" s="706"/>
      <c r="F899" s="762"/>
      <c r="G899" s="393"/>
      <c r="H899" s="393"/>
      <c r="I899" s="393"/>
      <c r="J899" s="393"/>
      <c r="K899" s="393"/>
      <c r="L899" s="393"/>
      <c r="M899" s="393"/>
      <c r="N899" s="393"/>
      <c r="O899" s="393"/>
      <c r="P899" s="393"/>
      <c r="Q899" s="393"/>
      <c r="R899" s="393"/>
      <c r="S899" s="393">
        <f t="shared" si="177"/>
        <v>0</v>
      </c>
      <c r="T899" s="393">
        <f t="shared" si="176"/>
        <v>0</v>
      </c>
      <c r="U899" s="393">
        <f t="shared" si="176"/>
        <v>0</v>
      </c>
    </row>
    <row r="900" spans="3:28" ht="14.1" customHeight="1">
      <c r="C900" s="704">
        <v>18</v>
      </c>
      <c r="D900" s="386"/>
      <c r="E900" s="706"/>
      <c r="F900" s="762"/>
      <c r="G900" s="393"/>
      <c r="H900" s="393"/>
      <c r="I900" s="393"/>
      <c r="J900" s="393"/>
      <c r="K900" s="393"/>
      <c r="L900" s="393"/>
      <c r="M900" s="393"/>
      <c r="N900" s="393"/>
      <c r="O900" s="393"/>
      <c r="P900" s="393"/>
      <c r="Q900" s="393"/>
      <c r="R900" s="393"/>
      <c r="S900" s="393">
        <f t="shared" si="177"/>
        <v>0</v>
      </c>
      <c r="T900" s="393">
        <f t="shared" si="176"/>
        <v>0</v>
      </c>
      <c r="U900" s="393">
        <f t="shared" si="176"/>
        <v>0</v>
      </c>
    </row>
    <row r="901" spans="3:28" ht="14.1" customHeight="1">
      <c r="C901" s="704">
        <v>19</v>
      </c>
      <c r="D901" s="386"/>
      <c r="E901" s="706"/>
      <c r="F901" s="762"/>
      <c r="G901" s="393"/>
      <c r="H901" s="393"/>
      <c r="I901" s="393"/>
      <c r="J901" s="393"/>
      <c r="K901" s="393"/>
      <c r="L901" s="393"/>
      <c r="M901" s="393"/>
      <c r="N901" s="393"/>
      <c r="O901" s="393"/>
      <c r="P901" s="393"/>
      <c r="Q901" s="393"/>
      <c r="R901" s="393"/>
      <c r="S901" s="393">
        <f t="shared" si="177"/>
        <v>0</v>
      </c>
      <c r="T901" s="393">
        <f t="shared" si="176"/>
        <v>0</v>
      </c>
      <c r="U901" s="393">
        <f t="shared" si="176"/>
        <v>0</v>
      </c>
    </row>
    <row r="902" spans="3:28" ht="14.1" customHeight="1" thickBot="1">
      <c r="C902" s="704">
        <v>20</v>
      </c>
      <c r="D902" s="387"/>
      <c r="E902" s="707"/>
      <c r="F902" s="762"/>
      <c r="G902" s="394"/>
      <c r="H902" s="394"/>
      <c r="I902" s="394"/>
      <c r="J902" s="394"/>
      <c r="K902" s="394"/>
      <c r="L902" s="394"/>
      <c r="M902" s="394"/>
      <c r="N902" s="394"/>
      <c r="O902" s="394"/>
      <c r="P902" s="394"/>
      <c r="Q902" s="394"/>
      <c r="R902" s="394"/>
      <c r="S902" s="394">
        <f t="shared" si="177"/>
        <v>0</v>
      </c>
      <c r="T902" s="394">
        <f t="shared" si="176"/>
        <v>0</v>
      </c>
      <c r="U902" s="394">
        <f t="shared" si="176"/>
        <v>0</v>
      </c>
    </row>
    <row r="903" spans="3:28" ht="14.1" customHeight="1" thickBot="1">
      <c r="D903" s="736" t="s">
        <v>432</v>
      </c>
      <c r="E903" s="481"/>
      <c r="F903" s="480"/>
      <c r="G903" s="479">
        <f>SUM(G883:G902)</f>
        <v>0</v>
      </c>
      <c r="H903" s="479">
        <f t="shared" ref="H903:U903" si="178">SUM(H883:H902)</f>
        <v>0</v>
      </c>
      <c r="I903" s="479">
        <f t="shared" si="178"/>
        <v>0</v>
      </c>
      <c r="J903" s="479">
        <f t="shared" si="178"/>
        <v>0</v>
      </c>
      <c r="K903" s="479">
        <f t="shared" si="178"/>
        <v>0</v>
      </c>
      <c r="L903" s="479">
        <f t="shared" si="178"/>
        <v>0</v>
      </c>
      <c r="M903" s="479">
        <f t="shared" si="178"/>
        <v>0</v>
      </c>
      <c r="N903" s="479">
        <f t="shared" si="178"/>
        <v>0</v>
      </c>
      <c r="O903" s="479">
        <f t="shared" si="178"/>
        <v>0</v>
      </c>
      <c r="P903" s="479">
        <f t="shared" si="178"/>
        <v>0</v>
      </c>
      <c r="Q903" s="479">
        <f t="shared" si="178"/>
        <v>0</v>
      </c>
      <c r="R903" s="479">
        <f t="shared" si="178"/>
        <v>0</v>
      </c>
      <c r="S903" s="479">
        <f t="shared" si="178"/>
        <v>0</v>
      </c>
      <c r="T903" s="479">
        <f t="shared" si="178"/>
        <v>0</v>
      </c>
      <c r="U903" s="479">
        <f t="shared" si="178"/>
        <v>0</v>
      </c>
    </row>
    <row r="906" spans="3:28" ht="14.1" customHeight="1">
      <c r="C906" s="701" t="s">
        <v>2768</v>
      </c>
    </row>
    <row r="908" spans="3:28" s="146" customFormat="1" ht="15.75" customHeight="1" thickBot="1">
      <c r="E908" s="24"/>
      <c r="F908" s="24"/>
      <c r="G908" s="24"/>
      <c r="H908" s="24"/>
      <c r="I908" s="24"/>
      <c r="J908" s="24"/>
      <c r="K908" s="24"/>
      <c r="L908" s="24"/>
      <c r="M908" s="24"/>
      <c r="N908" s="24"/>
      <c r="O908" s="24"/>
      <c r="P908" s="24"/>
      <c r="Q908" s="24"/>
      <c r="R908" s="24"/>
    </row>
    <row r="909" spans="3:28" s="146" customFormat="1" ht="24.95" customHeight="1" thickBot="1">
      <c r="D909" s="1569"/>
      <c r="E909" s="1619" t="s">
        <v>2656</v>
      </c>
      <c r="F909" s="1619"/>
      <c r="G909" s="1619"/>
      <c r="H909" s="1619" t="s">
        <v>701</v>
      </c>
      <c r="I909" s="1619"/>
      <c r="J909" s="1619"/>
      <c r="K909" s="1619" t="s">
        <v>2657</v>
      </c>
      <c r="L909" s="1619"/>
      <c r="M909" s="1619"/>
      <c r="N909" s="24"/>
      <c r="O909" s="24"/>
      <c r="P909" s="24"/>
      <c r="Q909" s="24"/>
      <c r="R909" s="24"/>
      <c r="S909" s="24"/>
      <c r="T909" s="24"/>
      <c r="U909" s="24"/>
      <c r="V909" s="24"/>
      <c r="W909" s="24"/>
      <c r="X909" s="24"/>
      <c r="Y909" s="24"/>
      <c r="Z909" s="24"/>
      <c r="AA909" s="24"/>
      <c r="AB909" s="315"/>
    </row>
    <row r="910" spans="3:28" ht="54.95" customHeight="1" thickBot="1">
      <c r="D910" s="1570"/>
      <c r="E910" s="739" t="s">
        <v>553</v>
      </c>
      <c r="F910" s="739" t="s">
        <v>554</v>
      </c>
      <c r="G910" s="739" t="s">
        <v>555</v>
      </c>
      <c r="H910" s="739" t="s">
        <v>553</v>
      </c>
      <c r="I910" s="739" t="s">
        <v>554</v>
      </c>
      <c r="J910" s="739" t="s">
        <v>555</v>
      </c>
      <c r="K910" s="739" t="s">
        <v>553</v>
      </c>
      <c r="L910" s="739" t="s">
        <v>554</v>
      </c>
      <c r="M910" s="735" t="s">
        <v>555</v>
      </c>
      <c r="N910" s="732"/>
      <c r="O910" s="732"/>
      <c r="P910" s="732"/>
      <c r="Q910" s="732"/>
      <c r="R910" s="732"/>
      <c r="S910" s="732"/>
      <c r="T910" s="732"/>
      <c r="U910" s="732"/>
      <c r="V910" s="732"/>
      <c r="W910" s="732"/>
      <c r="X910" s="732"/>
      <c r="Y910" s="732"/>
      <c r="Z910" s="732"/>
      <c r="AA910" s="732"/>
      <c r="AB910" s="315"/>
    </row>
    <row r="911" spans="3:28" ht="14.1" customHeight="1">
      <c r="C911" s="704"/>
      <c r="D911" s="384" t="s">
        <v>2658</v>
      </c>
      <c r="E911" s="449"/>
      <c r="F911" s="449"/>
      <c r="G911" s="449"/>
      <c r="H911" s="70"/>
      <c r="I911" s="70"/>
      <c r="J911" s="70"/>
      <c r="K911" s="70"/>
      <c r="L911" s="70"/>
      <c r="M911" s="421"/>
      <c r="N911" s="453"/>
      <c r="O911" s="453"/>
      <c r="P911" s="453"/>
      <c r="Q911" s="453"/>
      <c r="R911" s="453"/>
      <c r="S911" s="453"/>
      <c r="T911" s="453"/>
      <c r="U911" s="453"/>
      <c r="V911" s="453"/>
      <c r="W911" s="453"/>
      <c r="X911" s="453"/>
      <c r="Y911" s="453"/>
      <c r="Z911" s="453"/>
      <c r="AA911" s="453"/>
      <c r="AB911" s="315"/>
    </row>
    <row r="912" spans="3:28" ht="14.1" customHeight="1">
      <c r="C912" s="704"/>
      <c r="D912" s="386" t="s">
        <v>2659</v>
      </c>
      <c r="E912" s="393"/>
      <c r="F912" s="393"/>
      <c r="G912" s="393"/>
      <c r="H912" s="58"/>
      <c r="I912" s="58"/>
      <c r="J912" s="58"/>
      <c r="K912" s="58"/>
      <c r="L912" s="58"/>
      <c r="M912" s="204"/>
      <c r="N912" s="453"/>
      <c r="O912" s="453"/>
      <c r="P912" s="453"/>
      <c r="Q912" s="453"/>
      <c r="R912" s="453"/>
      <c r="S912" s="453"/>
      <c r="T912" s="453"/>
      <c r="U912" s="453"/>
      <c r="V912" s="453"/>
      <c r="W912" s="453"/>
      <c r="X912" s="453"/>
      <c r="Y912" s="453"/>
      <c r="Z912" s="453"/>
      <c r="AA912" s="453"/>
      <c r="AB912" s="315"/>
    </row>
    <row r="913" spans="3:28" ht="14.1" customHeight="1">
      <c r="C913" s="704"/>
      <c r="D913" s="386" t="s">
        <v>2660</v>
      </c>
      <c r="E913" s="393"/>
      <c r="F913" s="393"/>
      <c r="G913" s="393"/>
      <c r="H913" s="58"/>
      <c r="I913" s="58"/>
      <c r="J913" s="58"/>
      <c r="K913" s="58"/>
      <c r="L913" s="58"/>
      <c r="M913" s="204"/>
      <c r="N913" s="453"/>
      <c r="O913" s="453"/>
      <c r="P913" s="453"/>
      <c r="Q913" s="453"/>
      <c r="R913" s="453"/>
      <c r="S913" s="453"/>
      <c r="T913" s="453"/>
      <c r="U913" s="453"/>
      <c r="V913" s="453"/>
      <c r="W913" s="453"/>
      <c r="X913" s="453"/>
      <c r="Y913" s="453"/>
      <c r="Z913" s="453"/>
      <c r="AA913" s="453"/>
      <c r="AB913" s="315"/>
    </row>
    <row r="914" spans="3:28" ht="14.1" customHeight="1">
      <c r="C914" s="704"/>
      <c r="D914" s="386" t="s">
        <v>2661</v>
      </c>
      <c r="E914" s="393"/>
      <c r="F914" s="393"/>
      <c r="G914" s="393"/>
      <c r="H914" s="58"/>
      <c r="I914" s="58"/>
      <c r="J914" s="58"/>
      <c r="K914" s="58"/>
      <c r="L914" s="58"/>
      <c r="M914" s="204"/>
      <c r="N914" s="453"/>
      <c r="O914" s="453"/>
      <c r="P914" s="453"/>
      <c r="Q914" s="453"/>
      <c r="R914" s="453"/>
      <c r="S914" s="453"/>
      <c r="T914" s="453"/>
      <c r="U914" s="453"/>
      <c r="V914" s="453"/>
      <c r="W914" s="453"/>
      <c r="X914" s="453"/>
      <c r="Y914" s="453"/>
      <c r="Z914" s="453"/>
      <c r="AA914" s="453"/>
      <c r="AB914" s="315"/>
    </row>
    <row r="915" spans="3:28" ht="14.1" customHeight="1">
      <c r="C915" s="704"/>
      <c r="D915" s="386" t="s">
        <v>2662</v>
      </c>
      <c r="E915" s="393"/>
      <c r="F915" s="393"/>
      <c r="G915" s="393"/>
      <c r="H915" s="58"/>
      <c r="I915" s="58"/>
      <c r="J915" s="58"/>
      <c r="K915" s="58"/>
      <c r="L915" s="58"/>
      <c r="M915" s="204"/>
      <c r="N915" s="453"/>
      <c r="O915" s="453"/>
      <c r="P915" s="453"/>
      <c r="Q915" s="453"/>
      <c r="R915" s="453"/>
      <c r="S915" s="453"/>
      <c r="T915" s="453"/>
      <c r="U915" s="453"/>
      <c r="V915" s="453"/>
      <c r="W915" s="453"/>
      <c r="X915" s="453"/>
      <c r="Y915" s="453"/>
      <c r="Z915" s="453"/>
      <c r="AA915" s="453"/>
      <c r="AB915" s="315"/>
    </row>
    <row r="916" spans="3:28" ht="14.1" customHeight="1">
      <c r="C916" s="704"/>
      <c r="D916" s="386" t="s">
        <v>2663</v>
      </c>
      <c r="E916" s="393"/>
      <c r="F916" s="393"/>
      <c r="G916" s="393"/>
      <c r="H916" s="58"/>
      <c r="I916" s="58"/>
      <c r="J916" s="58"/>
      <c r="K916" s="58"/>
      <c r="L916" s="58"/>
      <c r="M916" s="204"/>
      <c r="N916" s="453"/>
      <c r="O916" s="453"/>
      <c r="P916" s="453"/>
      <c r="Q916" s="453"/>
      <c r="R916" s="453"/>
      <c r="S916" s="453"/>
      <c r="T916" s="453"/>
      <c r="U916" s="453"/>
      <c r="V916" s="453"/>
      <c r="W916" s="453"/>
      <c r="X916" s="453"/>
      <c r="Y916" s="453"/>
      <c r="Z916" s="453"/>
      <c r="AA916" s="453"/>
      <c r="AB916" s="315"/>
    </row>
    <row r="917" spans="3:28" ht="14.1" customHeight="1" thickBot="1">
      <c r="C917" s="704"/>
      <c r="D917" s="386" t="s">
        <v>2664</v>
      </c>
      <c r="E917" s="393"/>
      <c r="F917" s="393"/>
      <c r="G917" s="393"/>
      <c r="H917" s="58"/>
      <c r="I917" s="58"/>
      <c r="J917" s="58"/>
      <c r="K917" s="58"/>
      <c r="L917" s="58"/>
      <c r="M917" s="204"/>
      <c r="N917" s="453"/>
      <c r="O917" s="453"/>
      <c r="P917" s="453"/>
      <c r="Q917" s="453"/>
      <c r="R917" s="453"/>
      <c r="S917" s="453"/>
      <c r="T917" s="453"/>
      <c r="U917" s="453"/>
      <c r="V917" s="453"/>
      <c r="W917" s="453"/>
      <c r="X917" s="453"/>
      <c r="Y917" s="453"/>
      <c r="Z917" s="453"/>
      <c r="AA917" s="453"/>
      <c r="AB917" s="315"/>
    </row>
    <row r="918" spans="3:28" ht="14.1" customHeight="1" thickBot="1">
      <c r="D918" s="736" t="s">
        <v>432</v>
      </c>
      <c r="E918" s="479">
        <f t="shared" ref="E918:M918" si="179">SUM(E911:E917)</f>
        <v>0</v>
      </c>
      <c r="F918" s="479">
        <f t="shared" si="179"/>
        <v>0</v>
      </c>
      <c r="G918" s="479">
        <f t="shared" si="179"/>
        <v>0</v>
      </c>
      <c r="H918" s="710">
        <f t="shared" si="179"/>
        <v>0</v>
      </c>
      <c r="I918" s="710">
        <f t="shared" si="179"/>
        <v>0</v>
      </c>
      <c r="J918" s="710">
        <f t="shared" si="179"/>
        <v>0</v>
      </c>
      <c r="K918" s="710">
        <f t="shared" si="179"/>
        <v>0</v>
      </c>
      <c r="L918" s="710">
        <f t="shared" si="179"/>
        <v>0</v>
      </c>
      <c r="M918" s="711">
        <f t="shared" si="179"/>
        <v>0</v>
      </c>
      <c r="N918" s="709"/>
      <c r="O918" s="709"/>
      <c r="P918" s="709"/>
      <c r="Q918" s="709"/>
      <c r="R918" s="709"/>
      <c r="S918" s="709"/>
      <c r="T918" s="709"/>
      <c r="U918" s="709"/>
      <c r="V918" s="709"/>
      <c r="W918" s="709"/>
      <c r="X918" s="709"/>
      <c r="Y918" s="709"/>
      <c r="Z918" s="709"/>
      <c r="AA918" s="709"/>
      <c r="AB918" s="315"/>
    </row>
    <row r="919" spans="3:28">
      <c r="D919" s="708" t="s">
        <v>2653</v>
      </c>
      <c r="E919" s="712"/>
      <c r="F919" s="713"/>
      <c r="G919" s="713"/>
      <c r="H919" s="714"/>
      <c r="I919" s="715"/>
      <c r="J919" s="724"/>
      <c r="K919" s="715"/>
      <c r="L919" s="715"/>
      <c r="M919" s="728"/>
    </row>
    <row r="920" spans="3:28">
      <c r="D920" s="708" t="s">
        <v>2654</v>
      </c>
      <c r="E920" s="716"/>
      <c r="F920" s="717"/>
      <c r="G920" s="717"/>
      <c r="H920" s="718"/>
      <c r="I920" s="719"/>
      <c r="J920" s="725"/>
      <c r="K920" s="719"/>
      <c r="L920" s="719"/>
      <c r="M920" s="729"/>
    </row>
    <row r="921" spans="3:28" ht="15.75" thickBot="1">
      <c r="D921" s="708" t="s">
        <v>2655</v>
      </c>
      <c r="E921" s="720"/>
      <c r="F921" s="721"/>
      <c r="G921" s="721"/>
      <c r="H921" s="722"/>
      <c r="I921" s="723"/>
      <c r="J921" s="726"/>
      <c r="K921" s="723"/>
      <c r="L921" s="723"/>
      <c r="M921" s="730"/>
    </row>
    <row r="922" spans="3:28" ht="15.75" thickBot="1">
      <c r="D922" s="736" t="s">
        <v>432</v>
      </c>
      <c r="E922" s="479">
        <f>SUM(E919:E921)</f>
        <v>0</v>
      </c>
      <c r="F922" s="479">
        <f t="shared" ref="F922:L922" si="180">SUM(F919:F921)</f>
        <v>0</v>
      </c>
      <c r="G922" s="479">
        <f t="shared" si="180"/>
        <v>0</v>
      </c>
      <c r="H922" s="710">
        <f t="shared" si="180"/>
        <v>0</v>
      </c>
      <c r="I922" s="710">
        <f t="shared" si="180"/>
        <v>0</v>
      </c>
      <c r="J922" s="727"/>
      <c r="K922" s="710">
        <f t="shared" si="180"/>
        <v>0</v>
      </c>
      <c r="L922" s="710">
        <f t="shared" si="180"/>
        <v>0</v>
      </c>
      <c r="M922" s="731"/>
    </row>
  </sheetData>
  <mergeCells count="499">
    <mergeCell ref="D881:D882"/>
    <mergeCell ref="E881:F881"/>
    <mergeCell ref="G881:I881"/>
    <mergeCell ref="J881:L881"/>
    <mergeCell ref="M881:O881"/>
    <mergeCell ref="P881:R881"/>
    <mergeCell ref="S881:U881"/>
    <mergeCell ref="D909:D910"/>
    <mergeCell ref="E909:G909"/>
    <mergeCell ref="H909:J909"/>
    <mergeCell ref="K909:M909"/>
    <mergeCell ref="D854:D855"/>
    <mergeCell ref="E854:F854"/>
    <mergeCell ref="G854:I854"/>
    <mergeCell ref="J854:L854"/>
    <mergeCell ref="M854:O854"/>
    <mergeCell ref="P854:R854"/>
    <mergeCell ref="S854:U854"/>
    <mergeCell ref="V854:X854"/>
    <mergeCell ref="Y854:AA854"/>
    <mergeCell ref="D826:D827"/>
    <mergeCell ref="E826:F826"/>
    <mergeCell ref="G826:I826"/>
    <mergeCell ref="J826:L826"/>
    <mergeCell ref="M826:O826"/>
    <mergeCell ref="P826:R826"/>
    <mergeCell ref="S826:U826"/>
    <mergeCell ref="V826:X826"/>
    <mergeCell ref="E853:R853"/>
    <mergeCell ref="D772:D773"/>
    <mergeCell ref="E772:F772"/>
    <mergeCell ref="G772:I772"/>
    <mergeCell ref="J772:L772"/>
    <mergeCell ref="M772:O772"/>
    <mergeCell ref="P772:R772"/>
    <mergeCell ref="D799:D800"/>
    <mergeCell ref="E799:F799"/>
    <mergeCell ref="G799:I799"/>
    <mergeCell ref="J799:L799"/>
    <mergeCell ref="M799:O799"/>
    <mergeCell ref="P799:R799"/>
    <mergeCell ref="I78:I79"/>
    <mergeCell ref="G197:G198"/>
    <mergeCell ref="H197:H198"/>
    <mergeCell ref="E197:E198"/>
    <mergeCell ref="F197:F198"/>
    <mergeCell ref="I197:I198"/>
    <mergeCell ref="H67:H68"/>
    <mergeCell ref="E67:F67"/>
    <mergeCell ref="D78:D79"/>
    <mergeCell ref="E78:E79"/>
    <mergeCell ref="F78:F79"/>
    <mergeCell ref="G78:H78"/>
    <mergeCell ref="G67:G68"/>
    <mergeCell ref="K228:K229"/>
    <mergeCell ref="D248:D249"/>
    <mergeCell ref="E248:E249"/>
    <mergeCell ref="F248:F249"/>
    <mergeCell ref="G248:G249"/>
    <mergeCell ref="H248:H249"/>
    <mergeCell ref="I248:I249"/>
    <mergeCell ref="J248:J249"/>
    <mergeCell ref="J197:J198"/>
    <mergeCell ref="K197:K198"/>
    <mergeCell ref="D197:D198"/>
    <mergeCell ref="D228:D229"/>
    <mergeCell ref="E228:E229"/>
    <mergeCell ref="F228:F229"/>
    <mergeCell ref="G228:G229"/>
    <mergeCell ref="H228:H229"/>
    <mergeCell ref="I228:I229"/>
    <mergeCell ref="J228:J229"/>
    <mergeCell ref="D212:D213"/>
    <mergeCell ref="D219:I221"/>
    <mergeCell ref="J265:J266"/>
    <mergeCell ref="D282:D283"/>
    <mergeCell ref="E282:E283"/>
    <mergeCell ref="F282:F283"/>
    <mergeCell ref="G282:G283"/>
    <mergeCell ref="H282:H283"/>
    <mergeCell ref="I282:I283"/>
    <mergeCell ref="J282:J283"/>
    <mergeCell ref="D265:D266"/>
    <mergeCell ref="E265:E266"/>
    <mergeCell ref="F265:F266"/>
    <mergeCell ref="G265:G266"/>
    <mergeCell ref="H265:H266"/>
    <mergeCell ref="I265:I266"/>
    <mergeCell ref="J299:J300"/>
    <mergeCell ref="D316:D317"/>
    <mergeCell ref="E316:E317"/>
    <mergeCell ref="F316:F317"/>
    <mergeCell ref="G316:G317"/>
    <mergeCell ref="H316:H317"/>
    <mergeCell ref="I316:I317"/>
    <mergeCell ref="J316:J317"/>
    <mergeCell ref="D299:D300"/>
    <mergeCell ref="E299:E300"/>
    <mergeCell ref="F299:F300"/>
    <mergeCell ref="G299:G300"/>
    <mergeCell ref="H299:H300"/>
    <mergeCell ref="I299:I300"/>
    <mergeCell ref="P341:P342"/>
    <mergeCell ref="D349:D350"/>
    <mergeCell ref="E349:E350"/>
    <mergeCell ref="F349:F350"/>
    <mergeCell ref="G349:G350"/>
    <mergeCell ref="H349:H350"/>
    <mergeCell ref="I349:I350"/>
    <mergeCell ref="J349:J350"/>
    <mergeCell ref="K349:K350"/>
    <mergeCell ref="L349:L350"/>
    <mergeCell ref="J341:J342"/>
    <mergeCell ref="K341:K342"/>
    <mergeCell ref="L341:L342"/>
    <mergeCell ref="M341:M342"/>
    <mergeCell ref="N341:N342"/>
    <mergeCell ref="O341:O342"/>
    <mergeCell ref="D341:D342"/>
    <mergeCell ref="E341:E342"/>
    <mergeCell ref="F341:F342"/>
    <mergeCell ref="G341:G342"/>
    <mergeCell ref="H341:H342"/>
    <mergeCell ref="I341:I342"/>
    <mergeCell ref="M349:M350"/>
    <mergeCell ref="N349:N350"/>
    <mergeCell ref="O349:O350"/>
    <mergeCell ref="P349:P350"/>
    <mergeCell ref="D379:D380"/>
    <mergeCell ref="E379:E380"/>
    <mergeCell ref="F379:F380"/>
    <mergeCell ref="G379:G380"/>
    <mergeCell ref="H379:H380"/>
    <mergeCell ref="F468:H468"/>
    <mergeCell ref="D470:D471"/>
    <mergeCell ref="E470:E471"/>
    <mergeCell ref="F470:F471"/>
    <mergeCell ref="G470:G471"/>
    <mergeCell ref="H470:H471"/>
    <mergeCell ref="O379:O380"/>
    <mergeCell ref="P379:P380"/>
    <mergeCell ref="F375:H375"/>
    <mergeCell ref="F377:H377"/>
    <mergeCell ref="F466:H466"/>
    <mergeCell ref="I379:I380"/>
    <mergeCell ref="J379:J380"/>
    <mergeCell ref="K379:K380"/>
    <mergeCell ref="L379:L380"/>
    <mergeCell ref="M379:M380"/>
    <mergeCell ref="N379:N380"/>
    <mergeCell ref="F503:H503"/>
    <mergeCell ref="D505:D506"/>
    <mergeCell ref="E505:E506"/>
    <mergeCell ref="F505:F506"/>
    <mergeCell ref="G505:G506"/>
    <mergeCell ref="H505:H506"/>
    <mergeCell ref="F501:H501"/>
    <mergeCell ref="O470:O471"/>
    <mergeCell ref="P470:P471"/>
    <mergeCell ref="I470:I471"/>
    <mergeCell ref="J470:J471"/>
    <mergeCell ref="K470:K471"/>
    <mergeCell ref="L470:L471"/>
    <mergeCell ref="M470:M471"/>
    <mergeCell ref="N470:N471"/>
    <mergeCell ref="O505:O506"/>
    <mergeCell ref="P505:P506"/>
    <mergeCell ref="K505:K506"/>
    <mergeCell ref="L505:L506"/>
    <mergeCell ref="M505:M506"/>
    <mergeCell ref="N505:N506"/>
    <mergeCell ref="F483:H483"/>
    <mergeCell ref="F485:H485"/>
    <mergeCell ref="D487:D488"/>
    <mergeCell ref="F615:H615"/>
    <mergeCell ref="F617:H617"/>
    <mergeCell ref="D619:D620"/>
    <mergeCell ref="E619:E620"/>
    <mergeCell ref="F619:F620"/>
    <mergeCell ref="G619:G620"/>
    <mergeCell ref="H619:H620"/>
    <mergeCell ref="I505:I506"/>
    <mergeCell ref="J505:J506"/>
    <mergeCell ref="F520:H520"/>
    <mergeCell ref="F522:H522"/>
    <mergeCell ref="D524:D525"/>
    <mergeCell ref="E524:E525"/>
    <mergeCell ref="F524:F525"/>
    <mergeCell ref="G524:G525"/>
    <mergeCell ref="H524:H525"/>
    <mergeCell ref="I524:I525"/>
    <mergeCell ref="J524:J525"/>
    <mergeCell ref="F558:H558"/>
    <mergeCell ref="F560:H560"/>
    <mergeCell ref="D562:D563"/>
    <mergeCell ref="E562:E563"/>
    <mergeCell ref="F562:F563"/>
    <mergeCell ref="G562:G563"/>
    <mergeCell ref="M627:M628"/>
    <mergeCell ref="N627:N628"/>
    <mergeCell ref="O627:O628"/>
    <mergeCell ref="P627:P628"/>
    <mergeCell ref="F652:H652"/>
    <mergeCell ref="F654:H654"/>
    <mergeCell ref="P619:P620"/>
    <mergeCell ref="D627:D628"/>
    <mergeCell ref="E627:E628"/>
    <mergeCell ref="F627:F628"/>
    <mergeCell ref="G627:G628"/>
    <mergeCell ref="H627:H628"/>
    <mergeCell ref="I627:I628"/>
    <mergeCell ref="J627:J628"/>
    <mergeCell ref="K627:K628"/>
    <mergeCell ref="L627:L628"/>
    <mergeCell ref="J619:J620"/>
    <mergeCell ref="K619:K620"/>
    <mergeCell ref="L619:L620"/>
    <mergeCell ref="M619:M620"/>
    <mergeCell ref="N619:N620"/>
    <mergeCell ref="O619:O620"/>
    <mergeCell ref="D633:D634"/>
    <mergeCell ref="E633:E634"/>
    <mergeCell ref="P656:P657"/>
    <mergeCell ref="D757:D758"/>
    <mergeCell ref="E757:E758"/>
    <mergeCell ref="F757:F758"/>
    <mergeCell ref="G757:G758"/>
    <mergeCell ref="H757:H758"/>
    <mergeCell ref="J656:J657"/>
    <mergeCell ref="K656:K657"/>
    <mergeCell ref="L656:L657"/>
    <mergeCell ref="M656:M657"/>
    <mergeCell ref="N656:N657"/>
    <mergeCell ref="O656:O657"/>
    <mergeCell ref="D656:D657"/>
    <mergeCell ref="E656:E657"/>
    <mergeCell ref="F656:F657"/>
    <mergeCell ref="G656:G657"/>
    <mergeCell ref="H656:H657"/>
    <mergeCell ref="I656:I657"/>
    <mergeCell ref="F673:H673"/>
    <mergeCell ref="F675:H675"/>
    <mergeCell ref="D677:D678"/>
    <mergeCell ref="E677:E678"/>
    <mergeCell ref="F677:F678"/>
    <mergeCell ref="G677:G678"/>
    <mergeCell ref="F393:H393"/>
    <mergeCell ref="F395:H395"/>
    <mergeCell ref="D397:D398"/>
    <mergeCell ref="E397:E398"/>
    <mergeCell ref="F397:F398"/>
    <mergeCell ref="G397:G398"/>
    <mergeCell ref="H397:H398"/>
    <mergeCell ref="I397:I398"/>
    <mergeCell ref="J397:J398"/>
    <mergeCell ref="D415:D416"/>
    <mergeCell ref="E415:E416"/>
    <mergeCell ref="F415:F416"/>
    <mergeCell ref="G415:G416"/>
    <mergeCell ref="H415:H416"/>
    <mergeCell ref="I415:I416"/>
    <mergeCell ref="J415:J416"/>
    <mergeCell ref="K415:K416"/>
    <mergeCell ref="L415:L416"/>
    <mergeCell ref="L433:L434"/>
    <mergeCell ref="M433:M434"/>
    <mergeCell ref="N433:N434"/>
    <mergeCell ref="O433:O434"/>
    <mergeCell ref="P433:P434"/>
    <mergeCell ref="F429:H429"/>
    <mergeCell ref="K397:K398"/>
    <mergeCell ref="L397:L398"/>
    <mergeCell ref="M397:M398"/>
    <mergeCell ref="N397:N398"/>
    <mergeCell ref="O397:O398"/>
    <mergeCell ref="P397:P398"/>
    <mergeCell ref="F411:H411"/>
    <mergeCell ref="F413:H413"/>
    <mergeCell ref="M415:M416"/>
    <mergeCell ref="N415:N416"/>
    <mergeCell ref="O415:O416"/>
    <mergeCell ref="P415:P416"/>
    <mergeCell ref="F431:H431"/>
    <mergeCell ref="D433:D434"/>
    <mergeCell ref="E433:E434"/>
    <mergeCell ref="F433:F434"/>
    <mergeCell ref="G433:G434"/>
    <mergeCell ref="H433:H434"/>
    <mergeCell ref="I433:I434"/>
    <mergeCell ref="J433:J434"/>
    <mergeCell ref="K433:K434"/>
    <mergeCell ref="F447:H447"/>
    <mergeCell ref="F449:H449"/>
    <mergeCell ref="D451:D452"/>
    <mergeCell ref="E451:E452"/>
    <mergeCell ref="F451:F452"/>
    <mergeCell ref="G451:G452"/>
    <mergeCell ref="H451:H452"/>
    <mergeCell ref="I451:I452"/>
    <mergeCell ref="J451:J452"/>
    <mergeCell ref="F474:H474"/>
    <mergeCell ref="F476:H476"/>
    <mergeCell ref="D478:D479"/>
    <mergeCell ref="E478:E479"/>
    <mergeCell ref="F478:F479"/>
    <mergeCell ref="G478:G479"/>
    <mergeCell ref="H478:H479"/>
    <mergeCell ref="I478:I479"/>
    <mergeCell ref="J478:J479"/>
    <mergeCell ref="K487:K488"/>
    <mergeCell ref="K451:K452"/>
    <mergeCell ref="L451:L452"/>
    <mergeCell ref="M451:M452"/>
    <mergeCell ref="N451:N452"/>
    <mergeCell ref="O451:O452"/>
    <mergeCell ref="P451:P452"/>
    <mergeCell ref="K478:K479"/>
    <mergeCell ref="L478:L479"/>
    <mergeCell ref="M478:M479"/>
    <mergeCell ref="N478:N479"/>
    <mergeCell ref="O478:O479"/>
    <mergeCell ref="P478:P479"/>
    <mergeCell ref="D495:D496"/>
    <mergeCell ref="E495:E496"/>
    <mergeCell ref="F495:F496"/>
    <mergeCell ref="G495:G496"/>
    <mergeCell ref="H495:H496"/>
    <mergeCell ref="I495:I496"/>
    <mergeCell ref="J495:J496"/>
    <mergeCell ref="L487:L488"/>
    <mergeCell ref="M487:M488"/>
    <mergeCell ref="K495:K496"/>
    <mergeCell ref="L495:L496"/>
    <mergeCell ref="M495:M496"/>
    <mergeCell ref="N495:N496"/>
    <mergeCell ref="O495:O496"/>
    <mergeCell ref="P495:P496"/>
    <mergeCell ref="E487:E488"/>
    <mergeCell ref="F487:F488"/>
    <mergeCell ref="G487:G488"/>
    <mergeCell ref="H487:H488"/>
    <mergeCell ref="I487:I488"/>
    <mergeCell ref="J487:J488"/>
    <mergeCell ref="F491:H491"/>
    <mergeCell ref="F493:H493"/>
    <mergeCell ref="N487:N488"/>
    <mergeCell ref="O487:O488"/>
    <mergeCell ref="P487:P488"/>
    <mergeCell ref="K524:K525"/>
    <mergeCell ref="L524:L525"/>
    <mergeCell ref="M524:M525"/>
    <mergeCell ref="N524:N525"/>
    <mergeCell ref="O524:O525"/>
    <mergeCell ref="P524:P525"/>
    <mergeCell ref="F539:H539"/>
    <mergeCell ref="F541:H541"/>
    <mergeCell ref="D543:D544"/>
    <mergeCell ref="E543:E544"/>
    <mergeCell ref="F543:F544"/>
    <mergeCell ref="G543:G544"/>
    <mergeCell ref="H543:H544"/>
    <mergeCell ref="I543:I544"/>
    <mergeCell ref="J543:J544"/>
    <mergeCell ref="K543:K544"/>
    <mergeCell ref="L543:L544"/>
    <mergeCell ref="M543:M544"/>
    <mergeCell ref="N543:N544"/>
    <mergeCell ref="O543:O544"/>
    <mergeCell ref="P543:P544"/>
    <mergeCell ref="H562:H563"/>
    <mergeCell ref="I562:I563"/>
    <mergeCell ref="J562:J563"/>
    <mergeCell ref="K562:K563"/>
    <mergeCell ref="L562:L563"/>
    <mergeCell ref="M562:M563"/>
    <mergeCell ref="N562:N563"/>
    <mergeCell ref="O562:O563"/>
    <mergeCell ref="P562:P563"/>
    <mergeCell ref="F577:H577"/>
    <mergeCell ref="F579:H579"/>
    <mergeCell ref="D581:D582"/>
    <mergeCell ref="E581:E582"/>
    <mergeCell ref="F581:F582"/>
    <mergeCell ref="G581:G582"/>
    <mergeCell ref="H581:H582"/>
    <mergeCell ref="I581:I582"/>
    <mergeCell ref="J581:J582"/>
    <mergeCell ref="K581:K582"/>
    <mergeCell ref="L581:L582"/>
    <mergeCell ref="M581:M582"/>
    <mergeCell ref="N581:N582"/>
    <mergeCell ref="O581:O582"/>
    <mergeCell ref="P581:P582"/>
    <mergeCell ref="F596:H596"/>
    <mergeCell ref="F598:H598"/>
    <mergeCell ref="D600:D601"/>
    <mergeCell ref="E600:E601"/>
    <mergeCell ref="F600:F601"/>
    <mergeCell ref="G600:G601"/>
    <mergeCell ref="H600:H601"/>
    <mergeCell ref="I600:I601"/>
    <mergeCell ref="J600:J601"/>
    <mergeCell ref="K600:K601"/>
    <mergeCell ref="L600:L601"/>
    <mergeCell ref="M600:M601"/>
    <mergeCell ref="N600:N601"/>
    <mergeCell ref="O600:O601"/>
    <mergeCell ref="P600:P601"/>
    <mergeCell ref="O633:O634"/>
    <mergeCell ref="P633:P634"/>
    <mergeCell ref="D639:D640"/>
    <mergeCell ref="E639:E640"/>
    <mergeCell ref="F639:F640"/>
    <mergeCell ref="G639:G640"/>
    <mergeCell ref="H639:H640"/>
    <mergeCell ref="I639:I640"/>
    <mergeCell ref="J639:J640"/>
    <mergeCell ref="K639:K640"/>
    <mergeCell ref="L639:L640"/>
    <mergeCell ref="M639:M640"/>
    <mergeCell ref="N639:N640"/>
    <mergeCell ref="O639:O640"/>
    <mergeCell ref="P639:P640"/>
    <mergeCell ref="F633:F634"/>
    <mergeCell ref="G633:G634"/>
    <mergeCell ref="H633:H634"/>
    <mergeCell ref="I633:I634"/>
    <mergeCell ref="J633:J634"/>
    <mergeCell ref="K633:K634"/>
    <mergeCell ref="L633:L634"/>
    <mergeCell ref="M633:M634"/>
    <mergeCell ref="N633:N634"/>
    <mergeCell ref="M645:M646"/>
    <mergeCell ref="N645:N646"/>
    <mergeCell ref="O645:O646"/>
    <mergeCell ref="P645:P646"/>
    <mergeCell ref="D645:D646"/>
    <mergeCell ref="E645:E646"/>
    <mergeCell ref="F645:F646"/>
    <mergeCell ref="G645:G646"/>
    <mergeCell ref="H645:H646"/>
    <mergeCell ref="I645:I646"/>
    <mergeCell ref="J645:J646"/>
    <mergeCell ref="K645:K646"/>
    <mergeCell ref="L645:L646"/>
    <mergeCell ref="H677:H678"/>
    <mergeCell ref="I677:I678"/>
    <mergeCell ref="J677:J678"/>
    <mergeCell ref="K677:K678"/>
    <mergeCell ref="L677:L678"/>
    <mergeCell ref="M677:M678"/>
    <mergeCell ref="N677:N678"/>
    <mergeCell ref="O677:O678"/>
    <mergeCell ref="P677:P678"/>
    <mergeCell ref="F693:H693"/>
    <mergeCell ref="F695:H695"/>
    <mergeCell ref="D697:D698"/>
    <mergeCell ref="E697:E698"/>
    <mergeCell ref="F697:F698"/>
    <mergeCell ref="G697:G698"/>
    <mergeCell ref="H697:H698"/>
    <mergeCell ref="I697:I698"/>
    <mergeCell ref="J697:J698"/>
    <mergeCell ref="K697:K698"/>
    <mergeCell ref="L697:L698"/>
    <mergeCell ref="M697:M698"/>
    <mergeCell ref="N697:N698"/>
    <mergeCell ref="O697:O698"/>
    <mergeCell ref="P697:P698"/>
    <mergeCell ref="F713:H713"/>
    <mergeCell ref="F715:H715"/>
    <mergeCell ref="D717:D718"/>
    <mergeCell ref="E717:E718"/>
    <mergeCell ref="F717:F718"/>
    <mergeCell ref="G717:G718"/>
    <mergeCell ref="H717:H718"/>
    <mergeCell ref="I717:I718"/>
    <mergeCell ref="J717:J718"/>
    <mergeCell ref="K717:K718"/>
    <mergeCell ref="L717:L718"/>
    <mergeCell ref="M717:M718"/>
    <mergeCell ref="N717:N718"/>
    <mergeCell ref="O717:O718"/>
    <mergeCell ref="P717:P718"/>
    <mergeCell ref="K737:K738"/>
    <mergeCell ref="L737:L738"/>
    <mergeCell ref="M737:M738"/>
    <mergeCell ref="N737:N738"/>
    <mergeCell ref="O737:O738"/>
    <mergeCell ref="P737:P738"/>
    <mergeCell ref="F733:H733"/>
    <mergeCell ref="F735:H735"/>
    <mergeCell ref="D737:D738"/>
    <mergeCell ref="E737:E738"/>
    <mergeCell ref="F737:F738"/>
    <mergeCell ref="G737:G738"/>
    <mergeCell ref="H737:H738"/>
    <mergeCell ref="I737:I738"/>
    <mergeCell ref="J737:J738"/>
  </mergeCells>
  <pageMargins left="0.7" right="0.7" top="0.75" bottom="0.75" header="0.3" footer="0.3"/>
  <ignoredErrors>
    <ignoredError sqref="K658" unlockedFormula="1"/>
  </ignoredErrors>
  <extLst>
    <ext xmlns:x14="http://schemas.microsoft.com/office/spreadsheetml/2009/9/main" uri="{CCE6A557-97BC-4b89-ADB6-D9C93CAAB3DF}">
      <x14:dataValidations xmlns:xm="http://schemas.microsoft.com/office/excel/2006/main" count="2">
        <x14:dataValidation type="list" allowBlank="1" showInputMessage="1" showErrorMessage="1">
          <x14:formula1>
            <xm:f>'1. Carátula'!$C$29:$C$30</xm:f>
          </x14:formula1>
          <xm:sqref>F375:H375 F466:H466 F501:H501 F615:H615 F652:H652 E760:H760 F393:H393 F411:H411 F429:H429 F447:H447 F474:H474 F483:H483 F491:H491 F520:H520 F539:H539 F558:H558 F577:H577 F596:H596 F673:H673 F693:H693 F713:H713 F733:H733</xm:sqref>
        </x14:dataValidation>
        <x14:dataValidation type="list" allowBlank="1" showInputMessage="1" showErrorMessage="1">
          <x14:formula1>
            <xm:f>'1. Carátula'!$C$32:$C$280</xm:f>
          </x14:formula1>
          <xm:sqref>F774:F793 F801:F820 F828:F847 F856:F875 F883:F902</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heetPr>
  <dimension ref="B1:O107"/>
  <sheetViews>
    <sheetView showGridLines="0" workbookViewId="0">
      <selection activeCell="E8" sqref="E8"/>
    </sheetView>
  </sheetViews>
  <sheetFormatPr baseColWidth="10" defaultColWidth="9.140625" defaultRowHeight="15"/>
  <cols>
    <col min="1" max="2" width="2.42578125" customWidth="1"/>
    <col min="3" max="3" width="3.7109375" customWidth="1"/>
    <col min="4" max="4" width="50.7109375" customWidth="1"/>
    <col min="5" max="16" width="14.7109375" customWidth="1"/>
  </cols>
  <sheetData>
    <row r="1" spans="2:15" ht="15" customHeight="1"/>
    <row r="2" spans="2:15" s="246" customFormat="1" ht="15" customHeight="1">
      <c r="B2" s="247"/>
      <c r="C2" s="379" t="s">
        <v>1746</v>
      </c>
    </row>
    <row r="3" spans="2:15" ht="15" customHeight="1" thickBot="1"/>
    <row r="4" spans="2:15">
      <c r="D4" s="195"/>
      <c r="E4" s="1611" t="s">
        <v>1419</v>
      </c>
      <c r="F4" s="1612" t="s">
        <v>1420</v>
      </c>
      <c r="G4" s="1613" t="s">
        <v>432</v>
      </c>
    </row>
    <row r="5" spans="2:15" ht="54.95" customHeight="1" thickBot="1">
      <c r="D5" s="35"/>
      <c r="E5" s="1676"/>
      <c r="F5" s="1610"/>
      <c r="G5" s="1616"/>
    </row>
    <row r="6" spans="2:15">
      <c r="D6" s="361" t="s">
        <v>1747</v>
      </c>
      <c r="E6" s="48"/>
      <c r="F6" s="48"/>
      <c r="G6" s="57"/>
    </row>
    <row r="7" spans="2:15">
      <c r="D7" s="359" t="s">
        <v>557</v>
      </c>
      <c r="E7" s="43">
        <v>744785</v>
      </c>
      <c r="F7" s="43"/>
      <c r="G7" s="58">
        <f>+E7+F7</f>
        <v>744785</v>
      </c>
    </row>
    <row r="8" spans="2:15">
      <c r="D8" s="352" t="s">
        <v>1748</v>
      </c>
      <c r="E8" s="58"/>
      <c r="F8" s="58"/>
      <c r="G8" s="58">
        <f t="shared" ref="G8:G9" si="0">+E8+F8</f>
        <v>0</v>
      </c>
    </row>
    <row r="9" spans="2:15" s="146" customFormat="1">
      <c r="D9" s="359" t="s">
        <v>1749</v>
      </c>
      <c r="E9" s="43"/>
      <c r="F9" s="43"/>
      <c r="G9" s="58">
        <f t="shared" si="0"/>
        <v>0</v>
      </c>
    </row>
    <row r="10" spans="2:15" s="146" customFormat="1">
      <c r="D10" s="356"/>
      <c r="E10" s="131"/>
      <c r="F10" s="131"/>
      <c r="G10" s="131"/>
    </row>
    <row r="11" spans="2:15" s="315" customFormat="1">
      <c r="D11" s="357"/>
      <c r="E11" s="373"/>
      <c r="F11" s="373"/>
      <c r="G11" s="374"/>
    </row>
    <row r="12" spans="2:15" s="315" customFormat="1">
      <c r="C12" s="379" t="s">
        <v>1750</v>
      </c>
      <c r="D12" s="357"/>
      <c r="E12" s="373"/>
      <c r="F12" s="373"/>
      <c r="G12" s="374"/>
    </row>
    <row r="13" spans="2:15" ht="15.75" thickBot="1"/>
    <row r="14" spans="2:15">
      <c r="C14" s="195"/>
      <c r="D14" s="195"/>
      <c r="E14" s="1607" t="s">
        <v>928</v>
      </c>
      <c r="F14" s="1607" t="s">
        <v>929</v>
      </c>
      <c r="G14" s="1607" t="s">
        <v>930</v>
      </c>
      <c r="H14" s="1607" t="s">
        <v>931</v>
      </c>
      <c r="I14" s="1607" t="s">
        <v>932</v>
      </c>
      <c r="J14" s="1607" t="s">
        <v>933</v>
      </c>
      <c r="K14" s="1607" t="s">
        <v>934</v>
      </c>
      <c r="L14" s="1607" t="s">
        <v>935</v>
      </c>
      <c r="M14" s="1607" t="s">
        <v>936</v>
      </c>
      <c r="N14" s="1607" t="s">
        <v>937</v>
      </c>
      <c r="O14" s="1602" t="s">
        <v>1476</v>
      </c>
    </row>
    <row r="15" spans="2:15" s="315" customFormat="1" ht="54.95" customHeight="1" thickBot="1">
      <c r="C15" s="35"/>
      <c r="D15" s="35"/>
      <c r="E15" s="1608"/>
      <c r="F15" s="1608"/>
      <c r="G15" s="1608"/>
      <c r="H15" s="1608"/>
      <c r="I15" s="1608"/>
      <c r="J15" s="1608"/>
      <c r="K15" s="1608"/>
      <c r="L15" s="1608"/>
      <c r="M15" s="1608"/>
      <c r="N15" s="1608"/>
      <c r="O15" s="1603"/>
    </row>
    <row r="16" spans="2:15" s="315" customFormat="1" ht="14.1" customHeight="1">
      <c r="C16" s="1566" t="s">
        <v>1505</v>
      </c>
      <c r="D16" s="1566"/>
      <c r="E16" s="761"/>
      <c r="F16" s="761"/>
      <c r="G16" s="761"/>
      <c r="H16" s="761"/>
      <c r="I16" s="761"/>
      <c r="J16" s="761"/>
      <c r="K16" s="761"/>
      <c r="L16" s="761"/>
      <c r="M16" s="761"/>
      <c r="N16" s="761"/>
      <c r="O16" s="761"/>
    </row>
    <row r="17" spans="3:15" s="315" customFormat="1" ht="14.1" customHeight="1">
      <c r="C17" s="1566" t="s">
        <v>423</v>
      </c>
      <c r="D17" s="1566"/>
      <c r="E17" s="321"/>
      <c r="F17" s="321"/>
      <c r="G17" s="321"/>
      <c r="H17" s="321"/>
      <c r="I17" s="321"/>
      <c r="J17" s="321"/>
      <c r="K17" s="321"/>
      <c r="L17" s="321"/>
      <c r="M17" s="321"/>
      <c r="N17" s="321"/>
      <c r="O17" s="321"/>
    </row>
    <row r="18" spans="3:15" s="315" customFormat="1" ht="14.1" customHeight="1">
      <c r="C18" s="1566" t="s">
        <v>424</v>
      </c>
      <c r="D18" s="1566"/>
      <c r="E18" s="321"/>
      <c r="F18" s="321"/>
      <c r="G18" s="321"/>
      <c r="H18" s="321"/>
      <c r="I18" s="321"/>
      <c r="J18" s="321"/>
      <c r="K18" s="321"/>
      <c r="L18" s="321"/>
      <c r="M18" s="321"/>
      <c r="N18" s="321"/>
      <c r="O18" s="321"/>
    </row>
    <row r="19" spans="3:15" s="315" customFormat="1" ht="14.1" customHeight="1">
      <c r="C19" s="1566" t="s">
        <v>425</v>
      </c>
      <c r="D19" s="1566"/>
      <c r="E19" s="321"/>
      <c r="F19" s="321"/>
      <c r="G19" s="321"/>
      <c r="H19" s="321"/>
      <c r="I19" s="321"/>
      <c r="J19" s="321"/>
      <c r="K19" s="321"/>
      <c r="L19" s="321"/>
      <c r="M19" s="321"/>
      <c r="N19" s="321"/>
      <c r="O19" s="321"/>
    </row>
    <row r="20" spans="3:15" s="315" customFormat="1" ht="14.1" customHeight="1">
      <c r="C20" s="1566" t="s">
        <v>1506</v>
      </c>
      <c r="D20" s="1566"/>
      <c r="E20" s="321"/>
      <c r="F20" s="321"/>
      <c r="G20" s="321"/>
      <c r="H20" s="321"/>
      <c r="I20" s="321"/>
      <c r="J20" s="321"/>
      <c r="K20" s="321"/>
      <c r="L20" s="321"/>
      <c r="M20" s="321"/>
      <c r="N20" s="321"/>
      <c r="O20" s="321"/>
    </row>
    <row r="21" spans="3:15" s="315" customFormat="1" ht="14.1" customHeight="1">
      <c r="C21" s="1566" t="s">
        <v>426</v>
      </c>
      <c r="D21" s="1566"/>
      <c r="E21" s="321"/>
      <c r="F21" s="321"/>
      <c r="G21" s="321"/>
      <c r="H21" s="321"/>
      <c r="I21" s="321"/>
      <c r="J21" s="321"/>
      <c r="K21" s="321"/>
      <c r="L21" s="321"/>
      <c r="M21" s="321"/>
      <c r="N21" s="321"/>
      <c r="O21" s="321"/>
    </row>
    <row r="22" spans="3:15" s="315" customFormat="1" ht="14.1" customHeight="1">
      <c r="C22" s="1566" t="s">
        <v>1480</v>
      </c>
      <c r="D22" s="1566"/>
      <c r="E22" s="321"/>
      <c r="F22" s="321"/>
      <c r="G22" s="321"/>
      <c r="H22" s="321"/>
      <c r="I22" s="321"/>
      <c r="J22" s="321"/>
      <c r="K22" s="321"/>
      <c r="L22" s="321"/>
      <c r="M22" s="321"/>
      <c r="N22" s="321"/>
      <c r="O22" s="321"/>
    </row>
    <row r="23" spans="3:15" s="315" customFormat="1" ht="14.1" customHeight="1">
      <c r="C23" s="1566" t="s">
        <v>427</v>
      </c>
      <c r="D23" s="1566"/>
      <c r="E23" s="321"/>
      <c r="F23" s="321"/>
      <c r="G23" s="321"/>
      <c r="H23" s="321"/>
      <c r="I23" s="321"/>
      <c r="J23" s="321"/>
      <c r="K23" s="321"/>
      <c r="L23" s="321"/>
      <c r="M23" s="321"/>
      <c r="N23" s="321"/>
      <c r="O23" s="321"/>
    </row>
    <row r="24" spans="3:15" ht="14.1" customHeight="1">
      <c r="C24" s="1585" t="s">
        <v>1751</v>
      </c>
      <c r="D24" s="1585"/>
      <c r="E24" s="233"/>
      <c r="F24" s="233"/>
      <c r="G24" s="233"/>
      <c r="H24" s="233"/>
      <c r="I24" s="233"/>
      <c r="J24" s="233"/>
      <c r="K24" s="233"/>
      <c r="L24" s="233"/>
      <c r="M24" s="233"/>
      <c r="N24" s="233"/>
      <c r="O24" s="233"/>
    </row>
    <row r="25" spans="3:15" ht="14.1" customHeight="1">
      <c r="C25" s="361"/>
      <c r="D25" s="361" t="s">
        <v>558</v>
      </c>
      <c r="E25" s="233"/>
      <c r="F25" s="233"/>
      <c r="G25" s="233"/>
      <c r="H25" s="233"/>
      <c r="I25" s="233"/>
      <c r="J25" s="233"/>
      <c r="K25" s="233"/>
      <c r="L25" s="233"/>
      <c r="M25" s="233"/>
      <c r="N25" s="233"/>
      <c r="O25" s="304">
        <f>SUM(E25:N25)</f>
        <v>0</v>
      </c>
    </row>
    <row r="26" spans="3:15" ht="14.1" customHeight="1">
      <c r="C26" s="4"/>
      <c r="D26" s="359" t="s">
        <v>414</v>
      </c>
      <c r="E26" s="43"/>
      <c r="F26" s="43"/>
      <c r="G26" s="43"/>
      <c r="H26" s="43"/>
      <c r="I26" s="43"/>
      <c r="J26" s="43"/>
      <c r="K26" s="43"/>
      <c r="L26" s="43"/>
      <c r="M26" s="43"/>
      <c r="N26" s="43"/>
      <c r="O26" s="60">
        <f t="shared" ref="O26:O35" si="1">SUM(E26:N26)</f>
        <v>0</v>
      </c>
    </row>
    <row r="27" spans="3:15" ht="14.1" customHeight="1">
      <c r="C27" s="4"/>
      <c r="D27" s="359" t="s">
        <v>1491</v>
      </c>
      <c r="E27" s="43"/>
      <c r="F27" s="43"/>
      <c r="G27" s="43"/>
      <c r="H27" s="43"/>
      <c r="I27" s="43"/>
      <c r="J27" s="43"/>
      <c r="K27" s="43"/>
      <c r="L27" s="43"/>
      <c r="M27" s="43"/>
      <c r="N27" s="43"/>
      <c r="O27" s="60">
        <f t="shared" si="1"/>
        <v>0</v>
      </c>
    </row>
    <row r="28" spans="3:15" ht="14.1" customHeight="1">
      <c r="C28" s="4"/>
      <c r="D28" s="359" t="s">
        <v>1492</v>
      </c>
      <c r="E28" s="43"/>
      <c r="F28" s="43"/>
      <c r="G28" s="43"/>
      <c r="H28" s="43"/>
      <c r="I28" s="43"/>
      <c r="J28" s="43"/>
      <c r="K28" s="43"/>
      <c r="L28" s="43"/>
      <c r="M28" s="43"/>
      <c r="N28" s="43"/>
      <c r="O28" s="60">
        <f t="shared" si="1"/>
        <v>0</v>
      </c>
    </row>
    <row r="29" spans="3:15" ht="14.1" customHeight="1">
      <c r="C29" s="4"/>
      <c r="D29" s="359" t="s">
        <v>1493</v>
      </c>
      <c r="E29" s="43"/>
      <c r="F29" s="43"/>
      <c r="G29" s="43"/>
      <c r="H29" s="43"/>
      <c r="I29" s="43"/>
      <c r="J29" s="43"/>
      <c r="K29" s="43"/>
      <c r="L29" s="43"/>
      <c r="M29" s="43"/>
      <c r="N29" s="43"/>
      <c r="O29" s="60">
        <f t="shared" si="1"/>
        <v>0</v>
      </c>
    </row>
    <row r="30" spans="3:15" ht="14.1" customHeight="1">
      <c r="C30" s="4"/>
      <c r="D30" s="359" t="s">
        <v>559</v>
      </c>
      <c r="E30" s="43"/>
      <c r="F30" s="43"/>
      <c r="G30" s="43"/>
      <c r="H30" s="43"/>
      <c r="I30" s="43"/>
      <c r="J30" s="43"/>
      <c r="K30" s="43"/>
      <c r="L30" s="43"/>
      <c r="M30" s="43"/>
      <c r="N30" s="43"/>
      <c r="O30" s="60">
        <f t="shared" si="1"/>
        <v>0</v>
      </c>
    </row>
    <row r="31" spans="3:15" ht="14.1" customHeight="1">
      <c r="C31" s="4"/>
      <c r="D31" s="359" t="s">
        <v>1494</v>
      </c>
      <c r="E31" s="43"/>
      <c r="F31" s="43"/>
      <c r="G31" s="43"/>
      <c r="H31" s="43"/>
      <c r="I31" s="43"/>
      <c r="J31" s="43"/>
      <c r="K31" s="43"/>
      <c r="L31" s="43"/>
      <c r="M31" s="43"/>
      <c r="N31" s="43"/>
      <c r="O31" s="60">
        <f t="shared" si="1"/>
        <v>0</v>
      </c>
    </row>
    <row r="32" spans="3:15" ht="14.1" customHeight="1">
      <c r="C32" s="4"/>
      <c r="D32" s="359" t="s">
        <v>1495</v>
      </c>
      <c r="E32" s="43"/>
      <c r="F32" s="43"/>
      <c r="G32" s="43"/>
      <c r="H32" s="43"/>
      <c r="I32" s="43"/>
      <c r="J32" s="43"/>
      <c r="K32" s="43"/>
      <c r="L32" s="43"/>
      <c r="M32" s="43"/>
      <c r="N32" s="43"/>
      <c r="O32" s="60">
        <f t="shared" si="1"/>
        <v>0</v>
      </c>
    </row>
    <row r="33" spans="3:15" ht="14.1" customHeight="1">
      <c r="C33" s="4"/>
      <c r="D33" s="359" t="s">
        <v>1496</v>
      </c>
      <c r="E33" s="43"/>
      <c r="F33" s="43"/>
      <c r="G33" s="43"/>
      <c r="H33" s="43"/>
      <c r="I33" s="43"/>
      <c r="J33" s="43"/>
      <c r="K33" s="43"/>
      <c r="L33" s="43"/>
      <c r="M33" s="43"/>
      <c r="N33" s="43"/>
      <c r="O33" s="60">
        <f t="shared" si="1"/>
        <v>0</v>
      </c>
    </row>
    <row r="34" spans="3:15" ht="14.1" customHeight="1">
      <c r="C34" s="4"/>
      <c r="D34" s="359" t="s">
        <v>417</v>
      </c>
      <c r="E34" s="43"/>
      <c r="F34" s="43"/>
      <c r="G34" s="43"/>
      <c r="H34" s="43"/>
      <c r="I34" s="43"/>
      <c r="J34" s="43"/>
      <c r="K34" s="43"/>
      <c r="L34" s="43"/>
      <c r="M34" s="43"/>
      <c r="N34" s="43"/>
      <c r="O34" s="60">
        <f t="shared" si="1"/>
        <v>0</v>
      </c>
    </row>
    <row r="35" spans="3:15" ht="14.1" customHeight="1" thickBot="1">
      <c r="C35" s="238"/>
      <c r="D35" s="360" t="s">
        <v>561</v>
      </c>
      <c r="E35" s="133"/>
      <c r="F35" s="133"/>
      <c r="G35" s="133"/>
      <c r="H35" s="133"/>
      <c r="I35" s="133"/>
      <c r="J35" s="133"/>
      <c r="K35" s="133"/>
      <c r="L35" s="133"/>
      <c r="M35" s="133"/>
      <c r="N35" s="133"/>
      <c r="O35" s="133">
        <f t="shared" si="1"/>
        <v>0</v>
      </c>
    </row>
    <row r="36" spans="3:15" ht="14.1" customHeight="1" thickBot="1">
      <c r="C36" s="238"/>
      <c r="D36" s="366" t="s">
        <v>560</v>
      </c>
      <c r="E36" s="134">
        <f>E25+E35</f>
        <v>0</v>
      </c>
      <c r="F36" s="135">
        <f t="shared" ref="F36:O36" si="2">F25+F35</f>
        <v>0</v>
      </c>
      <c r="G36" s="135">
        <f t="shared" si="2"/>
        <v>0</v>
      </c>
      <c r="H36" s="135">
        <f t="shared" si="2"/>
        <v>0</v>
      </c>
      <c r="I36" s="135">
        <f t="shared" si="2"/>
        <v>0</v>
      </c>
      <c r="J36" s="135">
        <f t="shared" si="2"/>
        <v>0</v>
      </c>
      <c r="K36" s="135">
        <f t="shared" si="2"/>
        <v>0</v>
      </c>
      <c r="L36" s="135">
        <f t="shared" si="2"/>
        <v>0</v>
      </c>
      <c r="M36" s="135">
        <f t="shared" si="2"/>
        <v>0</v>
      </c>
      <c r="N36" s="135">
        <f t="shared" si="2"/>
        <v>0</v>
      </c>
      <c r="O36" s="136">
        <f t="shared" si="2"/>
        <v>0</v>
      </c>
    </row>
    <row r="39" spans="3:15">
      <c r="C39" s="379" t="s">
        <v>1752</v>
      </c>
    </row>
    <row r="40" spans="3:15" ht="15.75" thickBot="1"/>
    <row r="41" spans="3:15">
      <c r="C41" s="195"/>
      <c r="D41" s="195"/>
      <c r="E41" s="1607" t="s">
        <v>928</v>
      </c>
      <c r="F41" s="1607" t="s">
        <v>929</v>
      </c>
      <c r="G41" s="1607" t="s">
        <v>930</v>
      </c>
      <c r="H41" s="1607" t="s">
        <v>931</v>
      </c>
      <c r="I41" s="1607" t="s">
        <v>932</v>
      </c>
      <c r="J41" s="1607" t="s">
        <v>933</v>
      </c>
      <c r="K41" s="1607" t="s">
        <v>934</v>
      </c>
      <c r="L41" s="1607" t="s">
        <v>935</v>
      </c>
      <c r="M41" s="1607" t="s">
        <v>936</v>
      </c>
      <c r="N41" s="1607" t="s">
        <v>937</v>
      </c>
      <c r="O41" s="1602" t="s">
        <v>1500</v>
      </c>
    </row>
    <row r="42" spans="3:15" s="315" customFormat="1" ht="54.95" customHeight="1" thickBot="1">
      <c r="C42" s="35"/>
      <c r="D42" s="35"/>
      <c r="E42" s="1608"/>
      <c r="F42" s="1608"/>
      <c r="G42" s="1608"/>
      <c r="H42" s="1608"/>
      <c r="I42" s="1608"/>
      <c r="J42" s="1608"/>
      <c r="K42" s="1608"/>
      <c r="L42" s="1608"/>
      <c r="M42" s="1608"/>
      <c r="N42" s="1608"/>
      <c r="O42" s="1603"/>
    </row>
    <row r="43" spans="3:15" s="315" customFormat="1" ht="14.1" customHeight="1">
      <c r="C43" s="1566" t="s">
        <v>1505</v>
      </c>
      <c r="D43" s="1566"/>
      <c r="E43" s="761"/>
      <c r="F43" s="761"/>
      <c r="G43" s="761"/>
      <c r="H43" s="761"/>
      <c r="I43" s="761"/>
      <c r="J43" s="761"/>
      <c r="K43" s="761"/>
      <c r="L43" s="761"/>
      <c r="M43" s="761"/>
      <c r="N43" s="761"/>
      <c r="O43" s="761"/>
    </row>
    <row r="44" spans="3:15" s="315" customFormat="1" ht="14.1" customHeight="1">
      <c r="C44" s="1566" t="s">
        <v>423</v>
      </c>
      <c r="D44" s="1566"/>
      <c r="E44" s="321"/>
      <c r="F44" s="321"/>
      <c r="G44" s="321"/>
      <c r="H44" s="321"/>
      <c r="I44" s="321"/>
      <c r="J44" s="321"/>
      <c r="K44" s="321"/>
      <c r="L44" s="321"/>
      <c r="M44" s="321"/>
      <c r="N44" s="321"/>
      <c r="O44" s="321"/>
    </row>
    <row r="45" spans="3:15" s="315" customFormat="1" ht="14.1" customHeight="1">
      <c r="C45" s="1566" t="s">
        <v>424</v>
      </c>
      <c r="D45" s="1566"/>
      <c r="E45" s="321"/>
      <c r="F45" s="321"/>
      <c r="G45" s="321"/>
      <c r="H45" s="321"/>
      <c r="I45" s="321"/>
      <c r="J45" s="321"/>
      <c r="K45" s="321"/>
      <c r="L45" s="321"/>
      <c r="M45" s="321"/>
      <c r="N45" s="321"/>
      <c r="O45" s="321"/>
    </row>
    <row r="46" spans="3:15" s="315" customFormat="1" ht="14.1" customHeight="1">
      <c r="C46" s="1566" t="s">
        <v>425</v>
      </c>
      <c r="D46" s="1566"/>
      <c r="E46" s="321"/>
      <c r="F46" s="321"/>
      <c r="G46" s="321"/>
      <c r="H46" s="321"/>
      <c r="I46" s="321"/>
      <c r="J46" s="321"/>
      <c r="K46" s="321"/>
      <c r="L46" s="321"/>
      <c r="M46" s="321"/>
      <c r="N46" s="321"/>
      <c r="O46" s="321"/>
    </row>
    <row r="47" spans="3:15" s="315" customFormat="1" ht="14.1" customHeight="1">
      <c r="C47" s="1566" t="s">
        <v>1506</v>
      </c>
      <c r="D47" s="1566"/>
      <c r="E47" s="321" t="s">
        <v>3781</v>
      </c>
      <c r="F47" s="321" t="s">
        <v>3782</v>
      </c>
      <c r="G47" s="321" t="s">
        <v>3783</v>
      </c>
      <c r="H47" s="321" t="s">
        <v>3784</v>
      </c>
      <c r="I47" s="321" t="s">
        <v>3859</v>
      </c>
      <c r="J47" s="321"/>
      <c r="K47" s="321"/>
      <c r="L47" s="321"/>
      <c r="M47" s="321"/>
      <c r="N47" s="321"/>
      <c r="O47" s="321"/>
    </row>
    <row r="48" spans="3:15" s="315" customFormat="1" ht="14.1" customHeight="1">
      <c r="C48" s="1566" t="s">
        <v>428</v>
      </c>
      <c r="D48" s="1566"/>
      <c r="E48" s="321" t="s">
        <v>3834</v>
      </c>
      <c r="F48" s="321" t="s">
        <v>3832</v>
      </c>
      <c r="G48" s="321" t="s">
        <v>3838</v>
      </c>
      <c r="H48" s="321" t="s">
        <v>3831</v>
      </c>
      <c r="I48" s="321" t="s">
        <v>3836</v>
      </c>
      <c r="J48" s="321"/>
      <c r="K48" s="321"/>
      <c r="L48" s="321"/>
      <c r="M48" s="321"/>
      <c r="N48" s="321"/>
      <c r="O48" s="321"/>
    </row>
    <row r="49" spans="3:15" s="315" customFormat="1" ht="14.1" customHeight="1">
      <c r="C49" s="1566" t="s">
        <v>1480</v>
      </c>
      <c r="D49" s="1566"/>
      <c r="E49" s="321" t="s">
        <v>3779</v>
      </c>
      <c r="F49" s="321" t="s">
        <v>3779</v>
      </c>
      <c r="G49" s="321" t="s">
        <v>3780</v>
      </c>
      <c r="H49" s="321" t="s">
        <v>3779</v>
      </c>
      <c r="I49" s="321" t="s">
        <v>3779</v>
      </c>
      <c r="J49" s="321"/>
      <c r="K49" s="321"/>
      <c r="L49" s="321"/>
      <c r="M49" s="321"/>
      <c r="N49" s="321"/>
      <c r="O49" s="321"/>
    </row>
    <row r="50" spans="3:15" s="315" customFormat="1" ht="14.1" customHeight="1">
      <c r="C50" s="1566" t="s">
        <v>427</v>
      </c>
      <c r="D50" s="1566"/>
      <c r="E50" s="321" t="s">
        <v>2039</v>
      </c>
      <c r="F50" s="321" t="s">
        <v>2039</v>
      </c>
      <c r="G50" s="321" t="s">
        <v>2025</v>
      </c>
      <c r="H50" s="321" t="s">
        <v>2025</v>
      </c>
      <c r="I50" s="321" t="s">
        <v>2057</v>
      </c>
      <c r="J50" s="321"/>
      <c r="K50" s="321"/>
      <c r="L50" s="321"/>
      <c r="M50" s="321"/>
      <c r="N50" s="321"/>
      <c r="O50" s="321"/>
    </row>
    <row r="51" spans="3:15" ht="14.1" customHeight="1">
      <c r="C51" s="1585" t="s">
        <v>1751</v>
      </c>
      <c r="D51" s="1585"/>
      <c r="E51" s="233"/>
      <c r="F51" s="233"/>
      <c r="G51" s="233"/>
      <c r="H51" s="233"/>
      <c r="I51" s="233"/>
      <c r="J51" s="233"/>
      <c r="K51" s="233"/>
      <c r="L51" s="233"/>
      <c r="M51" s="233"/>
      <c r="N51" s="233"/>
      <c r="O51" s="233"/>
    </row>
    <row r="52" spans="3:15" ht="14.1" customHeight="1">
      <c r="C52" s="361"/>
      <c r="D52" s="361" t="s">
        <v>558</v>
      </c>
      <c r="E52" s="233">
        <v>3893</v>
      </c>
      <c r="F52" s="233">
        <v>51539</v>
      </c>
      <c r="G52" s="233">
        <v>17950193</v>
      </c>
      <c r="H52" s="233">
        <v>53837</v>
      </c>
      <c r="I52" s="233">
        <v>5028</v>
      </c>
      <c r="J52" s="233"/>
      <c r="K52" s="233"/>
      <c r="L52" s="233"/>
      <c r="M52" s="233"/>
      <c r="N52" s="233"/>
      <c r="O52" s="304">
        <f>SUM(E52:N52)</f>
        <v>18064490</v>
      </c>
    </row>
    <row r="53" spans="3:15" ht="14.1" customHeight="1">
      <c r="C53" s="4"/>
      <c r="D53" s="359" t="s">
        <v>414</v>
      </c>
      <c r="E53" s="43"/>
      <c r="F53" s="43"/>
      <c r="G53" s="43"/>
      <c r="H53" s="43"/>
      <c r="I53" s="43"/>
      <c r="J53" s="43"/>
      <c r="K53" s="43"/>
      <c r="L53" s="43"/>
      <c r="M53" s="43"/>
      <c r="N53" s="43"/>
      <c r="O53" s="60">
        <f t="shared" ref="O53:O62" si="3">SUM(E53:N53)</f>
        <v>0</v>
      </c>
    </row>
    <row r="54" spans="3:15" ht="14.1" customHeight="1">
      <c r="C54" s="4"/>
      <c r="D54" s="359" t="s">
        <v>1491</v>
      </c>
      <c r="E54" s="43"/>
      <c r="F54" s="43"/>
      <c r="G54" s="43"/>
      <c r="H54" s="43"/>
      <c r="I54" s="43"/>
      <c r="J54" s="43"/>
      <c r="K54" s="43"/>
      <c r="L54" s="43"/>
      <c r="M54" s="43"/>
      <c r="N54" s="43"/>
      <c r="O54" s="60">
        <f t="shared" si="3"/>
        <v>0</v>
      </c>
    </row>
    <row r="55" spans="3:15" ht="14.1" customHeight="1">
      <c r="C55" s="4"/>
      <c r="D55" s="359" t="s">
        <v>1492</v>
      </c>
      <c r="E55" s="43"/>
      <c r="F55" s="43"/>
      <c r="G55" s="43"/>
      <c r="H55" s="43"/>
      <c r="I55" s="43"/>
      <c r="J55" s="43"/>
      <c r="K55" s="43"/>
      <c r="L55" s="43"/>
      <c r="M55" s="43"/>
      <c r="N55" s="43"/>
      <c r="O55" s="60">
        <f t="shared" si="3"/>
        <v>0</v>
      </c>
    </row>
    <row r="56" spans="3:15" ht="14.1" customHeight="1">
      <c r="C56" s="4"/>
      <c r="D56" s="359" t="s">
        <v>1493</v>
      </c>
      <c r="E56" s="43"/>
      <c r="F56" s="43"/>
      <c r="G56" s="43"/>
      <c r="H56" s="43"/>
      <c r="I56" s="43"/>
      <c r="J56" s="43"/>
      <c r="K56" s="43"/>
      <c r="L56" s="43"/>
      <c r="M56" s="43"/>
      <c r="N56" s="43"/>
      <c r="O56" s="60">
        <f t="shared" si="3"/>
        <v>0</v>
      </c>
    </row>
    <row r="57" spans="3:15" ht="14.1" customHeight="1">
      <c r="C57" s="4"/>
      <c r="D57" s="359" t="s">
        <v>559</v>
      </c>
      <c r="E57" s="43"/>
      <c r="F57" s="43"/>
      <c r="G57" s="43"/>
      <c r="H57" s="43"/>
      <c r="I57" s="43"/>
      <c r="J57" s="43"/>
      <c r="K57" s="43"/>
      <c r="L57" s="43"/>
      <c r="M57" s="43"/>
      <c r="N57" s="43"/>
      <c r="O57" s="60">
        <f t="shared" si="3"/>
        <v>0</v>
      </c>
    </row>
    <row r="58" spans="3:15" ht="14.1" customHeight="1">
      <c r="C58" s="4"/>
      <c r="D58" s="359" t="s">
        <v>1494</v>
      </c>
      <c r="E58" s="43"/>
      <c r="F58" s="43"/>
      <c r="G58" s="43"/>
      <c r="H58" s="43"/>
      <c r="I58" s="43"/>
      <c r="J58" s="43"/>
      <c r="K58" s="43"/>
      <c r="L58" s="43"/>
      <c r="M58" s="43"/>
      <c r="N58" s="43"/>
      <c r="O58" s="60">
        <f t="shared" si="3"/>
        <v>0</v>
      </c>
    </row>
    <row r="59" spans="3:15" ht="14.1" customHeight="1">
      <c r="C59" s="4"/>
      <c r="D59" s="359" t="s">
        <v>1495</v>
      </c>
      <c r="E59" s="43"/>
      <c r="F59" s="43"/>
      <c r="G59" s="43"/>
      <c r="H59" s="43"/>
      <c r="I59" s="43"/>
      <c r="J59" s="43"/>
      <c r="K59" s="43"/>
      <c r="L59" s="43"/>
      <c r="M59" s="43"/>
      <c r="N59" s="43"/>
      <c r="O59" s="60">
        <f t="shared" si="3"/>
        <v>0</v>
      </c>
    </row>
    <row r="60" spans="3:15" ht="14.1" customHeight="1">
      <c r="C60" s="4"/>
      <c r="D60" s="359" t="s">
        <v>1496</v>
      </c>
      <c r="E60" s="43">
        <v>3893</v>
      </c>
      <c r="F60" s="43">
        <v>51539</v>
      </c>
      <c r="G60" s="43">
        <v>17950193</v>
      </c>
      <c r="H60" s="43">
        <v>53837</v>
      </c>
      <c r="I60" s="43">
        <v>5028</v>
      </c>
      <c r="J60" s="43"/>
      <c r="K60" s="43"/>
      <c r="L60" s="43"/>
      <c r="M60" s="43"/>
      <c r="N60" s="43"/>
      <c r="O60" s="60">
        <f t="shared" si="3"/>
        <v>18064490</v>
      </c>
    </row>
    <row r="61" spans="3:15" ht="14.1" customHeight="1">
      <c r="C61" s="4"/>
      <c r="D61" s="359" t="s">
        <v>417</v>
      </c>
      <c r="E61" s="43"/>
      <c r="F61" s="43"/>
      <c r="G61" s="43"/>
      <c r="H61" s="43"/>
      <c r="I61" s="43"/>
      <c r="J61" s="43"/>
      <c r="K61" s="43"/>
      <c r="L61" s="43"/>
      <c r="M61" s="43"/>
      <c r="N61" s="43"/>
      <c r="O61" s="60">
        <f t="shared" si="3"/>
        <v>0</v>
      </c>
    </row>
    <row r="62" spans="3:15" ht="14.1" customHeight="1" thickBot="1">
      <c r="C62" s="238"/>
      <c r="D62" s="360" t="s">
        <v>561</v>
      </c>
      <c r="E62" s="133"/>
      <c r="F62" s="133"/>
      <c r="G62" s="133"/>
      <c r="H62" s="133"/>
      <c r="I62" s="133"/>
      <c r="J62" s="133"/>
      <c r="K62" s="133"/>
      <c r="L62" s="133"/>
      <c r="M62" s="133"/>
      <c r="N62" s="133"/>
      <c r="O62" s="133">
        <f t="shared" si="3"/>
        <v>0</v>
      </c>
    </row>
    <row r="63" spans="3:15" ht="14.1" customHeight="1" thickBot="1">
      <c r="C63" s="238"/>
      <c r="D63" s="366" t="s">
        <v>560</v>
      </c>
      <c r="E63" s="134">
        <f>E52+E62</f>
        <v>3893</v>
      </c>
      <c r="F63" s="135">
        <f t="shared" ref="F63" si="4">F52+F62</f>
        <v>51539</v>
      </c>
      <c r="G63" s="135">
        <f t="shared" ref="G63" si="5">G52+G62</f>
        <v>17950193</v>
      </c>
      <c r="H63" s="135">
        <f t="shared" ref="H63" si="6">H52+H62</f>
        <v>53837</v>
      </c>
      <c r="I63" s="135">
        <f t="shared" ref="I63" si="7">I52+I62</f>
        <v>5028</v>
      </c>
      <c r="J63" s="135">
        <f t="shared" ref="J63" si="8">J52+J62</f>
        <v>0</v>
      </c>
      <c r="K63" s="135">
        <f t="shared" ref="K63" si="9">K52+K62</f>
        <v>0</v>
      </c>
      <c r="L63" s="135">
        <f t="shared" ref="L63" si="10">L52+L62</f>
        <v>0</v>
      </c>
      <c r="M63" s="135">
        <f t="shared" ref="M63" si="11">M52+M62</f>
        <v>0</v>
      </c>
      <c r="N63" s="135">
        <f t="shared" ref="N63" si="12">N52+N62</f>
        <v>0</v>
      </c>
      <c r="O63" s="136">
        <f t="shared" ref="O63" si="13">O52+O62</f>
        <v>18064490</v>
      </c>
    </row>
    <row r="66" spans="3:7">
      <c r="C66" s="379" t="s">
        <v>1753</v>
      </c>
    </row>
    <row r="67" spans="3:7" ht="15.75" thickBot="1"/>
    <row r="68" spans="3:7" ht="14.1" customHeight="1" thickBot="1">
      <c r="D68" s="142"/>
      <c r="E68" s="142"/>
    </row>
    <row r="69" spans="3:7" ht="14.1" customHeight="1">
      <c r="D69" s="357" t="s">
        <v>1460</v>
      </c>
      <c r="E69" s="488">
        <f>O36</f>
        <v>0</v>
      </c>
    </row>
    <row r="70" spans="3:7" ht="14.1" customHeight="1" thickBot="1">
      <c r="D70" s="357" t="s">
        <v>1461</v>
      </c>
      <c r="E70" s="331">
        <f>O63</f>
        <v>18064490</v>
      </c>
    </row>
    <row r="71" spans="3:7" ht="14.1" customHeight="1" thickBot="1">
      <c r="D71" s="364" t="s">
        <v>1503</v>
      </c>
      <c r="E71" s="199">
        <f>E69+E70</f>
        <v>18064490</v>
      </c>
    </row>
    <row r="74" spans="3:7">
      <c r="C74" s="379" t="s">
        <v>1754</v>
      </c>
    </row>
    <row r="75" spans="3:7" ht="14.1" customHeight="1" thickBot="1"/>
    <row r="76" spans="3:7" ht="14.1" customHeight="1">
      <c r="D76" s="195"/>
      <c r="E76" s="1611" t="s">
        <v>1419</v>
      </c>
      <c r="F76" s="1612" t="s">
        <v>1420</v>
      </c>
      <c r="G76" s="1613" t="s">
        <v>432</v>
      </c>
    </row>
    <row r="77" spans="3:7" ht="54.95" customHeight="1" thickBot="1">
      <c r="D77" s="35"/>
      <c r="E77" s="1676"/>
      <c r="F77" s="1610"/>
      <c r="G77" s="1616"/>
    </row>
    <row r="78" spans="3:7" ht="14.1" customHeight="1">
      <c r="D78" s="361" t="s">
        <v>1755</v>
      </c>
      <c r="E78" s="48"/>
      <c r="F78" s="48"/>
      <c r="G78" s="57"/>
    </row>
    <row r="79" spans="3:7" ht="14.1" customHeight="1">
      <c r="D79" s="359" t="s">
        <v>2704</v>
      </c>
      <c r="E79" s="43">
        <v>46558</v>
      </c>
      <c r="F79" s="43"/>
      <c r="G79" s="58">
        <f>+E79+F79</f>
        <v>46558</v>
      </c>
    </row>
    <row r="80" spans="3:7" ht="14.1" customHeight="1" thickBot="1">
      <c r="D80" s="352" t="s">
        <v>563</v>
      </c>
      <c r="E80" s="59"/>
      <c r="F80" s="59"/>
      <c r="G80" s="59">
        <f t="shared" ref="G80" si="14">+E80+F80</f>
        <v>0</v>
      </c>
    </row>
    <row r="81" spans="3:8" ht="14.1" customHeight="1" thickBot="1">
      <c r="D81" s="364" t="s">
        <v>432</v>
      </c>
      <c r="E81" s="56">
        <f>E79+E80</f>
        <v>46558</v>
      </c>
      <c r="F81" s="56">
        <f t="shared" ref="F81:G81" si="15">F79+F80</f>
        <v>0</v>
      </c>
      <c r="G81" s="56">
        <f t="shared" si="15"/>
        <v>46558</v>
      </c>
    </row>
    <row r="82" spans="3:8" ht="14.1" customHeight="1">
      <c r="D82" s="357" t="s">
        <v>1748</v>
      </c>
      <c r="E82" s="65"/>
      <c r="F82" s="65"/>
      <c r="G82" s="70">
        <f t="shared" ref="G82:G83" si="16">+E82+F82</f>
        <v>0</v>
      </c>
    </row>
    <row r="83" spans="3:8" ht="14.1" customHeight="1">
      <c r="D83" s="357" t="s">
        <v>1749</v>
      </c>
      <c r="E83" s="43"/>
      <c r="F83" s="43"/>
      <c r="G83" s="58">
        <f t="shared" si="16"/>
        <v>0</v>
      </c>
    </row>
    <row r="84" spans="3:8" ht="14.1" customHeight="1"/>
    <row r="86" spans="3:8">
      <c r="C86" s="379" t="s">
        <v>1756</v>
      </c>
    </row>
    <row r="87" spans="3:8" ht="15.75" thickBot="1"/>
    <row r="88" spans="3:8">
      <c r="D88" s="1671"/>
      <c r="E88" s="1686" t="s">
        <v>579</v>
      </c>
      <c r="F88" s="1652" t="s">
        <v>564</v>
      </c>
      <c r="G88" s="1652"/>
      <c r="H88" s="1652"/>
    </row>
    <row r="89" spans="3:8" ht="54.95" customHeight="1" thickBot="1">
      <c r="D89" s="1675"/>
      <c r="E89" s="1687"/>
      <c r="F89" s="1653"/>
      <c r="G89" s="1653"/>
      <c r="H89" s="1653"/>
    </row>
    <row r="90" spans="3:8" ht="14.1" customHeight="1">
      <c r="D90" s="490" t="s">
        <v>752</v>
      </c>
      <c r="E90" s="65"/>
      <c r="F90" s="1713"/>
      <c r="G90" s="1713"/>
      <c r="H90" s="1714"/>
    </row>
    <row r="91" spans="3:8" ht="14.1" customHeight="1">
      <c r="D91" s="386" t="s">
        <v>1757</v>
      </c>
      <c r="E91" s="58"/>
      <c r="F91" s="1709"/>
      <c r="G91" s="1709"/>
      <c r="H91" s="1710"/>
    </row>
    <row r="92" spans="3:8" s="146" customFormat="1" ht="14.1" customHeight="1">
      <c r="C92" s="489">
        <v>1</v>
      </c>
      <c r="D92" s="385"/>
      <c r="E92" s="43"/>
      <c r="F92" s="1709"/>
      <c r="G92" s="1709"/>
      <c r="H92" s="1710"/>
    </row>
    <row r="93" spans="3:8" ht="14.1" customHeight="1">
      <c r="C93" s="489">
        <v>2</v>
      </c>
      <c r="D93" s="491"/>
      <c r="E93" s="495"/>
      <c r="F93" s="1709"/>
      <c r="G93" s="1709"/>
      <c r="H93" s="1710"/>
    </row>
    <row r="94" spans="3:8" ht="14.1" customHeight="1">
      <c r="C94" s="489">
        <v>3</v>
      </c>
      <c r="D94" s="491"/>
      <c r="E94" s="495"/>
      <c r="F94" s="1709"/>
      <c r="G94" s="1709"/>
      <c r="H94" s="1710"/>
    </row>
    <row r="95" spans="3:8" ht="14.1" customHeight="1">
      <c r="C95" s="489">
        <v>4</v>
      </c>
      <c r="D95" s="491"/>
      <c r="E95" s="495"/>
      <c r="F95" s="1709"/>
      <c r="G95" s="1709"/>
      <c r="H95" s="1710"/>
    </row>
    <row r="96" spans="3:8" ht="14.1" customHeight="1">
      <c r="C96" s="489">
        <v>5</v>
      </c>
      <c r="D96" s="491"/>
      <c r="E96" s="495"/>
      <c r="F96" s="1709"/>
      <c r="G96" s="1709"/>
      <c r="H96" s="1710"/>
    </row>
    <row r="97" spans="3:8" ht="14.1" customHeight="1">
      <c r="C97" s="489">
        <v>6</v>
      </c>
      <c r="D97" s="491"/>
      <c r="E97" s="495"/>
      <c r="F97" s="1709"/>
      <c r="G97" s="1709"/>
      <c r="H97" s="1710"/>
    </row>
    <row r="98" spans="3:8" ht="14.1" customHeight="1">
      <c r="C98" s="489">
        <v>7</v>
      </c>
      <c r="D98" s="491"/>
      <c r="E98" s="495"/>
      <c r="F98" s="1709"/>
      <c r="G98" s="1709"/>
      <c r="H98" s="1710"/>
    </row>
    <row r="99" spans="3:8" ht="14.1" customHeight="1">
      <c r="C99" s="489">
        <v>8</v>
      </c>
      <c r="D99" s="491"/>
      <c r="E99" s="495"/>
      <c r="F99" s="1709"/>
      <c r="G99" s="1709"/>
      <c r="H99" s="1710"/>
    </row>
    <row r="100" spans="3:8" ht="14.1" customHeight="1">
      <c r="C100" s="489">
        <v>9</v>
      </c>
      <c r="D100" s="491"/>
      <c r="E100" s="495"/>
      <c r="F100" s="1709"/>
      <c r="G100" s="1709"/>
      <c r="H100" s="1710"/>
    </row>
    <row r="101" spans="3:8" ht="14.1" customHeight="1" thickBot="1">
      <c r="C101" s="489">
        <v>10</v>
      </c>
      <c r="D101" s="492"/>
      <c r="E101" s="496"/>
      <c r="F101" s="1711"/>
      <c r="G101" s="1711"/>
      <c r="H101" s="1712"/>
    </row>
    <row r="102" spans="3:8" ht="14.1" customHeight="1" thickBot="1">
      <c r="C102" s="146"/>
      <c r="D102" s="364" t="s">
        <v>1758</v>
      </c>
      <c r="E102" s="56">
        <f>E100+E101</f>
        <v>0</v>
      </c>
      <c r="F102" s="1677"/>
      <c r="G102" s="1678"/>
      <c r="H102" s="1678"/>
    </row>
    <row r="103" spans="3:8">
      <c r="C103" s="146"/>
    </row>
    <row r="104" spans="3:8">
      <c r="C104" s="146"/>
    </row>
    <row r="105" spans="3:8">
      <c r="C105" s="146"/>
    </row>
    <row r="106" spans="3:8">
      <c r="C106" s="146"/>
    </row>
    <row r="107" spans="3:8">
      <c r="C107" s="146"/>
    </row>
  </sheetData>
  <mergeCells count="62">
    <mergeCell ref="D88:D89"/>
    <mergeCell ref="F90:H90"/>
    <mergeCell ref="F91:H91"/>
    <mergeCell ref="F92:H92"/>
    <mergeCell ref="E88:E89"/>
    <mergeCell ref="F88:H89"/>
    <mergeCell ref="F102:H102"/>
    <mergeCell ref="F93:H93"/>
    <mergeCell ref="F94:H94"/>
    <mergeCell ref="F95:H95"/>
    <mergeCell ref="F96:H96"/>
    <mergeCell ref="F97:H97"/>
    <mergeCell ref="F98:H98"/>
    <mergeCell ref="F99:H99"/>
    <mergeCell ref="F100:H100"/>
    <mergeCell ref="F101:H101"/>
    <mergeCell ref="G76:G77"/>
    <mergeCell ref="C43:D43"/>
    <mergeCell ref="C44:D44"/>
    <mergeCell ref="C45:D45"/>
    <mergeCell ref="C46:D46"/>
    <mergeCell ref="C47:D47"/>
    <mergeCell ref="C48:D48"/>
    <mergeCell ref="C49:D49"/>
    <mergeCell ref="C50:D50"/>
    <mergeCell ref="C51:D51"/>
    <mergeCell ref="E76:E77"/>
    <mergeCell ref="F76:F77"/>
    <mergeCell ref="O41:O42"/>
    <mergeCell ref="C24:D24"/>
    <mergeCell ref="E41:E42"/>
    <mergeCell ref="F41:F42"/>
    <mergeCell ref="G41:G42"/>
    <mergeCell ref="H41:H42"/>
    <mergeCell ref="I41:I42"/>
    <mergeCell ref="J41:J42"/>
    <mergeCell ref="K41:K42"/>
    <mergeCell ref="L41:L42"/>
    <mergeCell ref="M41:M42"/>
    <mergeCell ref="N41:N42"/>
    <mergeCell ref="C19:D19"/>
    <mergeCell ref="C20:D20"/>
    <mergeCell ref="C21:D21"/>
    <mergeCell ref="C22:D22"/>
    <mergeCell ref="C23:D23"/>
    <mergeCell ref="N14:N15"/>
    <mergeCell ref="O14:O15"/>
    <mergeCell ref="C16:D16"/>
    <mergeCell ref="C17:D17"/>
    <mergeCell ref="C18:D18"/>
    <mergeCell ref="H14:H15"/>
    <mergeCell ref="I14:I15"/>
    <mergeCell ref="J14:J15"/>
    <mergeCell ref="K14:K15"/>
    <mergeCell ref="L14:L15"/>
    <mergeCell ref="M14:M15"/>
    <mergeCell ref="E4:E5"/>
    <mergeCell ref="F4:F5"/>
    <mergeCell ref="G4:G5"/>
    <mergeCell ref="E14:E15"/>
    <mergeCell ref="F14:F15"/>
    <mergeCell ref="G14:G15"/>
  </mergeCells>
  <pageMargins left="0.7" right="0.7" top="0.75" bottom="0.75" header="0.3" footer="0.3"/>
  <pageSetup orientation="portrait" r:id="rId1"/>
  <ignoredErrors>
    <ignoredError sqref="G81" 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14:formula1>
            <xm:f>'1. Carátula'!$C$32:$C$280</xm:f>
          </x14:formula1>
          <xm:sqref>E19:N19 E23:N23 E46:O46 E50:O50</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heetPr>
  <dimension ref="B1:M44"/>
  <sheetViews>
    <sheetView showGridLines="0" workbookViewId="0">
      <selection activeCell="E14" sqref="E14"/>
    </sheetView>
  </sheetViews>
  <sheetFormatPr baseColWidth="10" defaultRowHeight="15"/>
  <cols>
    <col min="1" max="2" width="2.42578125" customWidth="1"/>
    <col min="3" max="3" width="3.7109375" customWidth="1"/>
    <col min="4" max="4" width="50.7109375" customWidth="1"/>
    <col min="5" max="16" width="14.7109375" customWidth="1"/>
  </cols>
  <sheetData>
    <row r="1" spans="2:13" ht="15" customHeight="1"/>
    <row r="2" spans="2:13" s="246" customFormat="1" ht="15" customHeight="1">
      <c r="B2" s="247"/>
      <c r="C2" s="379" t="s">
        <v>1759</v>
      </c>
    </row>
    <row r="3" spans="2:13" s="246" customFormat="1" ht="15" customHeight="1">
      <c r="B3" s="247"/>
      <c r="C3" s="379"/>
    </row>
    <row r="4" spans="2:13" s="246" customFormat="1" ht="15" customHeight="1">
      <c r="B4" s="247"/>
      <c r="C4" s="497" t="s">
        <v>1760</v>
      </c>
    </row>
    <row r="5" spans="2:13" ht="15" customHeight="1" thickBot="1"/>
    <row r="6" spans="2:13" ht="15" customHeight="1">
      <c r="D6" s="1611" t="s">
        <v>564</v>
      </c>
      <c r="E6" s="1611" t="s">
        <v>1761</v>
      </c>
      <c r="F6" s="1612" t="s">
        <v>565</v>
      </c>
      <c r="G6" s="1613" t="s">
        <v>566</v>
      </c>
      <c r="H6" s="1611" t="s">
        <v>1762</v>
      </c>
      <c r="I6" s="1612" t="s">
        <v>567</v>
      </c>
      <c r="J6" s="1613" t="s">
        <v>604</v>
      </c>
      <c r="K6" s="1611" t="s">
        <v>432</v>
      </c>
      <c r="L6" s="1612" t="s">
        <v>1763</v>
      </c>
      <c r="M6" s="1613" t="s">
        <v>1764</v>
      </c>
    </row>
    <row r="7" spans="2:13" ht="54.95" customHeight="1" thickBot="1">
      <c r="D7" s="1676"/>
      <c r="E7" s="1676"/>
      <c r="F7" s="1610"/>
      <c r="G7" s="1616"/>
      <c r="H7" s="1676"/>
      <c r="I7" s="1610"/>
      <c r="J7" s="1616"/>
      <c r="K7" s="1676"/>
      <c r="L7" s="1610"/>
      <c r="M7" s="1616"/>
    </row>
    <row r="8" spans="2:13" ht="14.1" customHeight="1">
      <c r="C8" s="190">
        <v>1</v>
      </c>
      <c r="D8" s="1211" t="s">
        <v>3862</v>
      </c>
      <c r="E8" s="54">
        <v>4251835</v>
      </c>
      <c r="F8" s="43">
        <v>0</v>
      </c>
      <c r="G8" s="204"/>
      <c r="H8" s="54">
        <v>0</v>
      </c>
      <c r="I8" s="43"/>
      <c r="J8" s="204"/>
      <c r="K8" s="353">
        <f>L8+M8</f>
        <v>4251835</v>
      </c>
      <c r="L8" s="375">
        <f>E8+F8+G8-H8-I8</f>
        <v>4251835</v>
      </c>
      <c r="M8" s="204"/>
    </row>
    <row r="9" spans="2:13" ht="14.1" customHeight="1">
      <c r="C9" s="190">
        <v>2</v>
      </c>
      <c r="D9" s="740" t="s">
        <v>3863</v>
      </c>
      <c r="E9" s="353">
        <v>31622</v>
      </c>
      <c r="F9" s="353">
        <v>68387</v>
      </c>
      <c r="G9" s="204">
        <v>0</v>
      </c>
      <c r="H9" s="353">
        <v>69267</v>
      </c>
      <c r="I9" s="353"/>
      <c r="J9" s="204"/>
      <c r="K9" s="353">
        <f t="shared" ref="K9:K27" si="0">L9+M9</f>
        <v>30742</v>
      </c>
      <c r="L9" s="375">
        <f t="shared" ref="L9:L14" si="1">E9+F9+G9-H9-I9</f>
        <v>30742</v>
      </c>
      <c r="M9" s="204"/>
    </row>
    <row r="10" spans="2:13" ht="14.1" customHeight="1">
      <c r="C10" s="190">
        <v>3</v>
      </c>
      <c r="D10" s="740" t="s">
        <v>3864</v>
      </c>
      <c r="E10" s="375">
        <v>1322167</v>
      </c>
      <c r="F10" s="375">
        <v>3035259</v>
      </c>
      <c r="G10" s="205">
        <v>11197</v>
      </c>
      <c r="H10" s="375">
        <v>2943789</v>
      </c>
      <c r="I10" s="375"/>
      <c r="J10" s="205"/>
      <c r="K10" s="375">
        <f t="shared" si="0"/>
        <v>1424834</v>
      </c>
      <c r="L10" s="375">
        <f t="shared" si="1"/>
        <v>1424834</v>
      </c>
      <c r="M10" s="205"/>
    </row>
    <row r="11" spans="2:13" ht="14.1" customHeight="1">
      <c r="C11" s="190">
        <v>4</v>
      </c>
      <c r="D11" s="740" t="s">
        <v>3865</v>
      </c>
      <c r="E11" s="375">
        <v>691953</v>
      </c>
      <c r="F11" s="375">
        <v>0</v>
      </c>
      <c r="G11" s="205">
        <v>0</v>
      </c>
      <c r="H11" s="375">
        <v>0</v>
      </c>
      <c r="I11" s="375"/>
      <c r="J11" s="205"/>
      <c r="K11" s="375">
        <f t="shared" si="0"/>
        <v>691953</v>
      </c>
      <c r="L11" s="375">
        <f t="shared" si="1"/>
        <v>691953</v>
      </c>
      <c r="M11" s="205"/>
    </row>
    <row r="12" spans="2:13" ht="14.1" customHeight="1">
      <c r="C12" s="190">
        <v>5</v>
      </c>
      <c r="D12" s="740" t="s">
        <v>3866</v>
      </c>
      <c r="E12" s="375">
        <v>775357</v>
      </c>
      <c r="F12" s="375">
        <v>363303</v>
      </c>
      <c r="G12" s="205">
        <v>0</v>
      </c>
      <c r="H12" s="375">
        <v>1008976</v>
      </c>
      <c r="I12" s="375"/>
      <c r="J12" s="205"/>
      <c r="K12" s="375">
        <f t="shared" si="0"/>
        <v>129684</v>
      </c>
      <c r="L12" s="375">
        <f t="shared" si="1"/>
        <v>129684</v>
      </c>
      <c r="M12" s="205"/>
    </row>
    <row r="13" spans="2:13" ht="14.1" customHeight="1">
      <c r="C13" s="190">
        <v>6</v>
      </c>
      <c r="D13" s="740" t="s">
        <v>3867</v>
      </c>
      <c r="E13" s="375">
        <v>1723391</v>
      </c>
      <c r="F13" s="375">
        <v>9022787</v>
      </c>
      <c r="G13" s="205">
        <v>0</v>
      </c>
      <c r="H13" s="375">
        <v>8889062</v>
      </c>
      <c r="I13" s="375"/>
      <c r="J13" s="205"/>
      <c r="K13" s="375">
        <f t="shared" si="0"/>
        <v>1857116</v>
      </c>
      <c r="L13" s="375">
        <f t="shared" si="1"/>
        <v>1857116</v>
      </c>
      <c r="M13" s="205"/>
    </row>
    <row r="14" spans="2:13" ht="14.1" customHeight="1">
      <c r="C14" s="190">
        <v>7</v>
      </c>
      <c r="D14" s="740" t="s">
        <v>3868</v>
      </c>
      <c r="E14" s="375">
        <v>107232</v>
      </c>
      <c r="F14" s="375">
        <v>49777</v>
      </c>
      <c r="G14" s="205">
        <v>0</v>
      </c>
      <c r="H14" s="375">
        <v>9344</v>
      </c>
      <c r="I14" s="375"/>
      <c r="J14" s="205"/>
      <c r="K14" s="375">
        <f t="shared" si="0"/>
        <v>147665</v>
      </c>
      <c r="L14" s="375">
        <f t="shared" si="1"/>
        <v>147665</v>
      </c>
      <c r="M14" s="205"/>
    </row>
    <row r="15" spans="2:13" ht="14.1" customHeight="1">
      <c r="C15" s="190">
        <v>8</v>
      </c>
      <c r="D15" s="229"/>
      <c r="E15" s="375"/>
      <c r="F15" s="375"/>
      <c r="G15" s="205"/>
      <c r="H15" s="375"/>
      <c r="I15" s="375"/>
      <c r="J15" s="205"/>
      <c r="K15" s="375">
        <f t="shared" si="0"/>
        <v>0</v>
      </c>
      <c r="L15" s="375"/>
      <c r="M15" s="205"/>
    </row>
    <row r="16" spans="2:13" ht="14.1" customHeight="1">
      <c r="C16" s="190">
        <v>9</v>
      </c>
      <c r="D16" s="229"/>
      <c r="E16" s="375"/>
      <c r="F16" s="375"/>
      <c r="G16" s="205"/>
      <c r="H16" s="375"/>
      <c r="I16" s="375"/>
      <c r="J16" s="205"/>
      <c r="K16" s="375">
        <f t="shared" si="0"/>
        <v>0</v>
      </c>
      <c r="L16" s="375"/>
      <c r="M16" s="205"/>
    </row>
    <row r="17" spans="3:13" ht="14.1" customHeight="1">
      <c r="C17" s="190">
        <v>10</v>
      </c>
      <c r="D17" s="229"/>
      <c r="E17" s="375"/>
      <c r="F17" s="375"/>
      <c r="G17" s="205"/>
      <c r="H17" s="375"/>
      <c r="I17" s="375"/>
      <c r="J17" s="205"/>
      <c r="K17" s="375">
        <f t="shared" si="0"/>
        <v>0</v>
      </c>
      <c r="L17" s="375"/>
      <c r="M17" s="205"/>
    </row>
    <row r="18" spans="3:13" ht="14.1" customHeight="1">
      <c r="C18" s="190">
        <v>11</v>
      </c>
      <c r="D18" s="229"/>
      <c r="E18" s="375"/>
      <c r="F18" s="375"/>
      <c r="G18" s="205"/>
      <c r="H18" s="375"/>
      <c r="I18" s="375"/>
      <c r="J18" s="205"/>
      <c r="K18" s="375">
        <f t="shared" si="0"/>
        <v>0</v>
      </c>
      <c r="L18" s="375"/>
      <c r="M18" s="205"/>
    </row>
    <row r="19" spans="3:13" ht="14.1" customHeight="1">
      <c r="C19" s="190">
        <v>12</v>
      </c>
      <c r="D19" s="229"/>
      <c r="E19" s="375"/>
      <c r="F19" s="375"/>
      <c r="G19" s="205"/>
      <c r="H19" s="375"/>
      <c r="I19" s="375"/>
      <c r="J19" s="205"/>
      <c r="K19" s="375">
        <f t="shared" si="0"/>
        <v>0</v>
      </c>
      <c r="L19" s="375"/>
      <c r="M19" s="205"/>
    </row>
    <row r="20" spans="3:13" ht="14.1" customHeight="1">
      <c r="C20" s="190">
        <v>13</v>
      </c>
      <c r="D20" s="229"/>
      <c r="E20" s="375"/>
      <c r="F20" s="375"/>
      <c r="G20" s="205"/>
      <c r="H20" s="375"/>
      <c r="I20" s="375"/>
      <c r="J20" s="205"/>
      <c r="K20" s="375">
        <f t="shared" si="0"/>
        <v>0</v>
      </c>
      <c r="L20" s="375"/>
      <c r="M20" s="205"/>
    </row>
    <row r="21" spans="3:13" ht="14.1" customHeight="1">
      <c r="C21" s="190">
        <v>14</v>
      </c>
      <c r="D21" s="229"/>
      <c r="E21" s="375"/>
      <c r="F21" s="375"/>
      <c r="G21" s="205"/>
      <c r="H21" s="375"/>
      <c r="I21" s="375"/>
      <c r="J21" s="205"/>
      <c r="K21" s="375">
        <f t="shared" si="0"/>
        <v>0</v>
      </c>
      <c r="L21" s="375"/>
      <c r="M21" s="205"/>
    </row>
    <row r="22" spans="3:13" ht="14.1" customHeight="1">
      <c r="C22" s="190">
        <v>15</v>
      </c>
      <c r="D22" s="229"/>
      <c r="E22" s="375"/>
      <c r="F22" s="375"/>
      <c r="G22" s="205"/>
      <c r="H22" s="375"/>
      <c r="I22" s="375"/>
      <c r="J22" s="205"/>
      <c r="K22" s="375">
        <f t="shared" si="0"/>
        <v>0</v>
      </c>
      <c r="L22" s="375"/>
      <c r="M22" s="205"/>
    </row>
    <row r="23" spans="3:13" ht="14.1" customHeight="1">
      <c r="C23" s="190">
        <v>16</v>
      </c>
      <c r="D23" s="229"/>
      <c r="E23" s="375"/>
      <c r="F23" s="375"/>
      <c r="G23" s="205"/>
      <c r="H23" s="375"/>
      <c r="I23" s="375"/>
      <c r="J23" s="205"/>
      <c r="K23" s="375">
        <f t="shared" si="0"/>
        <v>0</v>
      </c>
      <c r="L23" s="375"/>
      <c r="M23" s="205"/>
    </row>
    <row r="24" spans="3:13" ht="14.1" customHeight="1">
      <c r="C24" s="190">
        <v>17</v>
      </c>
      <c r="D24" s="229"/>
      <c r="E24" s="375"/>
      <c r="F24" s="375"/>
      <c r="G24" s="205"/>
      <c r="H24" s="375"/>
      <c r="I24" s="375"/>
      <c r="J24" s="205"/>
      <c r="K24" s="375">
        <f t="shared" si="0"/>
        <v>0</v>
      </c>
      <c r="L24" s="375"/>
      <c r="M24" s="205"/>
    </row>
    <row r="25" spans="3:13" ht="14.1" customHeight="1">
      <c r="C25" s="190">
        <v>18</v>
      </c>
      <c r="D25" s="229"/>
      <c r="E25" s="375"/>
      <c r="F25" s="375"/>
      <c r="G25" s="205"/>
      <c r="H25" s="375"/>
      <c r="I25" s="375"/>
      <c r="J25" s="205"/>
      <c r="K25" s="375">
        <f t="shared" si="0"/>
        <v>0</v>
      </c>
      <c r="L25" s="375"/>
      <c r="M25" s="205"/>
    </row>
    <row r="26" spans="3:13" ht="14.1" customHeight="1">
      <c r="C26" s="190">
        <v>19</v>
      </c>
      <c r="D26" s="229"/>
      <c r="E26" s="375"/>
      <c r="F26" s="375"/>
      <c r="G26" s="205"/>
      <c r="H26" s="375"/>
      <c r="I26" s="375"/>
      <c r="J26" s="205"/>
      <c r="K26" s="375">
        <f t="shared" si="0"/>
        <v>0</v>
      </c>
      <c r="L26" s="375"/>
      <c r="M26" s="205"/>
    </row>
    <row r="27" spans="3:13" s="146" customFormat="1" ht="14.1" customHeight="1" thickBot="1">
      <c r="C27" s="190">
        <v>20</v>
      </c>
      <c r="D27" s="357"/>
      <c r="E27" s="189"/>
      <c r="F27" s="154"/>
      <c r="G27" s="205"/>
      <c r="H27" s="189"/>
      <c r="I27" s="154"/>
      <c r="J27" s="205"/>
      <c r="K27" s="375">
        <f t="shared" si="0"/>
        <v>0</v>
      </c>
      <c r="L27" s="154"/>
      <c r="M27" s="205"/>
    </row>
    <row r="28" spans="3:13" s="315" customFormat="1" ht="14.1" customHeight="1" thickBot="1">
      <c r="D28" s="364" t="s">
        <v>432</v>
      </c>
      <c r="E28" s="56">
        <f>SUM(E8:E27)</f>
        <v>8903557</v>
      </c>
      <c r="F28" s="56">
        <f t="shared" ref="F28:M28" si="2">SUM(F8:F27)</f>
        <v>12539513</v>
      </c>
      <c r="G28" s="56">
        <f t="shared" si="2"/>
        <v>11197</v>
      </c>
      <c r="H28" s="56">
        <f t="shared" si="2"/>
        <v>12920438</v>
      </c>
      <c r="I28" s="56">
        <f t="shared" si="2"/>
        <v>0</v>
      </c>
      <c r="J28" s="56">
        <f t="shared" si="2"/>
        <v>0</v>
      </c>
      <c r="K28" s="56">
        <f t="shared" si="2"/>
        <v>8533829</v>
      </c>
      <c r="L28" s="56">
        <f t="shared" si="2"/>
        <v>8533829</v>
      </c>
      <c r="M28" s="56">
        <f t="shared" si="2"/>
        <v>0</v>
      </c>
    </row>
    <row r="29" spans="3:13" s="315" customFormat="1">
      <c r="E29" s="131"/>
      <c r="F29" s="131"/>
      <c r="G29" s="131"/>
      <c r="H29" s="131"/>
      <c r="I29" s="131"/>
      <c r="J29" s="131"/>
      <c r="K29" s="131"/>
      <c r="L29" s="131"/>
      <c r="M29" s="131"/>
    </row>
    <row r="30" spans="3:13">
      <c r="H30" s="192"/>
    </row>
    <row r="31" spans="3:13" s="315" customFormat="1" ht="14.1" customHeight="1">
      <c r="C31" s="380"/>
    </row>
    <row r="32" spans="3:13" s="315" customFormat="1" ht="14.1" customHeight="1"/>
    <row r="33" spans="4:11" s="315" customFormat="1" ht="14.1" customHeight="1">
      <c r="D33" s="2"/>
      <c r="E33" s="24"/>
      <c r="H33" s="24"/>
      <c r="K33" s="24"/>
    </row>
    <row r="34" spans="4:11" s="315" customFormat="1" ht="14.1" customHeight="1">
      <c r="D34" s="2"/>
      <c r="E34" s="24"/>
      <c r="H34" s="24"/>
      <c r="K34" s="24"/>
    </row>
    <row r="35" spans="4:11" s="315" customFormat="1" ht="14.1" customHeight="1">
      <c r="D35" s="361"/>
      <c r="E35" s="372"/>
      <c r="H35" s="372"/>
      <c r="K35" s="372"/>
    </row>
    <row r="36" spans="4:11" s="315" customFormat="1" ht="14.1" customHeight="1">
      <c r="D36" s="359"/>
      <c r="E36" s="374"/>
      <c r="H36" s="374"/>
      <c r="K36" s="374"/>
    </row>
    <row r="37" spans="4:11" s="315" customFormat="1" ht="14.1" customHeight="1">
      <c r="D37" s="352"/>
      <c r="E37" s="374"/>
      <c r="H37" s="374"/>
      <c r="K37" s="374"/>
    </row>
    <row r="38" spans="4:11" s="315" customFormat="1" ht="14.1" customHeight="1">
      <c r="D38" s="359"/>
      <c r="E38" s="374"/>
      <c r="H38" s="374"/>
      <c r="K38" s="374"/>
    </row>
    <row r="39" spans="4:11" s="315" customFormat="1" ht="14.1" customHeight="1">
      <c r="D39" s="359"/>
      <c r="E39" s="374"/>
      <c r="H39" s="374"/>
      <c r="K39" s="374"/>
    </row>
    <row r="40" spans="4:11" s="315" customFormat="1" ht="14.1" customHeight="1">
      <c r="D40" s="359"/>
      <c r="E40" s="374"/>
      <c r="H40" s="374"/>
      <c r="K40" s="374"/>
    </row>
    <row r="41" spans="4:11" s="315" customFormat="1" ht="14.1" customHeight="1">
      <c r="D41" s="356"/>
      <c r="E41" s="131"/>
      <c r="H41" s="131"/>
      <c r="K41" s="131"/>
    </row>
    <row r="42" spans="4:11" s="315" customFormat="1" ht="14.1" customHeight="1"/>
    <row r="43" spans="4:11" s="315" customFormat="1" ht="14.1" customHeight="1"/>
    <row r="44" spans="4:11" s="315" customFormat="1" ht="14.1" customHeight="1"/>
  </sheetData>
  <mergeCells count="10">
    <mergeCell ref="J6:J7"/>
    <mergeCell ref="K6:K7"/>
    <mergeCell ref="L6:L7"/>
    <mergeCell ref="M6:M7"/>
    <mergeCell ref="D6:D7"/>
    <mergeCell ref="E6:E7"/>
    <mergeCell ref="F6:F7"/>
    <mergeCell ref="G6:G7"/>
    <mergeCell ref="H6:H7"/>
    <mergeCell ref="I6:I7"/>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heetPr>
  <dimension ref="B1:H60"/>
  <sheetViews>
    <sheetView showGridLines="0" topLeftCell="A34" workbookViewId="0">
      <selection activeCell="G38" sqref="G38"/>
    </sheetView>
  </sheetViews>
  <sheetFormatPr baseColWidth="10" defaultRowHeight="15"/>
  <cols>
    <col min="1" max="2" width="2.42578125" customWidth="1"/>
    <col min="3" max="3" width="3.7109375" customWidth="1"/>
    <col min="4" max="4" width="50.7109375" customWidth="1"/>
    <col min="5" max="8" width="14.7109375" customWidth="1"/>
    <col min="9" max="10" width="10" customWidth="1"/>
  </cols>
  <sheetData>
    <row r="1" spans="2:7" ht="15" customHeight="1"/>
    <row r="2" spans="2:7" ht="15" customHeight="1">
      <c r="C2" s="379" t="s">
        <v>1765</v>
      </c>
    </row>
    <row r="3" spans="2:7" ht="15" customHeight="1" thickBot="1"/>
    <row r="4" spans="2:7" ht="14.1" customHeight="1" thickBot="1">
      <c r="D4" s="364" t="s">
        <v>1766</v>
      </c>
      <c r="E4" s="405"/>
    </row>
    <row r="5" spans="2:7" ht="14.1" customHeight="1">
      <c r="D5" s="357" t="s">
        <v>568</v>
      </c>
      <c r="E5" s="403">
        <v>1170711</v>
      </c>
    </row>
    <row r="6" spans="2:7" ht="14.1" customHeight="1">
      <c r="D6" s="357" t="s">
        <v>665</v>
      </c>
      <c r="E6" s="306">
        <v>1950483</v>
      </c>
    </row>
    <row r="7" spans="2:7" ht="14.1" customHeight="1">
      <c r="D7" s="229" t="s">
        <v>569</v>
      </c>
      <c r="E7" s="370">
        <v>391741</v>
      </c>
    </row>
    <row r="8" spans="2:7" ht="14.1" customHeight="1">
      <c r="D8" s="357" t="s">
        <v>570</v>
      </c>
      <c r="E8" s="306">
        <v>1214</v>
      </c>
    </row>
    <row r="9" spans="2:7" ht="14.1" customHeight="1" thickBot="1">
      <c r="D9" s="229" t="s">
        <v>604</v>
      </c>
      <c r="E9" s="330">
        <v>19562</v>
      </c>
    </row>
    <row r="10" spans="2:7" ht="14.1" customHeight="1" thickBot="1">
      <c r="D10" s="364" t="s">
        <v>432</v>
      </c>
      <c r="E10" s="199">
        <f>E5+E6+E7+E8+E9</f>
        <v>3533711</v>
      </c>
    </row>
    <row r="11" spans="2:7" ht="14.1" customHeight="1"/>
    <row r="12" spans="2:7" ht="15" customHeight="1"/>
    <row r="13" spans="2:7" s="246" customFormat="1" ht="15" customHeight="1">
      <c r="B13" s="247"/>
      <c r="C13" s="379" t="s">
        <v>1767</v>
      </c>
    </row>
    <row r="14" spans="2:7" ht="15" customHeight="1" thickBot="1"/>
    <row r="15" spans="2:7">
      <c r="D15" s="1670"/>
      <c r="E15" s="1686" t="s">
        <v>1419</v>
      </c>
      <c r="F15" s="1686" t="s">
        <v>1420</v>
      </c>
      <c r="G15" s="1686" t="s">
        <v>432</v>
      </c>
    </row>
    <row r="16" spans="2:7" ht="54.95" customHeight="1" thickBot="1">
      <c r="D16" s="1674"/>
      <c r="E16" s="1687"/>
      <c r="F16" s="1687"/>
      <c r="G16" s="1687"/>
    </row>
    <row r="17" spans="3:7">
      <c r="D17" s="361" t="s">
        <v>574</v>
      </c>
      <c r="E17" s="310"/>
      <c r="F17" s="311"/>
      <c r="G17" s="312"/>
    </row>
    <row r="18" spans="3:7">
      <c r="D18" s="359" t="s">
        <v>571</v>
      </c>
      <c r="E18" s="54"/>
      <c r="F18" s="43"/>
      <c r="G18" s="204">
        <f>+E18+F18</f>
        <v>0</v>
      </c>
    </row>
    <row r="19" spans="3:7">
      <c r="D19" s="352" t="s">
        <v>572</v>
      </c>
      <c r="E19" s="353"/>
      <c r="F19" s="353">
        <v>1578354</v>
      </c>
      <c r="G19" s="204">
        <f t="shared" ref="G19:G21" si="0">+E19+F19</f>
        <v>1578354</v>
      </c>
    </row>
    <row r="20" spans="3:7">
      <c r="D20" s="359" t="s">
        <v>604</v>
      </c>
      <c r="E20" s="54"/>
      <c r="F20" s="43"/>
      <c r="G20" s="204">
        <f t="shared" si="0"/>
        <v>0</v>
      </c>
    </row>
    <row r="21" spans="3:7" ht="15.75" thickBot="1">
      <c r="D21" s="359" t="s">
        <v>573</v>
      </c>
      <c r="E21" s="54"/>
      <c r="F21" s="43"/>
      <c r="G21" s="204">
        <f t="shared" si="0"/>
        <v>0</v>
      </c>
    </row>
    <row r="22" spans="3:7" ht="15.75" thickBot="1">
      <c r="D22" s="364" t="s">
        <v>432</v>
      </c>
      <c r="E22" s="56">
        <f>E18+E19+E20+E21</f>
        <v>0</v>
      </c>
      <c r="F22" s="56">
        <f t="shared" ref="F22:G22" si="1">F18+F19+F20+F21</f>
        <v>1578354</v>
      </c>
      <c r="G22" s="56">
        <f t="shared" si="1"/>
        <v>1578354</v>
      </c>
    </row>
    <row r="23" spans="3:7">
      <c r="D23" s="357" t="s">
        <v>1748</v>
      </c>
      <c r="E23" s="54"/>
      <c r="F23" s="43">
        <v>1578354</v>
      </c>
      <c r="G23" s="204">
        <f t="shared" ref="G23:G24" si="2">+E23+F23</f>
        <v>1578354</v>
      </c>
    </row>
    <row r="24" spans="3:7">
      <c r="D24" s="357" t="s">
        <v>1768</v>
      </c>
      <c r="E24" s="189"/>
      <c r="F24" s="154"/>
      <c r="G24" s="205">
        <f t="shared" si="2"/>
        <v>0</v>
      </c>
    </row>
    <row r="25" spans="3:7">
      <c r="D25" s="498" t="s">
        <v>1769</v>
      </c>
      <c r="E25" s="499">
        <f t="shared" ref="E25:G25" si="3">E23+E24</f>
        <v>0</v>
      </c>
      <c r="F25" s="499">
        <f t="shared" si="3"/>
        <v>1578354</v>
      </c>
      <c r="G25" s="499">
        <f t="shared" si="3"/>
        <v>1578354</v>
      </c>
    </row>
    <row r="26" spans="3:7">
      <c r="E26" s="500" t="str">
        <f t="shared" ref="E26:G26" si="4">IF(E22-E25=0,"OK","ERROR")</f>
        <v>OK</v>
      </c>
      <c r="F26" s="500" t="str">
        <f t="shared" si="4"/>
        <v>OK</v>
      </c>
      <c r="G26" s="500" t="str">
        <f t="shared" si="4"/>
        <v>OK</v>
      </c>
    </row>
    <row r="27" spans="3:7">
      <c r="E27" s="500"/>
      <c r="F27" s="500"/>
      <c r="G27" s="500"/>
    </row>
    <row r="28" spans="3:7">
      <c r="E28" s="500"/>
      <c r="F28" s="500"/>
      <c r="G28" s="500"/>
    </row>
    <row r="29" spans="3:7" ht="15" customHeight="1">
      <c r="C29" s="379" t="s">
        <v>1770</v>
      </c>
    </row>
    <row r="30" spans="3:7" ht="15" customHeight="1" thickBot="1"/>
    <row r="31" spans="3:7" ht="14.1" customHeight="1" thickBot="1">
      <c r="D31" s="364" t="s">
        <v>578</v>
      </c>
      <c r="E31" s="405"/>
    </row>
    <row r="32" spans="3:7" ht="14.1" customHeight="1">
      <c r="D32" s="357" t="s">
        <v>575</v>
      </c>
      <c r="E32" s="403">
        <v>3824708</v>
      </c>
    </row>
    <row r="33" spans="3:8" ht="14.1" customHeight="1">
      <c r="D33" s="357" t="s">
        <v>576</v>
      </c>
      <c r="E33" s="306">
        <f>152590+1703063+195240-1</f>
        <v>2050892</v>
      </c>
    </row>
    <row r="34" spans="3:8" ht="14.1" customHeight="1">
      <c r="D34" s="229" t="s">
        <v>577</v>
      </c>
      <c r="E34" s="370">
        <v>665171</v>
      </c>
    </row>
    <row r="35" spans="3:8" ht="14.1" customHeight="1" thickBot="1">
      <c r="D35" s="357" t="s">
        <v>1771</v>
      </c>
      <c r="E35" s="306">
        <v>297109</v>
      </c>
    </row>
    <row r="36" spans="3:8" ht="14.1" customHeight="1" thickBot="1">
      <c r="D36" s="364" t="s">
        <v>1772</v>
      </c>
      <c r="E36" s="199">
        <f>SUM(E32:E35)</f>
        <v>6837880</v>
      </c>
    </row>
    <row r="37" spans="3:8">
      <c r="E37" s="500"/>
      <c r="F37" s="500"/>
      <c r="G37" s="500"/>
    </row>
    <row r="38" spans="3:8">
      <c r="E38" s="500"/>
      <c r="F38" s="500"/>
      <c r="G38" s="500"/>
    </row>
    <row r="39" spans="3:8" s="315" customFormat="1" ht="14.1" customHeight="1">
      <c r="C39" s="379" t="s">
        <v>1773</v>
      </c>
    </row>
    <row r="40" spans="3:8" s="315" customFormat="1" ht="14.1" customHeight="1" thickBot="1"/>
    <row r="41" spans="3:8" s="315" customFormat="1" ht="14.1" customHeight="1">
      <c r="D41" s="1682"/>
      <c r="E41" s="1607" t="s">
        <v>579</v>
      </c>
      <c r="F41" s="1602" t="s">
        <v>485</v>
      </c>
      <c r="G41" s="1652"/>
      <c r="H41" s="1605"/>
    </row>
    <row r="42" spans="3:8" s="315" customFormat="1" ht="54.95" customHeight="1" thickBot="1">
      <c r="D42" s="1683"/>
      <c r="E42" s="1608"/>
      <c r="F42" s="1603"/>
      <c r="G42" s="1653"/>
      <c r="H42" s="1606"/>
    </row>
    <row r="43" spans="3:8" s="315" customFormat="1" ht="14.1" customHeight="1">
      <c r="C43" s="494"/>
      <c r="D43" s="365" t="s">
        <v>1775</v>
      </c>
      <c r="E43" s="65">
        <v>293505</v>
      </c>
      <c r="F43" s="1680"/>
      <c r="G43" s="1680"/>
      <c r="H43" s="1680"/>
    </row>
    <row r="44" spans="3:8" s="315" customFormat="1" ht="14.1" customHeight="1">
      <c r="C44" s="494"/>
      <c r="D44" s="362" t="s">
        <v>714</v>
      </c>
      <c r="E44" s="43">
        <v>168638</v>
      </c>
      <c r="F44" s="1681"/>
      <c r="G44" s="1681"/>
      <c r="H44" s="1681"/>
    </row>
    <row r="45" spans="3:8" s="315" customFormat="1" ht="14.1" customHeight="1">
      <c r="C45" s="494"/>
      <c r="D45" s="362" t="s">
        <v>1776</v>
      </c>
      <c r="E45" s="43">
        <v>67917</v>
      </c>
      <c r="F45" s="1681"/>
      <c r="G45" s="1681"/>
      <c r="H45" s="1681"/>
    </row>
    <row r="46" spans="3:8" s="315" customFormat="1" ht="14.1" customHeight="1">
      <c r="C46" s="494"/>
      <c r="D46" s="362" t="s">
        <v>604</v>
      </c>
      <c r="E46" s="43"/>
      <c r="F46" s="1681"/>
      <c r="G46" s="1681"/>
      <c r="H46" s="1681"/>
    </row>
    <row r="47" spans="3:8" s="315" customFormat="1" ht="14.1" customHeight="1">
      <c r="C47" s="494">
        <v>1</v>
      </c>
      <c r="D47" s="1212" t="s">
        <v>3847</v>
      </c>
      <c r="E47" s="43">
        <v>1110337</v>
      </c>
      <c r="F47" s="1716" t="s">
        <v>3854</v>
      </c>
      <c r="G47" s="1716"/>
      <c r="H47" s="1716"/>
    </row>
    <row r="48" spans="3:8" s="315" customFormat="1" ht="14.1" customHeight="1">
      <c r="C48" s="494">
        <v>2</v>
      </c>
      <c r="D48" s="1212" t="s">
        <v>3848</v>
      </c>
      <c r="E48" s="43">
        <f>1139367+1080605</f>
        <v>2219972</v>
      </c>
      <c r="F48" s="1717" t="s">
        <v>3855</v>
      </c>
      <c r="G48" s="1717"/>
      <c r="H48" s="1717"/>
    </row>
    <row r="49" spans="3:8" s="315" customFormat="1" ht="14.1" customHeight="1">
      <c r="C49" s="494">
        <v>3</v>
      </c>
      <c r="D49" s="1212" t="s">
        <v>3849</v>
      </c>
      <c r="E49" s="43">
        <v>696492</v>
      </c>
      <c r="F49" s="1715" t="s">
        <v>3849</v>
      </c>
      <c r="G49" s="1715"/>
      <c r="H49" s="1715"/>
    </row>
    <row r="50" spans="3:8" s="315" customFormat="1" ht="14.1" customHeight="1">
      <c r="C50" s="494">
        <v>4</v>
      </c>
      <c r="D50" s="1212" t="s">
        <v>3850</v>
      </c>
      <c r="E50" s="43">
        <v>9310171</v>
      </c>
      <c r="F50" s="1715" t="s">
        <v>3856</v>
      </c>
      <c r="G50" s="1715"/>
      <c r="H50" s="1715"/>
    </row>
    <row r="51" spans="3:8" s="315" customFormat="1" ht="14.1" customHeight="1">
      <c r="C51" s="494">
        <v>5</v>
      </c>
      <c r="D51" s="1212" t="s">
        <v>3851</v>
      </c>
      <c r="E51" s="43">
        <v>167066</v>
      </c>
      <c r="F51" s="1715" t="s">
        <v>3851</v>
      </c>
      <c r="G51" s="1715"/>
      <c r="H51" s="1715"/>
    </row>
    <row r="52" spans="3:8" s="315" customFormat="1" ht="14.1" customHeight="1">
      <c r="C52" s="494">
        <v>6</v>
      </c>
      <c r="D52" s="1212" t="s">
        <v>3852</v>
      </c>
      <c r="E52" s="1541">
        <f>1295862+83476</f>
        <v>1379338</v>
      </c>
      <c r="F52" s="1715" t="s">
        <v>3857</v>
      </c>
      <c r="G52" s="1715"/>
      <c r="H52" s="1715"/>
    </row>
    <row r="53" spans="3:8">
      <c r="C53" s="494">
        <v>7</v>
      </c>
      <c r="D53" s="1212" t="s">
        <v>3853</v>
      </c>
      <c r="E53" s="43">
        <v>420646</v>
      </c>
      <c r="F53" s="1715" t="s">
        <v>3858</v>
      </c>
      <c r="G53" s="1715"/>
      <c r="H53" s="1715"/>
    </row>
    <row r="54" spans="3:8">
      <c r="C54" s="494">
        <v>8</v>
      </c>
      <c r="D54" s="362"/>
      <c r="E54" s="43"/>
      <c r="F54" s="1681"/>
      <c r="G54" s="1681"/>
      <c r="H54" s="1681"/>
    </row>
    <row r="55" spans="3:8">
      <c r="C55" s="494">
        <v>9</v>
      </c>
      <c r="D55" s="362"/>
      <c r="E55" s="43"/>
      <c r="F55" s="1681"/>
      <c r="G55" s="1681"/>
      <c r="H55" s="1681"/>
    </row>
    <row r="56" spans="3:8" ht="15.75" thickBot="1">
      <c r="C56" s="494">
        <v>10</v>
      </c>
      <c r="D56" s="362"/>
      <c r="E56" s="154"/>
      <c r="F56" s="1681"/>
      <c r="G56" s="1681"/>
      <c r="H56" s="1681"/>
    </row>
    <row r="57" spans="3:8" ht="15.75" thickBot="1">
      <c r="D57" s="230" t="s">
        <v>1774</v>
      </c>
      <c r="E57" s="1549">
        <f>SUM(E43:E56)</f>
        <v>15834082</v>
      </c>
      <c r="F57" s="1678"/>
      <c r="G57" s="1678"/>
      <c r="H57" s="1679"/>
    </row>
    <row r="59" spans="3:8">
      <c r="E59">
        <v>15834082</v>
      </c>
    </row>
    <row r="60" spans="3:8">
      <c r="E60" s="192">
        <f>+E59-E57</f>
        <v>0</v>
      </c>
    </row>
  </sheetData>
  <mergeCells count="22">
    <mergeCell ref="F53:H53"/>
    <mergeCell ref="F47:H47"/>
    <mergeCell ref="F48:H48"/>
    <mergeCell ref="F49:H49"/>
    <mergeCell ref="F50:H50"/>
    <mergeCell ref="F51:H51"/>
    <mergeCell ref="F55:H55"/>
    <mergeCell ref="F56:H56"/>
    <mergeCell ref="F57:H57"/>
    <mergeCell ref="D15:D16"/>
    <mergeCell ref="F54:H54"/>
    <mergeCell ref="F43:H43"/>
    <mergeCell ref="F44:H44"/>
    <mergeCell ref="F45:H45"/>
    <mergeCell ref="F46:H46"/>
    <mergeCell ref="E15:E16"/>
    <mergeCell ref="F15:F16"/>
    <mergeCell ref="G15:G16"/>
    <mergeCell ref="D41:D42"/>
    <mergeCell ref="E41:E42"/>
    <mergeCell ref="F41:H42"/>
    <mergeCell ref="F52:H52"/>
  </mergeCells>
  <conditionalFormatting sqref="E26:G28 E37:G38">
    <cfRule type="cellIs" dxfId="34" priority="1" operator="equal">
      <formula>"OK"</formula>
    </cfRule>
    <cfRule type="cellIs" dxfId="33" priority="2" operator="equal">
      <formula>"ERROR"</formula>
    </cfRule>
  </conditionalFormatting>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heetPr>
  <dimension ref="A1:R123"/>
  <sheetViews>
    <sheetView showGridLines="0" topLeftCell="E6" workbookViewId="0">
      <selection activeCell="J111" sqref="J111"/>
    </sheetView>
  </sheetViews>
  <sheetFormatPr baseColWidth="10" defaultRowHeight="15" outlineLevelRow="1"/>
  <cols>
    <col min="1" max="1" width="3.7109375" customWidth="1"/>
    <col min="2" max="2" width="35.7109375" customWidth="1"/>
    <col min="3" max="3" width="20.7109375" customWidth="1"/>
    <col min="4" max="5" width="14.7109375" customWidth="1"/>
    <col min="6" max="6" width="35.7109375" customWidth="1"/>
    <col min="7" max="18" width="14.7109375" customWidth="1"/>
  </cols>
  <sheetData>
    <row r="1" spans="1:18" s="246" customFormat="1" ht="15" customHeight="1"/>
    <row r="2" spans="1:18" s="246" customFormat="1" ht="15" customHeight="1">
      <c r="B2" s="501" t="s">
        <v>1777</v>
      </c>
    </row>
    <row r="3" spans="1:18" s="246" customFormat="1" ht="15" customHeight="1" thickBot="1"/>
    <row r="4" spans="1:18" s="182" customFormat="1" ht="75" customHeight="1" thickBot="1">
      <c r="B4" s="416" t="s">
        <v>1778</v>
      </c>
      <c r="C4" s="416" t="s">
        <v>423</v>
      </c>
      <c r="D4" s="416" t="s">
        <v>1780</v>
      </c>
      <c r="E4" s="416" t="s">
        <v>1779</v>
      </c>
      <c r="F4" s="416" t="s">
        <v>1786</v>
      </c>
      <c r="G4" s="416" t="s">
        <v>426</v>
      </c>
      <c r="H4" s="416" t="s">
        <v>1480</v>
      </c>
      <c r="I4" s="416" t="s">
        <v>427</v>
      </c>
      <c r="J4" s="416" t="s">
        <v>1781</v>
      </c>
      <c r="K4" s="416" t="s">
        <v>1782</v>
      </c>
      <c r="L4" s="416" t="s">
        <v>1783</v>
      </c>
      <c r="M4" s="416" t="s">
        <v>1482</v>
      </c>
      <c r="N4" s="416" t="s">
        <v>1483</v>
      </c>
      <c r="O4" s="416" t="s">
        <v>1484</v>
      </c>
      <c r="P4" s="416" t="s">
        <v>1485</v>
      </c>
      <c r="Q4" s="416" t="s">
        <v>1486</v>
      </c>
      <c r="R4" s="416" t="s">
        <v>1487</v>
      </c>
    </row>
    <row r="5" spans="1:18" ht="14.1" customHeight="1" outlineLevel="1">
      <c r="A5" s="190">
        <v>1</v>
      </c>
      <c r="B5" s="88"/>
      <c r="C5" s="37"/>
      <c r="D5" s="37"/>
      <c r="E5" s="321"/>
      <c r="F5" s="1214"/>
      <c r="G5" s="504"/>
      <c r="H5" s="504"/>
      <c r="I5" s="321"/>
      <c r="J5" s="65"/>
      <c r="K5" s="66"/>
      <c r="L5" s="70">
        <f>SUM(J5:K5)</f>
        <v>0</v>
      </c>
      <c r="M5" s="504"/>
      <c r="N5" s="507"/>
      <c r="O5" s="507"/>
      <c r="P5" s="504"/>
      <c r="Q5" s="92"/>
      <c r="R5" s="92"/>
    </row>
    <row r="6" spans="1:18" ht="14.1" customHeight="1" outlineLevel="1" thickBot="1">
      <c r="A6" s="190">
        <v>2</v>
      </c>
      <c r="B6" s="87"/>
      <c r="C6" s="38"/>
      <c r="D6" s="38"/>
      <c r="E6" s="321"/>
      <c r="F6" s="1213"/>
      <c r="G6" s="505"/>
      <c r="H6" s="505"/>
      <c r="I6" s="321"/>
      <c r="J6" s="43"/>
      <c r="K6" s="44"/>
      <c r="L6" s="58">
        <f t="shared" ref="L6:L54" si="0">SUM(J6:K6)</f>
        <v>0</v>
      </c>
      <c r="M6" s="505"/>
      <c r="N6" s="508"/>
      <c r="O6" s="508"/>
      <c r="P6" s="505"/>
      <c r="Q6" s="98"/>
      <c r="R6" s="98"/>
    </row>
    <row r="7" spans="1:18" ht="14.1" hidden="1" customHeight="1" outlineLevel="1">
      <c r="A7" s="190">
        <v>3</v>
      </c>
      <c r="B7" s="87"/>
      <c r="C7" s="38"/>
      <c r="D7" s="38"/>
      <c r="E7" s="321"/>
      <c r="F7" s="1213"/>
      <c r="G7" s="505"/>
      <c r="H7" s="505"/>
      <c r="I7" s="321"/>
      <c r="J7" s="43"/>
      <c r="K7" s="44"/>
      <c r="L7" s="58">
        <f t="shared" si="0"/>
        <v>0</v>
      </c>
      <c r="M7" s="505"/>
      <c r="N7" s="508"/>
      <c r="O7" s="508"/>
      <c r="P7" s="505"/>
      <c r="Q7" s="98"/>
      <c r="R7" s="98"/>
    </row>
    <row r="8" spans="1:18" ht="14.1" hidden="1" customHeight="1" outlineLevel="1">
      <c r="A8" s="190">
        <v>4</v>
      </c>
      <c r="B8" s="87"/>
      <c r="C8" s="38"/>
      <c r="D8" s="38"/>
      <c r="E8" s="321"/>
      <c r="F8" s="1213"/>
      <c r="G8" s="505"/>
      <c r="H8" s="505"/>
      <c r="I8" s="321"/>
      <c r="J8" s="43"/>
      <c r="K8" s="44"/>
      <c r="L8" s="58">
        <f t="shared" si="0"/>
        <v>0</v>
      </c>
      <c r="M8" s="505"/>
      <c r="N8" s="508"/>
      <c r="O8" s="508"/>
      <c r="P8" s="505"/>
      <c r="Q8" s="98"/>
      <c r="R8" s="98"/>
    </row>
    <row r="9" spans="1:18" ht="14.1" hidden="1" customHeight="1" outlineLevel="1">
      <c r="A9" s="190">
        <v>5</v>
      </c>
      <c r="B9" s="87"/>
      <c r="C9" s="38"/>
      <c r="D9" s="38"/>
      <c r="E9" s="321"/>
      <c r="F9" s="1213"/>
      <c r="G9" s="505"/>
      <c r="H9" s="505"/>
      <c r="I9" s="321"/>
      <c r="J9" s="43"/>
      <c r="K9" s="44"/>
      <c r="L9" s="58">
        <f t="shared" si="0"/>
        <v>0</v>
      </c>
      <c r="M9" s="505"/>
      <c r="N9" s="508"/>
      <c r="O9" s="508"/>
      <c r="P9" s="505"/>
      <c r="Q9" s="98"/>
      <c r="R9" s="98"/>
    </row>
    <row r="10" spans="1:18" ht="14.1" hidden="1" customHeight="1" outlineLevel="1">
      <c r="A10" s="190">
        <v>6</v>
      </c>
      <c r="B10" s="87"/>
      <c r="C10" s="38"/>
      <c r="D10" s="38"/>
      <c r="E10" s="321"/>
      <c r="F10" s="502"/>
      <c r="G10" s="505"/>
      <c r="H10" s="505"/>
      <c r="I10" s="321"/>
      <c r="J10" s="43"/>
      <c r="K10" s="44"/>
      <c r="L10" s="58">
        <f t="shared" si="0"/>
        <v>0</v>
      </c>
      <c r="M10" s="505"/>
      <c r="N10" s="508"/>
      <c r="O10" s="508"/>
      <c r="P10" s="505"/>
      <c r="Q10" s="98"/>
      <c r="R10" s="98"/>
    </row>
    <row r="11" spans="1:18" ht="14.1" hidden="1" customHeight="1" outlineLevel="1">
      <c r="A11" s="190">
        <v>7</v>
      </c>
      <c r="B11" s="87"/>
      <c r="C11" s="38"/>
      <c r="D11" s="38"/>
      <c r="E11" s="321"/>
      <c r="F11" s="502"/>
      <c r="G11" s="505"/>
      <c r="H11" s="505"/>
      <c r="I11" s="321"/>
      <c r="J11" s="43"/>
      <c r="K11" s="44"/>
      <c r="L11" s="58">
        <f t="shared" si="0"/>
        <v>0</v>
      </c>
      <c r="M11" s="505"/>
      <c r="N11" s="508"/>
      <c r="O11" s="508"/>
      <c r="P11" s="505"/>
      <c r="Q11" s="98"/>
      <c r="R11" s="98"/>
    </row>
    <row r="12" spans="1:18" ht="14.1" hidden="1" customHeight="1" outlineLevel="1">
      <c r="A12" s="190">
        <v>8</v>
      </c>
      <c r="B12" s="87"/>
      <c r="C12" s="38"/>
      <c r="D12" s="38"/>
      <c r="E12" s="321"/>
      <c r="F12" s="502"/>
      <c r="G12" s="505"/>
      <c r="H12" s="505"/>
      <c r="I12" s="321"/>
      <c r="J12" s="43"/>
      <c r="K12" s="44"/>
      <c r="L12" s="58">
        <f t="shared" si="0"/>
        <v>0</v>
      </c>
      <c r="M12" s="505"/>
      <c r="N12" s="508"/>
      <c r="O12" s="508"/>
      <c r="P12" s="505"/>
      <c r="Q12" s="98"/>
      <c r="R12" s="98"/>
    </row>
    <row r="13" spans="1:18" ht="14.1" hidden="1" customHeight="1" outlineLevel="1">
      <c r="A13" s="190">
        <v>9</v>
      </c>
      <c r="B13" s="87"/>
      <c r="C13" s="38"/>
      <c r="D13" s="38"/>
      <c r="E13" s="321"/>
      <c r="F13" s="502"/>
      <c r="G13" s="505"/>
      <c r="H13" s="505"/>
      <c r="I13" s="321"/>
      <c r="J13" s="43"/>
      <c r="K13" s="44"/>
      <c r="L13" s="58">
        <f t="shared" si="0"/>
        <v>0</v>
      </c>
      <c r="M13" s="505"/>
      <c r="N13" s="508"/>
      <c r="O13" s="508"/>
      <c r="P13" s="505"/>
      <c r="Q13" s="98"/>
      <c r="R13" s="98"/>
    </row>
    <row r="14" spans="1:18" ht="14.1" hidden="1" customHeight="1" outlineLevel="1">
      <c r="A14" s="190">
        <v>10</v>
      </c>
      <c r="B14" s="87"/>
      <c r="C14" s="38"/>
      <c r="D14" s="38"/>
      <c r="E14" s="321"/>
      <c r="F14" s="502"/>
      <c r="G14" s="505"/>
      <c r="H14" s="505"/>
      <c r="I14" s="321"/>
      <c r="J14" s="43"/>
      <c r="K14" s="44"/>
      <c r="L14" s="58">
        <f t="shared" si="0"/>
        <v>0</v>
      </c>
      <c r="M14" s="505"/>
      <c r="N14" s="508"/>
      <c r="O14" s="508"/>
      <c r="P14" s="505"/>
      <c r="Q14" s="98"/>
      <c r="R14" s="98"/>
    </row>
    <row r="15" spans="1:18" ht="14.1" hidden="1" customHeight="1" outlineLevel="1">
      <c r="A15" s="190">
        <v>11</v>
      </c>
      <c r="B15" s="87"/>
      <c r="C15" s="38"/>
      <c r="D15" s="38"/>
      <c r="E15" s="321"/>
      <c r="F15" s="502"/>
      <c r="G15" s="505"/>
      <c r="H15" s="505"/>
      <c r="I15" s="321"/>
      <c r="J15" s="43"/>
      <c r="K15" s="44"/>
      <c r="L15" s="58">
        <f t="shared" si="0"/>
        <v>0</v>
      </c>
      <c r="M15" s="505"/>
      <c r="N15" s="508"/>
      <c r="O15" s="508"/>
      <c r="P15" s="505"/>
      <c r="Q15" s="98"/>
      <c r="R15" s="98"/>
    </row>
    <row r="16" spans="1:18" ht="14.1" hidden="1" customHeight="1" outlineLevel="1">
      <c r="A16" s="190">
        <v>12</v>
      </c>
      <c r="B16" s="87"/>
      <c r="C16" s="38"/>
      <c r="D16" s="38"/>
      <c r="E16" s="321"/>
      <c r="F16" s="502"/>
      <c r="G16" s="505"/>
      <c r="H16" s="505"/>
      <c r="I16" s="321"/>
      <c r="J16" s="43"/>
      <c r="K16" s="44"/>
      <c r="L16" s="58">
        <f t="shared" si="0"/>
        <v>0</v>
      </c>
      <c r="M16" s="505"/>
      <c r="N16" s="508"/>
      <c r="O16" s="508"/>
      <c r="P16" s="505"/>
      <c r="Q16" s="98"/>
      <c r="R16" s="98"/>
    </row>
    <row r="17" spans="1:18" ht="14.1" hidden="1" customHeight="1" outlineLevel="1">
      <c r="A17" s="190">
        <v>13</v>
      </c>
      <c r="B17" s="87"/>
      <c r="C17" s="38"/>
      <c r="D17" s="38"/>
      <c r="E17" s="321"/>
      <c r="F17" s="502"/>
      <c r="G17" s="505"/>
      <c r="H17" s="505"/>
      <c r="I17" s="321"/>
      <c r="J17" s="43"/>
      <c r="K17" s="44"/>
      <c r="L17" s="58">
        <f t="shared" si="0"/>
        <v>0</v>
      </c>
      <c r="M17" s="505"/>
      <c r="N17" s="508"/>
      <c r="O17" s="508"/>
      <c r="P17" s="505"/>
      <c r="Q17" s="98"/>
      <c r="R17" s="98"/>
    </row>
    <row r="18" spans="1:18" ht="14.1" hidden="1" customHeight="1" outlineLevel="1">
      <c r="A18" s="190">
        <v>14</v>
      </c>
      <c r="B18" s="87"/>
      <c r="C18" s="38"/>
      <c r="D18" s="38"/>
      <c r="E18" s="321"/>
      <c r="F18" s="502"/>
      <c r="G18" s="505"/>
      <c r="H18" s="505"/>
      <c r="I18" s="321"/>
      <c r="J18" s="43"/>
      <c r="K18" s="44"/>
      <c r="L18" s="58">
        <f t="shared" si="0"/>
        <v>0</v>
      </c>
      <c r="M18" s="505"/>
      <c r="N18" s="508"/>
      <c r="O18" s="508"/>
      <c r="P18" s="505"/>
      <c r="Q18" s="98"/>
      <c r="R18" s="98"/>
    </row>
    <row r="19" spans="1:18" ht="14.1" hidden="1" customHeight="1" outlineLevel="1">
      <c r="A19" s="190">
        <v>15</v>
      </c>
      <c r="B19" s="87"/>
      <c r="C19" s="38"/>
      <c r="D19" s="38"/>
      <c r="E19" s="321"/>
      <c r="F19" s="502"/>
      <c r="G19" s="505"/>
      <c r="H19" s="505"/>
      <c r="I19" s="321"/>
      <c r="J19" s="43"/>
      <c r="K19" s="44"/>
      <c r="L19" s="58">
        <f t="shared" si="0"/>
        <v>0</v>
      </c>
      <c r="M19" s="505"/>
      <c r="N19" s="508"/>
      <c r="O19" s="508"/>
      <c r="P19" s="505"/>
      <c r="Q19" s="98"/>
      <c r="R19" s="98"/>
    </row>
    <row r="20" spans="1:18" ht="14.1" hidden="1" customHeight="1" outlineLevel="1">
      <c r="A20" s="190">
        <v>16</v>
      </c>
      <c r="B20" s="87"/>
      <c r="C20" s="38"/>
      <c r="D20" s="38"/>
      <c r="E20" s="321"/>
      <c r="F20" s="502"/>
      <c r="G20" s="505"/>
      <c r="H20" s="505"/>
      <c r="I20" s="321"/>
      <c r="J20" s="43"/>
      <c r="K20" s="44"/>
      <c r="L20" s="58">
        <f t="shared" si="0"/>
        <v>0</v>
      </c>
      <c r="M20" s="505"/>
      <c r="N20" s="508"/>
      <c r="O20" s="508"/>
      <c r="P20" s="505"/>
      <c r="Q20" s="98"/>
      <c r="R20" s="98"/>
    </row>
    <row r="21" spans="1:18" ht="14.1" hidden="1" customHeight="1" outlineLevel="1">
      <c r="A21" s="190">
        <v>17</v>
      </c>
      <c r="B21" s="87"/>
      <c r="C21" s="38"/>
      <c r="D21" s="38"/>
      <c r="E21" s="321"/>
      <c r="F21" s="502"/>
      <c r="G21" s="505"/>
      <c r="H21" s="505"/>
      <c r="I21" s="321"/>
      <c r="J21" s="43"/>
      <c r="K21" s="44"/>
      <c r="L21" s="58">
        <f t="shared" si="0"/>
        <v>0</v>
      </c>
      <c r="M21" s="505"/>
      <c r="N21" s="508"/>
      <c r="O21" s="508"/>
      <c r="P21" s="505"/>
      <c r="Q21" s="98"/>
      <c r="R21" s="98"/>
    </row>
    <row r="22" spans="1:18" ht="14.1" hidden="1" customHeight="1" outlineLevel="1">
      <c r="A22" s="190">
        <v>18</v>
      </c>
      <c r="B22" s="87"/>
      <c r="C22" s="38"/>
      <c r="D22" s="38"/>
      <c r="E22" s="321"/>
      <c r="F22" s="502"/>
      <c r="G22" s="505"/>
      <c r="H22" s="505"/>
      <c r="I22" s="321"/>
      <c r="J22" s="43"/>
      <c r="K22" s="44"/>
      <c r="L22" s="58">
        <f t="shared" si="0"/>
        <v>0</v>
      </c>
      <c r="M22" s="505"/>
      <c r="N22" s="508"/>
      <c r="O22" s="508"/>
      <c r="P22" s="505"/>
      <c r="Q22" s="98"/>
      <c r="R22" s="98"/>
    </row>
    <row r="23" spans="1:18" ht="14.1" hidden="1" customHeight="1" outlineLevel="1">
      <c r="A23" s="190">
        <v>19</v>
      </c>
      <c r="B23" s="87"/>
      <c r="C23" s="38"/>
      <c r="D23" s="38"/>
      <c r="E23" s="321"/>
      <c r="F23" s="502"/>
      <c r="G23" s="505"/>
      <c r="H23" s="505"/>
      <c r="I23" s="321"/>
      <c r="J23" s="43"/>
      <c r="K23" s="44"/>
      <c r="L23" s="58">
        <f t="shared" si="0"/>
        <v>0</v>
      </c>
      <c r="M23" s="505"/>
      <c r="N23" s="508"/>
      <c r="O23" s="508"/>
      <c r="P23" s="505"/>
      <c r="Q23" s="98"/>
      <c r="R23" s="98"/>
    </row>
    <row r="24" spans="1:18" ht="14.1" hidden="1" customHeight="1" outlineLevel="1">
      <c r="A24" s="190">
        <v>20</v>
      </c>
      <c r="B24" s="87"/>
      <c r="C24" s="38"/>
      <c r="D24" s="38"/>
      <c r="E24" s="321"/>
      <c r="F24" s="502"/>
      <c r="G24" s="505"/>
      <c r="H24" s="505"/>
      <c r="I24" s="321"/>
      <c r="J24" s="43"/>
      <c r="K24" s="44"/>
      <c r="L24" s="58">
        <f t="shared" si="0"/>
        <v>0</v>
      </c>
      <c r="M24" s="505"/>
      <c r="N24" s="508"/>
      <c r="O24" s="508"/>
      <c r="P24" s="505"/>
      <c r="Q24" s="98"/>
      <c r="R24" s="98"/>
    </row>
    <row r="25" spans="1:18" ht="14.1" hidden="1" customHeight="1" outlineLevel="1">
      <c r="A25" s="190">
        <v>21</v>
      </c>
      <c r="B25" s="87"/>
      <c r="C25" s="38"/>
      <c r="D25" s="38"/>
      <c r="E25" s="321"/>
      <c r="F25" s="502"/>
      <c r="G25" s="505"/>
      <c r="H25" s="505"/>
      <c r="I25" s="321"/>
      <c r="J25" s="43"/>
      <c r="K25" s="44"/>
      <c r="L25" s="58">
        <f t="shared" si="0"/>
        <v>0</v>
      </c>
      <c r="M25" s="505"/>
      <c r="N25" s="508"/>
      <c r="O25" s="508"/>
      <c r="P25" s="505"/>
      <c r="Q25" s="98"/>
      <c r="R25" s="98"/>
    </row>
    <row r="26" spans="1:18" ht="14.1" hidden="1" customHeight="1" outlineLevel="1">
      <c r="A26" s="190">
        <v>22</v>
      </c>
      <c r="B26" s="87"/>
      <c r="C26" s="38"/>
      <c r="D26" s="38"/>
      <c r="E26" s="321"/>
      <c r="F26" s="502"/>
      <c r="G26" s="505"/>
      <c r="H26" s="505"/>
      <c r="I26" s="321"/>
      <c r="J26" s="43"/>
      <c r="K26" s="44"/>
      <c r="L26" s="58">
        <f t="shared" si="0"/>
        <v>0</v>
      </c>
      <c r="M26" s="505"/>
      <c r="N26" s="508"/>
      <c r="O26" s="508"/>
      <c r="P26" s="505"/>
      <c r="Q26" s="98"/>
      <c r="R26" s="98"/>
    </row>
    <row r="27" spans="1:18" ht="14.1" hidden="1" customHeight="1" outlineLevel="1">
      <c r="A27" s="190">
        <v>23</v>
      </c>
      <c r="B27" s="87"/>
      <c r="C27" s="38"/>
      <c r="D27" s="38"/>
      <c r="E27" s="321"/>
      <c r="F27" s="502"/>
      <c r="G27" s="505"/>
      <c r="H27" s="505"/>
      <c r="I27" s="321"/>
      <c r="J27" s="43"/>
      <c r="K27" s="44"/>
      <c r="L27" s="58">
        <f t="shared" si="0"/>
        <v>0</v>
      </c>
      <c r="M27" s="505"/>
      <c r="N27" s="508"/>
      <c r="O27" s="508"/>
      <c r="P27" s="505"/>
      <c r="Q27" s="98"/>
      <c r="R27" s="98"/>
    </row>
    <row r="28" spans="1:18" ht="14.1" hidden="1" customHeight="1" outlineLevel="1">
      <c r="A28" s="190">
        <v>24</v>
      </c>
      <c r="B28" s="87"/>
      <c r="C28" s="38"/>
      <c r="D28" s="38"/>
      <c r="E28" s="321"/>
      <c r="F28" s="502"/>
      <c r="G28" s="505"/>
      <c r="H28" s="505"/>
      <c r="I28" s="321"/>
      <c r="J28" s="43"/>
      <c r="K28" s="44"/>
      <c r="L28" s="58">
        <f t="shared" si="0"/>
        <v>0</v>
      </c>
      <c r="M28" s="505"/>
      <c r="N28" s="508"/>
      <c r="O28" s="508"/>
      <c r="P28" s="505"/>
      <c r="Q28" s="98"/>
      <c r="R28" s="98"/>
    </row>
    <row r="29" spans="1:18" ht="14.1" hidden="1" customHeight="1" outlineLevel="1">
      <c r="A29" s="190">
        <v>25</v>
      </c>
      <c r="B29" s="87"/>
      <c r="C29" s="38"/>
      <c r="D29" s="38"/>
      <c r="E29" s="321"/>
      <c r="F29" s="502"/>
      <c r="G29" s="505"/>
      <c r="H29" s="505"/>
      <c r="I29" s="321"/>
      <c r="J29" s="43"/>
      <c r="K29" s="44"/>
      <c r="L29" s="58">
        <f t="shared" si="0"/>
        <v>0</v>
      </c>
      <c r="M29" s="505"/>
      <c r="N29" s="508"/>
      <c r="O29" s="508"/>
      <c r="P29" s="505"/>
      <c r="Q29" s="98"/>
      <c r="R29" s="98"/>
    </row>
    <row r="30" spans="1:18" ht="14.1" hidden="1" customHeight="1" outlineLevel="1">
      <c r="A30" s="190">
        <v>26</v>
      </c>
      <c r="B30" s="87"/>
      <c r="C30" s="38"/>
      <c r="D30" s="38"/>
      <c r="E30" s="321"/>
      <c r="F30" s="502"/>
      <c r="G30" s="505"/>
      <c r="H30" s="505"/>
      <c r="I30" s="321"/>
      <c r="J30" s="43"/>
      <c r="K30" s="44"/>
      <c r="L30" s="58">
        <f t="shared" si="0"/>
        <v>0</v>
      </c>
      <c r="M30" s="505"/>
      <c r="N30" s="508"/>
      <c r="O30" s="508"/>
      <c r="P30" s="505"/>
      <c r="Q30" s="98"/>
      <c r="R30" s="98"/>
    </row>
    <row r="31" spans="1:18" ht="14.1" hidden="1" customHeight="1" outlineLevel="1">
      <c r="A31" s="190">
        <v>27</v>
      </c>
      <c r="B31" s="87"/>
      <c r="C31" s="38"/>
      <c r="D31" s="38"/>
      <c r="E31" s="321"/>
      <c r="F31" s="502"/>
      <c r="G31" s="505"/>
      <c r="H31" s="505"/>
      <c r="I31" s="321"/>
      <c r="J31" s="43"/>
      <c r="K31" s="44"/>
      <c r="L31" s="58">
        <f t="shared" si="0"/>
        <v>0</v>
      </c>
      <c r="M31" s="505"/>
      <c r="N31" s="508"/>
      <c r="O31" s="508"/>
      <c r="P31" s="505"/>
      <c r="Q31" s="98"/>
      <c r="R31" s="98"/>
    </row>
    <row r="32" spans="1:18" ht="14.1" hidden="1" customHeight="1" outlineLevel="1">
      <c r="A32" s="190">
        <v>28</v>
      </c>
      <c r="B32" s="87"/>
      <c r="C32" s="38"/>
      <c r="D32" s="38"/>
      <c r="E32" s="321"/>
      <c r="F32" s="502"/>
      <c r="G32" s="505"/>
      <c r="H32" s="505"/>
      <c r="I32" s="321"/>
      <c r="J32" s="43"/>
      <c r="K32" s="44"/>
      <c r="L32" s="58">
        <f t="shared" si="0"/>
        <v>0</v>
      </c>
      <c r="M32" s="505"/>
      <c r="N32" s="508"/>
      <c r="O32" s="508"/>
      <c r="P32" s="505"/>
      <c r="Q32" s="98"/>
      <c r="R32" s="98"/>
    </row>
    <row r="33" spans="1:18" ht="14.1" hidden="1" customHeight="1" outlineLevel="1">
      <c r="A33" s="190">
        <v>29</v>
      </c>
      <c r="B33" s="87"/>
      <c r="C33" s="38"/>
      <c r="D33" s="38"/>
      <c r="E33" s="321"/>
      <c r="F33" s="502"/>
      <c r="G33" s="505"/>
      <c r="H33" s="505"/>
      <c r="I33" s="321"/>
      <c r="J33" s="43"/>
      <c r="K33" s="44"/>
      <c r="L33" s="58">
        <f t="shared" si="0"/>
        <v>0</v>
      </c>
      <c r="M33" s="505"/>
      <c r="N33" s="508"/>
      <c r="O33" s="508"/>
      <c r="P33" s="505"/>
      <c r="Q33" s="98"/>
      <c r="R33" s="98"/>
    </row>
    <row r="34" spans="1:18" ht="14.1" hidden="1" customHeight="1" outlineLevel="1">
      <c r="A34" s="190">
        <v>30</v>
      </c>
      <c r="B34" s="87"/>
      <c r="C34" s="38"/>
      <c r="D34" s="38"/>
      <c r="E34" s="321"/>
      <c r="F34" s="502"/>
      <c r="G34" s="505"/>
      <c r="H34" s="505"/>
      <c r="I34" s="321"/>
      <c r="J34" s="43"/>
      <c r="K34" s="44"/>
      <c r="L34" s="58">
        <f t="shared" si="0"/>
        <v>0</v>
      </c>
      <c r="M34" s="505"/>
      <c r="N34" s="508"/>
      <c r="O34" s="508"/>
      <c r="P34" s="505"/>
      <c r="Q34" s="98"/>
      <c r="R34" s="98"/>
    </row>
    <row r="35" spans="1:18" ht="14.1" hidden="1" customHeight="1" outlineLevel="1">
      <c r="A35" s="190">
        <v>31</v>
      </c>
      <c r="B35" s="87"/>
      <c r="C35" s="38"/>
      <c r="D35" s="38"/>
      <c r="E35" s="321"/>
      <c r="F35" s="502"/>
      <c r="G35" s="505"/>
      <c r="H35" s="505"/>
      <c r="I35" s="321"/>
      <c r="J35" s="43"/>
      <c r="K35" s="44"/>
      <c r="L35" s="58">
        <f t="shared" si="0"/>
        <v>0</v>
      </c>
      <c r="M35" s="505"/>
      <c r="N35" s="508"/>
      <c r="O35" s="508"/>
      <c r="P35" s="505"/>
      <c r="Q35" s="98"/>
      <c r="R35" s="98"/>
    </row>
    <row r="36" spans="1:18" ht="14.1" hidden="1" customHeight="1" outlineLevel="1">
      <c r="A36" s="190">
        <v>32</v>
      </c>
      <c r="B36" s="87"/>
      <c r="C36" s="38"/>
      <c r="D36" s="38"/>
      <c r="E36" s="321"/>
      <c r="F36" s="502"/>
      <c r="G36" s="505"/>
      <c r="H36" s="505"/>
      <c r="I36" s="321"/>
      <c r="J36" s="43"/>
      <c r="K36" s="44"/>
      <c r="L36" s="58">
        <f t="shared" si="0"/>
        <v>0</v>
      </c>
      <c r="M36" s="505"/>
      <c r="N36" s="508"/>
      <c r="O36" s="508"/>
      <c r="P36" s="505"/>
      <c r="Q36" s="98"/>
      <c r="R36" s="98"/>
    </row>
    <row r="37" spans="1:18" ht="14.1" hidden="1" customHeight="1" outlineLevel="1">
      <c r="A37" s="190">
        <v>33</v>
      </c>
      <c r="B37" s="87"/>
      <c r="C37" s="38"/>
      <c r="D37" s="38"/>
      <c r="E37" s="321"/>
      <c r="F37" s="502"/>
      <c r="G37" s="505"/>
      <c r="H37" s="505"/>
      <c r="I37" s="321"/>
      <c r="J37" s="43"/>
      <c r="K37" s="44"/>
      <c r="L37" s="58">
        <f t="shared" si="0"/>
        <v>0</v>
      </c>
      <c r="M37" s="505"/>
      <c r="N37" s="508"/>
      <c r="O37" s="508"/>
      <c r="P37" s="505"/>
      <c r="Q37" s="98"/>
      <c r="R37" s="98"/>
    </row>
    <row r="38" spans="1:18" ht="14.1" hidden="1" customHeight="1" outlineLevel="1">
      <c r="A38" s="190">
        <v>34</v>
      </c>
      <c r="B38" s="87"/>
      <c r="C38" s="38"/>
      <c r="D38" s="38"/>
      <c r="E38" s="321"/>
      <c r="F38" s="502"/>
      <c r="G38" s="505"/>
      <c r="H38" s="505"/>
      <c r="I38" s="321"/>
      <c r="J38" s="43"/>
      <c r="K38" s="44"/>
      <c r="L38" s="58">
        <f t="shared" si="0"/>
        <v>0</v>
      </c>
      <c r="M38" s="505"/>
      <c r="N38" s="508"/>
      <c r="O38" s="508"/>
      <c r="P38" s="505"/>
      <c r="Q38" s="98"/>
      <c r="R38" s="98"/>
    </row>
    <row r="39" spans="1:18" ht="14.1" hidden="1" customHeight="1" outlineLevel="1">
      <c r="A39" s="190">
        <v>35</v>
      </c>
      <c r="B39" s="87"/>
      <c r="C39" s="38"/>
      <c r="D39" s="38"/>
      <c r="E39" s="321"/>
      <c r="F39" s="502"/>
      <c r="G39" s="505"/>
      <c r="H39" s="505"/>
      <c r="I39" s="321"/>
      <c r="J39" s="43"/>
      <c r="K39" s="44"/>
      <c r="L39" s="58">
        <f t="shared" si="0"/>
        <v>0</v>
      </c>
      <c r="M39" s="505"/>
      <c r="N39" s="508"/>
      <c r="O39" s="508"/>
      <c r="P39" s="505"/>
      <c r="Q39" s="98"/>
      <c r="R39" s="98"/>
    </row>
    <row r="40" spans="1:18" ht="14.1" hidden="1" customHeight="1" outlineLevel="1">
      <c r="A40" s="190">
        <v>36</v>
      </c>
      <c r="B40" s="87"/>
      <c r="C40" s="38"/>
      <c r="D40" s="38"/>
      <c r="E40" s="321"/>
      <c r="F40" s="502"/>
      <c r="G40" s="505"/>
      <c r="H40" s="505"/>
      <c r="I40" s="321"/>
      <c r="J40" s="43"/>
      <c r="K40" s="44"/>
      <c r="L40" s="58">
        <f t="shared" si="0"/>
        <v>0</v>
      </c>
      <c r="M40" s="505"/>
      <c r="N40" s="508"/>
      <c r="O40" s="508"/>
      <c r="P40" s="505"/>
      <c r="Q40" s="98"/>
      <c r="R40" s="98"/>
    </row>
    <row r="41" spans="1:18" ht="14.1" hidden="1" customHeight="1" outlineLevel="1">
      <c r="A41" s="190">
        <v>37</v>
      </c>
      <c r="B41" s="87"/>
      <c r="C41" s="38"/>
      <c r="D41" s="38"/>
      <c r="E41" s="321"/>
      <c r="F41" s="502"/>
      <c r="G41" s="505"/>
      <c r="H41" s="505"/>
      <c r="I41" s="321"/>
      <c r="J41" s="43"/>
      <c r="K41" s="44"/>
      <c r="L41" s="58">
        <f t="shared" si="0"/>
        <v>0</v>
      </c>
      <c r="M41" s="505"/>
      <c r="N41" s="508"/>
      <c r="O41" s="508"/>
      <c r="P41" s="505"/>
      <c r="Q41" s="98"/>
      <c r="R41" s="98"/>
    </row>
    <row r="42" spans="1:18" ht="14.1" hidden="1" customHeight="1" outlineLevel="1">
      <c r="A42" s="190">
        <v>38</v>
      </c>
      <c r="B42" s="87"/>
      <c r="C42" s="38"/>
      <c r="D42" s="38"/>
      <c r="E42" s="321"/>
      <c r="F42" s="502"/>
      <c r="G42" s="505"/>
      <c r="H42" s="505"/>
      <c r="I42" s="321"/>
      <c r="J42" s="43"/>
      <c r="K42" s="44"/>
      <c r="L42" s="58">
        <f t="shared" si="0"/>
        <v>0</v>
      </c>
      <c r="M42" s="505"/>
      <c r="N42" s="508"/>
      <c r="O42" s="508"/>
      <c r="P42" s="505"/>
      <c r="Q42" s="98"/>
      <c r="R42" s="98"/>
    </row>
    <row r="43" spans="1:18" ht="14.1" hidden="1" customHeight="1" outlineLevel="1">
      <c r="A43" s="190">
        <v>39</v>
      </c>
      <c r="B43" s="87"/>
      <c r="C43" s="38"/>
      <c r="D43" s="38"/>
      <c r="E43" s="321"/>
      <c r="F43" s="502"/>
      <c r="G43" s="505"/>
      <c r="H43" s="505"/>
      <c r="I43" s="321"/>
      <c r="J43" s="43"/>
      <c r="K43" s="44"/>
      <c r="L43" s="58">
        <f t="shared" si="0"/>
        <v>0</v>
      </c>
      <c r="M43" s="505"/>
      <c r="N43" s="508"/>
      <c r="O43" s="508"/>
      <c r="P43" s="505"/>
      <c r="Q43" s="98"/>
      <c r="R43" s="98"/>
    </row>
    <row r="44" spans="1:18" ht="14.1" hidden="1" customHeight="1" outlineLevel="1">
      <c r="A44" s="190">
        <v>40</v>
      </c>
      <c r="B44" s="87"/>
      <c r="C44" s="38"/>
      <c r="D44" s="38"/>
      <c r="E44" s="321"/>
      <c r="F44" s="502"/>
      <c r="G44" s="505"/>
      <c r="H44" s="505"/>
      <c r="I44" s="321"/>
      <c r="J44" s="43"/>
      <c r="K44" s="44"/>
      <c r="L44" s="58">
        <f t="shared" si="0"/>
        <v>0</v>
      </c>
      <c r="M44" s="505"/>
      <c r="N44" s="508"/>
      <c r="O44" s="508"/>
      <c r="P44" s="505"/>
      <c r="Q44" s="98"/>
      <c r="R44" s="98"/>
    </row>
    <row r="45" spans="1:18" ht="14.1" hidden="1" customHeight="1" outlineLevel="1">
      <c r="A45" s="190">
        <v>41</v>
      </c>
      <c r="B45" s="87"/>
      <c r="C45" s="38"/>
      <c r="D45" s="38"/>
      <c r="E45" s="321"/>
      <c r="F45" s="502"/>
      <c r="G45" s="505"/>
      <c r="H45" s="505"/>
      <c r="I45" s="321"/>
      <c r="J45" s="43"/>
      <c r="K45" s="44"/>
      <c r="L45" s="58">
        <f t="shared" si="0"/>
        <v>0</v>
      </c>
      <c r="M45" s="505"/>
      <c r="N45" s="508"/>
      <c r="O45" s="508"/>
      <c r="P45" s="505"/>
      <c r="Q45" s="98"/>
      <c r="R45" s="98"/>
    </row>
    <row r="46" spans="1:18" ht="14.1" hidden="1" customHeight="1" outlineLevel="1">
      <c r="A46" s="190">
        <v>42</v>
      </c>
      <c r="B46" s="87"/>
      <c r="C46" s="38"/>
      <c r="D46" s="38"/>
      <c r="E46" s="321"/>
      <c r="F46" s="502"/>
      <c r="G46" s="505"/>
      <c r="H46" s="505"/>
      <c r="I46" s="321"/>
      <c r="J46" s="43"/>
      <c r="K46" s="44"/>
      <c r="L46" s="58">
        <f t="shared" si="0"/>
        <v>0</v>
      </c>
      <c r="M46" s="505"/>
      <c r="N46" s="508"/>
      <c r="O46" s="508"/>
      <c r="P46" s="505"/>
      <c r="Q46" s="98"/>
      <c r="R46" s="98"/>
    </row>
    <row r="47" spans="1:18" ht="14.1" hidden="1" customHeight="1" outlineLevel="1">
      <c r="A47" s="190">
        <v>43</v>
      </c>
      <c r="B47" s="87"/>
      <c r="C47" s="38"/>
      <c r="D47" s="38"/>
      <c r="E47" s="321"/>
      <c r="F47" s="502"/>
      <c r="G47" s="505"/>
      <c r="H47" s="505"/>
      <c r="I47" s="321"/>
      <c r="J47" s="43"/>
      <c r="K47" s="44"/>
      <c r="L47" s="58">
        <f t="shared" si="0"/>
        <v>0</v>
      </c>
      <c r="M47" s="505"/>
      <c r="N47" s="508"/>
      <c r="O47" s="508"/>
      <c r="P47" s="505"/>
      <c r="Q47" s="98"/>
      <c r="R47" s="98"/>
    </row>
    <row r="48" spans="1:18" ht="14.1" hidden="1" customHeight="1" outlineLevel="1">
      <c r="A48" s="190">
        <v>44</v>
      </c>
      <c r="B48" s="87"/>
      <c r="C48" s="38"/>
      <c r="D48" s="38"/>
      <c r="E48" s="321"/>
      <c r="F48" s="502"/>
      <c r="G48" s="505"/>
      <c r="H48" s="505"/>
      <c r="I48" s="321"/>
      <c r="J48" s="43"/>
      <c r="K48" s="44"/>
      <c r="L48" s="58">
        <f t="shared" si="0"/>
        <v>0</v>
      </c>
      <c r="M48" s="505"/>
      <c r="N48" s="508"/>
      <c r="O48" s="508"/>
      <c r="P48" s="505"/>
      <c r="Q48" s="98"/>
      <c r="R48" s="98"/>
    </row>
    <row r="49" spans="1:18" ht="14.1" hidden="1" customHeight="1" outlineLevel="1">
      <c r="A49" s="190">
        <v>45</v>
      </c>
      <c r="B49" s="87"/>
      <c r="C49" s="38"/>
      <c r="D49" s="38"/>
      <c r="E49" s="321"/>
      <c r="F49" s="502"/>
      <c r="G49" s="505"/>
      <c r="H49" s="505"/>
      <c r="I49" s="321"/>
      <c r="J49" s="43"/>
      <c r="K49" s="44"/>
      <c r="L49" s="58">
        <f t="shared" si="0"/>
        <v>0</v>
      </c>
      <c r="M49" s="505"/>
      <c r="N49" s="508"/>
      <c r="O49" s="508"/>
      <c r="P49" s="505"/>
      <c r="Q49" s="98"/>
      <c r="R49" s="98"/>
    </row>
    <row r="50" spans="1:18" ht="14.1" hidden="1" customHeight="1" outlineLevel="1">
      <c r="A50" s="190">
        <v>46</v>
      </c>
      <c r="B50" s="87"/>
      <c r="C50" s="38"/>
      <c r="D50" s="38"/>
      <c r="E50" s="321"/>
      <c r="F50" s="502"/>
      <c r="G50" s="505"/>
      <c r="H50" s="505"/>
      <c r="I50" s="321"/>
      <c r="J50" s="43"/>
      <c r="K50" s="44"/>
      <c r="L50" s="58">
        <f t="shared" si="0"/>
        <v>0</v>
      </c>
      <c r="M50" s="505"/>
      <c r="N50" s="508"/>
      <c r="O50" s="508"/>
      <c r="P50" s="505"/>
      <c r="Q50" s="98"/>
      <c r="R50" s="98"/>
    </row>
    <row r="51" spans="1:18" ht="14.1" hidden="1" customHeight="1" outlineLevel="1">
      <c r="A51" s="190">
        <v>47</v>
      </c>
      <c r="B51" s="87"/>
      <c r="C51" s="38"/>
      <c r="D51" s="38"/>
      <c r="E51" s="321"/>
      <c r="F51" s="502"/>
      <c r="G51" s="505"/>
      <c r="H51" s="505"/>
      <c r="I51" s="321"/>
      <c r="J51" s="43"/>
      <c r="K51" s="44"/>
      <c r="L51" s="58">
        <f t="shared" si="0"/>
        <v>0</v>
      </c>
      <c r="M51" s="505"/>
      <c r="N51" s="508"/>
      <c r="O51" s="508"/>
      <c r="P51" s="505"/>
      <c r="Q51" s="98"/>
      <c r="R51" s="98"/>
    </row>
    <row r="52" spans="1:18" ht="14.1" hidden="1" customHeight="1" outlineLevel="1">
      <c r="A52" s="190">
        <v>48</v>
      </c>
      <c r="B52" s="87"/>
      <c r="C52" s="38"/>
      <c r="D52" s="38"/>
      <c r="E52" s="321"/>
      <c r="F52" s="502"/>
      <c r="G52" s="505"/>
      <c r="H52" s="505"/>
      <c r="I52" s="321"/>
      <c r="J52" s="43"/>
      <c r="K52" s="44"/>
      <c r="L52" s="58">
        <f t="shared" si="0"/>
        <v>0</v>
      </c>
      <c r="M52" s="505"/>
      <c r="N52" s="508"/>
      <c r="O52" s="508"/>
      <c r="P52" s="505"/>
      <c r="Q52" s="98"/>
      <c r="R52" s="98"/>
    </row>
    <row r="53" spans="1:18" ht="14.25" hidden="1" customHeight="1" outlineLevel="1">
      <c r="A53" s="190">
        <v>49</v>
      </c>
      <c r="B53" s="87"/>
      <c r="C53" s="38"/>
      <c r="D53" s="38"/>
      <c r="E53" s="321"/>
      <c r="F53" s="502"/>
      <c r="G53" s="505"/>
      <c r="H53" s="505"/>
      <c r="I53" s="321"/>
      <c r="J53" s="43"/>
      <c r="K53" s="44"/>
      <c r="L53" s="58">
        <f t="shared" si="0"/>
        <v>0</v>
      </c>
      <c r="M53" s="505"/>
      <c r="N53" s="508"/>
      <c r="O53" s="508"/>
      <c r="P53" s="505"/>
      <c r="Q53" s="98"/>
      <c r="R53" s="98"/>
    </row>
    <row r="54" spans="1:18" ht="14.1" hidden="1" customHeight="1" outlineLevel="1" thickBot="1">
      <c r="A54" s="190">
        <v>50</v>
      </c>
      <c r="B54" s="87"/>
      <c r="C54" s="38"/>
      <c r="D54" s="38"/>
      <c r="E54" s="321"/>
      <c r="F54" s="502"/>
      <c r="G54" s="505"/>
      <c r="H54" s="505"/>
      <c r="I54" s="321"/>
      <c r="J54" s="43"/>
      <c r="K54" s="44"/>
      <c r="L54" s="58">
        <f t="shared" si="0"/>
        <v>0</v>
      </c>
      <c r="M54" s="505"/>
      <c r="N54" s="508"/>
      <c r="O54" s="508"/>
      <c r="P54" s="505"/>
      <c r="Q54" s="98"/>
      <c r="R54" s="98"/>
    </row>
    <row r="55" spans="1:18" s="246" customFormat="1" ht="14.1" customHeight="1" thickBot="1">
      <c r="B55" s="250"/>
      <c r="C55" s="160"/>
      <c r="D55" s="161"/>
      <c r="E55" s="161"/>
      <c r="F55" s="503"/>
      <c r="G55" s="506"/>
      <c r="H55" s="506"/>
      <c r="I55" s="511"/>
      <c r="J55" s="111">
        <f t="shared" ref="J55:L55" si="1">SUM(J5:J54)</f>
        <v>0</v>
      </c>
      <c r="K55" s="111">
        <f t="shared" si="1"/>
        <v>0</v>
      </c>
      <c r="L55" s="111">
        <f t="shared" si="1"/>
        <v>0</v>
      </c>
      <c r="M55" s="512"/>
      <c r="N55" s="509"/>
      <c r="O55" s="509"/>
      <c r="P55" s="506"/>
      <c r="Q55" s="510"/>
      <c r="R55" s="510"/>
    </row>
    <row r="57" spans="1:18">
      <c r="K57" s="498" t="s">
        <v>1769</v>
      </c>
      <c r="L57" s="513">
        <f>J55+K55</f>
        <v>0</v>
      </c>
    </row>
    <row r="58" spans="1:18">
      <c r="B58" s="501" t="s">
        <v>1787</v>
      </c>
      <c r="L58" s="757" t="str">
        <f>IF(L55-L57=0,"OK","ERROR")</f>
        <v>OK</v>
      </c>
    </row>
    <row r="59" spans="1:18" ht="15.75" thickBot="1"/>
    <row r="60" spans="1:18" s="182" customFormat="1" ht="75" customHeight="1" thickBot="1">
      <c r="B60" s="416" t="s">
        <v>1784</v>
      </c>
      <c r="C60" s="416" t="s">
        <v>423</v>
      </c>
      <c r="D60" s="416" t="s">
        <v>1780</v>
      </c>
      <c r="E60" s="416" t="s">
        <v>1779</v>
      </c>
      <c r="F60" s="416" t="s">
        <v>1785</v>
      </c>
      <c r="G60" s="416" t="s">
        <v>428</v>
      </c>
      <c r="H60" s="416" t="s">
        <v>1480</v>
      </c>
      <c r="I60" s="416" t="s">
        <v>427</v>
      </c>
      <c r="J60" s="416" t="s">
        <v>1781</v>
      </c>
      <c r="K60" s="416" t="s">
        <v>1782</v>
      </c>
      <c r="L60" s="416" t="s">
        <v>1783</v>
      </c>
      <c r="M60" s="416" t="s">
        <v>1482</v>
      </c>
      <c r="N60" s="416" t="s">
        <v>1483</v>
      </c>
      <c r="O60" s="416" t="s">
        <v>1484</v>
      </c>
      <c r="P60" s="416" t="s">
        <v>1485</v>
      </c>
      <c r="Q60" s="416" t="s">
        <v>1486</v>
      </c>
      <c r="R60" s="416" t="s">
        <v>1487</v>
      </c>
    </row>
    <row r="61" spans="1:18" ht="14.1" customHeight="1" outlineLevel="1">
      <c r="A61" s="190">
        <v>1</v>
      </c>
      <c r="B61" s="365"/>
      <c r="C61" s="37"/>
      <c r="D61" s="37"/>
      <c r="E61" s="321"/>
      <c r="F61" s="1237" t="s">
        <v>3830</v>
      </c>
      <c r="G61" s="1239" t="s">
        <v>3831</v>
      </c>
      <c r="H61" s="1239" t="s">
        <v>3779</v>
      </c>
      <c r="I61" s="1236" t="s">
        <v>2025</v>
      </c>
      <c r="J61" s="1243">
        <v>53837</v>
      </c>
      <c r="K61" s="1244"/>
      <c r="L61" s="70">
        <f t="shared" ref="L61:L110" si="2">SUM(J61:K61)</f>
        <v>53837</v>
      </c>
      <c r="M61" s="504" t="s">
        <v>3839</v>
      </c>
      <c r="N61" s="507" t="s">
        <v>3840</v>
      </c>
      <c r="O61" s="507" t="s">
        <v>3841</v>
      </c>
      <c r="P61" s="504" t="s">
        <v>3842</v>
      </c>
      <c r="Q61" s="92">
        <v>43088</v>
      </c>
      <c r="R61" s="92">
        <v>43021</v>
      </c>
    </row>
    <row r="62" spans="1:18" ht="14.1" customHeight="1" outlineLevel="1">
      <c r="A62" s="190">
        <v>2</v>
      </c>
      <c r="B62" s="362"/>
      <c r="C62" s="38"/>
      <c r="D62" s="38"/>
      <c r="E62" s="321"/>
      <c r="F62" s="1238" t="s">
        <v>3782</v>
      </c>
      <c r="G62" s="1240" t="s">
        <v>3832</v>
      </c>
      <c r="H62" s="1240" t="s">
        <v>3779</v>
      </c>
      <c r="I62" s="1236" t="s">
        <v>2039</v>
      </c>
      <c r="J62" s="1241">
        <v>51540</v>
      </c>
      <c r="K62" s="1242"/>
      <c r="L62" s="58">
        <f t="shared" si="2"/>
        <v>51540</v>
      </c>
      <c r="M62" s="505" t="s">
        <v>3840</v>
      </c>
      <c r="N62" s="508" t="s">
        <v>3843</v>
      </c>
      <c r="O62" s="508" t="s">
        <v>3842</v>
      </c>
      <c r="P62" s="505" t="s">
        <v>3844</v>
      </c>
      <c r="Q62" s="98">
        <v>43076</v>
      </c>
      <c r="R62" s="98">
        <v>42933</v>
      </c>
    </row>
    <row r="63" spans="1:18" ht="14.1" customHeight="1" outlineLevel="1">
      <c r="A63" s="190">
        <v>3</v>
      </c>
      <c r="B63" s="362"/>
      <c r="C63" s="38"/>
      <c r="D63" s="38"/>
      <c r="E63" s="321"/>
      <c r="F63" s="1238" t="s">
        <v>3833</v>
      </c>
      <c r="G63" s="1240" t="s">
        <v>3834</v>
      </c>
      <c r="H63" s="1240" t="s">
        <v>3779</v>
      </c>
      <c r="I63" s="1236" t="s">
        <v>2039</v>
      </c>
      <c r="J63" s="1241">
        <v>2673</v>
      </c>
      <c r="K63" s="1242"/>
      <c r="L63" s="58">
        <f t="shared" si="2"/>
        <v>2673</v>
      </c>
      <c r="M63" s="505" t="s">
        <v>3840</v>
      </c>
      <c r="N63" s="508" t="s">
        <v>3845</v>
      </c>
      <c r="O63" s="508" t="s">
        <v>3846</v>
      </c>
      <c r="P63" s="505" t="s">
        <v>888</v>
      </c>
      <c r="Q63" s="98">
        <v>43126</v>
      </c>
      <c r="R63" s="98">
        <v>43003</v>
      </c>
    </row>
    <row r="64" spans="1:18" ht="14.1" customHeight="1" outlineLevel="1">
      <c r="A64" s="190">
        <v>4</v>
      </c>
      <c r="B64" s="362"/>
      <c r="C64" s="38"/>
      <c r="D64" s="38"/>
      <c r="E64" s="321"/>
      <c r="F64" s="1238" t="s">
        <v>3835</v>
      </c>
      <c r="G64" s="1240" t="s">
        <v>3836</v>
      </c>
      <c r="H64" s="1240" t="s">
        <v>3779</v>
      </c>
      <c r="I64" s="1236" t="s">
        <v>2057</v>
      </c>
      <c r="J64" s="1241">
        <v>7735</v>
      </c>
      <c r="K64" s="1242"/>
      <c r="L64" s="58">
        <f t="shared" si="2"/>
        <v>7735</v>
      </c>
      <c r="M64" s="505" t="s">
        <v>3840</v>
      </c>
      <c r="N64" s="508" t="s">
        <v>3843</v>
      </c>
      <c r="O64" s="508" t="s">
        <v>3842</v>
      </c>
      <c r="P64" s="505" t="s">
        <v>3842</v>
      </c>
      <c r="Q64" s="98">
        <v>42979</v>
      </c>
      <c r="R64" s="98">
        <v>42933</v>
      </c>
    </row>
    <row r="65" spans="1:18" ht="14.1" customHeight="1" outlineLevel="1" thickBot="1">
      <c r="A65" s="190">
        <v>5</v>
      </c>
      <c r="B65" s="362"/>
      <c r="C65" s="38"/>
      <c r="D65" s="38"/>
      <c r="E65" s="321"/>
      <c r="F65" s="1238" t="s">
        <v>3837</v>
      </c>
      <c r="G65" s="1240" t="s">
        <v>3838</v>
      </c>
      <c r="H65" s="1240" t="s">
        <v>3780</v>
      </c>
      <c r="I65" s="1236" t="s">
        <v>2025</v>
      </c>
      <c r="J65" s="1241">
        <v>20592947</v>
      </c>
      <c r="K65" s="1242">
        <v>287955</v>
      </c>
      <c r="L65" s="58">
        <f t="shared" si="2"/>
        <v>20880902</v>
      </c>
      <c r="M65" s="505" t="s">
        <v>3839</v>
      </c>
      <c r="N65" s="508" t="s">
        <v>3840</v>
      </c>
      <c r="O65" s="508" t="s">
        <v>3841</v>
      </c>
      <c r="P65" s="505" t="s">
        <v>3842</v>
      </c>
      <c r="Q65" s="98">
        <v>43115</v>
      </c>
      <c r="R65" s="98">
        <v>43077</v>
      </c>
    </row>
    <row r="66" spans="1:18" ht="14.1" hidden="1" customHeight="1" outlineLevel="1">
      <c r="A66" s="190">
        <v>6</v>
      </c>
      <c r="B66" s="362"/>
      <c r="C66" s="38"/>
      <c r="D66" s="38"/>
      <c r="E66" s="321"/>
      <c r="F66" s="502"/>
      <c r="G66" s="505"/>
      <c r="H66" s="505"/>
      <c r="I66" s="321"/>
      <c r="J66" s="43"/>
      <c r="K66" s="44"/>
      <c r="L66" s="58">
        <f t="shared" si="2"/>
        <v>0</v>
      </c>
      <c r="M66" s="505"/>
      <c r="N66" s="508"/>
      <c r="O66" s="508"/>
      <c r="P66" s="505"/>
      <c r="Q66" s="98"/>
      <c r="R66" s="98"/>
    </row>
    <row r="67" spans="1:18" ht="14.1" hidden="1" customHeight="1" outlineLevel="1">
      <c r="A67" s="190">
        <v>7</v>
      </c>
      <c r="B67" s="362"/>
      <c r="C67" s="38"/>
      <c r="D67" s="38"/>
      <c r="E67" s="321"/>
      <c r="F67" s="502"/>
      <c r="G67" s="505"/>
      <c r="H67" s="505"/>
      <c r="I67" s="321"/>
      <c r="J67" s="43"/>
      <c r="K67" s="44"/>
      <c r="L67" s="58">
        <f t="shared" si="2"/>
        <v>0</v>
      </c>
      <c r="M67" s="505"/>
      <c r="N67" s="508"/>
      <c r="O67" s="508"/>
      <c r="P67" s="505"/>
      <c r="Q67" s="98"/>
      <c r="R67" s="98"/>
    </row>
    <row r="68" spans="1:18" ht="14.1" hidden="1" customHeight="1" outlineLevel="1">
      <c r="A68" s="190">
        <v>8</v>
      </c>
      <c r="B68" s="362"/>
      <c r="C68" s="38"/>
      <c r="D68" s="38"/>
      <c r="E68" s="321"/>
      <c r="F68" s="502"/>
      <c r="G68" s="505"/>
      <c r="H68" s="505"/>
      <c r="I68" s="321"/>
      <c r="J68" s="43"/>
      <c r="K68" s="44"/>
      <c r="L68" s="58">
        <f t="shared" si="2"/>
        <v>0</v>
      </c>
      <c r="M68" s="505"/>
      <c r="N68" s="508"/>
      <c r="O68" s="508"/>
      <c r="P68" s="505"/>
      <c r="Q68" s="98"/>
      <c r="R68" s="98"/>
    </row>
    <row r="69" spans="1:18" ht="14.1" hidden="1" customHeight="1" outlineLevel="1">
      <c r="A69" s="190">
        <v>9</v>
      </c>
      <c r="B69" s="362"/>
      <c r="C69" s="38"/>
      <c r="D69" s="38"/>
      <c r="E69" s="321"/>
      <c r="F69" s="502"/>
      <c r="G69" s="505"/>
      <c r="H69" s="505"/>
      <c r="I69" s="321"/>
      <c r="J69" s="43"/>
      <c r="K69" s="44"/>
      <c r="L69" s="58">
        <f t="shared" si="2"/>
        <v>0</v>
      </c>
      <c r="M69" s="505"/>
      <c r="N69" s="508"/>
      <c r="O69" s="508"/>
      <c r="P69" s="505"/>
      <c r="Q69" s="98"/>
      <c r="R69" s="98"/>
    </row>
    <row r="70" spans="1:18" ht="14.1" hidden="1" customHeight="1" outlineLevel="1">
      <c r="A70" s="190">
        <v>10</v>
      </c>
      <c r="B70" s="362"/>
      <c r="C70" s="38"/>
      <c r="D70" s="38"/>
      <c r="E70" s="321"/>
      <c r="F70" s="502"/>
      <c r="G70" s="505"/>
      <c r="H70" s="505"/>
      <c r="I70" s="321"/>
      <c r="J70" s="43"/>
      <c r="K70" s="44"/>
      <c r="L70" s="58">
        <f t="shared" si="2"/>
        <v>0</v>
      </c>
      <c r="M70" s="505"/>
      <c r="N70" s="508"/>
      <c r="O70" s="508"/>
      <c r="P70" s="505"/>
      <c r="Q70" s="98"/>
      <c r="R70" s="98"/>
    </row>
    <row r="71" spans="1:18" ht="14.1" hidden="1" customHeight="1" outlineLevel="1">
      <c r="A71" s="190">
        <v>11</v>
      </c>
      <c r="B71" s="362"/>
      <c r="C71" s="38"/>
      <c r="D71" s="38"/>
      <c r="E71" s="321"/>
      <c r="F71" s="502"/>
      <c r="G71" s="505"/>
      <c r="H71" s="505"/>
      <c r="I71" s="321"/>
      <c r="J71" s="43"/>
      <c r="K71" s="44"/>
      <c r="L71" s="58">
        <f t="shared" si="2"/>
        <v>0</v>
      </c>
      <c r="M71" s="505"/>
      <c r="N71" s="508"/>
      <c r="O71" s="508"/>
      <c r="P71" s="505"/>
      <c r="Q71" s="98"/>
      <c r="R71" s="98"/>
    </row>
    <row r="72" spans="1:18" ht="14.1" hidden="1" customHeight="1" outlineLevel="1">
      <c r="A72" s="190">
        <v>12</v>
      </c>
      <c r="B72" s="362"/>
      <c r="C72" s="38"/>
      <c r="D72" s="38"/>
      <c r="E72" s="321"/>
      <c r="F72" s="502"/>
      <c r="G72" s="505"/>
      <c r="H72" s="505"/>
      <c r="I72" s="321"/>
      <c r="J72" s="43"/>
      <c r="K72" s="44"/>
      <c r="L72" s="58">
        <f t="shared" si="2"/>
        <v>0</v>
      </c>
      <c r="M72" s="505"/>
      <c r="N72" s="508"/>
      <c r="O72" s="508"/>
      <c r="P72" s="505"/>
      <c r="Q72" s="98"/>
      <c r="R72" s="98"/>
    </row>
    <row r="73" spans="1:18" ht="14.1" hidden="1" customHeight="1" outlineLevel="1">
      <c r="A73" s="190">
        <v>13</v>
      </c>
      <c r="B73" s="362"/>
      <c r="C73" s="38"/>
      <c r="D73" s="38"/>
      <c r="E73" s="321"/>
      <c r="F73" s="502"/>
      <c r="G73" s="505"/>
      <c r="H73" s="505"/>
      <c r="I73" s="321"/>
      <c r="J73" s="43"/>
      <c r="K73" s="44"/>
      <c r="L73" s="58">
        <f t="shared" si="2"/>
        <v>0</v>
      </c>
      <c r="M73" s="505"/>
      <c r="N73" s="508"/>
      <c r="O73" s="508"/>
      <c r="P73" s="505"/>
      <c r="Q73" s="98"/>
      <c r="R73" s="98"/>
    </row>
    <row r="74" spans="1:18" ht="14.1" hidden="1" customHeight="1" outlineLevel="1">
      <c r="A74" s="190">
        <v>14</v>
      </c>
      <c r="B74" s="362"/>
      <c r="C74" s="38"/>
      <c r="D74" s="38"/>
      <c r="E74" s="321"/>
      <c r="F74" s="502"/>
      <c r="G74" s="505"/>
      <c r="H74" s="505"/>
      <c r="I74" s="321"/>
      <c r="J74" s="43"/>
      <c r="K74" s="44"/>
      <c r="L74" s="58">
        <f t="shared" si="2"/>
        <v>0</v>
      </c>
      <c r="M74" s="505"/>
      <c r="N74" s="508"/>
      <c r="O74" s="508"/>
      <c r="P74" s="505"/>
      <c r="Q74" s="98"/>
      <c r="R74" s="98"/>
    </row>
    <row r="75" spans="1:18" ht="14.1" hidden="1" customHeight="1" outlineLevel="1">
      <c r="A75" s="190">
        <v>15</v>
      </c>
      <c r="B75" s="362"/>
      <c r="C75" s="38"/>
      <c r="D75" s="38"/>
      <c r="E75" s="321"/>
      <c r="F75" s="502"/>
      <c r="G75" s="505"/>
      <c r="H75" s="505"/>
      <c r="I75" s="321"/>
      <c r="J75" s="43"/>
      <c r="K75" s="44"/>
      <c r="L75" s="58">
        <f t="shared" si="2"/>
        <v>0</v>
      </c>
      <c r="M75" s="505"/>
      <c r="N75" s="508"/>
      <c r="O75" s="508"/>
      <c r="P75" s="505"/>
      <c r="Q75" s="98"/>
      <c r="R75" s="98"/>
    </row>
    <row r="76" spans="1:18" ht="14.1" hidden="1" customHeight="1" outlineLevel="1">
      <c r="A76" s="190">
        <v>16</v>
      </c>
      <c r="B76" s="362"/>
      <c r="C76" s="38"/>
      <c r="D76" s="38"/>
      <c r="E76" s="321"/>
      <c r="F76" s="502"/>
      <c r="G76" s="505"/>
      <c r="H76" s="505"/>
      <c r="I76" s="321"/>
      <c r="J76" s="43"/>
      <c r="K76" s="44"/>
      <c r="L76" s="58">
        <f t="shared" si="2"/>
        <v>0</v>
      </c>
      <c r="M76" s="505"/>
      <c r="N76" s="508"/>
      <c r="O76" s="508"/>
      <c r="P76" s="505"/>
      <c r="Q76" s="98"/>
      <c r="R76" s="98"/>
    </row>
    <row r="77" spans="1:18" ht="14.1" hidden="1" customHeight="1" outlineLevel="1">
      <c r="A77" s="190">
        <v>17</v>
      </c>
      <c r="B77" s="362"/>
      <c r="C77" s="38"/>
      <c r="D77" s="38"/>
      <c r="E77" s="321"/>
      <c r="F77" s="502"/>
      <c r="G77" s="505"/>
      <c r="H77" s="505"/>
      <c r="I77" s="321"/>
      <c r="J77" s="43"/>
      <c r="K77" s="44"/>
      <c r="L77" s="58">
        <f t="shared" si="2"/>
        <v>0</v>
      </c>
      <c r="M77" s="505"/>
      <c r="N77" s="508"/>
      <c r="O77" s="508"/>
      <c r="P77" s="505"/>
      <c r="Q77" s="98"/>
      <c r="R77" s="98"/>
    </row>
    <row r="78" spans="1:18" ht="14.1" hidden="1" customHeight="1" outlineLevel="1">
      <c r="A78" s="190">
        <v>18</v>
      </c>
      <c r="B78" s="362"/>
      <c r="C78" s="38"/>
      <c r="D78" s="38"/>
      <c r="E78" s="321"/>
      <c r="F78" s="502"/>
      <c r="G78" s="505"/>
      <c r="H78" s="505"/>
      <c r="I78" s="321"/>
      <c r="J78" s="43"/>
      <c r="K78" s="44"/>
      <c r="L78" s="58">
        <f t="shared" si="2"/>
        <v>0</v>
      </c>
      <c r="M78" s="505"/>
      <c r="N78" s="508"/>
      <c r="O78" s="508"/>
      <c r="P78" s="505"/>
      <c r="Q78" s="98"/>
      <c r="R78" s="98"/>
    </row>
    <row r="79" spans="1:18" ht="14.1" hidden="1" customHeight="1" outlineLevel="1">
      <c r="A79" s="190">
        <v>19</v>
      </c>
      <c r="B79" s="362"/>
      <c r="C79" s="38"/>
      <c r="D79" s="38"/>
      <c r="E79" s="321"/>
      <c r="F79" s="502"/>
      <c r="G79" s="505"/>
      <c r="H79" s="505"/>
      <c r="I79" s="321"/>
      <c r="J79" s="43"/>
      <c r="K79" s="44"/>
      <c r="L79" s="58">
        <f t="shared" si="2"/>
        <v>0</v>
      </c>
      <c r="M79" s="505"/>
      <c r="N79" s="508"/>
      <c r="O79" s="508"/>
      <c r="P79" s="505"/>
      <c r="Q79" s="98"/>
      <c r="R79" s="98"/>
    </row>
    <row r="80" spans="1:18" ht="14.1" hidden="1" customHeight="1" outlineLevel="1">
      <c r="A80" s="190">
        <v>20</v>
      </c>
      <c r="B80" s="362"/>
      <c r="C80" s="38"/>
      <c r="D80" s="38"/>
      <c r="E80" s="321"/>
      <c r="F80" s="502"/>
      <c r="G80" s="505"/>
      <c r="H80" s="505"/>
      <c r="I80" s="321"/>
      <c r="J80" s="43"/>
      <c r="K80" s="44"/>
      <c r="L80" s="58">
        <f t="shared" si="2"/>
        <v>0</v>
      </c>
      <c r="M80" s="505"/>
      <c r="N80" s="508"/>
      <c r="O80" s="508"/>
      <c r="P80" s="505"/>
      <c r="Q80" s="98"/>
      <c r="R80" s="98"/>
    </row>
    <row r="81" spans="1:18" ht="14.1" hidden="1" customHeight="1" outlineLevel="1">
      <c r="A81" s="190">
        <v>21</v>
      </c>
      <c r="B81" s="362"/>
      <c r="C81" s="38"/>
      <c r="D81" s="38"/>
      <c r="E81" s="321"/>
      <c r="F81" s="502"/>
      <c r="G81" s="505"/>
      <c r="H81" s="505"/>
      <c r="I81" s="321"/>
      <c r="J81" s="43"/>
      <c r="K81" s="44"/>
      <c r="L81" s="58">
        <f t="shared" si="2"/>
        <v>0</v>
      </c>
      <c r="M81" s="505"/>
      <c r="N81" s="508"/>
      <c r="O81" s="508"/>
      <c r="P81" s="505"/>
      <c r="Q81" s="98"/>
      <c r="R81" s="98"/>
    </row>
    <row r="82" spans="1:18" ht="14.1" hidden="1" customHeight="1" outlineLevel="1">
      <c r="A82" s="190">
        <v>22</v>
      </c>
      <c r="B82" s="362"/>
      <c r="C82" s="38"/>
      <c r="D82" s="38"/>
      <c r="E82" s="321"/>
      <c r="F82" s="502"/>
      <c r="G82" s="505"/>
      <c r="H82" s="505"/>
      <c r="I82" s="321"/>
      <c r="J82" s="43"/>
      <c r="K82" s="44"/>
      <c r="L82" s="58">
        <f t="shared" si="2"/>
        <v>0</v>
      </c>
      <c r="M82" s="505"/>
      <c r="N82" s="508"/>
      <c r="O82" s="508"/>
      <c r="P82" s="505"/>
      <c r="Q82" s="98"/>
      <c r="R82" s="98"/>
    </row>
    <row r="83" spans="1:18" ht="14.1" hidden="1" customHeight="1" outlineLevel="1">
      <c r="A83" s="190">
        <v>23</v>
      </c>
      <c r="B83" s="362"/>
      <c r="C83" s="38"/>
      <c r="D83" s="38"/>
      <c r="E83" s="321"/>
      <c r="F83" s="502"/>
      <c r="G83" s="505"/>
      <c r="H83" s="505"/>
      <c r="I83" s="321"/>
      <c r="J83" s="43"/>
      <c r="K83" s="44"/>
      <c r="L83" s="58">
        <f t="shared" si="2"/>
        <v>0</v>
      </c>
      <c r="M83" s="505"/>
      <c r="N83" s="508"/>
      <c r="O83" s="508"/>
      <c r="P83" s="505"/>
      <c r="Q83" s="98"/>
      <c r="R83" s="98"/>
    </row>
    <row r="84" spans="1:18" ht="14.1" hidden="1" customHeight="1" outlineLevel="1">
      <c r="A84" s="190">
        <v>24</v>
      </c>
      <c r="B84" s="362"/>
      <c r="C84" s="38"/>
      <c r="D84" s="38"/>
      <c r="E84" s="321"/>
      <c r="F84" s="502"/>
      <c r="G84" s="505"/>
      <c r="H84" s="505"/>
      <c r="I84" s="321"/>
      <c r="J84" s="43"/>
      <c r="K84" s="44"/>
      <c r="L84" s="58">
        <f t="shared" si="2"/>
        <v>0</v>
      </c>
      <c r="M84" s="505"/>
      <c r="N84" s="508"/>
      <c r="O84" s="508"/>
      <c r="P84" s="505"/>
      <c r="Q84" s="98"/>
      <c r="R84" s="98"/>
    </row>
    <row r="85" spans="1:18" ht="14.1" hidden="1" customHeight="1" outlineLevel="1">
      <c r="A85" s="190">
        <v>25</v>
      </c>
      <c r="B85" s="362"/>
      <c r="C85" s="38"/>
      <c r="D85" s="38"/>
      <c r="E85" s="321"/>
      <c r="F85" s="502"/>
      <c r="G85" s="505"/>
      <c r="H85" s="505"/>
      <c r="I85" s="321"/>
      <c r="J85" s="43"/>
      <c r="K85" s="44"/>
      <c r="L85" s="58">
        <f t="shared" si="2"/>
        <v>0</v>
      </c>
      <c r="M85" s="505"/>
      <c r="N85" s="508"/>
      <c r="O85" s="508"/>
      <c r="P85" s="505"/>
      <c r="Q85" s="98"/>
      <c r="R85" s="98"/>
    </row>
    <row r="86" spans="1:18" ht="14.1" hidden="1" customHeight="1" outlineLevel="1">
      <c r="A86" s="190">
        <v>26</v>
      </c>
      <c r="B86" s="362"/>
      <c r="C86" s="38"/>
      <c r="D86" s="38"/>
      <c r="E86" s="321"/>
      <c r="F86" s="502"/>
      <c r="G86" s="505"/>
      <c r="H86" s="505"/>
      <c r="I86" s="321"/>
      <c r="J86" s="43"/>
      <c r="K86" s="44"/>
      <c r="L86" s="58">
        <f t="shared" si="2"/>
        <v>0</v>
      </c>
      <c r="M86" s="505"/>
      <c r="N86" s="508"/>
      <c r="O86" s="508"/>
      <c r="P86" s="505"/>
      <c r="Q86" s="98"/>
      <c r="R86" s="98"/>
    </row>
    <row r="87" spans="1:18" ht="14.1" hidden="1" customHeight="1" outlineLevel="1">
      <c r="A87" s="190">
        <v>27</v>
      </c>
      <c r="B87" s="362"/>
      <c r="C87" s="38"/>
      <c r="D87" s="38"/>
      <c r="E87" s="321"/>
      <c r="F87" s="502"/>
      <c r="G87" s="505"/>
      <c r="H87" s="505"/>
      <c r="I87" s="321"/>
      <c r="J87" s="43"/>
      <c r="K87" s="44"/>
      <c r="L87" s="58">
        <f t="shared" si="2"/>
        <v>0</v>
      </c>
      <c r="M87" s="505"/>
      <c r="N87" s="508"/>
      <c r="O87" s="508"/>
      <c r="P87" s="505"/>
      <c r="Q87" s="98"/>
      <c r="R87" s="98"/>
    </row>
    <row r="88" spans="1:18" ht="14.1" hidden="1" customHeight="1" outlineLevel="1">
      <c r="A88" s="190">
        <v>28</v>
      </c>
      <c r="B88" s="362"/>
      <c r="C88" s="38"/>
      <c r="D88" s="38"/>
      <c r="E88" s="321"/>
      <c r="F88" s="502"/>
      <c r="G88" s="505"/>
      <c r="H88" s="505"/>
      <c r="I88" s="321"/>
      <c r="J88" s="43"/>
      <c r="K88" s="44"/>
      <c r="L88" s="58">
        <f t="shared" si="2"/>
        <v>0</v>
      </c>
      <c r="M88" s="505"/>
      <c r="N88" s="508"/>
      <c r="O88" s="508"/>
      <c r="P88" s="505"/>
      <c r="Q88" s="98"/>
      <c r="R88" s="98"/>
    </row>
    <row r="89" spans="1:18" ht="14.1" hidden="1" customHeight="1" outlineLevel="1">
      <c r="A89" s="190">
        <v>29</v>
      </c>
      <c r="B89" s="362"/>
      <c r="C89" s="38"/>
      <c r="D89" s="38"/>
      <c r="E89" s="321"/>
      <c r="F89" s="502"/>
      <c r="G89" s="505"/>
      <c r="H89" s="505"/>
      <c r="I89" s="321"/>
      <c r="J89" s="43"/>
      <c r="K89" s="44"/>
      <c r="L89" s="58">
        <f t="shared" si="2"/>
        <v>0</v>
      </c>
      <c r="M89" s="505"/>
      <c r="N89" s="508"/>
      <c r="O89" s="508"/>
      <c r="P89" s="505"/>
      <c r="Q89" s="98"/>
      <c r="R89" s="98"/>
    </row>
    <row r="90" spans="1:18" ht="14.1" hidden="1" customHeight="1" outlineLevel="1">
      <c r="A90" s="190">
        <v>30</v>
      </c>
      <c r="B90" s="362"/>
      <c r="C90" s="38"/>
      <c r="D90" s="38"/>
      <c r="E90" s="321"/>
      <c r="F90" s="502"/>
      <c r="G90" s="505"/>
      <c r="H90" s="505"/>
      <c r="I90" s="321"/>
      <c r="J90" s="43"/>
      <c r="K90" s="44"/>
      <c r="L90" s="58">
        <f t="shared" si="2"/>
        <v>0</v>
      </c>
      <c r="M90" s="505"/>
      <c r="N90" s="508"/>
      <c r="O90" s="508"/>
      <c r="P90" s="505"/>
      <c r="Q90" s="98"/>
      <c r="R90" s="98"/>
    </row>
    <row r="91" spans="1:18" ht="14.1" hidden="1" customHeight="1" outlineLevel="1">
      <c r="A91" s="190">
        <v>31</v>
      </c>
      <c r="B91" s="362"/>
      <c r="C91" s="38"/>
      <c r="D91" s="38"/>
      <c r="E91" s="321"/>
      <c r="F91" s="502"/>
      <c r="G91" s="505"/>
      <c r="H91" s="505"/>
      <c r="I91" s="321"/>
      <c r="J91" s="43"/>
      <c r="K91" s="44"/>
      <c r="L91" s="58">
        <f t="shared" si="2"/>
        <v>0</v>
      </c>
      <c r="M91" s="505"/>
      <c r="N91" s="508"/>
      <c r="O91" s="508"/>
      <c r="P91" s="505"/>
      <c r="Q91" s="98"/>
      <c r="R91" s="98"/>
    </row>
    <row r="92" spans="1:18" ht="14.1" hidden="1" customHeight="1" outlineLevel="1">
      <c r="A92" s="190">
        <v>32</v>
      </c>
      <c r="B92" s="362"/>
      <c r="C92" s="38"/>
      <c r="D92" s="38"/>
      <c r="E92" s="321"/>
      <c r="F92" s="502"/>
      <c r="G92" s="505"/>
      <c r="H92" s="505"/>
      <c r="I92" s="321"/>
      <c r="J92" s="43"/>
      <c r="K92" s="44"/>
      <c r="L92" s="58">
        <f t="shared" si="2"/>
        <v>0</v>
      </c>
      <c r="M92" s="505"/>
      <c r="N92" s="508"/>
      <c r="O92" s="508"/>
      <c r="P92" s="505"/>
      <c r="Q92" s="98"/>
      <c r="R92" s="98"/>
    </row>
    <row r="93" spans="1:18" ht="14.1" hidden="1" customHeight="1" outlineLevel="1">
      <c r="A93" s="190">
        <v>33</v>
      </c>
      <c r="B93" s="362"/>
      <c r="C93" s="38"/>
      <c r="D93" s="38"/>
      <c r="E93" s="321"/>
      <c r="F93" s="502"/>
      <c r="G93" s="505"/>
      <c r="H93" s="505"/>
      <c r="I93" s="321"/>
      <c r="J93" s="43"/>
      <c r="K93" s="44"/>
      <c r="L93" s="58">
        <f t="shared" si="2"/>
        <v>0</v>
      </c>
      <c r="M93" s="505"/>
      <c r="N93" s="508"/>
      <c r="O93" s="508"/>
      <c r="P93" s="505"/>
      <c r="Q93" s="98"/>
      <c r="R93" s="98"/>
    </row>
    <row r="94" spans="1:18" ht="14.1" hidden="1" customHeight="1" outlineLevel="1">
      <c r="A94" s="190">
        <v>34</v>
      </c>
      <c r="B94" s="362"/>
      <c r="C94" s="38"/>
      <c r="D94" s="38"/>
      <c r="E94" s="321"/>
      <c r="F94" s="502"/>
      <c r="G94" s="505"/>
      <c r="H94" s="505"/>
      <c r="I94" s="321"/>
      <c r="J94" s="43"/>
      <c r="K94" s="44"/>
      <c r="L94" s="58">
        <f t="shared" si="2"/>
        <v>0</v>
      </c>
      <c r="M94" s="505"/>
      <c r="N94" s="508"/>
      <c r="O94" s="508"/>
      <c r="P94" s="505"/>
      <c r="Q94" s="98"/>
      <c r="R94" s="98"/>
    </row>
    <row r="95" spans="1:18" ht="14.1" hidden="1" customHeight="1" outlineLevel="1">
      <c r="A95" s="190">
        <v>35</v>
      </c>
      <c r="B95" s="362"/>
      <c r="C95" s="38"/>
      <c r="D95" s="38"/>
      <c r="E95" s="321"/>
      <c r="F95" s="502"/>
      <c r="G95" s="505"/>
      <c r="H95" s="505"/>
      <c r="I95" s="321"/>
      <c r="J95" s="43"/>
      <c r="K95" s="44"/>
      <c r="L95" s="58">
        <f t="shared" si="2"/>
        <v>0</v>
      </c>
      <c r="M95" s="505"/>
      <c r="N95" s="508"/>
      <c r="O95" s="508"/>
      <c r="P95" s="505"/>
      <c r="Q95" s="98"/>
      <c r="R95" s="98"/>
    </row>
    <row r="96" spans="1:18" ht="14.1" hidden="1" customHeight="1" outlineLevel="1">
      <c r="A96" s="190">
        <v>36</v>
      </c>
      <c r="B96" s="362"/>
      <c r="C96" s="38"/>
      <c r="D96" s="38"/>
      <c r="E96" s="321"/>
      <c r="F96" s="502"/>
      <c r="G96" s="505"/>
      <c r="H96" s="505"/>
      <c r="I96" s="321"/>
      <c r="J96" s="43"/>
      <c r="K96" s="44"/>
      <c r="L96" s="58">
        <f t="shared" si="2"/>
        <v>0</v>
      </c>
      <c r="M96" s="505"/>
      <c r="N96" s="508"/>
      <c r="O96" s="508"/>
      <c r="P96" s="505"/>
      <c r="Q96" s="98"/>
      <c r="R96" s="98"/>
    </row>
    <row r="97" spans="1:18" ht="14.1" hidden="1" customHeight="1" outlineLevel="1">
      <c r="A97" s="190">
        <v>37</v>
      </c>
      <c r="B97" s="362"/>
      <c r="C97" s="38"/>
      <c r="D97" s="38"/>
      <c r="E97" s="321"/>
      <c r="F97" s="502"/>
      <c r="G97" s="505"/>
      <c r="H97" s="505"/>
      <c r="I97" s="321"/>
      <c r="J97" s="43"/>
      <c r="K97" s="44"/>
      <c r="L97" s="58">
        <f t="shared" si="2"/>
        <v>0</v>
      </c>
      <c r="M97" s="505"/>
      <c r="N97" s="508"/>
      <c r="O97" s="508"/>
      <c r="P97" s="505"/>
      <c r="Q97" s="98"/>
      <c r="R97" s="98"/>
    </row>
    <row r="98" spans="1:18" ht="14.1" hidden="1" customHeight="1" outlineLevel="1">
      <c r="A98" s="190">
        <v>38</v>
      </c>
      <c r="B98" s="362"/>
      <c r="C98" s="38"/>
      <c r="D98" s="38"/>
      <c r="E98" s="321"/>
      <c r="F98" s="502"/>
      <c r="G98" s="505"/>
      <c r="H98" s="505"/>
      <c r="I98" s="321"/>
      <c r="J98" s="43"/>
      <c r="K98" s="44"/>
      <c r="L98" s="58">
        <f t="shared" si="2"/>
        <v>0</v>
      </c>
      <c r="M98" s="505"/>
      <c r="N98" s="508"/>
      <c r="O98" s="508"/>
      <c r="P98" s="505"/>
      <c r="Q98" s="98"/>
      <c r="R98" s="98"/>
    </row>
    <row r="99" spans="1:18" ht="14.1" hidden="1" customHeight="1" outlineLevel="1">
      <c r="A99" s="190">
        <v>39</v>
      </c>
      <c r="B99" s="362"/>
      <c r="C99" s="38"/>
      <c r="D99" s="38"/>
      <c r="E99" s="321"/>
      <c r="F99" s="502"/>
      <c r="G99" s="505"/>
      <c r="H99" s="505"/>
      <c r="I99" s="321"/>
      <c r="J99" s="43"/>
      <c r="K99" s="44"/>
      <c r="L99" s="58">
        <f t="shared" si="2"/>
        <v>0</v>
      </c>
      <c r="M99" s="505"/>
      <c r="N99" s="508"/>
      <c r="O99" s="508"/>
      <c r="P99" s="505"/>
      <c r="Q99" s="98"/>
      <c r="R99" s="98"/>
    </row>
    <row r="100" spans="1:18" ht="14.1" hidden="1" customHeight="1" outlineLevel="1">
      <c r="A100" s="190">
        <v>40</v>
      </c>
      <c r="B100" s="362"/>
      <c r="C100" s="38"/>
      <c r="D100" s="38"/>
      <c r="E100" s="321"/>
      <c r="F100" s="502"/>
      <c r="G100" s="505"/>
      <c r="H100" s="505"/>
      <c r="I100" s="321"/>
      <c r="J100" s="43"/>
      <c r="K100" s="44"/>
      <c r="L100" s="58">
        <f t="shared" si="2"/>
        <v>0</v>
      </c>
      <c r="M100" s="505"/>
      <c r="N100" s="508"/>
      <c r="O100" s="508"/>
      <c r="P100" s="505"/>
      <c r="Q100" s="98"/>
      <c r="R100" s="98"/>
    </row>
    <row r="101" spans="1:18" ht="14.1" hidden="1" customHeight="1" outlineLevel="1">
      <c r="A101" s="190">
        <v>41</v>
      </c>
      <c r="B101" s="362"/>
      <c r="C101" s="38"/>
      <c r="D101" s="38"/>
      <c r="E101" s="321"/>
      <c r="F101" s="502"/>
      <c r="G101" s="505"/>
      <c r="H101" s="505"/>
      <c r="I101" s="321"/>
      <c r="J101" s="43"/>
      <c r="K101" s="44"/>
      <c r="L101" s="58">
        <f t="shared" si="2"/>
        <v>0</v>
      </c>
      <c r="M101" s="505"/>
      <c r="N101" s="508"/>
      <c r="O101" s="508"/>
      <c r="P101" s="505"/>
      <c r="Q101" s="98"/>
      <c r="R101" s="98"/>
    </row>
    <row r="102" spans="1:18" ht="14.1" hidden="1" customHeight="1" outlineLevel="1">
      <c r="A102" s="190">
        <v>42</v>
      </c>
      <c r="B102" s="362"/>
      <c r="C102" s="38"/>
      <c r="D102" s="38"/>
      <c r="E102" s="321"/>
      <c r="F102" s="502"/>
      <c r="G102" s="505"/>
      <c r="H102" s="505"/>
      <c r="I102" s="321"/>
      <c r="J102" s="43"/>
      <c r="K102" s="44"/>
      <c r="L102" s="58">
        <f t="shared" si="2"/>
        <v>0</v>
      </c>
      <c r="M102" s="505"/>
      <c r="N102" s="508"/>
      <c r="O102" s="508"/>
      <c r="P102" s="505"/>
      <c r="Q102" s="98"/>
      <c r="R102" s="98"/>
    </row>
    <row r="103" spans="1:18" ht="14.1" hidden="1" customHeight="1" outlineLevel="1">
      <c r="A103" s="190">
        <v>43</v>
      </c>
      <c r="B103" s="362"/>
      <c r="C103" s="38"/>
      <c r="D103" s="38"/>
      <c r="E103" s="321"/>
      <c r="F103" s="502"/>
      <c r="G103" s="505"/>
      <c r="H103" s="505"/>
      <c r="I103" s="321"/>
      <c r="J103" s="43"/>
      <c r="K103" s="44"/>
      <c r="L103" s="58">
        <f t="shared" si="2"/>
        <v>0</v>
      </c>
      <c r="M103" s="505"/>
      <c r="N103" s="508"/>
      <c r="O103" s="508"/>
      <c r="P103" s="505"/>
      <c r="Q103" s="98"/>
      <c r="R103" s="98"/>
    </row>
    <row r="104" spans="1:18" ht="14.1" hidden="1" customHeight="1" outlineLevel="1">
      <c r="A104" s="190">
        <v>44</v>
      </c>
      <c r="B104" s="362"/>
      <c r="C104" s="38"/>
      <c r="D104" s="38"/>
      <c r="E104" s="321"/>
      <c r="F104" s="502"/>
      <c r="G104" s="505"/>
      <c r="H104" s="505"/>
      <c r="I104" s="321"/>
      <c r="J104" s="43"/>
      <c r="K104" s="44"/>
      <c r="L104" s="58">
        <f t="shared" si="2"/>
        <v>0</v>
      </c>
      <c r="M104" s="505"/>
      <c r="N104" s="508"/>
      <c r="O104" s="508"/>
      <c r="P104" s="505"/>
      <c r="Q104" s="98"/>
      <c r="R104" s="98"/>
    </row>
    <row r="105" spans="1:18" ht="14.1" hidden="1" customHeight="1" outlineLevel="1">
      <c r="A105" s="190">
        <v>45</v>
      </c>
      <c r="B105" s="362"/>
      <c r="C105" s="38"/>
      <c r="D105" s="38"/>
      <c r="E105" s="321"/>
      <c r="F105" s="502"/>
      <c r="G105" s="505"/>
      <c r="H105" s="505"/>
      <c r="I105" s="321"/>
      <c r="J105" s="43"/>
      <c r="K105" s="44"/>
      <c r="L105" s="58">
        <f t="shared" si="2"/>
        <v>0</v>
      </c>
      <c r="M105" s="505"/>
      <c r="N105" s="508"/>
      <c r="O105" s="508"/>
      <c r="P105" s="505"/>
      <c r="Q105" s="98"/>
      <c r="R105" s="98"/>
    </row>
    <row r="106" spans="1:18" ht="14.1" hidden="1" customHeight="1" outlineLevel="1">
      <c r="A106" s="190">
        <v>46</v>
      </c>
      <c r="B106" s="362"/>
      <c r="C106" s="38"/>
      <c r="D106" s="38"/>
      <c r="E106" s="321"/>
      <c r="F106" s="502"/>
      <c r="G106" s="505"/>
      <c r="H106" s="505"/>
      <c r="I106" s="321"/>
      <c r="J106" s="43"/>
      <c r="K106" s="44"/>
      <c r="L106" s="58">
        <f t="shared" si="2"/>
        <v>0</v>
      </c>
      <c r="M106" s="505"/>
      <c r="N106" s="508"/>
      <c r="O106" s="508"/>
      <c r="P106" s="505"/>
      <c r="Q106" s="98"/>
      <c r="R106" s="98"/>
    </row>
    <row r="107" spans="1:18" ht="14.1" hidden="1" customHeight="1" outlineLevel="1">
      <c r="A107" s="190">
        <v>47</v>
      </c>
      <c r="B107" s="362"/>
      <c r="C107" s="38"/>
      <c r="D107" s="38"/>
      <c r="E107" s="321"/>
      <c r="F107" s="502"/>
      <c r="G107" s="505"/>
      <c r="H107" s="505"/>
      <c r="I107" s="321"/>
      <c r="J107" s="43"/>
      <c r="K107" s="44"/>
      <c r="L107" s="58">
        <f t="shared" si="2"/>
        <v>0</v>
      </c>
      <c r="M107" s="505"/>
      <c r="N107" s="508"/>
      <c r="O107" s="508"/>
      <c r="P107" s="505"/>
      <c r="Q107" s="98"/>
      <c r="R107" s="98"/>
    </row>
    <row r="108" spans="1:18" ht="14.1" hidden="1" customHeight="1" outlineLevel="1">
      <c r="A108" s="190">
        <v>48</v>
      </c>
      <c r="B108" s="362"/>
      <c r="C108" s="38"/>
      <c r="D108" s="38"/>
      <c r="E108" s="321"/>
      <c r="F108" s="502"/>
      <c r="G108" s="505"/>
      <c r="H108" s="505"/>
      <c r="I108" s="321"/>
      <c r="J108" s="43"/>
      <c r="K108" s="44"/>
      <c r="L108" s="58">
        <f t="shared" si="2"/>
        <v>0</v>
      </c>
      <c r="M108" s="505"/>
      <c r="N108" s="508"/>
      <c r="O108" s="508"/>
      <c r="P108" s="505"/>
      <c r="Q108" s="98"/>
      <c r="R108" s="98"/>
    </row>
    <row r="109" spans="1:18" ht="14.1" hidden="1" customHeight="1" outlineLevel="1">
      <c r="A109" s="190">
        <v>49</v>
      </c>
      <c r="B109" s="362"/>
      <c r="C109" s="38"/>
      <c r="D109" s="38"/>
      <c r="E109" s="321"/>
      <c r="F109" s="502"/>
      <c r="G109" s="505"/>
      <c r="H109" s="505"/>
      <c r="I109" s="321"/>
      <c r="J109" s="43"/>
      <c r="K109" s="44"/>
      <c r="L109" s="58">
        <f t="shared" si="2"/>
        <v>0</v>
      </c>
      <c r="M109" s="505"/>
      <c r="N109" s="508"/>
      <c r="O109" s="508"/>
      <c r="P109" s="505"/>
      <c r="Q109" s="98"/>
      <c r="R109" s="98"/>
    </row>
    <row r="110" spans="1:18" ht="14.1" hidden="1" customHeight="1" outlineLevel="1" thickBot="1">
      <c r="A110" s="190">
        <v>50</v>
      </c>
      <c r="B110" s="362"/>
      <c r="C110" s="38"/>
      <c r="D110" s="38"/>
      <c r="E110" s="321"/>
      <c r="F110" s="502"/>
      <c r="G110" s="505"/>
      <c r="H110" s="505"/>
      <c r="I110" s="321"/>
      <c r="J110" s="43"/>
      <c r="K110" s="44"/>
      <c r="L110" s="58">
        <f t="shared" si="2"/>
        <v>0</v>
      </c>
      <c r="M110" s="505"/>
      <c r="N110" s="508"/>
      <c r="O110" s="508"/>
      <c r="P110" s="505"/>
      <c r="Q110" s="98"/>
      <c r="R110" s="98"/>
    </row>
    <row r="111" spans="1:18" s="246" customFormat="1" ht="14.1" customHeight="1" thickBot="1">
      <c r="B111" s="250"/>
      <c r="C111" s="160"/>
      <c r="D111" s="161"/>
      <c r="E111" s="161"/>
      <c r="F111" s="503"/>
      <c r="G111" s="506"/>
      <c r="H111" s="506"/>
      <c r="I111" s="511"/>
      <c r="J111" s="111">
        <f>SUM(J61:J110)</f>
        <v>20708732</v>
      </c>
      <c r="K111" s="111">
        <f t="shared" ref="K111:L111" si="3">SUM(K61:K110)</f>
        <v>287955</v>
      </c>
      <c r="L111" s="111">
        <f t="shared" si="3"/>
        <v>20996687</v>
      </c>
      <c r="M111" s="512"/>
      <c r="N111" s="509"/>
      <c r="O111" s="509"/>
      <c r="P111" s="506"/>
      <c r="Q111" s="510"/>
      <c r="R111" s="510"/>
    </row>
    <row r="113" spans="2:12">
      <c r="K113" s="498" t="s">
        <v>1769</v>
      </c>
      <c r="L113" s="513">
        <f>J111+K111</f>
        <v>20996687</v>
      </c>
    </row>
    <row r="114" spans="2:12">
      <c r="L114" s="500" t="str">
        <f>IF(L111-L113=0,"OK","ERROR")</f>
        <v>OK</v>
      </c>
    </row>
    <row r="116" spans="2:12">
      <c r="B116" s="501" t="s">
        <v>1788</v>
      </c>
    </row>
    <row r="117" spans="2:12" ht="15.75" thickBot="1"/>
    <row r="118" spans="2:12">
      <c r="F118" s="1719"/>
      <c r="G118" s="1720"/>
      <c r="H118" s="1686" t="s">
        <v>1781</v>
      </c>
      <c r="I118" s="1686" t="s">
        <v>1782</v>
      </c>
      <c r="J118" s="1686" t="s">
        <v>1783</v>
      </c>
    </row>
    <row r="119" spans="2:12" ht="54.95" customHeight="1" thickBot="1">
      <c r="F119" s="1721"/>
      <c r="G119" s="1722"/>
      <c r="H119" s="1687"/>
      <c r="I119" s="1687"/>
      <c r="J119" s="1687"/>
    </row>
    <row r="120" spans="2:12">
      <c r="F120" s="1585" t="s">
        <v>1720</v>
      </c>
      <c r="G120" s="1585"/>
      <c r="H120" s="310"/>
      <c r="I120" s="311"/>
      <c r="J120" s="312"/>
    </row>
    <row r="121" spans="2:12">
      <c r="F121" s="1566" t="s">
        <v>580</v>
      </c>
      <c r="G121" s="1566"/>
      <c r="H121" s="353">
        <f>J55</f>
        <v>0</v>
      </c>
      <c r="I121" s="353">
        <f>K55</f>
        <v>0</v>
      </c>
      <c r="J121" s="204">
        <f>+H121+I121</f>
        <v>0</v>
      </c>
    </row>
    <row r="122" spans="2:12" ht="15.75" thickBot="1">
      <c r="F122" s="1718" t="s">
        <v>581</v>
      </c>
      <c r="G122" s="1718"/>
      <c r="H122" s="353">
        <f>J111</f>
        <v>20708732</v>
      </c>
      <c r="I122" s="353">
        <f>K111</f>
        <v>287955</v>
      </c>
      <c r="J122" s="204">
        <f t="shared" ref="J122" si="4">+H122+I122</f>
        <v>20996687</v>
      </c>
    </row>
    <row r="123" spans="2:12" ht="15.75" thickBot="1">
      <c r="F123" s="1626" t="s">
        <v>432</v>
      </c>
      <c r="G123" s="1626"/>
      <c r="H123" s="56">
        <f>H121+H122</f>
        <v>20708732</v>
      </c>
      <c r="I123" s="56">
        <f t="shared" ref="I123:J123" si="5">I121+I122</f>
        <v>287955</v>
      </c>
      <c r="J123" s="56">
        <f t="shared" si="5"/>
        <v>20996687</v>
      </c>
    </row>
  </sheetData>
  <mergeCells count="8">
    <mergeCell ref="F122:G122"/>
    <mergeCell ref="F123:G123"/>
    <mergeCell ref="H118:H119"/>
    <mergeCell ref="I118:I119"/>
    <mergeCell ref="J118:J119"/>
    <mergeCell ref="F118:G119"/>
    <mergeCell ref="F120:G120"/>
    <mergeCell ref="F121:G121"/>
  </mergeCells>
  <conditionalFormatting sqref="L114">
    <cfRule type="cellIs" dxfId="32" priority="5" operator="equal">
      <formula>"OK"</formula>
    </cfRule>
    <cfRule type="cellIs" dxfId="31" priority="6" operator="equal">
      <formula>"ERROR"</formula>
    </cfRule>
  </conditionalFormatting>
  <conditionalFormatting sqref="L58">
    <cfRule type="cellIs" dxfId="30" priority="1" operator="equal">
      <formula>"OK"</formula>
    </cfRule>
    <cfRule type="cellIs" dxfId="29" priority="2" operator="equal">
      <formula>"ERROR"</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'1. Carátula'!$C$32:$C$280</xm:f>
          </x14:formula1>
          <xm:sqref>E61:E110 E5:E54 I5:I54 I61:I110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heetPr>
  <dimension ref="B1:L69"/>
  <sheetViews>
    <sheetView showGridLines="0" topLeftCell="A19" zoomScaleNormal="100" workbookViewId="0">
      <selection activeCell="G7" sqref="G7:G19"/>
    </sheetView>
  </sheetViews>
  <sheetFormatPr baseColWidth="10" defaultColWidth="9.140625" defaultRowHeight="15"/>
  <cols>
    <col min="1" max="5" width="2.42578125" customWidth="1"/>
    <col min="6" max="6" width="52.85546875" customWidth="1"/>
    <col min="7" max="8" width="15.7109375" customWidth="1"/>
    <col min="9" max="9" width="10.7109375" customWidth="1"/>
    <col min="10" max="10" width="5.85546875" style="915" customWidth="1"/>
    <col min="11" max="11" width="9.85546875" bestFit="1" customWidth="1"/>
    <col min="12" max="12" width="9.5703125" bestFit="1" customWidth="1"/>
  </cols>
  <sheetData>
    <row r="1" spans="2:12" ht="15" customHeight="1"/>
    <row r="2" spans="2:12" s="1" customFormat="1" ht="15" customHeight="1">
      <c r="J2" s="1199"/>
    </row>
    <row r="3" spans="2:12" ht="15" customHeight="1"/>
    <row r="4" spans="2:12" ht="23.25" customHeight="1">
      <c r="B4" s="1567"/>
      <c r="C4" s="1567"/>
      <c r="D4" s="1567"/>
      <c r="E4" s="1567"/>
      <c r="F4" s="1567"/>
      <c r="G4" s="16" t="str">
        <f>+'2. Estado de situación'!I4</f>
        <v>31.03.2018</v>
      </c>
      <c r="H4" s="16" t="str">
        <f>+'2. Estado de situación'!J4</f>
        <v>31.12.2017</v>
      </c>
      <c r="I4" s="17" t="s">
        <v>834</v>
      </c>
      <c r="K4" s="919" t="s">
        <v>3727</v>
      </c>
    </row>
    <row r="5" spans="2:12" ht="15" customHeight="1">
      <c r="B5" s="1557" t="s">
        <v>837</v>
      </c>
      <c r="C5" s="1557"/>
      <c r="D5" s="1557"/>
      <c r="E5" s="1557"/>
      <c r="F5" s="1557"/>
      <c r="G5" s="19"/>
      <c r="H5" s="18"/>
      <c r="I5" s="14"/>
    </row>
    <row r="6" spans="2:12" ht="15" customHeight="1">
      <c r="B6" s="24"/>
      <c r="C6" s="1557" t="s">
        <v>838</v>
      </c>
      <c r="D6" s="1557"/>
      <c r="E6" s="1557"/>
      <c r="F6" s="1557"/>
      <c r="G6" s="19"/>
      <c r="H6" s="18"/>
      <c r="I6" s="14"/>
    </row>
    <row r="7" spans="2:12" ht="15" customHeight="1">
      <c r="B7" s="12"/>
      <c r="C7" s="12"/>
      <c r="D7" s="1564" t="s">
        <v>103</v>
      </c>
      <c r="E7" s="1564"/>
      <c r="F7" s="1564"/>
      <c r="G7" s="911">
        <f ca="1">G8-G12-G19-G23-G27-G32-G33-G34</f>
        <v>-7053535</v>
      </c>
      <c r="H7" s="911">
        <f>H8-H12-H19-H23-H27-H32-H33-H34</f>
        <v>-47005857</v>
      </c>
      <c r="I7" s="14"/>
      <c r="L7" s="915"/>
    </row>
    <row r="8" spans="2:12" ht="15" customHeight="1">
      <c r="B8" s="12"/>
      <c r="C8" s="12"/>
      <c r="D8" s="25"/>
      <c r="E8" s="1564" t="s">
        <v>104</v>
      </c>
      <c r="F8" s="1564"/>
      <c r="G8" s="911">
        <f ca="1">G9+G10-G11</f>
        <v>97983942</v>
      </c>
      <c r="H8" s="911">
        <f>H9+H10-H11</f>
        <v>391148317</v>
      </c>
      <c r="I8" s="14"/>
      <c r="K8" s="192"/>
    </row>
    <row r="9" spans="2:12" ht="15" customHeight="1">
      <c r="B9" s="12"/>
      <c r="C9" s="12"/>
      <c r="D9" s="12"/>
      <c r="E9" s="12"/>
      <c r="F9" s="13" t="s">
        <v>105</v>
      </c>
      <c r="G9" s="913">
        <f ca="1">IFERROR(VLOOKUP($K9,'Resultado Integral'!$Z$13:$AA$101,2,0),0)</f>
        <v>118692674</v>
      </c>
      <c r="H9" s="918">
        <v>468483079</v>
      </c>
      <c r="I9" s="14"/>
      <c r="K9" s="190">
        <v>5311110</v>
      </c>
    </row>
    <row r="10" spans="2:12" ht="15" customHeight="1">
      <c r="B10" s="12"/>
      <c r="C10" s="12"/>
      <c r="D10" s="12"/>
      <c r="E10" s="12"/>
      <c r="F10" s="13" t="s">
        <v>106</v>
      </c>
      <c r="G10" s="913">
        <f ca="1">IFERROR(VLOOKUP($K10,'Resultado Integral'!$Z$13:$AA$101,2,0),0)</f>
        <v>0</v>
      </c>
      <c r="H10" s="918">
        <v>0</v>
      </c>
      <c r="I10" s="14"/>
      <c r="K10" s="190">
        <v>5311120</v>
      </c>
    </row>
    <row r="11" spans="2:12" ht="15" customHeight="1">
      <c r="B11" s="12"/>
      <c r="C11" s="12"/>
      <c r="D11" s="12"/>
      <c r="E11" s="12"/>
      <c r="F11" s="13" t="s">
        <v>107</v>
      </c>
      <c r="G11" s="913">
        <f ca="1">IFERROR(VLOOKUP($K11,'Resultado Integral'!$Z$13:$AA$101,2,0),0)</f>
        <v>20708732</v>
      </c>
      <c r="H11" s="918">
        <v>77334762</v>
      </c>
      <c r="I11" s="14"/>
      <c r="K11" s="190">
        <v>5311130</v>
      </c>
    </row>
    <row r="12" spans="2:12" ht="15" customHeight="1">
      <c r="B12" s="12"/>
      <c r="C12" s="12"/>
      <c r="D12" s="12"/>
      <c r="E12" s="1564" t="s">
        <v>108</v>
      </c>
      <c r="F12" s="1564"/>
      <c r="G12" s="911">
        <f ca="1">SUM(G13:G18)</f>
        <v>-1151987</v>
      </c>
      <c r="H12" s="911">
        <f>SUM(H13:H18)</f>
        <v>41464873</v>
      </c>
      <c r="I12" s="14"/>
      <c r="K12" s="190"/>
    </row>
    <row r="13" spans="2:12" ht="15" customHeight="1">
      <c r="B13" s="12"/>
      <c r="C13" s="12"/>
      <c r="D13" s="12"/>
      <c r="E13" s="12"/>
      <c r="F13" s="13" t="s">
        <v>109</v>
      </c>
      <c r="G13" s="913">
        <f ca="1">IFERROR(VLOOKUP($K13,'Resultado Integral'!$Z$13:$AA$101,2,0),0)</f>
        <v>709928</v>
      </c>
      <c r="H13" s="918">
        <v>316215</v>
      </c>
      <c r="I13" s="14"/>
      <c r="K13" s="190">
        <v>5311210</v>
      </c>
      <c r="L13" s="799"/>
    </row>
    <row r="14" spans="2:12" ht="15" customHeight="1">
      <c r="B14" s="12"/>
      <c r="C14" s="12"/>
      <c r="D14" s="12"/>
      <c r="E14" s="12"/>
      <c r="F14" s="13" t="s">
        <v>110</v>
      </c>
      <c r="G14" s="913">
        <f ca="1">IFERROR(VLOOKUP($K14,'Resultado Integral'!$Z$13:$AA$101,2,0),0)</f>
        <v>-118576</v>
      </c>
      <c r="H14" s="918">
        <v>-202112</v>
      </c>
      <c r="I14" s="14"/>
      <c r="K14" s="190">
        <v>5311220</v>
      </c>
      <c r="L14" s="799"/>
    </row>
    <row r="15" spans="2:12" ht="15" customHeight="1">
      <c r="B15" s="12"/>
      <c r="C15" s="12"/>
      <c r="D15" s="12"/>
      <c r="E15" s="12"/>
      <c r="F15" s="13" t="s">
        <v>111</v>
      </c>
      <c r="G15" s="913">
        <f ca="1">IFERROR(VLOOKUP($K15,'Resultado Integral'!$Z$13:$AA$101,2,0),0)</f>
        <v>-1198051</v>
      </c>
      <c r="H15" s="918">
        <v>40367100</v>
      </c>
      <c r="I15" s="14"/>
      <c r="K15" s="190">
        <v>5311230</v>
      </c>
      <c r="L15" s="799"/>
    </row>
    <row r="16" spans="2:12" ht="15" customHeight="1">
      <c r="B16" s="12"/>
      <c r="C16" s="12"/>
      <c r="D16" s="12"/>
      <c r="E16" s="12"/>
      <c r="F16" s="13" t="s">
        <v>112</v>
      </c>
      <c r="G16" s="913">
        <f ca="1">IFERROR(VLOOKUP($K16,'Resultado Integral'!$Z$13:$AA$101,2,0),0)</f>
        <v>0</v>
      </c>
      <c r="H16" s="918">
        <v>0</v>
      </c>
      <c r="I16" s="14"/>
      <c r="K16" s="190">
        <v>5311240</v>
      </c>
      <c r="L16" s="799"/>
    </row>
    <row r="17" spans="2:12" ht="15" customHeight="1">
      <c r="B17" s="12"/>
      <c r="C17" s="12"/>
      <c r="D17" s="12"/>
      <c r="E17" s="12"/>
      <c r="F17" s="13" t="s">
        <v>113</v>
      </c>
      <c r="G17" s="913">
        <f ca="1">IFERROR(VLOOKUP($K17,'Resultado Integral'!$Z$13:$AA$101,2,0),0)+1</f>
        <v>-545288</v>
      </c>
      <c r="H17" s="918">
        <v>983670</v>
      </c>
      <c r="I17" s="14"/>
      <c r="K17" s="190">
        <v>5311250</v>
      </c>
      <c r="L17" s="799"/>
    </row>
    <row r="18" spans="2:12" ht="15" customHeight="1">
      <c r="B18" s="12"/>
      <c r="C18" s="12"/>
      <c r="D18" s="12"/>
      <c r="E18" s="12"/>
      <c r="F18" s="13" t="s">
        <v>114</v>
      </c>
      <c r="G18" s="913">
        <f ca="1">IFERROR(VLOOKUP($K18,'Resultado Integral'!$Z$13:$AA$101,2,0),0)</f>
        <v>0</v>
      </c>
      <c r="H18" s="918">
        <v>0</v>
      </c>
      <c r="I18" s="14"/>
      <c r="K18" s="190">
        <v>5311260</v>
      </c>
      <c r="L18" s="799"/>
    </row>
    <row r="19" spans="2:12" ht="15" customHeight="1">
      <c r="B19" s="12"/>
      <c r="C19" s="12"/>
      <c r="D19" s="12"/>
      <c r="E19" s="1564" t="s">
        <v>115</v>
      </c>
      <c r="F19" s="1564"/>
      <c r="G19" s="911">
        <f ca="1">G20-G21+G22</f>
        <v>57671229</v>
      </c>
      <c r="H19" s="911">
        <f>H20-H21+H22</f>
        <v>222271635</v>
      </c>
      <c r="I19" s="14"/>
      <c r="K19" s="190"/>
    </row>
    <row r="20" spans="2:12" ht="15" customHeight="1">
      <c r="B20" s="12"/>
      <c r="C20" s="12"/>
      <c r="D20" s="12"/>
      <c r="E20" s="12"/>
      <c r="F20" s="13" t="s">
        <v>116</v>
      </c>
      <c r="G20" s="913">
        <f ca="1">IFERROR(VLOOKUP($K20,'Resultado Integral'!$Z$13:$AA$101,2,0),0)</f>
        <v>73881734</v>
      </c>
      <c r="H20" s="918">
        <v>286001898</v>
      </c>
      <c r="I20" s="14"/>
      <c r="K20" s="190">
        <v>5311310</v>
      </c>
    </row>
    <row r="21" spans="2:12" ht="15" customHeight="1">
      <c r="B21" s="12"/>
      <c r="C21" s="12"/>
      <c r="D21" s="12"/>
      <c r="E21" s="12"/>
      <c r="F21" s="13" t="s">
        <v>117</v>
      </c>
      <c r="G21" s="913">
        <f ca="1">IFERROR(VLOOKUP($K21,'Resultado Integral'!$Z$13:$AA$101,2,0),0)</f>
        <v>16210505</v>
      </c>
      <c r="H21" s="918">
        <v>63730263</v>
      </c>
      <c r="I21" s="14"/>
      <c r="K21" s="190">
        <v>5311320</v>
      </c>
    </row>
    <row r="22" spans="2:12" ht="15" customHeight="1">
      <c r="B22" s="12"/>
      <c r="C22" s="12"/>
      <c r="D22" s="12"/>
      <c r="E22" s="12"/>
      <c r="F22" s="13" t="s">
        <v>118</v>
      </c>
      <c r="G22" s="913">
        <f ca="1">IFERROR(VLOOKUP($K22,'Resultado Integral'!$Z$13:$AA$101,2,0),0)</f>
        <v>0</v>
      </c>
      <c r="H22" s="918">
        <v>0</v>
      </c>
      <c r="I22" s="14"/>
      <c r="K22" s="190">
        <v>5311330</v>
      </c>
    </row>
    <row r="23" spans="2:12" ht="15" customHeight="1">
      <c r="B23" s="12"/>
      <c r="C23" s="12"/>
      <c r="D23" s="12"/>
      <c r="E23" s="1564" t="s">
        <v>119</v>
      </c>
      <c r="F23" s="1564"/>
      <c r="G23" s="911">
        <f ca="1">G24-G25+G26</f>
        <v>41902869</v>
      </c>
      <c r="H23" s="911">
        <f>H24-H25+H26</f>
        <v>149714789</v>
      </c>
      <c r="I23" s="14"/>
      <c r="K23" s="190"/>
    </row>
    <row r="24" spans="2:12" ht="15" customHeight="1">
      <c r="B24" s="12"/>
      <c r="C24" s="12"/>
      <c r="D24" s="12"/>
      <c r="E24" s="12"/>
      <c r="F24" s="13" t="s">
        <v>120</v>
      </c>
      <c r="G24" s="913">
        <f ca="1">IFERROR(VLOOKUP($K24,'Resultado Integral'!$Z$13:$AA$101,2,0),0)</f>
        <v>41958632</v>
      </c>
      <c r="H24" s="918">
        <v>152250426</v>
      </c>
      <c r="I24" s="14"/>
      <c r="K24" s="190">
        <v>5311410</v>
      </c>
    </row>
    <row r="25" spans="2:12" ht="15" customHeight="1">
      <c r="B25" s="12"/>
      <c r="C25" s="12"/>
      <c r="D25" s="12"/>
      <c r="E25" s="12"/>
      <c r="F25" s="13" t="s">
        <v>121</v>
      </c>
      <c r="G25" s="913">
        <f ca="1">IFERROR(VLOOKUP($K25,'Resultado Integral'!$Z$13:$AA$101,2,0),0)</f>
        <v>55763</v>
      </c>
      <c r="H25" s="918">
        <v>2535637</v>
      </c>
      <c r="I25" s="14"/>
      <c r="K25" s="190">
        <v>5311420</v>
      </c>
    </row>
    <row r="26" spans="2:12" ht="15" customHeight="1">
      <c r="B26" s="12"/>
      <c r="C26" s="12"/>
      <c r="D26" s="12"/>
      <c r="E26" s="12"/>
      <c r="F26" s="13" t="s">
        <v>122</v>
      </c>
      <c r="G26" s="913">
        <f ca="1">IFERROR(VLOOKUP($K26,'Resultado Integral'!$Z$13:$AA$101,2,0),0)</f>
        <v>0</v>
      </c>
      <c r="H26" s="918">
        <v>0</v>
      </c>
      <c r="I26" s="14"/>
      <c r="K26" s="190">
        <v>5311430</v>
      </c>
    </row>
    <row r="27" spans="2:12" ht="15" customHeight="1">
      <c r="B27" s="12"/>
      <c r="C27" s="12"/>
      <c r="D27" s="12"/>
      <c r="E27" s="1564" t="s">
        <v>123</v>
      </c>
      <c r="F27" s="1564"/>
      <c r="G27" s="911">
        <f ca="1">G28+G29+G30-G31</f>
        <v>6172327</v>
      </c>
      <c r="H27" s="911">
        <f>H28+H29+H30-H31</f>
        <v>23650761</v>
      </c>
      <c r="I27" s="14"/>
      <c r="K27" s="190"/>
    </row>
    <row r="28" spans="2:12" ht="15" customHeight="1">
      <c r="B28" s="12"/>
      <c r="C28" s="12"/>
      <c r="D28" s="12"/>
      <c r="E28" s="12"/>
      <c r="F28" s="13" t="s">
        <v>124</v>
      </c>
      <c r="G28" s="913">
        <f ca="1">IFERROR(VLOOKUP($K28,'Resultado Integral'!$Z$13:$AA$101,2,0),0)</f>
        <v>5864672</v>
      </c>
      <c r="H28" s="918">
        <v>22885565</v>
      </c>
      <c r="I28" s="14"/>
      <c r="K28" s="190">
        <v>5311510</v>
      </c>
    </row>
    <row r="29" spans="2:12" ht="15" customHeight="1">
      <c r="B29" s="12"/>
      <c r="C29" s="12"/>
      <c r="D29" s="12"/>
      <c r="E29" s="12"/>
      <c r="F29" s="13" t="s">
        <v>125</v>
      </c>
      <c r="G29" s="913">
        <f ca="1">IFERROR(VLOOKUP($K29,'Resultado Integral'!$Z$13:$AA$101,2,0),0)</f>
        <v>909644</v>
      </c>
      <c r="H29" s="918">
        <v>2863063</v>
      </c>
      <c r="I29" s="14"/>
      <c r="K29" s="190">
        <v>5311520</v>
      </c>
    </row>
    <row r="30" spans="2:12" ht="15" customHeight="1">
      <c r="B30" s="12"/>
      <c r="C30" s="12"/>
      <c r="D30" s="12"/>
      <c r="E30" s="12"/>
      <c r="F30" s="13" t="s">
        <v>126</v>
      </c>
      <c r="G30" s="913">
        <f ca="1">IFERROR(VLOOKUP($K30,'Resultado Integral'!$Z$13:$AA$101,2,0),0)</f>
        <v>0</v>
      </c>
      <c r="H30" s="918">
        <v>0</v>
      </c>
      <c r="I30" s="14"/>
      <c r="K30" s="190">
        <v>5311530</v>
      </c>
    </row>
    <row r="31" spans="2:12" ht="15" customHeight="1">
      <c r="B31" s="12"/>
      <c r="C31" s="12"/>
      <c r="D31" s="12"/>
      <c r="E31" s="12"/>
      <c r="F31" s="13" t="s">
        <v>127</v>
      </c>
      <c r="G31" s="913">
        <f ca="1">IFERROR(VLOOKUP($K31,'Resultado Integral'!$Z$13:$AA$101,2,0),0)</f>
        <v>601989</v>
      </c>
      <c r="H31" s="918">
        <v>2097867</v>
      </c>
      <c r="I31" s="14"/>
      <c r="K31" s="190">
        <v>5311540</v>
      </c>
    </row>
    <row r="32" spans="2:12" ht="15" customHeight="1">
      <c r="B32" s="12"/>
      <c r="C32" s="12"/>
      <c r="D32" s="12"/>
      <c r="E32" s="1555" t="s">
        <v>128</v>
      </c>
      <c r="F32" s="1555"/>
      <c r="G32" s="913">
        <f ca="1">IFERROR(VLOOKUP($K32,'Resultado Integral'!$Z$13:$AA$101,2,0),0)</f>
        <v>287955</v>
      </c>
      <c r="H32" s="918">
        <v>1077627</v>
      </c>
      <c r="I32" s="14"/>
      <c r="K32" s="190">
        <v>5311600</v>
      </c>
    </row>
    <row r="33" spans="2:12" ht="15" customHeight="1">
      <c r="B33" s="12"/>
      <c r="C33" s="12"/>
      <c r="D33" s="12"/>
      <c r="E33" s="1555" t="s">
        <v>129</v>
      </c>
      <c r="F33" s="1555"/>
      <c r="G33" s="913">
        <f ca="1">IFERROR(VLOOKUP($K33,'Resultado Integral'!$Z$13:$AA$101,2,0),0)</f>
        <v>170820</v>
      </c>
      <c r="H33" s="918">
        <v>995673</v>
      </c>
      <c r="I33" s="14"/>
      <c r="K33" s="190">
        <v>5311700</v>
      </c>
    </row>
    <row r="34" spans="2:12" ht="15" customHeight="1">
      <c r="B34" s="12"/>
      <c r="C34" s="12"/>
      <c r="D34" s="12"/>
      <c r="E34" s="1555" t="s">
        <v>130</v>
      </c>
      <c r="F34" s="1555"/>
      <c r="G34" s="913">
        <f ca="1">IFERROR(VLOOKUP($K34,'Resultado Integral'!$Z$13:$AA$101,2,0),0)</f>
        <v>-15736</v>
      </c>
      <c r="H34" s="918">
        <v>-1021184</v>
      </c>
      <c r="I34" s="14"/>
      <c r="K34" s="190">
        <v>5311800</v>
      </c>
      <c r="L34" s="799"/>
    </row>
    <row r="35" spans="2:12" ht="15" customHeight="1">
      <c r="B35" s="12"/>
      <c r="C35" s="12"/>
      <c r="D35" s="1564" t="s">
        <v>131</v>
      </c>
      <c r="E35" s="1564"/>
      <c r="F35" s="1564"/>
      <c r="G35" s="911">
        <f ca="1">G36+G37</f>
        <v>7474329</v>
      </c>
      <c r="H35" s="911">
        <f>H36+H37</f>
        <v>35010903</v>
      </c>
      <c r="I35" s="14"/>
      <c r="K35" s="190"/>
    </row>
    <row r="36" spans="2:12" ht="15" customHeight="1">
      <c r="B36" s="12"/>
      <c r="C36" s="12"/>
      <c r="D36" s="12"/>
      <c r="E36" s="1555" t="s">
        <v>132</v>
      </c>
      <c r="F36" s="1555"/>
      <c r="G36" s="913">
        <f ca="1">IFERROR(VLOOKUP($K36,'Resultado Integral'!$Z$13:$AA$101,2,0),0)</f>
        <v>2657860</v>
      </c>
      <c r="H36" s="918">
        <v>12036022</v>
      </c>
      <c r="I36" s="14"/>
      <c r="K36" s="190">
        <v>5312100</v>
      </c>
    </row>
    <row r="37" spans="2:12" ht="15" customHeight="1">
      <c r="B37" s="12"/>
      <c r="C37" s="12"/>
      <c r="D37" s="12"/>
      <c r="E37" s="1555" t="s">
        <v>133</v>
      </c>
      <c r="F37" s="1555"/>
      <c r="G37" s="913">
        <f ca="1">IFERROR(VLOOKUP($K37,'Resultado Integral'!$Z$13:$AA$101,2,0),0)-1</f>
        <v>4816469</v>
      </c>
      <c r="H37" s="918">
        <v>22974881</v>
      </c>
      <c r="I37" s="14"/>
      <c r="K37" s="190">
        <v>5312200</v>
      </c>
    </row>
    <row r="38" spans="2:12" ht="15" customHeight="1">
      <c r="B38" s="12"/>
      <c r="C38" s="12"/>
      <c r="D38" s="1564" t="s">
        <v>134</v>
      </c>
      <c r="E38" s="1564"/>
      <c r="F38" s="1564"/>
      <c r="G38" s="911">
        <f ca="1">G39+G42+G45+G50-G51</f>
        <v>18887240</v>
      </c>
      <c r="H38" s="911">
        <f>H39+H42+H45+H50-H51</f>
        <v>93687348</v>
      </c>
      <c r="I38" s="14"/>
      <c r="K38" s="190">
        <f>+J38/1000</f>
        <v>0</v>
      </c>
      <c r="L38" s="915"/>
    </row>
    <row r="39" spans="2:12" ht="15" customHeight="1">
      <c r="B39" s="12"/>
      <c r="C39" s="12"/>
      <c r="D39" s="25"/>
      <c r="E39" s="1564" t="s">
        <v>135</v>
      </c>
      <c r="F39" s="1564"/>
      <c r="G39" s="911">
        <f ca="1">G40+G41</f>
        <v>1424414</v>
      </c>
      <c r="H39" s="911">
        <f>H40+H41</f>
        <v>6076859</v>
      </c>
      <c r="I39" s="14"/>
      <c r="K39" s="190"/>
    </row>
    <row r="40" spans="2:12" ht="15" customHeight="1">
      <c r="B40" s="12"/>
      <c r="C40" s="12"/>
      <c r="D40" s="12"/>
      <c r="E40" s="12"/>
      <c r="F40" s="13" t="s">
        <v>136</v>
      </c>
      <c r="G40" s="913">
        <f ca="1">IFERROR(VLOOKUP($K40,'Resultado Integral'!$Z$13:$AA$101,2,0),0)</f>
        <v>662500</v>
      </c>
      <c r="H40" s="918">
        <v>115516</v>
      </c>
      <c r="I40" s="14"/>
      <c r="K40" s="190">
        <v>5313110</v>
      </c>
      <c r="L40" s="799"/>
    </row>
    <row r="41" spans="2:12" ht="15" customHeight="1">
      <c r="B41" s="12"/>
      <c r="C41" s="12"/>
      <c r="D41" s="12"/>
      <c r="E41" s="12"/>
      <c r="F41" s="13" t="s">
        <v>137</v>
      </c>
      <c r="G41" s="913">
        <f ca="1">IFERROR(VLOOKUP($K41,'Resultado Integral'!$Z$13:$AA$101,2,0),0)</f>
        <v>761914</v>
      </c>
      <c r="H41" s="918">
        <v>5961343</v>
      </c>
      <c r="I41" s="14"/>
      <c r="K41" s="190">
        <v>5313120</v>
      </c>
      <c r="L41" s="799"/>
    </row>
    <row r="42" spans="2:12" ht="15" customHeight="1">
      <c r="B42" s="12"/>
      <c r="C42" s="12"/>
      <c r="D42" s="12"/>
      <c r="E42" s="1564" t="s">
        <v>138</v>
      </c>
      <c r="F42" s="1564"/>
      <c r="G42" s="911">
        <f ca="1">G43+G44</f>
        <v>-941200</v>
      </c>
      <c r="H42" s="911">
        <f>H43+H44</f>
        <v>4087286</v>
      </c>
      <c r="I42" s="14"/>
      <c r="K42" s="190"/>
    </row>
    <row r="43" spans="2:12" ht="15" customHeight="1">
      <c r="B43" s="12"/>
      <c r="C43" s="12"/>
      <c r="D43" s="12"/>
      <c r="E43" s="12"/>
      <c r="F43" s="13" t="s">
        <v>139</v>
      </c>
      <c r="G43" s="913">
        <f ca="1">IFERROR(VLOOKUP($K43,'Resultado Integral'!$Z$13:$AA$101,2,0),0)</f>
        <v>0</v>
      </c>
      <c r="H43" s="918">
        <v>0</v>
      </c>
      <c r="I43" s="14"/>
      <c r="K43" s="190">
        <v>5313210</v>
      </c>
      <c r="L43" s="799"/>
    </row>
    <row r="44" spans="2:12" ht="15" customHeight="1">
      <c r="B44" s="12"/>
      <c r="C44" s="12"/>
      <c r="D44" s="12"/>
      <c r="E44" s="12"/>
      <c r="F44" s="13" t="s">
        <v>140</v>
      </c>
      <c r="G44" s="913">
        <f ca="1">IFERROR(VLOOKUP($K44,'Resultado Integral'!$Z$13:$AA$101,2,0),0)</f>
        <v>-941200</v>
      </c>
      <c r="H44" s="918">
        <v>4087286</v>
      </c>
      <c r="I44" s="14"/>
      <c r="K44" s="190">
        <v>5313220</v>
      </c>
      <c r="L44" s="799"/>
    </row>
    <row r="45" spans="2:12" ht="15" customHeight="1">
      <c r="B45" s="12"/>
      <c r="C45" s="12"/>
      <c r="D45" s="12"/>
      <c r="E45" s="1564" t="s">
        <v>141</v>
      </c>
      <c r="F45" s="1564"/>
      <c r="G45" s="911">
        <f ca="1">G46+G47-G48-G49</f>
        <v>17677718</v>
      </c>
      <c r="H45" s="911">
        <f>H46+H47-H48-H49</f>
        <v>71268537</v>
      </c>
      <c r="I45" s="14"/>
      <c r="K45" s="190"/>
    </row>
    <row r="46" spans="2:12" ht="15" customHeight="1">
      <c r="B46" s="12"/>
      <c r="C46" s="12"/>
      <c r="D46" s="12"/>
      <c r="E46" s="12"/>
      <c r="F46" s="13" t="s">
        <v>142</v>
      </c>
      <c r="G46" s="913">
        <f ca="1">IFERROR(VLOOKUP($K46,'Resultado Integral'!$Z$13:$AA$101,2,0),0)</f>
        <v>4652074</v>
      </c>
      <c r="H46" s="918">
        <v>17007574</v>
      </c>
      <c r="I46" s="14"/>
      <c r="K46" s="190">
        <v>5313310</v>
      </c>
      <c r="L46" s="799"/>
    </row>
    <row r="47" spans="2:12" ht="15" customHeight="1">
      <c r="B47" s="12"/>
      <c r="C47" s="12"/>
      <c r="D47" s="12"/>
      <c r="E47" s="12"/>
      <c r="F47" s="13" t="s">
        <v>143</v>
      </c>
      <c r="G47" s="913">
        <f ca="1">IFERROR(VLOOKUP($K47,'Resultado Integral'!$Z$13:$AA$101,2,0),0)</f>
        <v>13854292</v>
      </c>
      <c r="H47" s="918">
        <v>58598253</v>
      </c>
      <c r="I47" s="14"/>
      <c r="K47" s="190">
        <v>5313320</v>
      </c>
      <c r="L47" s="799"/>
    </row>
    <row r="48" spans="2:12" ht="15" customHeight="1">
      <c r="B48" s="12"/>
      <c r="C48" s="12"/>
      <c r="D48" s="12"/>
      <c r="E48" s="12"/>
      <c r="F48" s="13" t="s">
        <v>144</v>
      </c>
      <c r="G48" s="913">
        <f ca="1">IFERROR(VLOOKUP($K48,'Resultado Integral'!$Z$13:$AA$101,2,0),0)</f>
        <v>437235</v>
      </c>
      <c r="H48" s="918">
        <v>1550905</v>
      </c>
      <c r="I48" s="14"/>
      <c r="K48" s="190">
        <v>5313330</v>
      </c>
    </row>
    <row r="49" spans="2:12" ht="15" customHeight="1">
      <c r="B49" s="12"/>
      <c r="C49" s="12"/>
      <c r="D49" s="12"/>
      <c r="E49" s="12"/>
      <c r="F49" s="13" t="s">
        <v>145</v>
      </c>
      <c r="G49" s="913">
        <f ca="1">IFERROR(VLOOKUP($K49,'Resultado Integral'!$Z$13:$AA$101,2,0),0)</f>
        <v>391413</v>
      </c>
      <c r="H49" s="918">
        <v>2786385</v>
      </c>
      <c r="I49" s="14"/>
      <c r="K49" s="190">
        <v>5313340</v>
      </c>
    </row>
    <row r="50" spans="2:12" ht="15" customHeight="1">
      <c r="B50" s="12"/>
      <c r="C50" s="12"/>
      <c r="D50" s="12"/>
      <c r="E50" s="1566" t="s">
        <v>146</v>
      </c>
      <c r="F50" s="1566"/>
      <c r="G50" s="913">
        <f ca="1">IFERROR(VLOOKUP($K50,'Resultado Integral'!$Z$13:$AA$101,2,0),0)</f>
        <v>761497</v>
      </c>
      <c r="H50" s="918">
        <v>12774056</v>
      </c>
      <c r="I50" s="14"/>
      <c r="K50" s="190">
        <v>5313400</v>
      </c>
      <c r="L50" s="799"/>
    </row>
    <row r="51" spans="2:12" ht="15" customHeight="1">
      <c r="B51" s="12"/>
      <c r="C51" s="12"/>
      <c r="D51" s="12"/>
      <c r="E51" s="1555" t="s">
        <v>147</v>
      </c>
      <c r="F51" s="1555"/>
      <c r="G51" s="913">
        <f ca="1">IFERROR(VLOOKUP($K51,'Resultado Integral'!$Z$13:$AA$101,2,0),0)</f>
        <v>35189</v>
      </c>
      <c r="H51" s="918">
        <v>519390</v>
      </c>
      <c r="I51" s="14"/>
      <c r="K51" s="190">
        <v>5313500</v>
      </c>
      <c r="L51" s="799"/>
    </row>
    <row r="52" spans="2:12" ht="15" customHeight="1">
      <c r="B52" s="12"/>
      <c r="C52" s="12"/>
      <c r="D52" s="1564" t="s">
        <v>148</v>
      </c>
      <c r="E52" s="1564"/>
      <c r="F52" s="1564"/>
      <c r="G52" s="911">
        <f ca="1">G7+G38-G35</f>
        <v>4359376</v>
      </c>
      <c r="H52" s="911">
        <f>H7+H38-H35</f>
        <v>11670588</v>
      </c>
      <c r="I52" s="14"/>
      <c r="K52" s="190"/>
    </row>
    <row r="53" spans="2:12" ht="15" customHeight="1">
      <c r="B53" s="12"/>
      <c r="C53" s="12"/>
      <c r="D53" s="1564" t="s">
        <v>149</v>
      </c>
      <c r="E53" s="1564"/>
      <c r="F53" s="1564"/>
      <c r="G53" s="911">
        <f ca="1">G54-G55</f>
        <v>198485</v>
      </c>
      <c r="H53" s="911">
        <f>H54-H55</f>
        <v>654728</v>
      </c>
      <c r="I53" s="14"/>
      <c r="K53" s="190"/>
    </row>
    <row r="54" spans="2:12" ht="15" customHeight="1">
      <c r="B54" s="12"/>
      <c r="C54" s="12"/>
      <c r="D54" s="12"/>
      <c r="E54" s="1555" t="s">
        <v>150</v>
      </c>
      <c r="F54" s="1555"/>
      <c r="G54" s="913">
        <f ca="1">IFERROR(VLOOKUP($K54,'Resultado Integral'!$Z$13:$AA$101,2,0),0)</f>
        <v>310857</v>
      </c>
      <c r="H54" s="918">
        <v>1607974</v>
      </c>
      <c r="I54" s="14"/>
      <c r="K54" s="190">
        <v>5315100</v>
      </c>
    </row>
    <row r="55" spans="2:12" ht="15" customHeight="1">
      <c r="B55" s="12"/>
      <c r="C55" s="12"/>
      <c r="D55" s="12"/>
      <c r="E55" s="1555" t="s">
        <v>151</v>
      </c>
      <c r="F55" s="1555"/>
      <c r="G55" s="913">
        <f ca="1">IFERROR(VLOOKUP($K55,'Resultado Integral'!$Z$13:$AA$101,2,0),0)</f>
        <v>112372</v>
      </c>
      <c r="H55" s="918">
        <v>953246</v>
      </c>
      <c r="I55" s="14"/>
      <c r="K55" s="190">
        <v>5315200</v>
      </c>
    </row>
    <row r="56" spans="2:12" ht="15" customHeight="1">
      <c r="B56" s="12"/>
      <c r="C56" s="12"/>
      <c r="D56" s="1555" t="s">
        <v>152</v>
      </c>
      <c r="E56" s="1555"/>
      <c r="F56" s="1555"/>
      <c r="G56" s="913">
        <f ca="1">IFERROR(VLOOKUP($K56,'Resultado Integral'!$Z$13:$AA$101,2,0),0)</f>
        <v>1798962</v>
      </c>
      <c r="H56" s="918">
        <v>-46782580</v>
      </c>
      <c r="I56" s="14"/>
      <c r="K56" s="190">
        <v>5316100</v>
      </c>
    </row>
    <row r="57" spans="2:12" ht="15" customHeight="1">
      <c r="B57" s="12"/>
      <c r="C57" s="12"/>
      <c r="D57" s="1555" t="s">
        <v>153</v>
      </c>
      <c r="E57" s="1555"/>
      <c r="F57" s="1555"/>
      <c r="G57" s="913">
        <f ca="1">IFERROR(VLOOKUP($K57,'Resultado Integral'!$Z$13:$AA$101,2,0),0)</f>
        <v>-1319920</v>
      </c>
      <c r="H57" s="918">
        <v>48568874</v>
      </c>
      <c r="I57" s="14"/>
      <c r="K57" s="190">
        <v>5316200</v>
      </c>
    </row>
    <row r="58" spans="2:12" ht="15" customHeight="1">
      <c r="B58" s="12"/>
      <c r="C58" s="12"/>
      <c r="D58" s="1565" t="s">
        <v>154</v>
      </c>
      <c r="E58" s="1565"/>
      <c r="F58" s="1565"/>
      <c r="G58" s="911">
        <f ca="1">G52+G53+G56+G57</f>
        <v>5036903</v>
      </c>
      <c r="H58" s="911">
        <f>H52+H53+H56+H57</f>
        <v>14111610</v>
      </c>
      <c r="I58" s="14"/>
      <c r="K58" s="190"/>
    </row>
    <row r="59" spans="2:12" ht="15" customHeight="1">
      <c r="B59" s="12"/>
      <c r="C59" s="12"/>
      <c r="D59" s="1566" t="s">
        <v>155</v>
      </c>
      <c r="E59" s="1566"/>
      <c r="F59" s="1566"/>
      <c r="G59" s="913">
        <f ca="1">IFERROR(VLOOKUP($K59,'Resultado Integral'!$Z$13:$AA$101,2,0),0)</f>
        <v>0</v>
      </c>
      <c r="H59" s="918">
        <v>0</v>
      </c>
      <c r="I59" s="14"/>
      <c r="K59" s="190">
        <v>5318000</v>
      </c>
    </row>
    <row r="60" spans="2:12" ht="15" customHeight="1">
      <c r="B60" s="12"/>
      <c r="C60" s="12"/>
      <c r="D60" s="1555" t="s">
        <v>156</v>
      </c>
      <c r="E60" s="1555"/>
      <c r="F60" s="1555"/>
      <c r="G60" s="913">
        <f ca="1">IFERROR(VLOOKUP($K60,'Resultado Integral'!$Z$13:$AA$101,2,0),0)</f>
        <v>1839176</v>
      </c>
      <c r="H60" s="918">
        <v>-61171</v>
      </c>
      <c r="I60" s="14"/>
      <c r="K60" s="190">
        <v>5319000</v>
      </c>
    </row>
    <row r="61" spans="2:12" ht="15" customHeight="1">
      <c r="B61" s="12"/>
      <c r="C61" s="12"/>
      <c r="D61" s="1564" t="s">
        <v>157</v>
      </c>
      <c r="E61" s="1564"/>
      <c r="F61" s="1564"/>
      <c r="G61" s="911">
        <f ca="1">G58+G59-G60</f>
        <v>3197727</v>
      </c>
      <c r="H61" s="911">
        <f>H58+H59-H60</f>
        <v>14172781</v>
      </c>
      <c r="I61" s="14"/>
      <c r="K61" s="190"/>
    </row>
    <row r="62" spans="2:12" ht="15" customHeight="1">
      <c r="B62" s="12"/>
      <c r="C62" s="1557" t="s">
        <v>839</v>
      </c>
      <c r="D62" s="1557"/>
      <c r="E62" s="1557"/>
      <c r="F62" s="1557"/>
      <c r="G62" s="904"/>
      <c r="H62" s="906"/>
      <c r="I62" s="14"/>
      <c r="K62" s="190"/>
    </row>
    <row r="63" spans="2:12" ht="15" customHeight="1">
      <c r="B63" s="12"/>
      <c r="C63" s="12"/>
      <c r="D63" s="1555" t="s">
        <v>158</v>
      </c>
      <c r="E63" s="1555"/>
      <c r="F63" s="1555"/>
      <c r="G63" s="913">
        <f ca="1">IFERROR(VLOOKUP($K63,'Resultado Integral'!$Z$13:$AA$101,2,0),0)</f>
        <v>0</v>
      </c>
      <c r="H63" s="918"/>
      <c r="I63" s="14"/>
      <c r="K63" s="190">
        <v>5321000</v>
      </c>
    </row>
    <row r="64" spans="2:12" ht="15" customHeight="1">
      <c r="B64" s="12"/>
      <c r="C64" s="12"/>
      <c r="D64" s="1555" t="s">
        <v>159</v>
      </c>
      <c r="E64" s="1555"/>
      <c r="F64" s="1555"/>
      <c r="G64" s="913">
        <f ca="1">IFERROR(VLOOKUP($K64,'Resultado Integral'!$Z$13:$AA$101,2,0),0)</f>
        <v>0</v>
      </c>
      <c r="H64" s="918"/>
      <c r="I64" s="14"/>
      <c r="K64" s="190">
        <v>5322000</v>
      </c>
    </row>
    <row r="65" spans="2:11" ht="15" customHeight="1">
      <c r="B65" s="12"/>
      <c r="C65" s="12"/>
      <c r="D65" s="1555" t="s">
        <v>160</v>
      </c>
      <c r="E65" s="1555"/>
      <c r="F65" s="1555"/>
      <c r="G65" s="913">
        <f ca="1">IFERROR(VLOOKUP($K65,'Resultado Integral'!$Z$13:$AA$101,2,0),0)</f>
        <v>0</v>
      </c>
      <c r="H65" s="918"/>
      <c r="I65" s="14"/>
      <c r="K65" s="190">
        <v>5323000</v>
      </c>
    </row>
    <row r="66" spans="2:11" ht="15" customHeight="1">
      <c r="B66" s="12"/>
      <c r="C66" s="12"/>
      <c r="D66" s="1555" t="s">
        <v>161</v>
      </c>
      <c r="E66" s="1555"/>
      <c r="F66" s="1555"/>
      <c r="G66" s="913">
        <f ca="1">IFERROR(VLOOKUP($K66,'Resultado Integral'!$Z$13:$AA$101,2,0),0)</f>
        <v>0</v>
      </c>
      <c r="H66" s="918"/>
      <c r="I66" s="14"/>
      <c r="K66" s="190">
        <v>5324000</v>
      </c>
    </row>
    <row r="67" spans="2:11" ht="15" customHeight="1">
      <c r="B67" s="12"/>
      <c r="C67" s="12"/>
      <c r="D67" s="1555" t="s">
        <v>162</v>
      </c>
      <c r="E67" s="1555"/>
      <c r="F67" s="1555"/>
      <c r="G67" s="913">
        <f ca="1">IFERROR(VLOOKUP($K67,'Resultado Integral'!$Z$13:$AA$101,2,0),0)</f>
        <v>0</v>
      </c>
      <c r="H67" s="918"/>
      <c r="I67" s="14"/>
      <c r="K67" s="190">
        <v>5325000</v>
      </c>
    </row>
    <row r="68" spans="2:11" ht="15" customHeight="1">
      <c r="B68" s="12"/>
      <c r="C68" s="12"/>
      <c r="D68" s="1555" t="s">
        <v>163</v>
      </c>
      <c r="E68" s="1555"/>
      <c r="F68" s="1555"/>
      <c r="G68" s="913">
        <f ca="1">IFERROR(VLOOKUP($K68,'Resultado Integral'!$Z$13:$AA$101,2,0),0)</f>
        <v>0</v>
      </c>
      <c r="H68" s="918"/>
      <c r="I68" s="14"/>
      <c r="K68" s="190">
        <v>5320000</v>
      </c>
    </row>
    <row r="69" spans="2:11" ht="15" customHeight="1">
      <c r="B69" s="12"/>
      <c r="C69" s="1564" t="s">
        <v>164</v>
      </c>
      <c r="D69" s="1564"/>
      <c r="E69" s="1564"/>
      <c r="F69" s="1564"/>
      <c r="G69" s="911">
        <f ca="1">G61+G68</f>
        <v>3197727</v>
      </c>
      <c r="H69" s="901">
        <f>H61+H68</f>
        <v>14172781</v>
      </c>
      <c r="I69" s="14"/>
    </row>
  </sheetData>
  <mergeCells count="39">
    <mergeCell ref="E12:F12"/>
    <mergeCell ref="E19:F19"/>
    <mergeCell ref="E23:F23"/>
    <mergeCell ref="B4:F4"/>
    <mergeCell ref="B5:F5"/>
    <mergeCell ref="C6:F6"/>
    <mergeCell ref="D7:F7"/>
    <mergeCell ref="E8:F8"/>
    <mergeCell ref="D35:F35"/>
    <mergeCell ref="E36:F36"/>
    <mergeCell ref="E37:F37"/>
    <mergeCell ref="D38:F38"/>
    <mergeCell ref="E27:F27"/>
    <mergeCell ref="E32:F32"/>
    <mergeCell ref="E33:F33"/>
    <mergeCell ref="E34:F34"/>
    <mergeCell ref="D52:F52"/>
    <mergeCell ref="D53:F53"/>
    <mergeCell ref="E54:F54"/>
    <mergeCell ref="E55:F55"/>
    <mergeCell ref="E39:F39"/>
    <mergeCell ref="E42:F42"/>
    <mergeCell ref="E45:F45"/>
    <mergeCell ref="E50:F50"/>
    <mergeCell ref="E51:F51"/>
    <mergeCell ref="D56:F56"/>
    <mergeCell ref="D57:F57"/>
    <mergeCell ref="D58:F58"/>
    <mergeCell ref="D59:F59"/>
    <mergeCell ref="D60:F60"/>
    <mergeCell ref="C69:F69"/>
    <mergeCell ref="D61:F61"/>
    <mergeCell ref="C62:F62"/>
    <mergeCell ref="D63:F63"/>
    <mergeCell ref="D64:F64"/>
    <mergeCell ref="D65:F65"/>
    <mergeCell ref="D66:F66"/>
    <mergeCell ref="D67:F67"/>
    <mergeCell ref="D68:F68"/>
  </mergeCells>
  <pageMargins left="0.7" right="0.7" top="0.75" bottom="0.75" header="0.3" footer="0.3"/>
  <pageSetup orientation="portrait" r:id="rId1"/>
  <ignoredErrors>
    <ignoredError sqref="G12 G35 G39" unlockedFormula="1"/>
    <ignoredError sqref="G42 G23 G27 G45" formula="1" unlockedFormula="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B1:H18"/>
  <sheetViews>
    <sheetView showGridLines="0" zoomScale="85" zoomScaleNormal="85" workbookViewId="0">
      <selection activeCell="E13" sqref="E13"/>
    </sheetView>
  </sheetViews>
  <sheetFormatPr baseColWidth="10" defaultColWidth="9.140625" defaultRowHeight="15"/>
  <cols>
    <col min="1" max="2" width="2.42578125" customWidth="1"/>
    <col min="3" max="3" width="3.7109375" customWidth="1"/>
    <col min="4" max="4" width="50.7109375" customWidth="1"/>
    <col min="5" max="9" width="14.7109375" customWidth="1"/>
    <col min="10" max="11" width="10" customWidth="1"/>
  </cols>
  <sheetData>
    <row r="1" spans="2:8" ht="15" customHeight="1"/>
    <row r="2" spans="2:8" ht="15" customHeight="1"/>
    <row r="3" spans="2:8" s="246" customFormat="1" ht="15" customHeight="1">
      <c r="B3" s="247"/>
      <c r="C3" s="379" t="s">
        <v>1789</v>
      </c>
    </row>
    <row r="4" spans="2:8" ht="15" customHeight="1" thickBot="1"/>
    <row r="5" spans="2:8">
      <c r="D5" s="1670"/>
      <c r="E5" s="1686" t="s">
        <v>1522</v>
      </c>
      <c r="F5" s="1686" t="s">
        <v>1790</v>
      </c>
      <c r="G5" s="1686" t="s">
        <v>1523</v>
      </c>
      <c r="H5" s="1686" t="s">
        <v>432</v>
      </c>
    </row>
    <row r="6" spans="2:8" ht="54.95" customHeight="1" thickBot="1">
      <c r="D6" s="1674"/>
      <c r="E6" s="1687"/>
      <c r="F6" s="1687"/>
      <c r="G6" s="1687"/>
      <c r="H6" s="1687"/>
    </row>
    <row r="7" spans="2:8">
      <c r="D7" s="229" t="s">
        <v>1592</v>
      </c>
      <c r="E7" s="310">
        <v>709928</v>
      </c>
      <c r="F7" s="310"/>
      <c r="G7" s="311"/>
      <c r="H7" s="312">
        <f>+E7+F7+G7</f>
        <v>709928</v>
      </c>
    </row>
    <row r="8" spans="2:8">
      <c r="D8" s="357" t="s">
        <v>443</v>
      </c>
      <c r="E8" s="54">
        <v>-118576</v>
      </c>
      <c r="F8" s="54"/>
      <c r="G8" s="43"/>
      <c r="H8" s="204">
        <f t="shared" ref="H8:H12" si="0">+E8+F8+G8</f>
        <v>-118576</v>
      </c>
    </row>
    <row r="9" spans="2:8">
      <c r="D9" s="229" t="s">
        <v>454</v>
      </c>
      <c r="E9" s="353">
        <v>-1198051</v>
      </c>
      <c r="F9" s="353"/>
      <c r="G9" s="353"/>
      <c r="H9" s="204">
        <f t="shared" si="0"/>
        <v>-1198051</v>
      </c>
    </row>
    <row r="10" spans="2:8">
      <c r="D10" s="357" t="s">
        <v>744</v>
      </c>
      <c r="E10" s="54"/>
      <c r="F10" s="54"/>
      <c r="G10" s="43"/>
      <c r="H10" s="204">
        <f t="shared" si="0"/>
        <v>0</v>
      </c>
    </row>
    <row r="11" spans="2:8">
      <c r="D11" s="357" t="s">
        <v>1791</v>
      </c>
      <c r="E11" s="1519">
        <v>-545288</v>
      </c>
      <c r="F11" s="54"/>
      <c r="G11" s="43"/>
      <c r="H11" s="1521">
        <f t="shared" si="0"/>
        <v>-545288</v>
      </c>
    </row>
    <row r="12" spans="2:8" ht="15.75" thickBot="1">
      <c r="D12" s="357" t="s">
        <v>453</v>
      </c>
      <c r="E12" s="54"/>
      <c r="F12" s="54"/>
      <c r="G12" s="43"/>
      <c r="H12" s="204">
        <f t="shared" si="0"/>
        <v>0</v>
      </c>
    </row>
    <row r="13" spans="2:8" s="146" customFormat="1" ht="15.75" thickBot="1">
      <c r="D13" s="230" t="s">
        <v>1792</v>
      </c>
      <c r="E13" s="1520">
        <f>SUM(E7:E12)</f>
        <v>-1151987</v>
      </c>
      <c r="F13" s="56">
        <f t="shared" ref="F13:H13" si="1">SUM(F7:F12)</f>
        <v>0</v>
      </c>
      <c r="G13" s="56">
        <f t="shared" si="1"/>
        <v>0</v>
      </c>
      <c r="H13" s="1520">
        <f t="shared" si="1"/>
        <v>-1151987</v>
      </c>
    </row>
    <row r="14" spans="2:8" s="315" customFormat="1">
      <c r="D14" s="357"/>
      <c r="E14" s="373"/>
      <c r="F14" s="373"/>
      <c r="G14" s="373"/>
      <c r="H14" s="374"/>
    </row>
    <row r="15" spans="2:8" s="315" customFormat="1">
      <c r="D15" s="357"/>
      <c r="E15" s="373"/>
      <c r="F15" s="373"/>
      <c r="G15" s="373"/>
      <c r="H15" s="374"/>
    </row>
    <row r="16" spans="2:8" s="315" customFormat="1">
      <c r="D16" s="514"/>
      <c r="E16" s="515"/>
      <c r="F16" s="515"/>
      <c r="G16" s="515"/>
      <c r="H16" s="515"/>
    </row>
    <row r="17" spans="5:8" s="315" customFormat="1">
      <c r="E17" s="516"/>
      <c r="F17" s="516"/>
      <c r="G17" s="516"/>
      <c r="H17" s="516"/>
    </row>
    <row r="18" spans="5:8">
      <c r="E18" s="500"/>
      <c r="F18" s="500"/>
      <c r="G18" s="500"/>
      <c r="H18" s="500"/>
    </row>
  </sheetData>
  <mergeCells count="5">
    <mergeCell ref="F5:F6"/>
    <mergeCell ref="D5:D6"/>
    <mergeCell ref="E5:E6"/>
    <mergeCell ref="G5:G6"/>
    <mergeCell ref="H5:H6"/>
  </mergeCells>
  <conditionalFormatting sqref="E17:H18">
    <cfRule type="cellIs" dxfId="28" priority="1" operator="equal">
      <formula>"OK"</formula>
    </cfRule>
    <cfRule type="cellIs" dxfId="27" priority="2" operator="equal">
      <formula>"ERROR"</formula>
    </cfRule>
  </conditionalFormatting>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C1:G18"/>
  <sheetViews>
    <sheetView showGridLines="0" zoomScaleNormal="100" workbookViewId="0">
      <selection activeCell="E18" sqref="E18"/>
    </sheetView>
  </sheetViews>
  <sheetFormatPr baseColWidth="10" defaultColWidth="9.140625" defaultRowHeight="15"/>
  <cols>
    <col min="1" max="2" width="2.42578125" customWidth="1"/>
    <col min="3" max="3" width="3.7109375" customWidth="1"/>
    <col min="4" max="4" width="50.7109375" customWidth="1"/>
    <col min="5" max="8" width="14.7109375" customWidth="1"/>
    <col min="9" max="10" width="10" customWidth="1"/>
  </cols>
  <sheetData>
    <row r="1" spans="3:7" ht="15" customHeight="1"/>
    <row r="2" spans="3:7" ht="15" customHeight="1">
      <c r="C2" s="379" t="s">
        <v>1793</v>
      </c>
      <c r="G2" s="1372" t="s">
        <v>4122</v>
      </c>
    </row>
    <row r="3" spans="3:7" ht="15" customHeight="1" thickBot="1"/>
    <row r="4" spans="3:7" ht="14.1" customHeight="1" thickBot="1">
      <c r="D4" s="364" t="s">
        <v>1794</v>
      </c>
      <c r="E4" s="405"/>
    </row>
    <row r="5" spans="3:7" ht="14.1" customHeight="1">
      <c r="D5" s="356" t="s">
        <v>582</v>
      </c>
      <c r="E5" s="408">
        <f>+E6+E7-E8</f>
        <v>73881734</v>
      </c>
    </row>
    <row r="6" spans="3:7" ht="14.1" customHeight="1">
      <c r="D6" s="357" t="s">
        <v>583</v>
      </c>
      <c r="E6" s="306">
        <f>+'603'!BO13</f>
        <v>67762179</v>
      </c>
    </row>
    <row r="7" spans="3:7" ht="14.1" customHeight="1">
      <c r="D7" s="229" t="s">
        <v>584</v>
      </c>
      <c r="E7" s="370">
        <f>+'603'!BO27</f>
        <v>88691608</v>
      </c>
    </row>
    <row r="8" spans="3:7" ht="14.1" customHeight="1">
      <c r="D8" s="229" t="s">
        <v>585</v>
      </c>
      <c r="E8" s="370">
        <v>82572053</v>
      </c>
    </row>
    <row r="9" spans="3:7" ht="14.1" customHeight="1">
      <c r="D9" s="356" t="s">
        <v>586</v>
      </c>
      <c r="E9" s="370">
        <f>+E10+E11-E12</f>
        <v>16210505</v>
      </c>
    </row>
    <row r="10" spans="3:7" ht="14.1" customHeight="1">
      <c r="D10" s="229" t="s">
        <v>587</v>
      </c>
      <c r="E10" s="370">
        <f>+'603'!BO19</f>
        <v>16210505</v>
      </c>
    </row>
    <row r="11" spans="3:7" ht="14.1" customHeight="1">
      <c r="D11" s="229" t="s">
        <v>588</v>
      </c>
      <c r="E11" s="370"/>
    </row>
    <row r="12" spans="3:7" ht="14.1" customHeight="1">
      <c r="D12" s="229" t="s">
        <v>589</v>
      </c>
      <c r="E12" s="370"/>
    </row>
    <row r="13" spans="3:7" ht="14.1" customHeight="1">
      <c r="D13" s="356" t="s">
        <v>590</v>
      </c>
      <c r="E13" s="370">
        <f>+E14+E15-E16</f>
        <v>0</v>
      </c>
    </row>
    <row r="14" spans="3:7" ht="14.1" customHeight="1">
      <c r="D14" s="229" t="s">
        <v>591</v>
      </c>
      <c r="E14" s="370">
        <f>+'603'!BO23</f>
        <v>0</v>
      </c>
    </row>
    <row r="15" spans="3:7" ht="14.1" customHeight="1">
      <c r="D15" s="229" t="s">
        <v>592</v>
      </c>
      <c r="E15" s="370">
        <v>0</v>
      </c>
    </row>
    <row r="16" spans="3:7" ht="14.1" customHeight="1" thickBot="1">
      <c r="D16" s="229" t="s">
        <v>593</v>
      </c>
      <c r="E16" s="370">
        <v>0</v>
      </c>
    </row>
    <row r="17" spans="4:5" ht="14.1" customHeight="1" thickBot="1">
      <c r="D17" s="364" t="s">
        <v>1795</v>
      </c>
      <c r="E17" s="199">
        <f>E13-E9+E5</f>
        <v>57671229</v>
      </c>
    </row>
    <row r="18" spans="4:5" ht="14.1" customHeight="1"/>
  </sheetData>
  <hyperlinks>
    <hyperlink ref="G2" location="'Resultado Integral'!A1" display="'Resultado Integral'!A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heetPr>
  <dimension ref="C1:G23"/>
  <sheetViews>
    <sheetView showGridLines="0" zoomScaleNormal="100" workbookViewId="0">
      <selection activeCell="E7" sqref="E7"/>
    </sheetView>
  </sheetViews>
  <sheetFormatPr baseColWidth="10" defaultRowHeight="15"/>
  <cols>
    <col min="1" max="2" width="2.42578125" customWidth="1"/>
    <col min="3" max="3" width="3.7109375" customWidth="1"/>
    <col min="4" max="4" width="50.7109375" customWidth="1"/>
    <col min="5" max="5" width="14.7109375" customWidth="1"/>
    <col min="6" max="6" width="5.7109375" customWidth="1"/>
    <col min="7" max="8" width="14.7109375" customWidth="1"/>
    <col min="9" max="10" width="10" customWidth="1"/>
  </cols>
  <sheetData>
    <row r="1" spans="3:7" ht="15" customHeight="1"/>
    <row r="2" spans="3:7" ht="15" customHeight="1">
      <c r="C2" s="379" t="s">
        <v>1796</v>
      </c>
    </row>
    <row r="3" spans="3:7" ht="15" customHeight="1" thickBot="1"/>
    <row r="4" spans="3:7" ht="14.1" customHeight="1" thickBot="1">
      <c r="D4" s="364" t="s">
        <v>1794</v>
      </c>
      <c r="E4" s="405"/>
      <c r="G4" s="517" t="s">
        <v>1798</v>
      </c>
    </row>
    <row r="5" spans="3:7" ht="14.1" customHeight="1">
      <c r="D5" s="229" t="s">
        <v>594</v>
      </c>
      <c r="E5" s="488">
        <v>2657860</v>
      </c>
      <c r="G5" s="488"/>
    </row>
    <row r="6" spans="3:7" ht="14.1" customHeight="1">
      <c r="D6" s="229" t="s">
        <v>595</v>
      </c>
      <c r="E6" s="306"/>
      <c r="G6" s="306"/>
    </row>
    <row r="7" spans="3:7" ht="14.1" customHeight="1" thickBot="1">
      <c r="D7" s="1533" t="s">
        <v>604</v>
      </c>
      <c r="E7" s="1534">
        <f>+E23</f>
        <v>4816469</v>
      </c>
      <c r="G7" s="330"/>
    </row>
    <row r="8" spans="3:7" ht="14.1" customHeight="1" thickBot="1">
      <c r="D8" s="1536" t="s">
        <v>1797</v>
      </c>
      <c r="E8" s="1535">
        <f>SUM(E5:E7)</f>
        <v>7474329</v>
      </c>
      <c r="G8" s="199">
        <f>SUM(G5:G7)</f>
        <v>0</v>
      </c>
    </row>
    <row r="9" spans="3:7" ht="14.1" customHeight="1"/>
    <row r="10" spans="3:7">
      <c r="E10" s="192"/>
    </row>
    <row r="12" spans="3:7">
      <c r="D12" s="1233" t="s">
        <v>3478</v>
      </c>
      <c r="E12" s="1233"/>
    </row>
    <row r="14" spans="3:7">
      <c r="D14" s="1256" t="s">
        <v>1794</v>
      </c>
      <c r="E14" s="1257"/>
    </row>
    <row r="15" spans="3:7">
      <c r="D15" s="1234" t="s">
        <v>3822</v>
      </c>
      <c r="E15" s="1235">
        <v>227433</v>
      </c>
    </row>
    <row r="16" spans="3:7">
      <c r="D16" s="1234" t="s">
        <v>3823</v>
      </c>
      <c r="E16" s="1235">
        <v>29044</v>
      </c>
    </row>
    <row r="17" spans="4:5">
      <c r="D17" s="1234" t="s">
        <v>3824</v>
      </c>
      <c r="E17" s="1235">
        <v>39620</v>
      </c>
    </row>
    <row r="18" spans="4:5">
      <c r="D18" s="1234" t="s">
        <v>3825</v>
      </c>
      <c r="E18" s="1235">
        <v>345725</v>
      </c>
    </row>
    <row r="19" spans="4:5">
      <c r="D19" s="1234" t="s">
        <v>3826</v>
      </c>
      <c r="E19" s="1235">
        <v>610972</v>
      </c>
    </row>
    <row r="20" spans="4:5">
      <c r="D20" s="1234" t="s">
        <v>3827</v>
      </c>
      <c r="E20" s="1235">
        <v>324032</v>
      </c>
    </row>
    <row r="21" spans="4:5">
      <c r="D21" s="1234" t="s">
        <v>3828</v>
      </c>
      <c r="E21" s="1235">
        <f>1411695-222234</f>
        <v>1189461</v>
      </c>
    </row>
    <row r="22" spans="4:5">
      <c r="D22" s="1532" t="s">
        <v>3829</v>
      </c>
      <c r="E22" s="1531">
        <f>2050183-1</f>
        <v>2050182</v>
      </c>
    </row>
    <row r="23" spans="4:5">
      <c r="D23" s="1255" t="s">
        <v>1503</v>
      </c>
      <c r="E23" s="1258">
        <f>SUM(E15:E22)</f>
        <v>4816469</v>
      </c>
    </row>
  </sheetData>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heetPr>
  <dimension ref="C1:E14"/>
  <sheetViews>
    <sheetView showGridLines="0" zoomScale="115" zoomScaleNormal="115" workbookViewId="0">
      <selection activeCell="D8" activeCellId="5" sqref="E22 D22 D7 E7 E8 D8"/>
    </sheetView>
  </sheetViews>
  <sheetFormatPr baseColWidth="10" defaultColWidth="9.140625" defaultRowHeight="15"/>
  <cols>
    <col min="1" max="2" width="2.42578125" customWidth="1"/>
    <col min="3" max="3" width="3.7109375" customWidth="1"/>
    <col min="4" max="4" width="50.7109375" customWidth="1"/>
    <col min="5" max="8" width="14.7109375" customWidth="1"/>
    <col min="9" max="10" width="10" customWidth="1"/>
  </cols>
  <sheetData>
    <row r="1" spans="3:5" ht="15" customHeight="1"/>
    <row r="2" spans="3:5" ht="15" customHeight="1">
      <c r="C2" s="379" t="s">
        <v>1799</v>
      </c>
    </row>
    <row r="3" spans="3:5" ht="15" customHeight="1" thickBot="1"/>
    <row r="4" spans="3:5" ht="14.1" customHeight="1" thickBot="1">
      <c r="D4" s="364" t="s">
        <v>1794</v>
      </c>
      <c r="E4" s="405"/>
    </row>
    <row r="5" spans="3:5" ht="14.1" customHeight="1">
      <c r="D5" s="229" t="s">
        <v>596</v>
      </c>
      <c r="E5" s="488">
        <v>-15736</v>
      </c>
    </row>
    <row r="6" spans="3:5" ht="14.1" customHeight="1">
      <c r="D6" s="229" t="s">
        <v>597</v>
      </c>
      <c r="E6" s="306"/>
    </row>
    <row r="7" spans="3:5" ht="14.1" customHeight="1">
      <c r="D7" s="229" t="s">
        <v>598</v>
      </c>
      <c r="E7" s="330"/>
    </row>
    <row r="8" spans="3:5" ht="14.1" customHeight="1">
      <c r="D8" s="229" t="s">
        <v>429</v>
      </c>
      <c r="E8" s="330"/>
    </row>
    <row r="9" spans="3:5" ht="14.1" customHeight="1">
      <c r="D9" s="229" t="s">
        <v>599</v>
      </c>
      <c r="E9" s="330"/>
    </row>
    <row r="10" spans="3:5" ht="14.1" customHeight="1">
      <c r="D10" s="229" t="s">
        <v>1800</v>
      </c>
      <c r="E10" s="330"/>
    </row>
    <row r="11" spans="3:5" ht="14.1" customHeight="1">
      <c r="D11" s="229" t="s">
        <v>600</v>
      </c>
      <c r="E11" s="330"/>
    </row>
    <row r="12" spans="3:5" ht="14.1" customHeight="1" thickBot="1">
      <c r="D12" s="229" t="s">
        <v>604</v>
      </c>
      <c r="E12" s="330"/>
    </row>
    <row r="13" spans="3:5" ht="14.1" customHeight="1" thickBot="1">
      <c r="D13" s="364" t="s">
        <v>432</v>
      </c>
      <c r="E13" s="199">
        <f>SUM(E5:E12)</f>
        <v>-15736</v>
      </c>
    </row>
    <row r="14" spans="3:5" ht="14.1" customHeight="1"/>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heetPr>
  <dimension ref="B1:I83"/>
  <sheetViews>
    <sheetView showGridLines="0" zoomScaleNormal="100" workbookViewId="0">
      <selection activeCell="G51" sqref="G51"/>
    </sheetView>
  </sheetViews>
  <sheetFormatPr baseColWidth="10" defaultColWidth="9.140625" defaultRowHeight="15"/>
  <cols>
    <col min="1" max="2" width="2.42578125" customWidth="1"/>
    <col min="3" max="3" width="3.7109375" customWidth="1"/>
    <col min="4" max="4" width="50.7109375" customWidth="1"/>
    <col min="5" max="5" width="17.85546875" customWidth="1"/>
    <col min="6" max="6" width="14.7109375" customWidth="1"/>
    <col min="7" max="7" width="14.7109375" style="146" customWidth="1"/>
    <col min="8" max="8" width="14.7109375" style="315" customWidth="1"/>
    <col min="9" max="9" width="14.7109375" customWidth="1"/>
    <col min="10" max="11" width="10" customWidth="1"/>
  </cols>
  <sheetData>
    <row r="1" spans="2:8" ht="15" customHeight="1"/>
    <row r="2" spans="2:8" ht="15" customHeight="1"/>
    <row r="3" spans="2:8" s="246" customFormat="1" ht="15" customHeight="1">
      <c r="B3" s="247"/>
      <c r="C3" s="379" t="s">
        <v>1802</v>
      </c>
      <c r="G3" s="315"/>
      <c r="H3" s="315"/>
    </row>
    <row r="4" spans="2:8" ht="15" customHeight="1" thickBot="1"/>
    <row r="5" spans="2:8">
      <c r="D5" s="1670"/>
      <c r="E5" s="1686" t="s">
        <v>1236</v>
      </c>
      <c r="F5" s="1686" t="s">
        <v>1801</v>
      </c>
      <c r="G5" s="1686" t="s">
        <v>432</v>
      </c>
      <c r="H5" s="1685"/>
    </row>
    <row r="6" spans="2:8" ht="54.95" customHeight="1" thickBot="1">
      <c r="D6" s="1674"/>
      <c r="E6" s="1687"/>
      <c r="F6" s="1687"/>
      <c r="G6" s="1687"/>
      <c r="H6" s="1685"/>
    </row>
    <row r="7" spans="2:8">
      <c r="D7" s="358" t="s">
        <v>1803</v>
      </c>
      <c r="E7" s="519">
        <f>E8+E13</f>
        <v>952244</v>
      </c>
      <c r="F7" s="519">
        <f t="shared" ref="F7:G7" si="0">F8+F13</f>
        <v>472170</v>
      </c>
      <c r="G7" s="520">
        <f t="shared" si="0"/>
        <v>1424414</v>
      </c>
      <c r="H7" s="372"/>
    </row>
    <row r="8" spans="2:8">
      <c r="D8" s="358" t="s">
        <v>1804</v>
      </c>
      <c r="E8" s="61">
        <f>SUM(E9:E12)</f>
        <v>662500</v>
      </c>
      <c r="F8" s="61">
        <f t="shared" ref="F8:G8" si="1">SUM(F9:F12)</f>
        <v>0</v>
      </c>
      <c r="G8" s="62">
        <f t="shared" si="1"/>
        <v>662500</v>
      </c>
      <c r="H8" s="374"/>
    </row>
    <row r="9" spans="2:8">
      <c r="D9" s="229" t="s">
        <v>601</v>
      </c>
      <c r="E9" s="353">
        <v>0</v>
      </c>
      <c r="F9" s="353">
        <v>0</v>
      </c>
      <c r="G9" s="330">
        <f>+E9+F9</f>
        <v>0</v>
      </c>
      <c r="H9" s="374"/>
    </row>
    <row r="10" spans="2:8">
      <c r="D10" s="357" t="s">
        <v>602</v>
      </c>
      <c r="E10" s="54">
        <v>662500</v>
      </c>
      <c r="F10" s="54">
        <v>0</v>
      </c>
      <c r="G10" s="62">
        <f t="shared" ref="G10:G12" si="2">+E10+F10</f>
        <v>662500</v>
      </c>
      <c r="H10" s="374"/>
    </row>
    <row r="11" spans="2:8">
      <c r="D11" s="357" t="s">
        <v>603</v>
      </c>
      <c r="E11" s="54">
        <v>0</v>
      </c>
      <c r="F11" s="54">
        <v>0</v>
      </c>
      <c r="G11" s="62">
        <f t="shared" si="2"/>
        <v>0</v>
      </c>
      <c r="H11" s="374"/>
    </row>
    <row r="12" spans="2:8">
      <c r="D12" s="357" t="s">
        <v>604</v>
      </c>
      <c r="E12" s="54">
        <v>0</v>
      </c>
      <c r="F12" s="54">
        <v>0</v>
      </c>
      <c r="G12" s="62">
        <f t="shared" si="2"/>
        <v>0</v>
      </c>
      <c r="H12" s="374"/>
    </row>
    <row r="13" spans="2:8">
      <c r="D13" s="358" t="s">
        <v>1805</v>
      </c>
      <c r="E13" s="61">
        <f>SUM(E14:E15)</f>
        <v>289744</v>
      </c>
      <c r="F13" s="61">
        <f t="shared" ref="F13:G13" si="3">SUM(F14:F15)</f>
        <v>472170</v>
      </c>
      <c r="G13" s="62">
        <f t="shared" si="3"/>
        <v>761914</v>
      </c>
      <c r="H13" s="374"/>
    </row>
    <row r="14" spans="2:8">
      <c r="D14" s="357" t="s">
        <v>605</v>
      </c>
      <c r="E14" s="54">
        <v>289744</v>
      </c>
      <c r="F14" s="54">
        <v>472170</v>
      </c>
      <c r="G14" s="62">
        <f>+E14+F14</f>
        <v>761914</v>
      </c>
      <c r="H14" s="374"/>
    </row>
    <row r="15" spans="2:8">
      <c r="D15" s="357" t="s">
        <v>604</v>
      </c>
      <c r="E15" s="54"/>
      <c r="F15" s="54"/>
      <c r="G15" s="62">
        <f>+E15+F15</f>
        <v>0</v>
      </c>
      <c r="H15" s="374"/>
    </row>
    <row r="16" spans="2:8">
      <c r="D16" s="356" t="s">
        <v>1806</v>
      </c>
      <c r="E16" s="61">
        <f>E17+E20</f>
        <v>0</v>
      </c>
      <c r="F16" s="61">
        <f>F17+F20</f>
        <v>-941200</v>
      </c>
      <c r="G16" s="62">
        <f t="shared" ref="G16" si="4">G17+G20</f>
        <v>-941200</v>
      </c>
      <c r="H16" s="374"/>
    </row>
    <row r="17" spans="4:8">
      <c r="D17" s="356" t="s">
        <v>1807</v>
      </c>
      <c r="E17" s="61">
        <f>SUM(E18:E19)</f>
        <v>0</v>
      </c>
      <c r="F17" s="61">
        <f t="shared" ref="F17:G17" si="5">SUM(F18:F19)</f>
        <v>0</v>
      </c>
      <c r="G17" s="62">
        <f t="shared" si="5"/>
        <v>0</v>
      </c>
      <c r="H17" s="374"/>
    </row>
    <row r="18" spans="4:8">
      <c r="D18" s="357" t="s">
        <v>606</v>
      </c>
      <c r="E18" s="54"/>
      <c r="F18" s="54"/>
      <c r="G18" s="62">
        <f>+E18+F18</f>
        <v>0</v>
      </c>
      <c r="H18" s="374"/>
    </row>
    <row r="19" spans="4:8">
      <c r="D19" s="357" t="s">
        <v>604</v>
      </c>
      <c r="E19" s="54"/>
      <c r="F19" s="54"/>
      <c r="G19" s="62">
        <f>+E19+F19</f>
        <v>0</v>
      </c>
      <c r="H19" s="374"/>
    </row>
    <row r="20" spans="4:8">
      <c r="D20" s="356" t="s">
        <v>1808</v>
      </c>
      <c r="E20" s="61">
        <f>SUM(E21:E22)</f>
        <v>0</v>
      </c>
      <c r="F20" s="61">
        <f t="shared" ref="F20:G20" si="6">SUM(F21:F22)</f>
        <v>-941200</v>
      </c>
      <c r="G20" s="62">
        <f t="shared" si="6"/>
        <v>-941200</v>
      </c>
      <c r="H20" s="374"/>
    </row>
    <row r="21" spans="4:8">
      <c r="D21" s="357" t="s">
        <v>607</v>
      </c>
      <c r="E21" s="54"/>
      <c r="F21" s="54">
        <v>-941200</v>
      </c>
      <c r="G21" s="62">
        <f>+E21+F21</f>
        <v>-941200</v>
      </c>
      <c r="H21" s="374"/>
    </row>
    <row r="22" spans="4:8">
      <c r="D22" s="357" t="s">
        <v>604</v>
      </c>
      <c r="E22" s="54"/>
      <c r="F22" s="54"/>
      <c r="G22" s="62">
        <f>+E22+F22</f>
        <v>0</v>
      </c>
      <c r="H22" s="374"/>
    </row>
    <row r="23" spans="4:8">
      <c r="D23" s="356" t="s">
        <v>1809</v>
      </c>
      <c r="E23" s="61">
        <f>E24+E27-E31-E35</f>
        <v>15053920</v>
      </c>
      <c r="F23" s="61">
        <f t="shared" ref="F23:G23" si="7">F24+F27-F31-F35</f>
        <v>2623798</v>
      </c>
      <c r="G23" s="62">
        <f t="shared" si="7"/>
        <v>17677718</v>
      </c>
      <c r="H23" s="374"/>
    </row>
    <row r="24" spans="4:8">
      <c r="D24" s="356" t="s">
        <v>1810</v>
      </c>
      <c r="E24" s="61">
        <f>SUM(E25:E26)</f>
        <v>1713034</v>
      </c>
      <c r="F24" s="61">
        <f t="shared" ref="F24" si="8">SUM(F25:F26)</f>
        <v>2939040</v>
      </c>
      <c r="G24" s="62">
        <f>SUM(G25:G26)</f>
        <v>4652074</v>
      </c>
      <c r="H24" s="374"/>
    </row>
    <row r="25" spans="4:8">
      <c r="D25" s="357" t="s">
        <v>608</v>
      </c>
      <c r="E25" s="54">
        <v>1713034</v>
      </c>
      <c r="F25" s="54"/>
      <c r="G25" s="62">
        <f>+E25+F25</f>
        <v>1713034</v>
      </c>
      <c r="H25" s="374"/>
    </row>
    <row r="26" spans="4:8">
      <c r="D26" s="357" t="s">
        <v>604</v>
      </c>
      <c r="E26" s="54"/>
      <c r="F26" s="54">
        <v>2939040</v>
      </c>
      <c r="G26" s="62">
        <f>+E26+F26</f>
        <v>2939040</v>
      </c>
      <c r="H26" s="374"/>
    </row>
    <row r="27" spans="4:8">
      <c r="D27" s="356" t="s">
        <v>1811</v>
      </c>
      <c r="E27" s="61">
        <f>SUM(E28:E30)</f>
        <v>13732299</v>
      </c>
      <c r="F27" s="61">
        <f t="shared" ref="F27:G27" si="9">SUM(F28:F30)</f>
        <v>121993</v>
      </c>
      <c r="G27" s="62">
        <f t="shared" si="9"/>
        <v>13854292</v>
      </c>
      <c r="H27" s="374"/>
    </row>
    <row r="28" spans="4:8">
      <c r="D28" s="357" t="s">
        <v>609</v>
      </c>
      <c r="E28" s="54">
        <v>13373489</v>
      </c>
      <c r="F28" s="54"/>
      <c r="G28" s="62">
        <f t="shared" ref="G28:G30" si="10">+E28+F28</f>
        <v>13373489</v>
      </c>
      <c r="H28" s="374"/>
    </row>
    <row r="29" spans="4:8">
      <c r="D29" s="357" t="s">
        <v>610</v>
      </c>
      <c r="E29" s="54"/>
      <c r="F29" s="54">
        <f>122014-21</f>
        <v>121993</v>
      </c>
      <c r="G29" s="62">
        <f t="shared" si="10"/>
        <v>121993</v>
      </c>
      <c r="H29" s="374"/>
    </row>
    <row r="30" spans="4:8">
      <c r="D30" s="357" t="s">
        <v>604</v>
      </c>
      <c r="E30" s="54">
        <f>349208+9602</f>
        <v>358810</v>
      </c>
      <c r="F30" s="54"/>
      <c r="G30" s="62">
        <f t="shared" si="10"/>
        <v>358810</v>
      </c>
      <c r="H30" s="374"/>
    </row>
    <row r="31" spans="4:8">
      <c r="D31" s="356" t="s">
        <v>1812</v>
      </c>
      <c r="E31" s="61">
        <f>SUM(E32:E34)</f>
        <v>0</v>
      </c>
      <c r="F31" s="61">
        <f t="shared" ref="F31:G31" si="11">SUM(F32:F34)</f>
        <v>437235</v>
      </c>
      <c r="G31" s="62">
        <f t="shared" si="11"/>
        <v>437235</v>
      </c>
      <c r="H31" s="374"/>
    </row>
    <row r="32" spans="4:8">
      <c r="D32" s="357" t="s">
        <v>611</v>
      </c>
      <c r="E32" s="54"/>
      <c r="F32" s="54"/>
      <c r="G32" s="62">
        <f t="shared" ref="G32:G34" si="12">+E32+F32</f>
        <v>0</v>
      </c>
      <c r="H32" s="374"/>
    </row>
    <row r="33" spans="4:9">
      <c r="D33" s="357" t="s">
        <v>612</v>
      </c>
      <c r="E33" s="54"/>
      <c r="F33" s="54">
        <v>437235</v>
      </c>
      <c r="G33" s="62">
        <f>+E33+F33</f>
        <v>437235</v>
      </c>
      <c r="H33" s="374"/>
    </row>
    <row r="34" spans="4:9">
      <c r="D34" s="357" t="s">
        <v>604</v>
      </c>
      <c r="E34" s="54"/>
      <c r="F34" s="54"/>
      <c r="G34" s="62">
        <f t="shared" si="12"/>
        <v>0</v>
      </c>
      <c r="H34" s="374"/>
    </row>
    <row r="35" spans="4:9">
      <c r="D35" s="356" t="s">
        <v>1813</v>
      </c>
      <c r="E35" s="61">
        <f>SUM(E36:E38)</f>
        <v>391413</v>
      </c>
      <c r="F35" s="61">
        <f t="shared" ref="F35:G35" si="13">SUM(F36:F38)</f>
        <v>0</v>
      </c>
      <c r="G35" s="62">
        <f t="shared" si="13"/>
        <v>391413</v>
      </c>
      <c r="H35" s="374"/>
    </row>
    <row r="36" spans="4:9">
      <c r="D36" s="357" t="s">
        <v>409</v>
      </c>
      <c r="E36" s="54">
        <v>177782</v>
      </c>
      <c r="F36" s="54"/>
      <c r="G36" s="62">
        <f t="shared" ref="G36:G38" si="14">+E36+F36</f>
        <v>177782</v>
      </c>
      <c r="H36" s="374"/>
    </row>
    <row r="37" spans="4:9">
      <c r="D37" s="357" t="s">
        <v>613</v>
      </c>
      <c r="E37" s="54">
        <v>213631</v>
      </c>
      <c r="F37" s="54"/>
      <c r="G37" s="62">
        <f t="shared" si="14"/>
        <v>213631</v>
      </c>
      <c r="H37" s="374"/>
    </row>
    <row r="38" spans="4:9">
      <c r="D38" s="357" t="s">
        <v>604</v>
      </c>
      <c r="E38" s="54"/>
      <c r="F38" s="54"/>
      <c r="G38" s="62">
        <f t="shared" si="14"/>
        <v>0</v>
      </c>
      <c r="H38" s="374"/>
    </row>
    <row r="39" spans="4:9" ht="21">
      <c r="D39" s="1281" t="s">
        <v>614</v>
      </c>
      <c r="E39" s="551">
        <v>822587</v>
      </c>
      <c r="F39" s="551">
        <f>-61111+21</f>
        <v>-61090</v>
      </c>
      <c r="G39" s="62">
        <f>E39+F39</f>
        <v>761497</v>
      </c>
      <c r="H39" s="374" t="s">
        <v>3947</v>
      </c>
    </row>
    <row r="40" spans="4:9">
      <c r="D40" s="356" t="s">
        <v>1814</v>
      </c>
      <c r="E40" s="61">
        <f>SUM(E41:E46)</f>
        <v>-101877</v>
      </c>
      <c r="F40" s="61">
        <f t="shared" ref="F40:G40" si="15">SUM(F41:F46)</f>
        <v>137066</v>
      </c>
      <c r="G40" s="62">
        <f t="shared" si="15"/>
        <v>35189</v>
      </c>
      <c r="H40" s="374"/>
    </row>
    <row r="41" spans="4:9">
      <c r="D41" s="357" t="s">
        <v>409</v>
      </c>
      <c r="E41" s="54"/>
      <c r="F41" s="54">
        <v>137066</v>
      </c>
      <c r="G41" s="62">
        <f t="shared" ref="G41:G46" si="16">+E41+F41</f>
        <v>137066</v>
      </c>
      <c r="H41" s="374"/>
    </row>
    <row r="42" spans="4:9">
      <c r="D42" s="357" t="s">
        <v>615</v>
      </c>
      <c r="E42" s="54">
        <v>-178045</v>
      </c>
      <c r="F42" s="54"/>
      <c r="G42" s="62">
        <f t="shared" si="16"/>
        <v>-178045</v>
      </c>
      <c r="H42" s="374"/>
    </row>
    <row r="43" spans="4:9">
      <c r="D43" s="357" t="s">
        <v>411</v>
      </c>
      <c r="E43" s="54"/>
      <c r="F43" s="54"/>
      <c r="G43" s="62">
        <f t="shared" si="16"/>
        <v>0</v>
      </c>
      <c r="H43" s="374"/>
    </row>
    <row r="44" spans="4:9">
      <c r="D44" s="357" t="s">
        <v>1815</v>
      </c>
      <c r="E44" s="54">
        <v>38394</v>
      </c>
      <c r="F44" s="54"/>
      <c r="G44" s="62">
        <f t="shared" si="16"/>
        <v>38394</v>
      </c>
      <c r="H44" s="374"/>
      <c r="I44" s="1192" t="s">
        <v>3821</v>
      </c>
    </row>
    <row r="45" spans="4:9">
      <c r="D45" s="357" t="s">
        <v>388</v>
      </c>
      <c r="E45" s="54"/>
      <c r="F45" s="54"/>
      <c r="G45" s="62">
        <f t="shared" si="16"/>
        <v>0</v>
      </c>
      <c r="H45" s="374"/>
    </row>
    <row r="46" spans="4:9" ht="15.75" thickBot="1">
      <c r="D46" s="357" t="s">
        <v>604</v>
      </c>
      <c r="E46" s="54">
        <v>37774</v>
      </c>
      <c r="F46" s="54"/>
      <c r="G46" s="62">
        <f t="shared" si="16"/>
        <v>37774</v>
      </c>
      <c r="H46" s="374"/>
    </row>
    <row r="47" spans="4:9" s="146" customFormat="1" ht="15.75" thickBot="1">
      <c r="D47" s="230" t="s">
        <v>1816</v>
      </c>
      <c r="E47" s="56">
        <f>E7+E16+E23+E39-E40</f>
        <v>16930628</v>
      </c>
      <c r="F47" s="56">
        <f t="shared" ref="F47" si="17">F7+F16+F23+F39-F40</f>
        <v>1956612</v>
      </c>
      <c r="G47" s="199">
        <f>G7+G16+G23+G39-G40</f>
        <v>18887240</v>
      </c>
      <c r="H47" s="131"/>
    </row>
    <row r="48" spans="4:9" s="315" customFormat="1">
      <c r="D48" s="357"/>
      <c r="E48" s="373"/>
      <c r="F48" s="373"/>
      <c r="G48" s="373"/>
      <c r="H48" s="374"/>
    </row>
    <row r="49" spans="3:8" s="315" customFormat="1">
      <c r="D49" s="357"/>
      <c r="E49" s="373"/>
      <c r="F49" s="373"/>
      <c r="G49" s="373"/>
      <c r="H49" s="374"/>
    </row>
    <row r="50" spans="3:8" s="315" customFormat="1">
      <c r="C50" s="379" t="s">
        <v>1817</v>
      </c>
      <c r="D50" s="514"/>
      <c r="E50" s="515"/>
      <c r="F50" s="515"/>
      <c r="G50" s="515"/>
      <c r="H50" s="515"/>
    </row>
    <row r="51" spans="3:8" s="315" customFormat="1" ht="15.75" thickBot="1">
      <c r="E51" s="516"/>
      <c r="F51" s="516"/>
      <c r="G51" s="516"/>
      <c r="H51" s="516"/>
    </row>
    <row r="52" spans="3:8" ht="15" customHeight="1">
      <c r="D52" s="1686" t="s">
        <v>1819</v>
      </c>
      <c r="E52" s="1686" t="s">
        <v>1818</v>
      </c>
      <c r="F52" s="1686" t="s">
        <v>616</v>
      </c>
      <c r="G52" s="518"/>
      <c r="H52" s="516"/>
    </row>
    <row r="53" spans="3:8" ht="54.95" customHeight="1" thickBot="1">
      <c r="D53" s="1687"/>
      <c r="E53" s="1687"/>
      <c r="F53" s="1687"/>
    </row>
    <row r="54" spans="3:8">
      <c r="D54" s="358" t="s">
        <v>617</v>
      </c>
      <c r="E54" s="519">
        <f>E55+E62+E67</f>
        <v>1814311857</v>
      </c>
      <c r="F54" s="519">
        <f>F55+F62+F67</f>
        <v>18543527</v>
      </c>
    </row>
    <row r="55" spans="3:8">
      <c r="D55" s="358" t="s">
        <v>618</v>
      </c>
      <c r="E55" s="61">
        <f>SUM(E56:E61)</f>
        <v>1362984499</v>
      </c>
      <c r="F55" s="61">
        <f>SUM(F56:F61)</f>
        <v>13252947</v>
      </c>
    </row>
    <row r="56" spans="3:8">
      <c r="D56" s="229" t="s">
        <v>619</v>
      </c>
      <c r="E56" s="353">
        <v>75457564</v>
      </c>
      <c r="F56" s="353">
        <v>690961</v>
      </c>
      <c r="H56" s="1267"/>
    </row>
    <row r="57" spans="3:8">
      <c r="D57" s="229" t="s">
        <v>620</v>
      </c>
      <c r="E57" s="54">
        <v>277146784</v>
      </c>
      <c r="F57" s="54">
        <v>2473085</v>
      </c>
      <c r="H57" s="1267"/>
    </row>
    <row r="58" spans="3:8">
      <c r="D58" s="229" t="s">
        <v>621</v>
      </c>
      <c r="E58" s="54">
        <v>872129201</v>
      </c>
      <c r="F58" s="54">
        <v>8795932</v>
      </c>
      <c r="H58" s="1267"/>
    </row>
    <row r="59" spans="3:8">
      <c r="D59" s="229" t="s">
        <v>622</v>
      </c>
      <c r="E59" s="54">
        <v>874514</v>
      </c>
      <c r="F59" s="54">
        <v>11116</v>
      </c>
      <c r="H59" s="1267"/>
    </row>
    <row r="60" spans="3:8">
      <c r="D60" s="521" t="s">
        <v>623</v>
      </c>
      <c r="E60" s="353">
        <v>132800120</v>
      </c>
      <c r="F60" s="353">
        <v>1233020</v>
      </c>
      <c r="H60" s="1267"/>
    </row>
    <row r="61" spans="3:8">
      <c r="D61" s="229" t="s">
        <v>624</v>
      </c>
      <c r="E61" s="54">
        <v>4576316</v>
      </c>
      <c r="F61" s="54">
        <v>48833</v>
      </c>
      <c r="H61" s="1267"/>
    </row>
    <row r="62" spans="3:8">
      <c r="D62" s="358" t="s">
        <v>625</v>
      </c>
      <c r="E62" s="61">
        <f>SUM(E63:E66)</f>
        <v>152158035</v>
      </c>
      <c r="F62" s="61">
        <f>SUM(F63:F66)</f>
        <v>483432</v>
      </c>
      <c r="H62" s="1267"/>
    </row>
    <row r="63" spans="3:8">
      <c r="D63" s="229" t="s">
        <v>626</v>
      </c>
      <c r="E63" s="353">
        <f>42511014-672</f>
        <v>42510342</v>
      </c>
      <c r="F63" s="353">
        <v>-255784</v>
      </c>
      <c r="H63" s="1267"/>
    </row>
    <row r="64" spans="3:8">
      <c r="D64" s="229" t="s">
        <v>627</v>
      </c>
      <c r="E64" s="353">
        <v>81196</v>
      </c>
      <c r="F64" s="353">
        <v>-95478</v>
      </c>
      <c r="H64" s="1267"/>
    </row>
    <row r="65" spans="4:8">
      <c r="D65" s="229" t="s">
        <v>628</v>
      </c>
      <c r="E65" s="54">
        <v>109566497</v>
      </c>
      <c r="F65" s="54">
        <v>834694</v>
      </c>
      <c r="H65" s="1267"/>
    </row>
    <row r="66" spans="4:8">
      <c r="D66" s="229" t="s">
        <v>629</v>
      </c>
      <c r="E66" s="54">
        <v>0</v>
      </c>
      <c r="F66" s="54">
        <v>0</v>
      </c>
      <c r="H66" s="1267"/>
    </row>
    <row r="67" spans="4:8">
      <c r="D67" s="358" t="s">
        <v>630</v>
      </c>
      <c r="E67" s="61">
        <f>E68+E69</f>
        <v>299169323</v>
      </c>
      <c r="F67" s="61">
        <f>F68+F69</f>
        <v>4807148</v>
      </c>
      <c r="H67" s="1267"/>
    </row>
    <row r="68" spans="4:8">
      <c r="D68" s="229" t="s">
        <v>631</v>
      </c>
      <c r="E68" s="54"/>
      <c r="F68" s="54"/>
      <c r="H68" s="1267"/>
    </row>
    <row r="69" spans="4:8">
      <c r="D69" s="358" t="s">
        <v>632</v>
      </c>
      <c r="E69" s="61">
        <f>E70+E71</f>
        <v>299169323</v>
      </c>
      <c r="F69" s="61">
        <f>F70+F71</f>
        <v>4807148</v>
      </c>
      <c r="H69" s="1267"/>
    </row>
    <row r="70" spans="4:8">
      <c r="D70" s="229" t="s">
        <v>633</v>
      </c>
      <c r="E70" s="353">
        <v>145839479</v>
      </c>
      <c r="F70" s="353">
        <v>2657966</v>
      </c>
      <c r="H70" s="1267"/>
    </row>
    <row r="71" spans="4:8">
      <c r="D71" s="229" t="s">
        <v>634</v>
      </c>
      <c r="E71" s="353">
        <v>153329844</v>
      </c>
      <c r="F71" s="353">
        <v>2149182</v>
      </c>
      <c r="H71" s="1267"/>
    </row>
    <row r="72" spans="4:8">
      <c r="D72" s="358" t="s">
        <v>635</v>
      </c>
      <c r="E72" s="61">
        <f>SUM(E73:E76)</f>
        <v>134843299</v>
      </c>
      <c r="F72" s="61">
        <f>SUM(F73:F76)</f>
        <v>-11965</v>
      </c>
    </row>
    <row r="73" spans="4:8">
      <c r="D73" s="229" t="s">
        <v>636</v>
      </c>
      <c r="E73" s="54">
        <v>86508173</v>
      </c>
      <c r="F73" s="54">
        <v>899480</v>
      </c>
    </row>
    <row r="74" spans="4:8">
      <c r="D74" s="229" t="s">
        <v>637</v>
      </c>
      <c r="E74" s="353">
        <v>0</v>
      </c>
      <c r="F74" s="353">
        <v>0</v>
      </c>
    </row>
    <row r="75" spans="4:8">
      <c r="D75" s="229" t="s">
        <v>638</v>
      </c>
      <c r="E75" s="54">
        <v>48335126</v>
      </c>
      <c r="F75" s="54">
        <v>-911445</v>
      </c>
    </row>
    <row r="76" spans="4:8">
      <c r="D76" s="229" t="s">
        <v>639</v>
      </c>
      <c r="E76" s="54">
        <v>0</v>
      </c>
      <c r="F76" s="54">
        <v>0</v>
      </c>
    </row>
    <row r="77" spans="4:8">
      <c r="D77" s="229" t="s">
        <v>640</v>
      </c>
      <c r="E77" s="54">
        <v>12249435</v>
      </c>
      <c r="F77" s="54">
        <v>-1215</v>
      </c>
    </row>
    <row r="78" spans="4:8" ht="15.75" thickBot="1">
      <c r="D78" s="229" t="s">
        <v>641</v>
      </c>
      <c r="E78" s="353">
        <v>19354842</v>
      </c>
      <c r="F78" s="353">
        <v>356893</v>
      </c>
    </row>
    <row r="79" spans="4:8" ht="15.75" thickBot="1">
      <c r="D79" s="230" t="s">
        <v>642</v>
      </c>
      <c r="E79" s="56">
        <f>E54+E72+E77+E78</f>
        <v>1980759433</v>
      </c>
      <c r="F79" s="56">
        <f>F54+F72+F77+F78</f>
        <v>18887240</v>
      </c>
    </row>
    <row r="80" spans="4:8">
      <c r="F80" s="192">
        <f>+F79-G47</f>
        <v>0</v>
      </c>
    </row>
    <row r="81" spans="5:6">
      <c r="E81" s="1264">
        <f ca="1">+(Activo!X13+Activo!X15+Activo!X17+Activo!X19+Activo!X23+Activo!X25+Activo!X29)/1000</f>
        <v>1980759432.9419999</v>
      </c>
      <c r="F81" s="192">
        <f>+G47</f>
        <v>18887240</v>
      </c>
    </row>
    <row r="82" spans="5:6">
      <c r="E82" s="192">
        <f ca="1">+E79-E81</f>
        <v>5.8000087738037109E-2</v>
      </c>
    </row>
    <row r="83" spans="5:6">
      <c r="F83" s="192">
        <f>+F79-F81</f>
        <v>0</v>
      </c>
    </row>
  </sheetData>
  <mergeCells count="8">
    <mergeCell ref="G5:G6"/>
    <mergeCell ref="H5:H6"/>
    <mergeCell ref="D52:D53"/>
    <mergeCell ref="E52:E53"/>
    <mergeCell ref="F52:F53"/>
    <mergeCell ref="D5:D6"/>
    <mergeCell ref="E5:E6"/>
    <mergeCell ref="F5:F6"/>
  </mergeCells>
  <conditionalFormatting sqref="E51:H51 G52:H52">
    <cfRule type="cellIs" dxfId="26" priority="1" operator="equal">
      <formula>"OK"</formula>
    </cfRule>
    <cfRule type="cellIs" dxfId="25" priority="2" operator="equal">
      <formula>"ERROR"</formula>
    </cfRule>
  </conditionalFormatting>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heetPr>
  <dimension ref="C1:H22"/>
  <sheetViews>
    <sheetView showGridLines="0" workbookViewId="0"/>
  </sheetViews>
  <sheetFormatPr baseColWidth="10" defaultColWidth="9.140625" defaultRowHeight="15"/>
  <cols>
    <col min="1" max="2" width="2.42578125" customWidth="1"/>
    <col min="3" max="3" width="3.7109375" customWidth="1"/>
    <col min="4" max="4" width="35.7109375" customWidth="1"/>
    <col min="5" max="5" width="14.7109375" customWidth="1"/>
    <col min="6" max="8" width="25.7109375" customWidth="1"/>
    <col min="9" max="10" width="10" customWidth="1"/>
  </cols>
  <sheetData>
    <row r="1" spans="3:8" ht="15" customHeight="1"/>
    <row r="2" spans="3:8" s="315" customFormat="1" ht="14.1" customHeight="1">
      <c r="C2" s="379" t="s">
        <v>1820</v>
      </c>
    </row>
    <row r="3" spans="3:8" s="315" customFormat="1" ht="14.1" customHeight="1" thickBot="1"/>
    <row r="4" spans="3:8" s="315" customFormat="1" ht="14.1" customHeight="1">
      <c r="D4" s="1682"/>
      <c r="E4" s="1607" t="s">
        <v>579</v>
      </c>
      <c r="F4" s="1602" t="s">
        <v>485</v>
      </c>
      <c r="G4" s="1652"/>
      <c r="H4" s="1605"/>
    </row>
    <row r="5" spans="3:8" s="315" customFormat="1" ht="54.95" customHeight="1" thickBot="1">
      <c r="D5" s="1683"/>
      <c r="E5" s="1608"/>
      <c r="F5" s="1603"/>
      <c r="G5" s="1653"/>
      <c r="H5" s="1606"/>
    </row>
    <row r="6" spans="3:8" s="315" customFormat="1" ht="14.1" customHeight="1">
      <c r="C6" s="494"/>
      <c r="D6" s="522" t="s">
        <v>1821</v>
      </c>
      <c r="E6" s="65"/>
      <c r="F6" s="1680"/>
      <c r="G6" s="1680"/>
      <c r="H6" s="1680"/>
    </row>
    <row r="7" spans="3:8" s="315" customFormat="1" ht="14.1" customHeight="1">
      <c r="C7" s="494">
        <v>1</v>
      </c>
      <c r="D7" s="362" t="s">
        <v>3798</v>
      </c>
      <c r="E7" s="43">
        <v>14182</v>
      </c>
      <c r="F7" s="1681" t="s">
        <v>3802</v>
      </c>
      <c r="G7" s="1681"/>
      <c r="H7" s="1681"/>
    </row>
    <row r="8" spans="3:8" s="315" customFormat="1" ht="14.1" customHeight="1">
      <c r="C8" s="494">
        <v>2</v>
      </c>
      <c r="D8" s="362" t="s">
        <v>3799</v>
      </c>
      <c r="E8" s="43">
        <v>9275</v>
      </c>
      <c r="F8" s="1681" t="s">
        <v>3803</v>
      </c>
      <c r="G8" s="1681"/>
      <c r="H8" s="1681"/>
    </row>
    <row r="9" spans="3:8" s="315" customFormat="1" ht="14.1" customHeight="1">
      <c r="C9" s="494">
        <v>3</v>
      </c>
      <c r="D9" s="362" t="s">
        <v>3800</v>
      </c>
      <c r="E9" s="43">
        <v>285956</v>
      </c>
      <c r="F9" s="1681" t="s">
        <v>3804</v>
      </c>
      <c r="G9" s="1681"/>
      <c r="H9" s="1681"/>
    </row>
    <row r="10" spans="3:8" s="315" customFormat="1" ht="14.1" customHeight="1">
      <c r="C10" s="494">
        <v>4</v>
      </c>
      <c r="D10" s="362" t="s">
        <v>3801</v>
      </c>
      <c r="E10" s="43">
        <v>1444</v>
      </c>
      <c r="F10" s="1681" t="s">
        <v>3805</v>
      </c>
      <c r="G10" s="1681"/>
      <c r="H10" s="1681"/>
    </row>
    <row r="11" spans="3:8" s="315" customFormat="1" ht="14.1" customHeight="1">
      <c r="C11" s="494">
        <v>5</v>
      </c>
      <c r="D11" s="362"/>
      <c r="E11" s="43"/>
      <c r="F11" s="1681"/>
      <c r="G11" s="1681"/>
      <c r="H11" s="1681"/>
    </row>
    <row r="12" spans="3:8" s="315" customFormat="1" ht="14.1" customHeight="1">
      <c r="C12" s="494">
        <v>6</v>
      </c>
      <c r="D12" s="362"/>
      <c r="E12" s="43"/>
      <c r="F12" s="1681"/>
      <c r="G12" s="1681"/>
      <c r="H12" s="1681"/>
    </row>
    <row r="13" spans="3:8" s="315" customFormat="1" ht="14.1" customHeight="1">
      <c r="C13" s="494">
        <v>7</v>
      </c>
      <c r="D13" s="362"/>
      <c r="E13" s="43"/>
      <c r="F13" s="1681"/>
      <c r="G13" s="1681"/>
      <c r="H13" s="1681"/>
    </row>
    <row r="14" spans="3:8" s="315" customFormat="1" ht="14.1" customHeight="1">
      <c r="C14" s="494">
        <v>8</v>
      </c>
      <c r="D14" s="362"/>
      <c r="E14" s="43"/>
      <c r="F14" s="1681"/>
      <c r="G14" s="1681"/>
      <c r="H14" s="1681"/>
    </row>
    <row r="15" spans="3:8" s="315" customFormat="1" ht="14.1" customHeight="1">
      <c r="C15" s="494">
        <v>9</v>
      </c>
      <c r="D15" s="362"/>
      <c r="E15" s="43"/>
      <c r="F15" s="1681"/>
      <c r="G15" s="1681"/>
      <c r="H15" s="1681"/>
    </row>
    <row r="16" spans="3:8">
      <c r="C16" s="494">
        <v>10</v>
      </c>
      <c r="D16" s="362"/>
      <c r="E16" s="43"/>
      <c r="F16" s="1681"/>
      <c r="G16" s="1681"/>
      <c r="H16" s="1681"/>
    </row>
    <row r="17" spans="3:8">
      <c r="C17" s="494">
        <v>11</v>
      </c>
      <c r="D17" s="362"/>
      <c r="E17" s="43"/>
      <c r="F17" s="1681"/>
      <c r="G17" s="1681"/>
      <c r="H17" s="1681"/>
    </row>
    <row r="18" spans="3:8">
      <c r="C18" s="494">
        <v>12</v>
      </c>
      <c r="D18" s="362"/>
      <c r="E18" s="43"/>
      <c r="F18" s="1681"/>
      <c r="G18" s="1681"/>
      <c r="H18" s="1681"/>
    </row>
    <row r="19" spans="3:8">
      <c r="C19" s="494">
        <v>13</v>
      </c>
      <c r="D19" s="362"/>
      <c r="E19" s="43"/>
      <c r="F19" s="1681"/>
      <c r="G19" s="1681"/>
      <c r="H19" s="1681"/>
    </row>
    <row r="20" spans="3:8">
      <c r="C20" s="494">
        <v>14</v>
      </c>
      <c r="D20" s="362"/>
      <c r="E20" s="43"/>
      <c r="F20" s="1681"/>
      <c r="G20" s="1681"/>
      <c r="H20" s="1681"/>
    </row>
    <row r="21" spans="3:8" ht="15.75" thickBot="1">
      <c r="C21" s="494">
        <v>15</v>
      </c>
      <c r="D21" s="363"/>
      <c r="E21" s="45"/>
      <c r="F21" s="1684"/>
      <c r="G21" s="1684"/>
      <c r="H21" s="1684"/>
    </row>
    <row r="22" spans="3:8" ht="15.75" thickBot="1">
      <c r="D22" s="230" t="s">
        <v>432</v>
      </c>
      <c r="E22" s="111">
        <f>SUM(E6:E21)</f>
        <v>310857</v>
      </c>
      <c r="F22" s="1678"/>
      <c r="G22" s="1678"/>
      <c r="H22" s="1679"/>
    </row>
  </sheetData>
  <mergeCells count="20">
    <mergeCell ref="F18:H18"/>
    <mergeCell ref="F19:H19"/>
    <mergeCell ref="F22:H22"/>
    <mergeCell ref="F20:H20"/>
    <mergeCell ref="F21:H21"/>
    <mergeCell ref="D4:D5"/>
    <mergeCell ref="E4:E5"/>
    <mergeCell ref="F4:H5"/>
    <mergeCell ref="F17:H17"/>
    <mergeCell ref="F6:H6"/>
    <mergeCell ref="F7:H7"/>
    <mergeCell ref="F8:H8"/>
    <mergeCell ref="F9:H9"/>
    <mergeCell ref="F10:H10"/>
    <mergeCell ref="F11:H11"/>
    <mergeCell ref="F12:H12"/>
    <mergeCell ref="F13:H13"/>
    <mergeCell ref="F14:H14"/>
    <mergeCell ref="F15:H15"/>
    <mergeCell ref="F16:H16"/>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heetPr>
  <dimension ref="C1:H22"/>
  <sheetViews>
    <sheetView showGridLines="0" workbookViewId="0">
      <selection activeCell="E8" sqref="E8"/>
    </sheetView>
  </sheetViews>
  <sheetFormatPr baseColWidth="10" defaultColWidth="9.140625" defaultRowHeight="15"/>
  <cols>
    <col min="1" max="2" width="2.42578125" customWidth="1"/>
    <col min="3" max="3" width="3.7109375" customWidth="1"/>
    <col min="4" max="4" width="35.7109375" customWidth="1"/>
    <col min="5" max="5" width="14.7109375" customWidth="1"/>
    <col min="6" max="8" width="25.7109375" customWidth="1"/>
    <col min="9" max="10" width="10" customWidth="1"/>
  </cols>
  <sheetData>
    <row r="1" spans="3:8" ht="15" customHeight="1"/>
    <row r="2" spans="3:8" s="315" customFormat="1" ht="14.1" customHeight="1">
      <c r="C2" s="379" t="s">
        <v>1822</v>
      </c>
    </row>
    <row r="3" spans="3:8" s="315" customFormat="1" ht="14.1" customHeight="1" thickBot="1"/>
    <row r="4" spans="3:8" s="315" customFormat="1" ht="14.1" customHeight="1">
      <c r="D4" s="1682"/>
      <c r="E4" s="1607" t="s">
        <v>579</v>
      </c>
      <c r="F4" s="1602" t="s">
        <v>485</v>
      </c>
      <c r="G4" s="1652"/>
      <c r="H4" s="1605"/>
    </row>
    <row r="5" spans="3:8" s="315" customFormat="1" ht="54.95" customHeight="1" thickBot="1">
      <c r="D5" s="1683"/>
      <c r="E5" s="1608"/>
      <c r="F5" s="1603"/>
      <c r="G5" s="1653"/>
      <c r="H5" s="1606"/>
    </row>
    <row r="6" spans="3:8" s="315" customFormat="1" ht="14.1" customHeight="1">
      <c r="C6" s="494"/>
      <c r="D6" s="522" t="s">
        <v>1823</v>
      </c>
      <c r="E6" s="65"/>
      <c r="F6" s="1680"/>
      <c r="G6" s="1680"/>
      <c r="H6" s="1680"/>
    </row>
    <row r="7" spans="3:8" s="315" customFormat="1" ht="14.1" customHeight="1">
      <c r="C7" s="494">
        <v>1</v>
      </c>
      <c r="D7" s="362" t="s">
        <v>3794</v>
      </c>
      <c r="E7" s="43">
        <v>742</v>
      </c>
      <c r="F7" s="1681" t="s">
        <v>3796</v>
      </c>
      <c r="G7" s="1681"/>
      <c r="H7" s="1681"/>
    </row>
    <row r="8" spans="3:8" s="315" customFormat="1" ht="14.1" customHeight="1">
      <c r="C8" s="494">
        <v>2</v>
      </c>
      <c r="D8" s="362" t="s">
        <v>3795</v>
      </c>
      <c r="E8" s="43">
        <v>111630</v>
      </c>
      <c r="F8" s="1681" t="s">
        <v>3797</v>
      </c>
      <c r="G8" s="1681"/>
      <c r="H8" s="1681"/>
    </row>
    <row r="9" spans="3:8" s="315" customFormat="1" ht="14.1" customHeight="1">
      <c r="C9" s="494">
        <v>3</v>
      </c>
      <c r="D9" s="362"/>
      <c r="E9" s="43"/>
      <c r="F9" s="1681"/>
      <c r="G9" s="1681"/>
      <c r="H9" s="1681"/>
    </row>
    <row r="10" spans="3:8" s="315" customFormat="1" ht="14.1" customHeight="1">
      <c r="C10" s="494">
        <v>4</v>
      </c>
      <c r="D10" s="362"/>
      <c r="E10" s="43"/>
      <c r="F10" s="1681"/>
      <c r="G10" s="1681"/>
      <c r="H10" s="1681"/>
    </row>
    <row r="11" spans="3:8" s="315" customFormat="1" ht="14.1" customHeight="1">
      <c r="C11" s="494">
        <v>5</v>
      </c>
      <c r="D11" s="362"/>
      <c r="E11" s="43"/>
      <c r="F11" s="1681"/>
      <c r="G11" s="1681"/>
      <c r="H11" s="1681"/>
    </row>
    <row r="12" spans="3:8" s="315" customFormat="1" ht="14.1" customHeight="1">
      <c r="C12" s="494">
        <v>6</v>
      </c>
      <c r="D12" s="362"/>
      <c r="E12" s="43"/>
      <c r="F12" s="1681"/>
      <c r="G12" s="1681"/>
      <c r="H12" s="1681"/>
    </row>
    <row r="13" spans="3:8" s="315" customFormat="1" ht="14.1" customHeight="1">
      <c r="C13" s="494">
        <v>7</v>
      </c>
      <c r="D13" s="362"/>
      <c r="E13" s="43"/>
      <c r="F13" s="1681"/>
      <c r="G13" s="1681"/>
      <c r="H13" s="1681"/>
    </row>
    <row r="14" spans="3:8" s="315" customFormat="1" ht="14.1" customHeight="1">
      <c r="C14" s="494">
        <v>8</v>
      </c>
      <c r="D14" s="362"/>
      <c r="E14" s="43"/>
      <c r="F14" s="1681"/>
      <c r="G14" s="1681"/>
      <c r="H14" s="1681"/>
    </row>
    <row r="15" spans="3:8" s="315" customFormat="1" ht="14.1" customHeight="1">
      <c r="C15" s="494">
        <v>9</v>
      </c>
      <c r="D15" s="362"/>
      <c r="E15" s="43"/>
      <c r="F15" s="1681"/>
      <c r="G15" s="1681"/>
      <c r="H15" s="1681"/>
    </row>
    <row r="16" spans="3:8">
      <c r="C16" s="494">
        <v>10</v>
      </c>
      <c r="D16" s="362"/>
      <c r="E16" s="43"/>
      <c r="F16" s="1681"/>
      <c r="G16" s="1681"/>
      <c r="H16" s="1681"/>
    </row>
    <row r="17" spans="3:8">
      <c r="C17" s="494">
        <v>11</v>
      </c>
      <c r="D17" s="362"/>
      <c r="E17" s="43"/>
      <c r="F17" s="1681"/>
      <c r="G17" s="1681"/>
      <c r="H17" s="1681"/>
    </row>
    <row r="18" spans="3:8">
      <c r="C18" s="494">
        <v>12</v>
      </c>
      <c r="D18" s="362"/>
      <c r="E18" s="43"/>
      <c r="F18" s="1681"/>
      <c r="G18" s="1681"/>
      <c r="H18" s="1681"/>
    </row>
    <row r="19" spans="3:8">
      <c r="C19" s="494">
        <v>13</v>
      </c>
      <c r="D19" s="362"/>
      <c r="E19" s="43"/>
      <c r="F19" s="1681"/>
      <c r="G19" s="1681"/>
      <c r="H19" s="1681"/>
    </row>
    <row r="20" spans="3:8">
      <c r="C20" s="494">
        <v>14</v>
      </c>
      <c r="D20" s="362"/>
      <c r="E20" s="43"/>
      <c r="F20" s="1681"/>
      <c r="G20" s="1681"/>
      <c r="H20" s="1681"/>
    </row>
    <row r="21" spans="3:8" ht="15.75" thickBot="1">
      <c r="C21" s="494">
        <v>15</v>
      </c>
      <c r="D21" s="363"/>
      <c r="E21" s="45"/>
      <c r="F21" s="1684"/>
      <c r="G21" s="1684"/>
      <c r="H21" s="1684"/>
    </row>
    <row r="22" spans="3:8" ht="15.75" thickBot="1">
      <c r="D22" s="230" t="s">
        <v>432</v>
      </c>
      <c r="E22" s="111">
        <f>SUM(E6:E21)</f>
        <v>112372</v>
      </c>
      <c r="F22" s="1678"/>
      <c r="G22" s="1678"/>
      <c r="H22" s="1679"/>
    </row>
  </sheetData>
  <sheetProtection selectLockedCells="1"/>
  <mergeCells count="20">
    <mergeCell ref="F21:H21"/>
    <mergeCell ref="F22:H22"/>
    <mergeCell ref="F15:H15"/>
    <mergeCell ref="F16:H16"/>
    <mergeCell ref="F17:H17"/>
    <mergeCell ref="F18:H18"/>
    <mergeCell ref="F19:H19"/>
    <mergeCell ref="F20:H20"/>
    <mergeCell ref="F14:H14"/>
    <mergeCell ref="D4:D5"/>
    <mergeCell ref="E4:E5"/>
    <mergeCell ref="F4:H5"/>
    <mergeCell ref="F6:H6"/>
    <mergeCell ref="F7:H7"/>
    <mergeCell ref="F8:H8"/>
    <mergeCell ref="F9:H9"/>
    <mergeCell ref="F10:H10"/>
    <mergeCell ref="F11:H11"/>
    <mergeCell ref="F12:H12"/>
    <mergeCell ref="F13:H13"/>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B1:I72"/>
  <sheetViews>
    <sheetView showGridLines="0" topLeftCell="A31" workbookViewId="0">
      <selection activeCell="E30" sqref="E30"/>
    </sheetView>
  </sheetViews>
  <sheetFormatPr baseColWidth="10" defaultColWidth="9.140625" defaultRowHeight="15"/>
  <cols>
    <col min="1" max="2" width="2.42578125" customWidth="1"/>
    <col min="3" max="3" width="3.7109375" customWidth="1"/>
    <col min="4" max="4" width="50.7109375" customWidth="1"/>
    <col min="5" max="6" width="14.7109375" customWidth="1"/>
    <col min="7" max="7" width="14.7109375" style="146" customWidth="1"/>
    <col min="8" max="8" width="14.7109375" style="315" customWidth="1"/>
    <col min="9" max="9" width="14.7109375" customWidth="1"/>
    <col min="10" max="11" width="10" customWidth="1"/>
  </cols>
  <sheetData>
    <row r="1" spans="2:9" ht="15" customHeight="1"/>
    <row r="2" spans="2:9" ht="15" customHeight="1"/>
    <row r="3" spans="2:9" s="246" customFormat="1" ht="15" customHeight="1">
      <c r="B3" s="247"/>
      <c r="C3" s="379" t="s">
        <v>1824</v>
      </c>
      <c r="G3" s="315"/>
      <c r="H3" s="315"/>
    </row>
    <row r="4" spans="2:9" ht="15" customHeight="1" thickBot="1"/>
    <row r="5" spans="2:9">
      <c r="D5" s="1670"/>
      <c r="E5" s="1686" t="s">
        <v>1825</v>
      </c>
      <c r="F5" s="1686" t="s">
        <v>1826</v>
      </c>
      <c r="G5" s="1686" t="s">
        <v>1827</v>
      </c>
      <c r="H5" s="1685"/>
    </row>
    <row r="6" spans="2:9" ht="54.95" customHeight="1" thickBot="1">
      <c r="D6" s="1674"/>
      <c r="E6" s="1687"/>
      <c r="F6" s="1687"/>
      <c r="G6" s="1687"/>
      <c r="H6" s="1685"/>
    </row>
    <row r="7" spans="2:9">
      <c r="D7" s="483" t="s">
        <v>1535</v>
      </c>
      <c r="E7" s="519">
        <f>SUM(E8:E17)</f>
        <v>46124574</v>
      </c>
      <c r="F7" s="519">
        <f t="shared" ref="F7:G7" si="0">SUM(F8:F17)</f>
        <v>46338576</v>
      </c>
      <c r="G7" s="520">
        <f t="shared" si="0"/>
        <v>214002</v>
      </c>
      <c r="H7" s="372"/>
    </row>
    <row r="8" spans="2:9">
      <c r="D8" s="521" t="s">
        <v>1828</v>
      </c>
      <c r="E8" s="353">
        <v>5533325</v>
      </c>
      <c r="F8" s="353">
        <v>6045304</v>
      </c>
      <c r="G8" s="62">
        <f>-E8+F8</f>
        <v>511979</v>
      </c>
      <c r="H8" s="374"/>
      <c r="I8" s="374"/>
    </row>
    <row r="9" spans="2:9">
      <c r="D9" s="229" t="s">
        <v>1829</v>
      </c>
      <c r="E9" s="353">
        <v>29451262</v>
      </c>
      <c r="F9" s="353">
        <v>29024784</v>
      </c>
      <c r="G9" s="370">
        <f t="shared" ref="G9:G17" si="1">-E9+F9</f>
        <v>-426478</v>
      </c>
      <c r="H9" s="374"/>
      <c r="I9" s="374"/>
    </row>
    <row r="10" spans="2:9">
      <c r="D10" s="229" t="s">
        <v>388</v>
      </c>
      <c r="E10" s="54">
        <v>0</v>
      </c>
      <c r="F10" s="54">
        <v>0</v>
      </c>
      <c r="G10" s="62">
        <f t="shared" si="1"/>
        <v>0</v>
      </c>
      <c r="H10" s="374"/>
      <c r="I10" s="374"/>
    </row>
    <row r="11" spans="2:9">
      <c r="D11" s="229" t="s">
        <v>1830</v>
      </c>
      <c r="E11" s="54">
        <v>0</v>
      </c>
      <c r="F11" s="54">
        <v>0</v>
      </c>
      <c r="G11" s="62">
        <f t="shared" si="1"/>
        <v>0</v>
      </c>
      <c r="H11" s="374"/>
      <c r="I11" s="374"/>
    </row>
    <row r="12" spans="2:9">
      <c r="D12" s="229" t="s">
        <v>1831</v>
      </c>
      <c r="E12" s="54">
        <v>0</v>
      </c>
      <c r="F12" s="54">
        <v>0</v>
      </c>
      <c r="G12" s="62">
        <f t="shared" si="1"/>
        <v>0</v>
      </c>
      <c r="H12" s="374"/>
      <c r="I12" s="374"/>
    </row>
    <row r="13" spans="2:9">
      <c r="D13" s="521" t="s">
        <v>413</v>
      </c>
      <c r="E13" s="353">
        <v>1959</v>
      </c>
      <c r="F13" s="353">
        <v>2641</v>
      </c>
      <c r="G13" s="62">
        <f t="shared" si="1"/>
        <v>682</v>
      </c>
      <c r="H13" s="374"/>
      <c r="I13" s="374"/>
    </row>
    <row r="14" spans="2:9">
      <c r="D14" s="229" t="s">
        <v>419</v>
      </c>
      <c r="E14" s="54">
        <v>0</v>
      </c>
      <c r="F14" s="54">
        <v>0</v>
      </c>
      <c r="G14" s="62">
        <f t="shared" si="1"/>
        <v>0</v>
      </c>
      <c r="H14" s="374"/>
      <c r="I14" s="374"/>
    </row>
    <row r="15" spans="2:9">
      <c r="D15" s="229" t="s">
        <v>438</v>
      </c>
      <c r="E15" s="54">
        <v>0</v>
      </c>
      <c r="F15" s="54">
        <v>0</v>
      </c>
      <c r="G15" s="62">
        <f t="shared" si="1"/>
        <v>0</v>
      </c>
      <c r="H15" s="374"/>
      <c r="I15" s="374"/>
    </row>
    <row r="16" spans="2:9">
      <c r="D16" s="229" t="s">
        <v>1832</v>
      </c>
      <c r="E16" s="353">
        <v>0</v>
      </c>
      <c r="F16" s="353">
        <v>0</v>
      </c>
      <c r="G16" s="62">
        <f t="shared" si="1"/>
        <v>0</v>
      </c>
      <c r="H16" s="374"/>
      <c r="I16" s="374"/>
    </row>
    <row r="17" spans="4:9">
      <c r="D17" s="229" t="s">
        <v>689</v>
      </c>
      <c r="E17" s="353">
        <v>11138028</v>
      </c>
      <c r="F17" s="353">
        <v>11265847</v>
      </c>
      <c r="G17" s="62">
        <f t="shared" si="1"/>
        <v>127819</v>
      </c>
      <c r="H17" s="374"/>
      <c r="I17" s="374"/>
    </row>
    <row r="18" spans="4:9">
      <c r="D18" s="483" t="s">
        <v>1536</v>
      </c>
      <c r="E18" s="61">
        <f>E19+E20+E31+E32+E33+E34</f>
        <v>22857037</v>
      </c>
      <c r="F18" s="61">
        <f t="shared" ref="F18:G18" si="2">F19+F20+F31+F32+F33+F34</f>
        <v>24441997</v>
      </c>
      <c r="G18" s="62">
        <f t="shared" si="2"/>
        <v>1584960</v>
      </c>
      <c r="H18" s="374"/>
    </row>
    <row r="19" spans="4:9">
      <c r="D19" s="229" t="s">
        <v>1833</v>
      </c>
      <c r="E19" s="54">
        <v>21687634</v>
      </c>
      <c r="F19" s="54">
        <v>22596177</v>
      </c>
      <c r="G19" s="62">
        <f>-E19+F19</f>
        <v>908543</v>
      </c>
      <c r="H19" s="374"/>
      <c r="I19" s="374"/>
    </row>
    <row r="20" spans="4:9">
      <c r="D20" s="483" t="s">
        <v>1834</v>
      </c>
      <c r="E20" s="61">
        <f>SUM(E21:E30)</f>
        <v>0</v>
      </c>
      <c r="F20" s="61">
        <f t="shared" ref="F20:G20" si="3">SUM(F21:F30)</f>
        <v>0</v>
      </c>
      <c r="G20" s="62">
        <f t="shared" si="3"/>
        <v>0</v>
      </c>
      <c r="H20" s="374"/>
    </row>
    <row r="21" spans="4:9">
      <c r="D21" s="229" t="s">
        <v>643</v>
      </c>
      <c r="E21" s="54"/>
      <c r="F21" s="54"/>
      <c r="G21" s="62">
        <f t="shared" ref="G21:G35" si="4">-E21+F21</f>
        <v>0</v>
      </c>
      <c r="H21" s="374"/>
    </row>
    <row r="22" spans="4:9">
      <c r="D22" s="229" t="s">
        <v>644</v>
      </c>
      <c r="E22" s="54"/>
      <c r="F22" s="54"/>
      <c r="G22" s="62">
        <f t="shared" si="4"/>
        <v>0</v>
      </c>
      <c r="H22" s="374"/>
    </row>
    <row r="23" spans="4:9">
      <c r="D23" s="229" t="s">
        <v>645</v>
      </c>
      <c r="E23" s="353"/>
      <c r="F23" s="353"/>
      <c r="G23" s="62">
        <f t="shared" si="4"/>
        <v>0</v>
      </c>
      <c r="H23" s="374"/>
    </row>
    <row r="24" spans="4:9">
      <c r="D24" s="229" t="s">
        <v>646</v>
      </c>
      <c r="E24" s="353"/>
      <c r="F24" s="353"/>
      <c r="G24" s="62">
        <f t="shared" si="4"/>
        <v>0</v>
      </c>
      <c r="H24" s="374"/>
    </row>
    <row r="25" spans="4:9">
      <c r="D25" s="229" t="s">
        <v>647</v>
      </c>
      <c r="E25" s="54"/>
      <c r="F25" s="54"/>
      <c r="G25" s="62">
        <f t="shared" si="4"/>
        <v>0</v>
      </c>
      <c r="H25" s="374"/>
    </row>
    <row r="26" spans="4:9">
      <c r="D26" s="229" t="s">
        <v>653</v>
      </c>
      <c r="E26" s="54"/>
      <c r="F26" s="54"/>
      <c r="G26" s="62">
        <f t="shared" si="4"/>
        <v>0</v>
      </c>
      <c r="H26" s="374"/>
    </row>
    <row r="27" spans="4:9">
      <c r="D27" s="229" t="s">
        <v>648</v>
      </c>
      <c r="E27" s="353"/>
      <c r="F27" s="353"/>
      <c r="G27" s="62">
        <f t="shared" si="4"/>
        <v>0</v>
      </c>
      <c r="H27" s="374"/>
    </row>
    <row r="28" spans="4:9">
      <c r="D28" s="229" t="s">
        <v>649</v>
      </c>
      <c r="E28" s="54"/>
      <c r="F28" s="54"/>
      <c r="G28" s="62">
        <f t="shared" si="4"/>
        <v>0</v>
      </c>
      <c r="H28" s="374"/>
    </row>
    <row r="29" spans="4:9">
      <c r="D29" s="229" t="s">
        <v>650</v>
      </c>
      <c r="E29" s="54"/>
      <c r="F29" s="54"/>
      <c r="G29" s="62">
        <f t="shared" si="4"/>
        <v>0</v>
      </c>
      <c r="H29" s="374"/>
    </row>
    <row r="30" spans="4:9">
      <c r="D30" s="229" t="s">
        <v>651</v>
      </c>
      <c r="E30" s="54"/>
      <c r="F30" s="54"/>
      <c r="G30" s="62">
        <f t="shared" si="4"/>
        <v>0</v>
      </c>
      <c r="H30" s="374"/>
    </row>
    <row r="31" spans="4:9">
      <c r="D31" s="229" t="s">
        <v>557</v>
      </c>
      <c r="E31" s="353"/>
      <c r="F31" s="353"/>
      <c r="G31" s="62">
        <f t="shared" si="4"/>
        <v>0</v>
      </c>
      <c r="H31" s="374"/>
    </row>
    <row r="32" spans="4:9">
      <c r="D32" s="229" t="s">
        <v>562</v>
      </c>
      <c r="E32" s="54"/>
      <c r="F32" s="54"/>
      <c r="G32" s="62">
        <f t="shared" si="4"/>
        <v>0</v>
      </c>
      <c r="H32" s="374"/>
    </row>
    <row r="33" spans="3:9">
      <c r="D33" s="229" t="s">
        <v>1835</v>
      </c>
      <c r="E33" s="54"/>
      <c r="F33" s="54"/>
      <c r="G33" s="62">
        <f t="shared" si="4"/>
        <v>0</v>
      </c>
      <c r="H33" s="374"/>
    </row>
    <row r="34" spans="3:9">
      <c r="D34" s="229" t="s">
        <v>696</v>
      </c>
      <c r="E34" s="54">
        <f>1169397+6</f>
        <v>1169403</v>
      </c>
      <c r="F34" s="54">
        <v>1845820</v>
      </c>
      <c r="G34" s="62">
        <f t="shared" si="4"/>
        <v>676417</v>
      </c>
      <c r="H34" s="374"/>
      <c r="I34" s="374"/>
    </row>
    <row r="35" spans="3:9" ht="15.75" thickBot="1">
      <c r="D35" s="229" t="s">
        <v>224</v>
      </c>
      <c r="E35" s="353"/>
      <c r="F35" s="353"/>
      <c r="G35" s="62">
        <f t="shared" si="4"/>
        <v>0</v>
      </c>
      <c r="H35" s="374"/>
    </row>
    <row r="36" spans="3:9" s="146" customFormat="1" ht="15.75" thickBot="1">
      <c r="D36" s="230" t="s">
        <v>652</v>
      </c>
      <c r="E36" s="56">
        <f>E7+E18+E35</f>
        <v>68981611</v>
      </c>
      <c r="F36" s="56">
        <f t="shared" ref="F36:G36" si="5">F7+F18+F35</f>
        <v>70780573</v>
      </c>
      <c r="G36" s="199">
        <f t="shared" si="5"/>
        <v>1798962</v>
      </c>
      <c r="H36" s="131"/>
    </row>
    <row r="37" spans="3:9" s="315" customFormat="1">
      <c r="D37" s="482"/>
      <c r="E37" s="373"/>
      <c r="F37" s="373"/>
      <c r="G37" s="373"/>
      <c r="H37" s="374"/>
    </row>
    <row r="38" spans="3:9" s="315" customFormat="1">
      <c r="D38" s="482"/>
      <c r="E38" s="373"/>
      <c r="F38" s="373"/>
      <c r="G38" s="373"/>
      <c r="H38" s="374"/>
    </row>
    <row r="39" spans="3:9" s="315" customFormat="1">
      <c r="C39" s="379" t="s">
        <v>1836</v>
      </c>
      <c r="D39" s="514"/>
      <c r="E39" s="515"/>
      <c r="F39" s="515"/>
      <c r="G39" s="515"/>
      <c r="H39" s="515"/>
    </row>
    <row r="40" spans="3:9" s="315" customFormat="1" ht="15.75" thickBot="1">
      <c r="E40" s="516"/>
      <c r="F40" s="516"/>
      <c r="G40" s="516"/>
      <c r="H40" s="516"/>
    </row>
    <row r="41" spans="3:9">
      <c r="D41" s="1670"/>
      <c r="E41" s="1686" t="s">
        <v>1825</v>
      </c>
      <c r="F41" s="1686" t="s">
        <v>1826</v>
      </c>
      <c r="G41" s="1686" t="s">
        <v>1837</v>
      </c>
      <c r="H41" s="1685"/>
    </row>
    <row r="42" spans="3:9" ht="54.95" customHeight="1" thickBot="1">
      <c r="D42" s="1674"/>
      <c r="E42" s="1687"/>
      <c r="F42" s="1687"/>
      <c r="G42" s="1687"/>
      <c r="H42" s="1685"/>
    </row>
    <row r="43" spans="3:9">
      <c r="D43" s="483" t="s">
        <v>1535</v>
      </c>
      <c r="E43" s="519">
        <f>SUM(E44:E53)</f>
        <v>194738045</v>
      </c>
      <c r="F43" s="519">
        <f t="shared" ref="F43" si="6">SUM(F44:F53)</f>
        <v>79292587</v>
      </c>
      <c r="G43" s="520">
        <f t="shared" ref="G43" si="7">SUM(G44:G53)</f>
        <v>-115445458</v>
      </c>
      <c r="H43" s="372"/>
    </row>
    <row r="44" spans="3:9">
      <c r="D44" s="521" t="s">
        <v>1828</v>
      </c>
      <c r="E44" s="353">
        <v>3684128</v>
      </c>
      <c r="F44" s="353">
        <v>3893263</v>
      </c>
      <c r="G44" s="62">
        <f>-E44+F44</f>
        <v>209135</v>
      </c>
      <c r="H44" s="374"/>
      <c r="I44" s="374"/>
    </row>
    <row r="45" spans="3:9">
      <c r="D45" s="229" t="s">
        <v>1829</v>
      </c>
      <c r="E45" s="353">
        <v>30067235</v>
      </c>
      <c r="F45" s="353">
        <v>29217296</v>
      </c>
      <c r="G45" s="370">
        <f t="shared" ref="G45:G53" si="8">-E45+F45</f>
        <v>-849939</v>
      </c>
      <c r="H45" s="374"/>
      <c r="I45" s="374"/>
    </row>
    <row r="46" spans="3:9">
      <c r="D46" s="229" t="s">
        <v>388</v>
      </c>
      <c r="E46" s="54">
        <v>51846</v>
      </c>
      <c r="F46" s="54">
        <v>12880</v>
      </c>
      <c r="G46" s="62">
        <f t="shared" si="8"/>
        <v>-38966</v>
      </c>
      <c r="H46" s="374"/>
      <c r="I46" s="374"/>
    </row>
    <row r="47" spans="3:9">
      <c r="D47" s="229" t="s">
        <v>1830</v>
      </c>
      <c r="E47" s="54">
        <v>0</v>
      </c>
      <c r="F47" s="54">
        <v>0</v>
      </c>
      <c r="G47" s="62">
        <f t="shared" si="8"/>
        <v>0</v>
      </c>
      <c r="H47" s="374"/>
      <c r="I47" s="374"/>
    </row>
    <row r="48" spans="3:9">
      <c r="D48" s="229" t="s">
        <v>1831</v>
      </c>
      <c r="E48" s="54">
        <v>618754</v>
      </c>
      <c r="F48" s="54">
        <v>5162980</v>
      </c>
      <c r="G48" s="62">
        <f t="shared" si="8"/>
        <v>4544226</v>
      </c>
      <c r="H48" s="374"/>
      <c r="I48" s="374"/>
    </row>
    <row r="49" spans="4:9">
      <c r="D49" s="521" t="s">
        <v>413</v>
      </c>
      <c r="E49" s="353">
        <v>118258277</v>
      </c>
      <c r="F49" s="353">
        <v>5806676</v>
      </c>
      <c r="G49" s="62">
        <f t="shared" si="8"/>
        <v>-112451601</v>
      </c>
      <c r="H49" s="374"/>
      <c r="I49" s="374"/>
    </row>
    <row r="50" spans="4:9">
      <c r="D50" s="229" t="s">
        <v>419</v>
      </c>
      <c r="E50" s="54">
        <v>5954245</v>
      </c>
      <c r="F50" s="54">
        <v>136713</v>
      </c>
      <c r="G50" s="62">
        <f t="shared" si="8"/>
        <v>-5817532</v>
      </c>
      <c r="H50" s="374"/>
      <c r="I50" s="374"/>
    </row>
    <row r="51" spans="4:9">
      <c r="D51" s="229" t="s">
        <v>438</v>
      </c>
      <c r="E51" s="54">
        <v>36977</v>
      </c>
      <c r="F51" s="54">
        <v>52552</v>
      </c>
      <c r="G51" s="62">
        <f t="shared" si="8"/>
        <v>15575</v>
      </c>
      <c r="H51" s="374"/>
      <c r="I51" s="374"/>
    </row>
    <row r="52" spans="4:9">
      <c r="D52" s="229" t="s">
        <v>1832</v>
      </c>
      <c r="E52" s="353">
        <v>0</v>
      </c>
      <c r="F52" s="353">
        <v>0</v>
      </c>
      <c r="G52" s="62">
        <f t="shared" si="8"/>
        <v>0</v>
      </c>
      <c r="H52" s="374"/>
      <c r="I52" s="374"/>
    </row>
    <row r="53" spans="4:9">
      <c r="D53" s="229" t="s">
        <v>689</v>
      </c>
      <c r="E53" s="353">
        <v>36066583</v>
      </c>
      <c r="F53" s="353">
        <v>35010227</v>
      </c>
      <c r="G53" s="62">
        <f t="shared" si="8"/>
        <v>-1056356</v>
      </c>
      <c r="H53" s="374"/>
      <c r="I53" s="374"/>
    </row>
    <row r="54" spans="4:9">
      <c r="D54" s="483" t="s">
        <v>1536</v>
      </c>
      <c r="E54" s="61">
        <f>E55+E56+E67+E68+E69+E70</f>
        <v>159365125</v>
      </c>
      <c r="F54" s="61">
        <f t="shared" ref="F54" si="9">F55+F56+F67+F68+F69+F70</f>
        <v>273490663</v>
      </c>
      <c r="G54" s="62">
        <f t="shared" ref="G54" si="10">G55+G56+G67+G68+G69+G70</f>
        <v>114125538</v>
      </c>
      <c r="H54" s="374"/>
    </row>
    <row r="55" spans="4:9">
      <c r="D55" s="229" t="s">
        <v>1833</v>
      </c>
      <c r="E55" s="54"/>
      <c r="F55" s="54"/>
      <c r="G55" s="62">
        <f>-E55+F55</f>
        <v>0</v>
      </c>
      <c r="H55" s="374"/>
    </row>
    <row r="56" spans="4:9">
      <c r="D56" s="483" t="s">
        <v>1834</v>
      </c>
      <c r="E56" s="61">
        <f>SUM(E57:E66)</f>
        <v>62441037</v>
      </c>
      <c r="F56" s="61">
        <f t="shared" ref="F56" si="11">SUM(F57:F66)</f>
        <v>171907069</v>
      </c>
      <c r="G56" s="62">
        <f t="shared" ref="G56" si="12">SUM(G57:G66)</f>
        <v>109466032</v>
      </c>
      <c r="H56" s="374"/>
    </row>
    <row r="57" spans="4:9">
      <c r="D57" s="229" t="s">
        <v>643</v>
      </c>
      <c r="E57" s="54">
        <v>26080932</v>
      </c>
      <c r="F57" s="54">
        <v>16702900</v>
      </c>
      <c r="G57" s="62">
        <f t="shared" ref="G57:G71" si="13">-E57+F57</f>
        <v>-9378032</v>
      </c>
      <c r="H57" s="374"/>
      <c r="I57" s="374"/>
    </row>
    <row r="58" spans="4:9">
      <c r="D58" s="229" t="s">
        <v>644</v>
      </c>
      <c r="E58" s="54">
        <v>94776</v>
      </c>
      <c r="F58" s="54">
        <v>25535</v>
      </c>
      <c r="G58" s="62">
        <f t="shared" si="13"/>
        <v>-69241</v>
      </c>
      <c r="H58" s="374"/>
      <c r="I58" s="374"/>
    </row>
    <row r="59" spans="4:9">
      <c r="D59" s="229" t="s">
        <v>645</v>
      </c>
      <c r="E59" s="353">
        <v>283553</v>
      </c>
      <c r="F59" s="353">
        <v>65983</v>
      </c>
      <c r="G59" s="62">
        <f t="shared" si="13"/>
        <v>-217570</v>
      </c>
      <c r="H59" s="374"/>
      <c r="I59" s="374"/>
    </row>
    <row r="60" spans="4:9">
      <c r="D60" s="229" t="s">
        <v>646</v>
      </c>
      <c r="E60" s="353">
        <v>525484</v>
      </c>
      <c r="F60" s="353">
        <v>7900</v>
      </c>
      <c r="G60" s="62">
        <f t="shared" si="13"/>
        <v>-517584</v>
      </c>
      <c r="H60" s="374"/>
      <c r="I60" s="374"/>
    </row>
    <row r="61" spans="4:9">
      <c r="D61" s="229" t="s">
        <v>647</v>
      </c>
      <c r="E61" s="54">
        <v>0</v>
      </c>
      <c r="F61" s="54">
        <v>0</v>
      </c>
      <c r="G61" s="62">
        <f t="shared" si="13"/>
        <v>0</v>
      </c>
      <c r="H61" s="374"/>
      <c r="I61" s="374"/>
    </row>
    <row r="62" spans="4:9">
      <c r="D62" s="229" t="s">
        <v>653</v>
      </c>
      <c r="E62" s="54">
        <v>1140956</v>
      </c>
      <c r="F62" s="54">
        <v>889591</v>
      </c>
      <c r="G62" s="62">
        <f t="shared" si="13"/>
        <v>-251365</v>
      </c>
      <c r="H62" s="374"/>
      <c r="I62" s="374"/>
    </row>
    <row r="63" spans="4:9">
      <c r="D63" s="229" t="s">
        <v>648</v>
      </c>
      <c r="E63" s="353">
        <v>0</v>
      </c>
      <c r="F63" s="353">
        <v>0</v>
      </c>
      <c r="G63" s="62">
        <f t="shared" si="13"/>
        <v>0</v>
      </c>
      <c r="H63" s="374"/>
      <c r="I63" s="374"/>
    </row>
    <row r="64" spans="4:9">
      <c r="D64" s="229" t="s">
        <v>649</v>
      </c>
      <c r="E64" s="54">
        <v>0</v>
      </c>
      <c r="F64" s="54">
        <v>0</v>
      </c>
      <c r="G64" s="62">
        <f t="shared" si="13"/>
        <v>0</v>
      </c>
      <c r="H64" s="374"/>
      <c r="I64" s="374"/>
    </row>
    <row r="65" spans="4:9">
      <c r="D65" s="229" t="s">
        <v>650</v>
      </c>
      <c r="E65" s="54">
        <v>34127050</v>
      </c>
      <c r="F65" s="54">
        <f>154065532+79242</f>
        <v>154144774</v>
      </c>
      <c r="G65" s="62">
        <f t="shared" si="13"/>
        <v>120017724</v>
      </c>
      <c r="H65" s="374"/>
      <c r="I65" s="374"/>
    </row>
    <row r="66" spans="4:9">
      <c r="D66" s="229" t="s">
        <v>651</v>
      </c>
      <c r="E66" s="54">
        <v>188286</v>
      </c>
      <c r="F66" s="54">
        <v>70386</v>
      </c>
      <c r="G66" s="62">
        <f t="shared" si="13"/>
        <v>-117900</v>
      </c>
      <c r="H66" s="374"/>
      <c r="I66" s="374"/>
    </row>
    <row r="67" spans="4:9">
      <c r="D67" s="229" t="s">
        <v>557</v>
      </c>
      <c r="E67" s="353">
        <v>31905533</v>
      </c>
      <c r="F67" s="353">
        <v>70997347</v>
      </c>
      <c r="G67" s="62">
        <f t="shared" si="13"/>
        <v>39091814</v>
      </c>
      <c r="H67" s="374"/>
      <c r="I67" s="374"/>
    </row>
    <row r="68" spans="4:9">
      <c r="D68" s="229" t="s">
        <v>562</v>
      </c>
      <c r="E68" s="54">
        <v>158091</v>
      </c>
      <c r="F68" s="54">
        <v>6718548</v>
      </c>
      <c r="G68" s="62">
        <f t="shared" si="13"/>
        <v>6560457</v>
      </c>
      <c r="H68" s="374"/>
      <c r="I68" s="374"/>
    </row>
    <row r="69" spans="4:9">
      <c r="D69" s="229" t="s">
        <v>1835</v>
      </c>
      <c r="E69" s="54">
        <v>85182</v>
      </c>
      <c r="F69" s="54">
        <v>50517</v>
      </c>
      <c r="G69" s="62">
        <f t="shared" si="13"/>
        <v>-34665</v>
      </c>
      <c r="H69" s="374"/>
      <c r="I69" s="374"/>
    </row>
    <row r="70" spans="4:9">
      <c r="D70" s="229" t="s">
        <v>696</v>
      </c>
      <c r="E70" s="54">
        <v>64775282</v>
      </c>
      <c r="F70" s="54">
        <v>23817182</v>
      </c>
      <c r="G70" s="62">
        <f t="shared" si="13"/>
        <v>-40958100</v>
      </c>
      <c r="H70" s="374"/>
      <c r="I70" s="374"/>
    </row>
    <row r="71" spans="4:9" ht="15.75" thickBot="1">
      <c r="D71" s="229" t="s">
        <v>224</v>
      </c>
      <c r="E71" s="353">
        <v>0</v>
      </c>
      <c r="F71" s="353">
        <v>0</v>
      </c>
      <c r="G71" s="62">
        <f t="shared" si="13"/>
        <v>0</v>
      </c>
      <c r="H71" s="374"/>
      <c r="I71" s="374"/>
    </row>
    <row r="72" spans="4:9" s="146" customFormat="1" ht="15.75" thickBot="1">
      <c r="D72" s="230" t="s">
        <v>654</v>
      </c>
      <c r="E72" s="56">
        <f>E43+E54+E71</f>
        <v>354103170</v>
      </c>
      <c r="F72" s="56">
        <f t="shared" ref="F72" si="14">F43+F54+F71</f>
        <v>352783250</v>
      </c>
      <c r="G72" s="199">
        <f t="shared" ref="G72" si="15">G43+G54+G71</f>
        <v>-1319920</v>
      </c>
      <c r="H72" s="131"/>
    </row>
  </sheetData>
  <mergeCells count="10">
    <mergeCell ref="D5:D6"/>
    <mergeCell ref="E5:E6"/>
    <mergeCell ref="F5:F6"/>
    <mergeCell ref="G5:G6"/>
    <mergeCell ref="H5:H6"/>
    <mergeCell ref="D41:D42"/>
    <mergeCell ref="E41:E42"/>
    <mergeCell ref="F41:F42"/>
    <mergeCell ref="G41:G42"/>
    <mergeCell ref="H41:H42"/>
  </mergeCells>
  <conditionalFormatting sqref="E40:H40">
    <cfRule type="cellIs" dxfId="24" priority="1" operator="equal">
      <formula>"OK"</formula>
    </cfRule>
    <cfRule type="cellIs" dxfId="23" priority="2" operator="equal">
      <formula>"ERROR"</formula>
    </cfRule>
  </conditionalFormatting>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heetPr>
  <dimension ref="C1:F35"/>
  <sheetViews>
    <sheetView showGridLines="0" zoomScaleNormal="100" workbookViewId="0">
      <selection activeCell="E17" sqref="E17"/>
    </sheetView>
  </sheetViews>
  <sheetFormatPr baseColWidth="10" defaultColWidth="9.140625" defaultRowHeight="15"/>
  <cols>
    <col min="1" max="2" width="2.42578125" customWidth="1"/>
    <col min="3" max="3" width="3.7109375" customWidth="1"/>
    <col min="4" max="4" width="50.7109375" customWidth="1"/>
    <col min="5" max="8" width="14.7109375" customWidth="1"/>
    <col min="9" max="10" width="10" customWidth="1"/>
  </cols>
  <sheetData>
    <row r="1" spans="3:5" ht="15" customHeight="1"/>
    <row r="2" spans="3:5" ht="15" customHeight="1">
      <c r="C2" s="531" t="s">
        <v>3960</v>
      </c>
    </row>
    <row r="3" spans="3:5" ht="15" customHeight="1"/>
    <row r="4" spans="3:5" ht="15" customHeight="1">
      <c r="C4" s="379" t="s">
        <v>1838</v>
      </c>
    </row>
    <row r="5" spans="3:5" ht="15" customHeight="1" thickBot="1"/>
    <row r="6" spans="3:5" ht="15" customHeight="1" thickBot="1">
      <c r="D6" s="486" t="s">
        <v>1839</v>
      </c>
      <c r="E6" s="405"/>
    </row>
    <row r="7" spans="3:5" ht="15" customHeight="1">
      <c r="D7" s="229" t="s">
        <v>655</v>
      </c>
      <c r="E7" s="488">
        <v>-110757</v>
      </c>
    </row>
    <row r="8" spans="3:5" ht="15" customHeight="1">
      <c r="D8" s="483" t="s">
        <v>656</v>
      </c>
      <c r="E8" s="370">
        <f>SUM(E9:E12)</f>
        <v>-1949933</v>
      </c>
    </row>
    <row r="9" spans="3:5" ht="15" customHeight="1">
      <c r="D9" s="229" t="s">
        <v>657</v>
      </c>
      <c r="E9" s="330">
        <v>-1949933</v>
      </c>
    </row>
    <row r="10" spans="3:5" ht="15" customHeight="1">
      <c r="D10" s="229" t="s">
        <v>658</v>
      </c>
      <c r="E10" s="330"/>
    </row>
    <row r="11" spans="3:5" ht="15" customHeight="1">
      <c r="D11" s="229" t="s">
        <v>659</v>
      </c>
      <c r="E11" s="330"/>
    </row>
    <row r="12" spans="3:5" ht="15" customHeight="1">
      <c r="D12" s="229" t="s">
        <v>660</v>
      </c>
      <c r="E12" s="330"/>
    </row>
    <row r="13" spans="3:5" ht="15" customHeight="1">
      <c r="D13" s="483" t="s">
        <v>661</v>
      </c>
      <c r="E13" s="370">
        <f>E7-E8</f>
        <v>1839176</v>
      </c>
    </row>
    <row r="14" spans="3:5" ht="15" customHeight="1">
      <c r="D14" s="229" t="s">
        <v>662</v>
      </c>
      <c r="E14" s="330"/>
    </row>
    <row r="15" spans="3:5" ht="15" customHeight="1">
      <c r="D15" s="229" t="s">
        <v>456</v>
      </c>
      <c r="E15" s="330"/>
    </row>
    <row r="16" spans="3:5" ht="15" customHeight="1" thickBot="1">
      <c r="D16" s="229" t="s">
        <v>604</v>
      </c>
      <c r="E16" s="330"/>
    </row>
    <row r="17" spans="3:6" ht="15" customHeight="1" thickBot="1">
      <c r="D17" s="230" t="s">
        <v>663</v>
      </c>
      <c r="E17" s="199">
        <f>E13+E14+E15+E16</f>
        <v>1839176</v>
      </c>
    </row>
    <row r="18" spans="3:6" ht="14.1" customHeight="1"/>
    <row r="20" spans="3:6">
      <c r="C20" s="379" t="s">
        <v>1840</v>
      </c>
    </row>
    <row r="21" spans="3:6" ht="15.75" thickBot="1"/>
    <row r="22" spans="3:6">
      <c r="D22" s="1670"/>
      <c r="E22" s="1686" t="s">
        <v>664</v>
      </c>
      <c r="F22" s="1686" t="s">
        <v>579</v>
      </c>
    </row>
    <row r="23" spans="3:6" ht="54.95" customHeight="1" thickBot="1">
      <c r="D23" s="1674"/>
      <c r="E23" s="1687"/>
      <c r="F23" s="1687"/>
    </row>
    <row r="24" spans="3:6">
      <c r="D24" s="521" t="s">
        <v>1841</v>
      </c>
      <c r="E24" s="1352">
        <v>0.27</v>
      </c>
      <c r="F24" s="530">
        <v>1367964</v>
      </c>
    </row>
    <row r="25" spans="3:6">
      <c r="D25" s="521" t="s">
        <v>1842</v>
      </c>
      <c r="E25" s="1353">
        <v>2.18E-2</v>
      </c>
      <c r="F25" s="353">
        <v>110419</v>
      </c>
    </row>
    <row r="26" spans="3:6">
      <c r="D26" s="229" t="s">
        <v>1843</v>
      </c>
      <c r="E26" s="532"/>
      <c r="F26" s="353"/>
    </row>
    <row r="27" spans="3:6">
      <c r="D27" s="229" t="s">
        <v>1844</v>
      </c>
      <c r="E27" s="533"/>
      <c r="F27" s="54"/>
    </row>
    <row r="28" spans="3:6">
      <c r="D28" s="229" t="s">
        <v>1845</v>
      </c>
      <c r="E28" s="533"/>
      <c r="F28" s="54"/>
    </row>
    <row r="29" spans="3:6">
      <c r="D29" s="229" t="s">
        <v>1846</v>
      </c>
      <c r="E29" s="533"/>
      <c r="F29" s="54"/>
    </row>
    <row r="30" spans="3:6" ht="15.75" thickBot="1">
      <c r="D30" s="521" t="s">
        <v>604</v>
      </c>
      <c r="E30" s="1354">
        <v>7.1199999999999999E-2</v>
      </c>
      <c r="F30" s="375">
        <v>360793</v>
      </c>
    </row>
    <row r="31" spans="3:6" s="146" customFormat="1" ht="15.75" thickBot="1">
      <c r="D31" s="230" t="s">
        <v>1847</v>
      </c>
      <c r="E31" s="534">
        <f>SUM(E24:E30)</f>
        <v>0.36299999999999999</v>
      </c>
      <c r="F31" s="56">
        <f>SUM(F24:F30)</f>
        <v>1839176</v>
      </c>
    </row>
    <row r="32" spans="3:6" s="315" customFormat="1">
      <c r="D32" s="229"/>
      <c r="E32" s="373"/>
      <c r="F32" s="373"/>
    </row>
    <row r="33" spans="4:6" s="315" customFormat="1">
      <c r="D33" s="229"/>
      <c r="E33" s="374"/>
      <c r="F33" s="374"/>
    </row>
    <row r="34" spans="4:6" s="315" customFormat="1">
      <c r="D34" s="229"/>
      <c r="E34" s="374"/>
      <c r="F34" s="374"/>
    </row>
    <row r="35" spans="4:6" s="315" customFormat="1">
      <c r="D35" s="521"/>
      <c r="E35" s="374"/>
      <c r="F35" s="374"/>
    </row>
  </sheetData>
  <mergeCells count="3">
    <mergeCell ref="D22:D23"/>
    <mergeCell ref="E22:E23"/>
    <mergeCell ref="F22:F23"/>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heetPr>
  <dimension ref="A1:I268"/>
  <sheetViews>
    <sheetView showGridLines="0" workbookViewId="0">
      <pane xSplit="1" ySplit="4" topLeftCell="B5" activePane="bottomRight" state="frozen"/>
      <selection pane="topRight" activeCell="B1" sqref="B1"/>
      <selection pane="bottomLeft" activeCell="A5" sqref="A5"/>
      <selection pane="bottomRight" activeCell="B5" sqref="B5"/>
    </sheetView>
  </sheetViews>
  <sheetFormatPr baseColWidth="10" defaultColWidth="9.140625" defaultRowHeight="15" outlineLevelRow="1"/>
  <cols>
    <col min="1" max="1" width="3.7109375" customWidth="1"/>
    <col min="2" max="2" width="55.7109375" customWidth="1"/>
    <col min="3" max="4" width="14.7109375" customWidth="1"/>
    <col min="5" max="5" width="35.7109375" customWidth="1"/>
    <col min="6" max="8" width="14.7109375" customWidth="1"/>
    <col min="9" max="9" width="55.7109375" customWidth="1"/>
    <col min="10" max="10" width="14.7109375" customWidth="1"/>
  </cols>
  <sheetData>
    <row r="1" spans="1:9" s="246" customFormat="1" ht="15" customHeight="1"/>
    <row r="2" spans="1:9" s="246" customFormat="1" ht="15" customHeight="1">
      <c r="B2" s="501" t="s">
        <v>1848</v>
      </c>
    </row>
    <row r="3" spans="1:9" s="246" customFormat="1" ht="15" customHeight="1" thickBot="1"/>
    <row r="4" spans="1:9" s="182" customFormat="1" ht="75" customHeight="1" thickBot="1">
      <c r="B4" s="493"/>
      <c r="C4" s="493" t="s">
        <v>666</v>
      </c>
      <c r="D4" s="493" t="s">
        <v>667</v>
      </c>
      <c r="E4" s="493" t="s">
        <v>1849</v>
      </c>
      <c r="F4" s="493" t="s">
        <v>1850</v>
      </c>
      <c r="G4" s="493" t="s">
        <v>1851</v>
      </c>
      <c r="H4" s="493" t="s">
        <v>668</v>
      </c>
      <c r="I4" s="493" t="s">
        <v>669</v>
      </c>
    </row>
    <row r="5" spans="1:9" s="182" customFormat="1" ht="14.1" customHeight="1" collapsed="1" thickBot="1">
      <c r="B5" s="537" t="s">
        <v>1852</v>
      </c>
      <c r="C5" s="485"/>
      <c r="D5" s="485"/>
      <c r="E5" s="485"/>
      <c r="F5" s="485"/>
      <c r="G5" s="485"/>
      <c r="H5" s="485"/>
      <c r="I5" s="485"/>
    </row>
    <row r="6" spans="1:9" ht="14.1" hidden="1" customHeight="1" outlineLevel="1">
      <c r="A6" s="190">
        <v>1</v>
      </c>
      <c r="B6" s="487"/>
      <c r="C6" s="535"/>
      <c r="D6" s="65"/>
      <c r="E6" s="535"/>
      <c r="F6" s="65"/>
      <c r="G6" s="149"/>
      <c r="H6" s="65"/>
      <c r="I6" s="535"/>
    </row>
    <row r="7" spans="1:9" ht="14.1" hidden="1" customHeight="1" outlineLevel="1">
      <c r="A7" s="190">
        <v>2</v>
      </c>
      <c r="B7" s="484"/>
      <c r="C7" s="536"/>
      <c r="D7" s="43"/>
      <c r="E7" s="536"/>
      <c r="F7" s="43"/>
      <c r="G7" s="151"/>
      <c r="H7" s="43"/>
      <c r="I7" s="536"/>
    </row>
    <row r="8" spans="1:9" ht="14.1" hidden="1" customHeight="1" outlineLevel="1">
      <c r="A8" s="190">
        <v>3</v>
      </c>
      <c r="B8" s="484"/>
      <c r="C8" s="536"/>
      <c r="D8" s="43"/>
      <c r="E8" s="536"/>
      <c r="F8" s="43"/>
      <c r="G8" s="151"/>
      <c r="H8" s="43"/>
      <c r="I8" s="536"/>
    </row>
    <row r="9" spans="1:9" ht="14.1" hidden="1" customHeight="1" outlineLevel="1">
      <c r="A9" s="190">
        <v>4</v>
      </c>
      <c r="B9" s="484"/>
      <c r="C9" s="536"/>
      <c r="D9" s="43"/>
      <c r="E9" s="536"/>
      <c r="F9" s="43"/>
      <c r="G9" s="151"/>
      <c r="H9" s="43"/>
      <c r="I9" s="536"/>
    </row>
    <row r="10" spans="1:9" ht="14.1" hidden="1" customHeight="1" outlineLevel="1">
      <c r="A10" s="190">
        <v>5</v>
      </c>
      <c r="B10" s="484"/>
      <c r="C10" s="536"/>
      <c r="D10" s="43"/>
      <c r="E10" s="536"/>
      <c r="F10" s="43"/>
      <c r="G10" s="151"/>
      <c r="H10" s="43"/>
      <c r="I10" s="536"/>
    </row>
    <row r="11" spans="1:9" ht="14.1" hidden="1" customHeight="1" outlineLevel="1">
      <c r="A11" s="190">
        <v>6</v>
      </c>
      <c r="B11" s="484"/>
      <c r="C11" s="536"/>
      <c r="D11" s="43"/>
      <c r="E11" s="536"/>
      <c r="F11" s="43"/>
      <c r="G11" s="151"/>
      <c r="H11" s="43"/>
      <c r="I11" s="536"/>
    </row>
    <row r="12" spans="1:9" ht="14.1" hidden="1" customHeight="1" outlineLevel="1">
      <c r="A12" s="190">
        <v>7</v>
      </c>
      <c r="B12" s="484"/>
      <c r="C12" s="536"/>
      <c r="D12" s="43"/>
      <c r="E12" s="536"/>
      <c r="F12" s="43"/>
      <c r="G12" s="151"/>
      <c r="H12" s="43"/>
      <c r="I12" s="536"/>
    </row>
    <row r="13" spans="1:9" ht="14.1" hidden="1" customHeight="1" outlineLevel="1">
      <c r="A13" s="190">
        <v>8</v>
      </c>
      <c r="B13" s="484"/>
      <c r="C13" s="536"/>
      <c r="D13" s="43"/>
      <c r="E13" s="536"/>
      <c r="F13" s="43"/>
      <c r="G13" s="151"/>
      <c r="H13" s="43"/>
      <c r="I13" s="536"/>
    </row>
    <row r="14" spans="1:9" ht="14.1" hidden="1" customHeight="1" outlineLevel="1">
      <c r="A14" s="190">
        <v>9</v>
      </c>
      <c r="B14" s="484"/>
      <c r="C14" s="536"/>
      <c r="D14" s="43"/>
      <c r="E14" s="536"/>
      <c r="F14" s="43"/>
      <c r="G14" s="151"/>
      <c r="H14" s="43"/>
      <c r="I14" s="536"/>
    </row>
    <row r="15" spans="1:9" ht="14.1" hidden="1" customHeight="1" outlineLevel="1">
      <c r="A15" s="190">
        <v>10</v>
      </c>
      <c r="B15" s="484"/>
      <c r="C15" s="536"/>
      <c r="D15" s="43"/>
      <c r="E15" s="536"/>
      <c r="F15" s="43"/>
      <c r="G15" s="151"/>
      <c r="H15" s="43"/>
      <c r="I15" s="536"/>
    </row>
    <row r="16" spans="1:9" ht="14.1" hidden="1" customHeight="1" outlineLevel="1">
      <c r="A16" s="190">
        <v>11</v>
      </c>
      <c r="B16" s="484"/>
      <c r="C16" s="536"/>
      <c r="D16" s="43"/>
      <c r="E16" s="536"/>
      <c r="F16" s="43"/>
      <c r="G16" s="151"/>
      <c r="H16" s="43"/>
      <c r="I16" s="536"/>
    </row>
    <row r="17" spans="1:9" ht="14.1" hidden="1" customHeight="1" outlineLevel="1">
      <c r="A17" s="190">
        <v>12</v>
      </c>
      <c r="B17" s="484"/>
      <c r="C17" s="536"/>
      <c r="D17" s="43"/>
      <c r="E17" s="536"/>
      <c r="F17" s="43"/>
      <c r="G17" s="151"/>
      <c r="H17" s="43"/>
      <c r="I17" s="536"/>
    </row>
    <row r="18" spans="1:9" ht="14.1" hidden="1" customHeight="1" outlineLevel="1">
      <c r="A18" s="190">
        <v>13</v>
      </c>
      <c r="B18" s="484"/>
      <c r="C18" s="536"/>
      <c r="D18" s="43"/>
      <c r="E18" s="536"/>
      <c r="F18" s="43"/>
      <c r="G18" s="151"/>
      <c r="H18" s="43"/>
      <c r="I18" s="536"/>
    </row>
    <row r="19" spans="1:9" ht="14.1" hidden="1" customHeight="1" outlineLevel="1">
      <c r="A19" s="190">
        <v>14</v>
      </c>
      <c r="B19" s="484"/>
      <c r="C19" s="536"/>
      <c r="D19" s="43"/>
      <c r="E19" s="536"/>
      <c r="F19" s="43"/>
      <c r="G19" s="151"/>
      <c r="H19" s="43"/>
      <c r="I19" s="536"/>
    </row>
    <row r="20" spans="1:9" ht="14.1" hidden="1" customHeight="1" outlineLevel="1">
      <c r="A20" s="190">
        <v>15</v>
      </c>
      <c r="B20" s="484"/>
      <c r="C20" s="536"/>
      <c r="D20" s="43"/>
      <c r="E20" s="536"/>
      <c r="F20" s="43"/>
      <c r="G20" s="151"/>
      <c r="H20" s="43"/>
      <c r="I20" s="536"/>
    </row>
    <row r="21" spans="1:9" ht="14.1" hidden="1" customHeight="1" outlineLevel="1">
      <c r="A21" s="190">
        <v>16</v>
      </c>
      <c r="B21" s="484"/>
      <c r="C21" s="536"/>
      <c r="D21" s="43"/>
      <c r="E21" s="536"/>
      <c r="F21" s="43"/>
      <c r="G21" s="151"/>
      <c r="H21" s="43"/>
      <c r="I21" s="536"/>
    </row>
    <row r="22" spans="1:9" ht="14.1" hidden="1" customHeight="1" outlineLevel="1">
      <c r="A22" s="190">
        <v>17</v>
      </c>
      <c r="B22" s="484"/>
      <c r="C22" s="536"/>
      <c r="D22" s="43"/>
      <c r="E22" s="536"/>
      <c r="F22" s="43"/>
      <c r="G22" s="151"/>
      <c r="H22" s="43"/>
      <c r="I22" s="536"/>
    </row>
    <row r="23" spans="1:9" ht="14.1" hidden="1" customHeight="1" outlineLevel="1">
      <c r="A23" s="190">
        <v>18</v>
      </c>
      <c r="B23" s="484"/>
      <c r="C23" s="536"/>
      <c r="D23" s="43"/>
      <c r="E23" s="536"/>
      <c r="F23" s="43"/>
      <c r="G23" s="151"/>
      <c r="H23" s="43"/>
      <c r="I23" s="536"/>
    </row>
    <row r="24" spans="1:9" ht="14.1" hidden="1" customHeight="1" outlineLevel="1">
      <c r="A24" s="190">
        <v>19</v>
      </c>
      <c r="B24" s="484"/>
      <c r="C24" s="536"/>
      <c r="D24" s="43"/>
      <c r="E24" s="536"/>
      <c r="F24" s="43"/>
      <c r="G24" s="151"/>
      <c r="H24" s="43"/>
      <c r="I24" s="536"/>
    </row>
    <row r="25" spans="1:9" ht="14.1" hidden="1" customHeight="1" outlineLevel="1">
      <c r="A25" s="190">
        <v>20</v>
      </c>
      <c r="B25" s="484"/>
      <c r="C25" s="536"/>
      <c r="D25" s="43"/>
      <c r="E25" s="536"/>
      <c r="F25" s="43"/>
      <c r="G25" s="151"/>
      <c r="H25" s="43"/>
      <c r="I25" s="536"/>
    </row>
    <row r="26" spans="1:9" ht="14.1" hidden="1" customHeight="1" outlineLevel="1">
      <c r="A26" s="190">
        <v>21</v>
      </c>
      <c r="B26" s="484"/>
      <c r="C26" s="536"/>
      <c r="D26" s="43"/>
      <c r="E26" s="536"/>
      <c r="F26" s="43"/>
      <c r="G26" s="151"/>
      <c r="H26" s="43"/>
      <c r="I26" s="536"/>
    </row>
    <row r="27" spans="1:9" ht="14.1" hidden="1" customHeight="1" outlineLevel="1">
      <c r="A27" s="190">
        <v>22</v>
      </c>
      <c r="B27" s="484"/>
      <c r="C27" s="536"/>
      <c r="D27" s="43"/>
      <c r="E27" s="536"/>
      <c r="F27" s="43"/>
      <c r="G27" s="151"/>
      <c r="H27" s="43"/>
      <c r="I27" s="536"/>
    </row>
    <row r="28" spans="1:9" ht="14.1" hidden="1" customHeight="1" outlineLevel="1">
      <c r="A28" s="190">
        <v>23</v>
      </c>
      <c r="B28" s="484"/>
      <c r="C28" s="536"/>
      <c r="D28" s="43"/>
      <c r="E28" s="536"/>
      <c r="F28" s="43"/>
      <c r="G28" s="151"/>
      <c r="H28" s="43"/>
      <c r="I28" s="536"/>
    </row>
    <row r="29" spans="1:9" ht="14.1" hidden="1" customHeight="1" outlineLevel="1">
      <c r="A29" s="190">
        <v>24</v>
      </c>
      <c r="B29" s="484"/>
      <c r="C29" s="536"/>
      <c r="D29" s="43"/>
      <c r="E29" s="536"/>
      <c r="F29" s="43"/>
      <c r="G29" s="151"/>
      <c r="H29" s="43"/>
      <c r="I29" s="536"/>
    </row>
    <row r="30" spans="1:9" ht="14.1" hidden="1" customHeight="1" outlineLevel="1">
      <c r="A30" s="190">
        <v>25</v>
      </c>
      <c r="B30" s="484"/>
      <c r="C30" s="536"/>
      <c r="D30" s="43"/>
      <c r="E30" s="536"/>
      <c r="F30" s="43"/>
      <c r="G30" s="151"/>
      <c r="H30" s="43"/>
      <c r="I30" s="536"/>
    </row>
    <row r="31" spans="1:9" ht="14.1" hidden="1" customHeight="1" outlineLevel="1">
      <c r="A31" s="190">
        <v>26</v>
      </c>
      <c r="B31" s="484"/>
      <c r="C31" s="536"/>
      <c r="D31" s="43"/>
      <c r="E31" s="536"/>
      <c r="F31" s="43"/>
      <c r="G31" s="151"/>
      <c r="H31" s="43"/>
      <c r="I31" s="536"/>
    </row>
    <row r="32" spans="1:9" ht="14.1" hidden="1" customHeight="1" outlineLevel="1">
      <c r="A32" s="190">
        <v>27</v>
      </c>
      <c r="B32" s="484"/>
      <c r="C32" s="536"/>
      <c r="D32" s="43"/>
      <c r="E32" s="536"/>
      <c r="F32" s="43"/>
      <c r="G32" s="151"/>
      <c r="H32" s="43"/>
      <c r="I32" s="536"/>
    </row>
    <row r="33" spans="1:9" ht="14.1" hidden="1" customHeight="1" outlineLevel="1">
      <c r="A33" s="190">
        <v>28</v>
      </c>
      <c r="B33" s="484"/>
      <c r="C33" s="536"/>
      <c r="D33" s="43"/>
      <c r="E33" s="536"/>
      <c r="F33" s="43"/>
      <c r="G33" s="151"/>
      <c r="H33" s="43"/>
      <c r="I33" s="536"/>
    </row>
    <row r="34" spans="1:9" ht="14.1" hidden="1" customHeight="1" outlineLevel="1">
      <c r="A34" s="190">
        <v>29</v>
      </c>
      <c r="B34" s="484"/>
      <c r="C34" s="536"/>
      <c r="D34" s="43"/>
      <c r="E34" s="536"/>
      <c r="F34" s="43"/>
      <c r="G34" s="151"/>
      <c r="H34" s="43"/>
      <c r="I34" s="536"/>
    </row>
    <row r="35" spans="1:9" ht="14.1" hidden="1" customHeight="1" outlineLevel="1">
      <c r="A35" s="190">
        <v>30</v>
      </c>
      <c r="B35" s="484"/>
      <c r="C35" s="536"/>
      <c r="D35" s="43"/>
      <c r="E35" s="536"/>
      <c r="F35" s="43"/>
      <c r="G35" s="151"/>
      <c r="H35" s="43"/>
      <c r="I35" s="536"/>
    </row>
    <row r="36" spans="1:9" ht="14.1" hidden="1" customHeight="1" outlineLevel="1">
      <c r="A36" s="190">
        <v>31</v>
      </c>
      <c r="B36" s="484"/>
      <c r="C36" s="536"/>
      <c r="D36" s="43"/>
      <c r="E36" s="536"/>
      <c r="F36" s="43"/>
      <c r="G36" s="151"/>
      <c r="H36" s="43"/>
      <c r="I36" s="536"/>
    </row>
    <row r="37" spans="1:9" ht="14.1" hidden="1" customHeight="1" outlineLevel="1">
      <c r="A37" s="190">
        <v>32</v>
      </c>
      <c r="B37" s="484"/>
      <c r="C37" s="536"/>
      <c r="D37" s="43"/>
      <c r="E37" s="536"/>
      <c r="F37" s="43"/>
      <c r="G37" s="151"/>
      <c r="H37" s="43"/>
      <c r="I37" s="536"/>
    </row>
    <row r="38" spans="1:9" ht="14.1" hidden="1" customHeight="1" outlineLevel="1">
      <c r="A38" s="190">
        <v>33</v>
      </c>
      <c r="B38" s="484"/>
      <c r="C38" s="536"/>
      <c r="D38" s="43"/>
      <c r="E38" s="536"/>
      <c r="F38" s="43"/>
      <c r="G38" s="151"/>
      <c r="H38" s="43"/>
      <c r="I38" s="536"/>
    </row>
    <row r="39" spans="1:9" ht="14.1" hidden="1" customHeight="1" outlineLevel="1">
      <c r="A39" s="190">
        <v>34</v>
      </c>
      <c r="B39" s="484"/>
      <c r="C39" s="536"/>
      <c r="D39" s="43"/>
      <c r="E39" s="536"/>
      <c r="F39" s="43"/>
      <c r="G39" s="151"/>
      <c r="H39" s="43"/>
      <c r="I39" s="536"/>
    </row>
    <row r="40" spans="1:9" ht="14.1" hidden="1" customHeight="1" outlineLevel="1">
      <c r="A40" s="190">
        <v>35</v>
      </c>
      <c r="B40" s="484"/>
      <c r="C40" s="536"/>
      <c r="D40" s="43"/>
      <c r="E40" s="536"/>
      <c r="F40" s="43"/>
      <c r="G40" s="151"/>
      <c r="H40" s="43"/>
      <c r="I40" s="536"/>
    </row>
    <row r="41" spans="1:9" ht="14.1" hidden="1" customHeight="1" outlineLevel="1">
      <c r="A41" s="190">
        <v>36</v>
      </c>
      <c r="B41" s="484"/>
      <c r="C41" s="536"/>
      <c r="D41" s="43"/>
      <c r="E41" s="536"/>
      <c r="F41" s="43"/>
      <c r="G41" s="151"/>
      <c r="H41" s="43"/>
      <c r="I41" s="536"/>
    </row>
    <row r="42" spans="1:9" ht="14.1" hidden="1" customHeight="1" outlineLevel="1">
      <c r="A42" s="190">
        <v>37</v>
      </c>
      <c r="B42" s="484"/>
      <c r="C42" s="536"/>
      <c r="D42" s="43"/>
      <c r="E42" s="536"/>
      <c r="F42" s="43"/>
      <c r="G42" s="151"/>
      <c r="H42" s="43"/>
      <c r="I42" s="536"/>
    </row>
    <row r="43" spans="1:9" ht="14.1" hidden="1" customHeight="1" outlineLevel="1">
      <c r="A43" s="190">
        <v>38</v>
      </c>
      <c r="B43" s="484"/>
      <c r="C43" s="536"/>
      <c r="D43" s="43"/>
      <c r="E43" s="536"/>
      <c r="F43" s="43"/>
      <c r="G43" s="151"/>
      <c r="H43" s="43"/>
      <c r="I43" s="536"/>
    </row>
    <row r="44" spans="1:9" ht="14.1" hidden="1" customHeight="1" outlineLevel="1">
      <c r="A44" s="190">
        <v>39</v>
      </c>
      <c r="B44" s="484"/>
      <c r="C44" s="536"/>
      <c r="D44" s="43"/>
      <c r="E44" s="536"/>
      <c r="F44" s="43"/>
      <c r="G44" s="151"/>
      <c r="H44" s="43"/>
      <c r="I44" s="536"/>
    </row>
    <row r="45" spans="1:9" ht="14.1" hidden="1" customHeight="1" outlineLevel="1">
      <c r="A45" s="190">
        <v>40</v>
      </c>
      <c r="B45" s="484"/>
      <c r="C45" s="536"/>
      <c r="D45" s="43"/>
      <c r="E45" s="536"/>
      <c r="F45" s="43"/>
      <c r="G45" s="151"/>
      <c r="H45" s="43"/>
      <c r="I45" s="536"/>
    </row>
    <row r="46" spans="1:9" ht="14.1" hidden="1" customHeight="1" outlineLevel="1">
      <c r="A46" s="190">
        <v>41</v>
      </c>
      <c r="B46" s="484"/>
      <c r="C46" s="536"/>
      <c r="D46" s="43"/>
      <c r="E46" s="536"/>
      <c r="F46" s="43"/>
      <c r="G46" s="151"/>
      <c r="H46" s="43"/>
      <c r="I46" s="536"/>
    </row>
    <row r="47" spans="1:9" ht="14.1" hidden="1" customHeight="1" outlineLevel="1">
      <c r="A47" s="190">
        <v>42</v>
      </c>
      <c r="B47" s="484"/>
      <c r="C47" s="536"/>
      <c r="D47" s="43"/>
      <c r="E47" s="536"/>
      <c r="F47" s="43"/>
      <c r="G47" s="151"/>
      <c r="H47" s="43"/>
      <c r="I47" s="536"/>
    </row>
    <row r="48" spans="1:9" ht="14.1" hidden="1" customHeight="1" outlineLevel="1">
      <c r="A48" s="190">
        <v>43</v>
      </c>
      <c r="B48" s="484"/>
      <c r="C48" s="536"/>
      <c r="D48" s="43"/>
      <c r="E48" s="536"/>
      <c r="F48" s="43"/>
      <c r="G48" s="151"/>
      <c r="H48" s="43"/>
      <c r="I48" s="536"/>
    </row>
    <row r="49" spans="1:9" ht="14.1" hidden="1" customHeight="1" outlineLevel="1">
      <c r="A49" s="190">
        <v>44</v>
      </c>
      <c r="B49" s="484"/>
      <c r="C49" s="536"/>
      <c r="D49" s="43"/>
      <c r="E49" s="536"/>
      <c r="F49" s="43"/>
      <c r="G49" s="151"/>
      <c r="H49" s="43"/>
      <c r="I49" s="536"/>
    </row>
    <row r="50" spans="1:9" ht="14.1" hidden="1" customHeight="1" outlineLevel="1">
      <c r="A50" s="190">
        <v>45</v>
      </c>
      <c r="B50" s="484"/>
      <c r="C50" s="536"/>
      <c r="D50" s="43"/>
      <c r="E50" s="536"/>
      <c r="F50" s="43"/>
      <c r="G50" s="151"/>
      <c r="H50" s="43"/>
      <c r="I50" s="536"/>
    </row>
    <row r="51" spans="1:9" ht="14.1" hidden="1" customHeight="1" outlineLevel="1">
      <c r="A51" s="190">
        <v>46</v>
      </c>
      <c r="B51" s="484"/>
      <c r="C51" s="536"/>
      <c r="D51" s="43"/>
      <c r="E51" s="536"/>
      <c r="F51" s="43"/>
      <c r="G51" s="151"/>
      <c r="H51" s="43"/>
      <c r="I51" s="536"/>
    </row>
    <row r="52" spans="1:9" ht="14.1" hidden="1" customHeight="1" outlineLevel="1">
      <c r="A52" s="190">
        <v>47</v>
      </c>
      <c r="B52" s="484"/>
      <c r="C52" s="536"/>
      <c r="D52" s="43"/>
      <c r="E52" s="536"/>
      <c r="F52" s="43"/>
      <c r="G52" s="151"/>
      <c r="H52" s="43"/>
      <c r="I52" s="536"/>
    </row>
    <row r="53" spans="1:9" ht="14.1" hidden="1" customHeight="1" outlineLevel="1">
      <c r="A53" s="190">
        <v>48</v>
      </c>
      <c r="B53" s="484"/>
      <c r="C53" s="536"/>
      <c r="D53" s="43"/>
      <c r="E53" s="536"/>
      <c r="F53" s="43"/>
      <c r="G53" s="151"/>
      <c r="H53" s="43"/>
      <c r="I53" s="536"/>
    </row>
    <row r="54" spans="1:9" ht="14.1" hidden="1" customHeight="1" outlineLevel="1">
      <c r="A54" s="190">
        <v>49</v>
      </c>
      <c r="B54" s="484"/>
      <c r="C54" s="536"/>
      <c r="D54" s="43"/>
      <c r="E54" s="536"/>
      <c r="F54" s="43"/>
      <c r="G54" s="151"/>
      <c r="H54" s="43"/>
      <c r="I54" s="536"/>
    </row>
    <row r="55" spans="1:9" ht="14.1" hidden="1" customHeight="1" outlineLevel="1" thickBot="1">
      <c r="A55" s="190">
        <v>50</v>
      </c>
      <c r="B55" s="484"/>
      <c r="C55" s="536"/>
      <c r="D55" s="43"/>
      <c r="E55" s="536"/>
      <c r="F55" s="43"/>
      <c r="G55" s="151"/>
      <c r="H55" s="43"/>
      <c r="I55" s="536"/>
    </row>
    <row r="56" spans="1:9" s="246" customFormat="1" ht="14.1" customHeight="1" thickBot="1">
      <c r="B56" s="159" t="s">
        <v>1852</v>
      </c>
      <c r="C56" s="538"/>
      <c r="D56" s="111">
        <f>SUM(D6:D55)</f>
        <v>0</v>
      </c>
      <c r="E56" s="539"/>
      <c r="F56" s="111">
        <f>SUM(F6:F55)</f>
        <v>0</v>
      </c>
      <c r="G56" s="540"/>
      <c r="H56" s="111">
        <f>SUM(H6:H55)</f>
        <v>0</v>
      </c>
      <c r="I56" s="541"/>
    </row>
    <row r="57" spans="1:9" ht="15.75" thickBot="1"/>
    <row r="58" spans="1:9" s="182" customFormat="1" ht="14.1" customHeight="1" thickBot="1">
      <c r="B58" s="537" t="s">
        <v>1853</v>
      </c>
      <c r="C58" s="485"/>
      <c r="D58" s="485"/>
      <c r="E58" s="485"/>
      <c r="F58" s="485"/>
      <c r="G58" s="485"/>
      <c r="H58" s="485"/>
      <c r="I58" s="485"/>
    </row>
    <row r="59" spans="1:9" ht="14.1" customHeight="1" outlineLevel="1">
      <c r="A59" s="190">
        <v>1</v>
      </c>
      <c r="B59" s="487" t="s">
        <v>1853</v>
      </c>
      <c r="C59" s="535" t="s">
        <v>3889</v>
      </c>
      <c r="D59" s="65">
        <v>23720</v>
      </c>
      <c r="E59" s="535" t="s">
        <v>3892</v>
      </c>
      <c r="F59" s="65"/>
      <c r="G59" s="149"/>
      <c r="H59" s="65"/>
      <c r="I59" s="535" t="s">
        <v>3890</v>
      </c>
    </row>
    <row r="60" spans="1:9" ht="14.1" customHeight="1" outlineLevel="1">
      <c r="A60" s="190">
        <v>2</v>
      </c>
      <c r="B60" s="484" t="s">
        <v>1853</v>
      </c>
      <c r="C60" s="536" t="s">
        <v>3889</v>
      </c>
      <c r="D60" s="43">
        <v>115000</v>
      </c>
      <c r="E60" s="536" t="s">
        <v>3893</v>
      </c>
      <c r="F60" s="43"/>
      <c r="G60" s="151"/>
      <c r="H60" s="43"/>
      <c r="I60" s="536" t="s">
        <v>3890</v>
      </c>
    </row>
    <row r="61" spans="1:9" ht="14.1" customHeight="1" outlineLevel="1">
      <c r="A61" s="190">
        <v>3</v>
      </c>
      <c r="B61" s="484" t="s">
        <v>1853</v>
      </c>
      <c r="C61" s="536" t="s">
        <v>3889</v>
      </c>
      <c r="D61" s="43">
        <v>27491</v>
      </c>
      <c r="E61" s="536" t="s">
        <v>3894</v>
      </c>
      <c r="F61" s="43"/>
      <c r="G61" s="151"/>
      <c r="H61" s="43"/>
      <c r="I61" s="536" t="s">
        <v>3891</v>
      </c>
    </row>
    <row r="62" spans="1:9" ht="14.1" customHeight="1" outlineLevel="1">
      <c r="A62" s="190">
        <v>4</v>
      </c>
      <c r="B62" s="484" t="s">
        <v>1853</v>
      </c>
      <c r="C62" s="536" t="s">
        <v>3889</v>
      </c>
      <c r="D62" s="43">
        <v>6666</v>
      </c>
      <c r="E62" s="536" t="s">
        <v>3895</v>
      </c>
      <c r="F62" s="43"/>
      <c r="G62" s="151"/>
      <c r="H62" s="43"/>
      <c r="I62" s="536" t="s">
        <v>3890</v>
      </c>
    </row>
    <row r="63" spans="1:9" ht="14.1" customHeight="1" outlineLevel="1">
      <c r="A63" s="190">
        <v>5</v>
      </c>
      <c r="B63" s="484" t="s">
        <v>1853</v>
      </c>
      <c r="C63" s="536" t="s">
        <v>3889</v>
      </c>
      <c r="D63" s="43">
        <v>19021</v>
      </c>
      <c r="E63" s="536" t="s">
        <v>3896</v>
      </c>
      <c r="F63" s="43"/>
      <c r="G63" s="151"/>
      <c r="H63" s="43"/>
      <c r="I63" s="536" t="s">
        <v>3890</v>
      </c>
    </row>
    <row r="64" spans="1:9" ht="14.1" customHeight="1" outlineLevel="1">
      <c r="A64" s="190">
        <v>6</v>
      </c>
      <c r="B64" s="1259" t="s">
        <v>1853</v>
      </c>
      <c r="C64" s="536" t="s">
        <v>3889</v>
      </c>
      <c r="D64" s="43">
        <v>6618</v>
      </c>
      <c r="E64" s="536" t="s">
        <v>3897</v>
      </c>
      <c r="F64" s="43"/>
      <c r="G64" s="151"/>
      <c r="H64" s="43"/>
      <c r="I64" s="536" t="s">
        <v>3890</v>
      </c>
    </row>
    <row r="65" spans="1:9" ht="14.1" customHeight="1" outlineLevel="1" thickBot="1">
      <c r="A65" s="190">
        <v>7</v>
      </c>
      <c r="B65" s="484"/>
      <c r="C65" s="536"/>
      <c r="D65" s="43"/>
      <c r="E65" s="536"/>
      <c r="F65" s="43"/>
      <c r="G65" s="151"/>
      <c r="H65" s="43"/>
      <c r="I65" s="536"/>
    </row>
    <row r="66" spans="1:9" ht="14.1" hidden="1" customHeight="1" outlineLevel="1">
      <c r="A66" s="190">
        <v>8</v>
      </c>
      <c r="B66" s="484"/>
      <c r="C66" s="536"/>
      <c r="D66" s="43"/>
      <c r="E66" s="536"/>
      <c r="F66" s="43"/>
      <c r="G66" s="151"/>
      <c r="H66" s="43"/>
      <c r="I66" s="536"/>
    </row>
    <row r="67" spans="1:9" ht="14.1" hidden="1" customHeight="1" outlineLevel="1">
      <c r="A67" s="190">
        <v>9</v>
      </c>
      <c r="B67" s="484"/>
      <c r="C67" s="536"/>
      <c r="D67" s="43"/>
      <c r="E67" s="536"/>
      <c r="F67" s="43"/>
      <c r="G67" s="151"/>
      <c r="H67" s="43"/>
      <c r="I67" s="536"/>
    </row>
    <row r="68" spans="1:9" ht="14.1" hidden="1" customHeight="1" outlineLevel="1">
      <c r="A68" s="190">
        <v>10</v>
      </c>
      <c r="B68" s="484"/>
      <c r="C68" s="536"/>
      <c r="D68" s="43"/>
      <c r="E68" s="536"/>
      <c r="F68" s="43"/>
      <c r="G68" s="151"/>
      <c r="H68" s="43"/>
      <c r="I68" s="536"/>
    </row>
    <row r="69" spans="1:9" ht="14.1" hidden="1" customHeight="1" outlineLevel="1">
      <c r="A69" s="190">
        <v>11</v>
      </c>
      <c r="B69" s="484"/>
      <c r="C69" s="536"/>
      <c r="D69" s="43"/>
      <c r="E69" s="536"/>
      <c r="F69" s="43"/>
      <c r="G69" s="151"/>
      <c r="H69" s="43"/>
      <c r="I69" s="536"/>
    </row>
    <row r="70" spans="1:9" ht="14.1" hidden="1" customHeight="1" outlineLevel="1">
      <c r="A70" s="190">
        <v>12</v>
      </c>
      <c r="B70" s="484"/>
      <c r="C70" s="536"/>
      <c r="D70" s="43"/>
      <c r="E70" s="536"/>
      <c r="F70" s="43"/>
      <c r="G70" s="151"/>
      <c r="H70" s="43"/>
      <c r="I70" s="536"/>
    </row>
    <row r="71" spans="1:9" ht="14.1" hidden="1" customHeight="1" outlineLevel="1">
      <c r="A71" s="190">
        <v>13</v>
      </c>
      <c r="B71" s="484"/>
      <c r="C71" s="536"/>
      <c r="D71" s="43"/>
      <c r="E71" s="536"/>
      <c r="F71" s="43"/>
      <c r="G71" s="151"/>
      <c r="H71" s="43"/>
      <c r="I71" s="536"/>
    </row>
    <row r="72" spans="1:9" ht="14.1" hidden="1" customHeight="1" outlineLevel="1">
      <c r="A72" s="190">
        <v>14</v>
      </c>
      <c r="B72" s="484"/>
      <c r="C72" s="536"/>
      <c r="D72" s="43"/>
      <c r="E72" s="536"/>
      <c r="F72" s="43"/>
      <c r="G72" s="151"/>
      <c r="H72" s="43"/>
      <c r="I72" s="536"/>
    </row>
    <row r="73" spans="1:9" ht="14.1" hidden="1" customHeight="1" outlineLevel="1">
      <c r="A73" s="190">
        <v>15</v>
      </c>
      <c r="B73" s="484"/>
      <c r="C73" s="536"/>
      <c r="D73" s="43"/>
      <c r="E73" s="536"/>
      <c r="F73" s="43"/>
      <c r="G73" s="151"/>
      <c r="H73" s="43"/>
      <c r="I73" s="536"/>
    </row>
    <row r="74" spans="1:9" ht="14.1" hidden="1" customHeight="1" outlineLevel="1">
      <c r="A74" s="190">
        <v>16</v>
      </c>
      <c r="B74" s="484"/>
      <c r="C74" s="536"/>
      <c r="D74" s="43"/>
      <c r="E74" s="536"/>
      <c r="F74" s="43"/>
      <c r="G74" s="151"/>
      <c r="H74" s="43"/>
      <c r="I74" s="536"/>
    </row>
    <row r="75" spans="1:9" ht="14.1" hidden="1" customHeight="1" outlineLevel="1">
      <c r="A75" s="190">
        <v>17</v>
      </c>
      <c r="B75" s="484"/>
      <c r="C75" s="536"/>
      <c r="D75" s="43"/>
      <c r="E75" s="536"/>
      <c r="F75" s="43"/>
      <c r="G75" s="151"/>
      <c r="H75" s="43"/>
      <c r="I75" s="536"/>
    </row>
    <row r="76" spans="1:9" ht="14.1" hidden="1" customHeight="1" outlineLevel="1">
      <c r="A76" s="190">
        <v>18</v>
      </c>
      <c r="B76" s="484"/>
      <c r="C76" s="536"/>
      <c r="D76" s="43"/>
      <c r="E76" s="536"/>
      <c r="F76" s="43"/>
      <c r="G76" s="151"/>
      <c r="H76" s="43"/>
      <c r="I76" s="536"/>
    </row>
    <row r="77" spans="1:9" ht="14.1" hidden="1" customHeight="1" outlineLevel="1">
      <c r="A77" s="190">
        <v>19</v>
      </c>
      <c r="B77" s="484"/>
      <c r="C77" s="536"/>
      <c r="D77" s="43"/>
      <c r="E77" s="536"/>
      <c r="F77" s="43"/>
      <c r="G77" s="151"/>
      <c r="H77" s="43"/>
      <c r="I77" s="536"/>
    </row>
    <row r="78" spans="1:9" ht="14.1" hidden="1" customHeight="1" outlineLevel="1">
      <c r="A78" s="190">
        <v>20</v>
      </c>
      <c r="B78" s="484"/>
      <c r="C78" s="536"/>
      <c r="D78" s="43"/>
      <c r="E78" s="536"/>
      <c r="F78" s="43"/>
      <c r="G78" s="151"/>
      <c r="H78" s="43"/>
      <c r="I78" s="536"/>
    </row>
    <row r="79" spans="1:9" ht="14.1" hidden="1" customHeight="1" outlineLevel="1">
      <c r="A79" s="190">
        <v>21</v>
      </c>
      <c r="B79" s="484"/>
      <c r="C79" s="536"/>
      <c r="D79" s="43"/>
      <c r="E79" s="536"/>
      <c r="F79" s="43"/>
      <c r="G79" s="151"/>
      <c r="H79" s="43"/>
      <c r="I79" s="536"/>
    </row>
    <row r="80" spans="1:9" ht="14.1" hidden="1" customHeight="1" outlineLevel="1">
      <c r="A80" s="190">
        <v>22</v>
      </c>
      <c r="B80" s="484"/>
      <c r="C80" s="536"/>
      <c r="D80" s="43"/>
      <c r="E80" s="536"/>
      <c r="F80" s="43"/>
      <c r="G80" s="151"/>
      <c r="H80" s="43"/>
      <c r="I80" s="536"/>
    </row>
    <row r="81" spans="1:9" ht="14.1" hidden="1" customHeight="1" outlineLevel="1">
      <c r="A81" s="190">
        <v>23</v>
      </c>
      <c r="B81" s="484"/>
      <c r="C81" s="536"/>
      <c r="D81" s="43"/>
      <c r="E81" s="536"/>
      <c r="F81" s="43"/>
      <c r="G81" s="151"/>
      <c r="H81" s="43"/>
      <c r="I81" s="536"/>
    </row>
    <row r="82" spans="1:9" ht="14.1" hidden="1" customHeight="1" outlineLevel="1">
      <c r="A82" s="190">
        <v>24</v>
      </c>
      <c r="B82" s="484"/>
      <c r="C82" s="536"/>
      <c r="D82" s="43"/>
      <c r="E82" s="536"/>
      <c r="F82" s="43"/>
      <c r="G82" s="151"/>
      <c r="H82" s="43"/>
      <c r="I82" s="536"/>
    </row>
    <row r="83" spans="1:9" ht="14.1" hidden="1" customHeight="1" outlineLevel="1">
      <c r="A83" s="190">
        <v>25</v>
      </c>
      <c r="B83" s="484"/>
      <c r="C83" s="536"/>
      <c r="D83" s="43"/>
      <c r="E83" s="536"/>
      <c r="F83" s="43"/>
      <c r="G83" s="151"/>
      <c r="H83" s="43"/>
      <c r="I83" s="536"/>
    </row>
    <row r="84" spans="1:9" ht="14.1" hidden="1" customHeight="1" outlineLevel="1">
      <c r="A84" s="190">
        <v>26</v>
      </c>
      <c r="B84" s="484"/>
      <c r="C84" s="536"/>
      <c r="D84" s="43"/>
      <c r="E84" s="536"/>
      <c r="F84" s="43"/>
      <c r="G84" s="151"/>
      <c r="H84" s="43"/>
      <c r="I84" s="536"/>
    </row>
    <row r="85" spans="1:9" ht="14.1" hidden="1" customHeight="1" outlineLevel="1">
      <c r="A85" s="190">
        <v>27</v>
      </c>
      <c r="B85" s="484"/>
      <c r="C85" s="536"/>
      <c r="D85" s="43"/>
      <c r="E85" s="536"/>
      <c r="F85" s="43"/>
      <c r="G85" s="151"/>
      <c r="H85" s="43"/>
      <c r="I85" s="536"/>
    </row>
    <row r="86" spans="1:9" ht="14.1" hidden="1" customHeight="1" outlineLevel="1">
      <c r="A86" s="190">
        <v>28</v>
      </c>
      <c r="B86" s="484"/>
      <c r="C86" s="536"/>
      <c r="D86" s="43"/>
      <c r="E86" s="536"/>
      <c r="F86" s="43"/>
      <c r="G86" s="151"/>
      <c r="H86" s="43"/>
      <c r="I86" s="536"/>
    </row>
    <row r="87" spans="1:9" ht="14.1" hidden="1" customHeight="1" outlineLevel="1">
      <c r="A87" s="190">
        <v>29</v>
      </c>
      <c r="B87" s="484"/>
      <c r="C87" s="536"/>
      <c r="D87" s="43"/>
      <c r="E87" s="536"/>
      <c r="F87" s="43"/>
      <c r="G87" s="151"/>
      <c r="H87" s="43"/>
      <c r="I87" s="536"/>
    </row>
    <row r="88" spans="1:9" ht="14.1" hidden="1" customHeight="1" outlineLevel="1">
      <c r="A88" s="190">
        <v>30</v>
      </c>
      <c r="B88" s="484"/>
      <c r="C88" s="536"/>
      <c r="D88" s="43"/>
      <c r="E88" s="536"/>
      <c r="F88" s="43"/>
      <c r="G88" s="151"/>
      <c r="H88" s="43"/>
      <c r="I88" s="536"/>
    </row>
    <row r="89" spans="1:9" ht="14.1" hidden="1" customHeight="1" outlineLevel="1">
      <c r="A89" s="190">
        <v>31</v>
      </c>
      <c r="B89" s="484"/>
      <c r="C89" s="536"/>
      <c r="D89" s="43"/>
      <c r="E89" s="536"/>
      <c r="F89" s="43"/>
      <c r="G89" s="151"/>
      <c r="H89" s="43"/>
      <c r="I89" s="536"/>
    </row>
    <row r="90" spans="1:9" ht="14.1" hidden="1" customHeight="1" outlineLevel="1">
      <c r="A90" s="190">
        <v>32</v>
      </c>
      <c r="B90" s="484"/>
      <c r="C90" s="536"/>
      <c r="D90" s="43"/>
      <c r="E90" s="536"/>
      <c r="F90" s="43"/>
      <c r="G90" s="151"/>
      <c r="H90" s="43"/>
      <c r="I90" s="536"/>
    </row>
    <row r="91" spans="1:9" ht="14.1" hidden="1" customHeight="1" outlineLevel="1">
      <c r="A91" s="190">
        <v>33</v>
      </c>
      <c r="B91" s="484"/>
      <c r="C91" s="536"/>
      <c r="D91" s="43"/>
      <c r="E91" s="536"/>
      <c r="F91" s="43"/>
      <c r="G91" s="151"/>
      <c r="H91" s="43"/>
      <c r="I91" s="536"/>
    </row>
    <row r="92" spans="1:9" ht="14.1" hidden="1" customHeight="1" outlineLevel="1">
      <c r="A92" s="190">
        <v>34</v>
      </c>
      <c r="B92" s="484"/>
      <c r="C92" s="536"/>
      <c r="D92" s="43"/>
      <c r="E92" s="536"/>
      <c r="F92" s="43"/>
      <c r="G92" s="151"/>
      <c r="H92" s="43"/>
      <c r="I92" s="536"/>
    </row>
    <row r="93" spans="1:9" ht="14.1" hidden="1" customHeight="1" outlineLevel="1">
      <c r="A93" s="190">
        <v>35</v>
      </c>
      <c r="B93" s="484"/>
      <c r="C93" s="536"/>
      <c r="D93" s="43"/>
      <c r="E93" s="536"/>
      <c r="F93" s="43"/>
      <c r="G93" s="151"/>
      <c r="H93" s="43"/>
      <c r="I93" s="536"/>
    </row>
    <row r="94" spans="1:9" ht="14.1" hidden="1" customHeight="1" outlineLevel="1">
      <c r="A94" s="190">
        <v>36</v>
      </c>
      <c r="B94" s="484"/>
      <c r="C94" s="536"/>
      <c r="D94" s="43"/>
      <c r="E94" s="536"/>
      <c r="F94" s="43"/>
      <c r="G94" s="151"/>
      <c r="H94" s="43"/>
      <c r="I94" s="536"/>
    </row>
    <row r="95" spans="1:9" ht="14.1" hidden="1" customHeight="1" outlineLevel="1">
      <c r="A95" s="190">
        <v>37</v>
      </c>
      <c r="B95" s="484"/>
      <c r="C95" s="536"/>
      <c r="D95" s="43"/>
      <c r="E95" s="536"/>
      <c r="F95" s="43"/>
      <c r="G95" s="151"/>
      <c r="H95" s="43"/>
      <c r="I95" s="536"/>
    </row>
    <row r="96" spans="1:9" ht="14.1" hidden="1" customHeight="1" outlineLevel="1">
      <c r="A96" s="190">
        <v>38</v>
      </c>
      <c r="B96" s="484"/>
      <c r="C96" s="536"/>
      <c r="D96" s="43"/>
      <c r="E96" s="536"/>
      <c r="F96" s="43"/>
      <c r="G96" s="151"/>
      <c r="H96" s="43"/>
      <c r="I96" s="536"/>
    </row>
    <row r="97" spans="1:9" ht="14.1" hidden="1" customHeight="1" outlineLevel="1">
      <c r="A97" s="190">
        <v>39</v>
      </c>
      <c r="B97" s="484"/>
      <c r="C97" s="536"/>
      <c r="D97" s="43"/>
      <c r="E97" s="536"/>
      <c r="F97" s="43"/>
      <c r="G97" s="151"/>
      <c r="H97" s="43"/>
      <c r="I97" s="536"/>
    </row>
    <row r="98" spans="1:9" ht="14.1" hidden="1" customHeight="1" outlineLevel="1">
      <c r="A98" s="190">
        <v>40</v>
      </c>
      <c r="B98" s="484"/>
      <c r="C98" s="536"/>
      <c r="D98" s="43"/>
      <c r="E98" s="536"/>
      <c r="F98" s="43"/>
      <c r="G98" s="151"/>
      <c r="H98" s="43"/>
      <c r="I98" s="536"/>
    </row>
    <row r="99" spans="1:9" ht="14.1" hidden="1" customHeight="1" outlineLevel="1">
      <c r="A99" s="190">
        <v>41</v>
      </c>
      <c r="B99" s="484"/>
      <c r="C99" s="536"/>
      <c r="D99" s="43"/>
      <c r="E99" s="536"/>
      <c r="F99" s="43"/>
      <c r="G99" s="151"/>
      <c r="H99" s="43"/>
      <c r="I99" s="536"/>
    </row>
    <row r="100" spans="1:9" ht="14.1" hidden="1" customHeight="1" outlineLevel="1">
      <c r="A100" s="190">
        <v>42</v>
      </c>
      <c r="B100" s="484"/>
      <c r="C100" s="536"/>
      <c r="D100" s="43"/>
      <c r="E100" s="536"/>
      <c r="F100" s="43"/>
      <c r="G100" s="151"/>
      <c r="H100" s="43"/>
      <c r="I100" s="536"/>
    </row>
    <row r="101" spans="1:9" ht="14.1" hidden="1" customHeight="1" outlineLevel="1">
      <c r="A101" s="190">
        <v>43</v>
      </c>
      <c r="B101" s="484"/>
      <c r="C101" s="536"/>
      <c r="D101" s="43"/>
      <c r="E101" s="536"/>
      <c r="F101" s="43"/>
      <c r="G101" s="151"/>
      <c r="H101" s="43"/>
      <c r="I101" s="536"/>
    </row>
    <row r="102" spans="1:9" ht="14.1" hidden="1" customHeight="1" outlineLevel="1">
      <c r="A102" s="190">
        <v>44</v>
      </c>
      <c r="B102" s="484"/>
      <c r="C102" s="536"/>
      <c r="D102" s="43"/>
      <c r="E102" s="536"/>
      <c r="F102" s="43"/>
      <c r="G102" s="151"/>
      <c r="H102" s="43"/>
      <c r="I102" s="536"/>
    </row>
    <row r="103" spans="1:9" ht="14.1" hidden="1" customHeight="1" outlineLevel="1">
      <c r="A103" s="190">
        <v>45</v>
      </c>
      <c r="B103" s="484"/>
      <c r="C103" s="536"/>
      <c r="D103" s="43"/>
      <c r="E103" s="536"/>
      <c r="F103" s="43"/>
      <c r="G103" s="151"/>
      <c r="H103" s="43"/>
      <c r="I103" s="536"/>
    </row>
    <row r="104" spans="1:9" ht="14.1" hidden="1" customHeight="1" outlineLevel="1">
      <c r="A104" s="190">
        <v>46</v>
      </c>
      <c r="B104" s="484"/>
      <c r="C104" s="536"/>
      <c r="D104" s="43"/>
      <c r="E104" s="536"/>
      <c r="F104" s="43"/>
      <c r="G104" s="151"/>
      <c r="H104" s="43"/>
      <c r="I104" s="536"/>
    </row>
    <row r="105" spans="1:9" ht="14.1" hidden="1" customHeight="1" outlineLevel="1">
      <c r="A105" s="190">
        <v>47</v>
      </c>
      <c r="B105" s="484"/>
      <c r="C105" s="536"/>
      <c r="D105" s="43"/>
      <c r="E105" s="536"/>
      <c r="F105" s="43"/>
      <c r="G105" s="151"/>
      <c r="H105" s="43"/>
      <c r="I105" s="536"/>
    </row>
    <row r="106" spans="1:9" ht="14.1" hidden="1" customHeight="1" outlineLevel="1">
      <c r="A106" s="190">
        <v>48</v>
      </c>
      <c r="B106" s="484"/>
      <c r="C106" s="536"/>
      <c r="D106" s="43"/>
      <c r="E106" s="536"/>
      <c r="F106" s="43"/>
      <c r="G106" s="151"/>
      <c r="H106" s="43"/>
      <c r="I106" s="536"/>
    </row>
    <row r="107" spans="1:9" ht="14.1" hidden="1" customHeight="1" outlineLevel="1">
      <c r="A107" s="190">
        <v>49</v>
      </c>
      <c r="B107" s="484"/>
      <c r="C107" s="536"/>
      <c r="D107" s="43"/>
      <c r="E107" s="536"/>
      <c r="F107" s="43"/>
      <c r="G107" s="151"/>
      <c r="H107" s="43"/>
      <c r="I107" s="536"/>
    </row>
    <row r="108" spans="1:9" ht="14.1" hidden="1" customHeight="1" outlineLevel="1" thickBot="1">
      <c r="A108" s="190">
        <v>50</v>
      </c>
      <c r="B108" s="484"/>
      <c r="C108" s="536"/>
      <c r="D108" s="43"/>
      <c r="E108" s="536"/>
      <c r="F108" s="43"/>
      <c r="G108" s="151"/>
      <c r="H108" s="43"/>
      <c r="I108" s="536"/>
    </row>
    <row r="109" spans="1:9" s="246" customFormat="1" ht="14.1" customHeight="1" thickBot="1">
      <c r="B109" s="159" t="s">
        <v>1853</v>
      </c>
      <c r="C109" s="538"/>
      <c r="D109" s="111">
        <f>SUM(D59:D108)</f>
        <v>198516</v>
      </c>
      <c r="E109" s="539"/>
      <c r="F109" s="111">
        <f>SUM(F59:F108)</f>
        <v>0</v>
      </c>
      <c r="G109" s="540"/>
      <c r="H109" s="111">
        <f>SUM(H59:H108)</f>
        <v>0</v>
      </c>
      <c r="I109" s="541"/>
    </row>
    <row r="110" spans="1:9" ht="15.75" thickBot="1"/>
    <row r="111" spans="1:9" s="182" customFormat="1" ht="14.1" customHeight="1" collapsed="1" thickBot="1">
      <c r="B111" s="537" t="s">
        <v>1854</v>
      </c>
      <c r="C111" s="485"/>
      <c r="D111" s="485"/>
      <c r="E111" s="485"/>
      <c r="F111" s="485"/>
      <c r="G111" s="485"/>
      <c r="H111" s="485"/>
      <c r="I111" s="485"/>
    </row>
    <row r="112" spans="1:9" ht="14.1" hidden="1" customHeight="1" outlineLevel="1">
      <c r="A112" s="190">
        <v>1</v>
      </c>
      <c r="B112" s="487"/>
      <c r="C112" s="535"/>
      <c r="D112" s="65"/>
      <c r="E112" s="535"/>
      <c r="F112" s="65"/>
      <c r="G112" s="149"/>
      <c r="H112" s="65"/>
      <c r="I112" s="535"/>
    </row>
    <row r="113" spans="1:9" ht="14.1" hidden="1" customHeight="1" outlineLevel="1">
      <c r="A113" s="190">
        <v>2</v>
      </c>
      <c r="B113" s="484"/>
      <c r="C113" s="536"/>
      <c r="D113" s="43"/>
      <c r="E113" s="536"/>
      <c r="F113" s="43"/>
      <c r="G113" s="151"/>
      <c r="H113" s="43"/>
      <c r="I113" s="536"/>
    </row>
    <row r="114" spans="1:9" ht="14.1" hidden="1" customHeight="1" outlineLevel="1">
      <c r="A114" s="190">
        <v>3</v>
      </c>
      <c r="B114" s="484"/>
      <c r="C114" s="536"/>
      <c r="D114" s="43"/>
      <c r="E114" s="536"/>
      <c r="F114" s="43"/>
      <c r="G114" s="151"/>
      <c r="H114" s="43"/>
      <c r="I114" s="536"/>
    </row>
    <row r="115" spans="1:9" ht="14.1" hidden="1" customHeight="1" outlineLevel="1">
      <c r="A115" s="190">
        <v>4</v>
      </c>
      <c r="B115" s="484"/>
      <c r="C115" s="536"/>
      <c r="D115" s="43"/>
      <c r="E115" s="536"/>
      <c r="F115" s="43"/>
      <c r="G115" s="151"/>
      <c r="H115" s="43"/>
      <c r="I115" s="536"/>
    </row>
    <row r="116" spans="1:9" ht="14.1" hidden="1" customHeight="1" outlineLevel="1">
      <c r="A116" s="190">
        <v>5</v>
      </c>
      <c r="B116" s="484"/>
      <c r="C116" s="536"/>
      <c r="D116" s="43"/>
      <c r="E116" s="536"/>
      <c r="F116" s="43"/>
      <c r="G116" s="151"/>
      <c r="H116" s="43"/>
      <c r="I116" s="536"/>
    </row>
    <row r="117" spans="1:9" ht="14.1" hidden="1" customHeight="1" outlineLevel="1">
      <c r="A117" s="190">
        <v>6</v>
      </c>
      <c r="B117" s="484"/>
      <c r="C117" s="536"/>
      <c r="D117" s="43"/>
      <c r="E117" s="536"/>
      <c r="F117" s="43"/>
      <c r="G117" s="151"/>
      <c r="H117" s="43"/>
      <c r="I117" s="536"/>
    </row>
    <row r="118" spans="1:9" ht="14.1" hidden="1" customHeight="1" outlineLevel="1">
      <c r="A118" s="190">
        <v>7</v>
      </c>
      <c r="B118" s="484"/>
      <c r="C118" s="536"/>
      <c r="D118" s="43"/>
      <c r="E118" s="536"/>
      <c r="F118" s="43"/>
      <c r="G118" s="151"/>
      <c r="H118" s="43"/>
      <c r="I118" s="536"/>
    </row>
    <row r="119" spans="1:9" ht="14.1" hidden="1" customHeight="1" outlineLevel="1">
      <c r="A119" s="190">
        <v>8</v>
      </c>
      <c r="B119" s="484"/>
      <c r="C119" s="536"/>
      <c r="D119" s="43"/>
      <c r="E119" s="536"/>
      <c r="F119" s="43"/>
      <c r="G119" s="151"/>
      <c r="H119" s="43"/>
      <c r="I119" s="536"/>
    </row>
    <row r="120" spans="1:9" ht="14.1" hidden="1" customHeight="1" outlineLevel="1">
      <c r="A120" s="190">
        <v>9</v>
      </c>
      <c r="B120" s="484"/>
      <c r="C120" s="536"/>
      <c r="D120" s="43"/>
      <c r="E120" s="536"/>
      <c r="F120" s="43"/>
      <c r="G120" s="151"/>
      <c r="H120" s="43"/>
      <c r="I120" s="536"/>
    </row>
    <row r="121" spans="1:9" ht="14.1" hidden="1" customHeight="1" outlineLevel="1">
      <c r="A121" s="190">
        <v>10</v>
      </c>
      <c r="B121" s="484"/>
      <c r="C121" s="536"/>
      <c r="D121" s="43"/>
      <c r="E121" s="536"/>
      <c r="F121" s="43"/>
      <c r="G121" s="151"/>
      <c r="H121" s="43"/>
      <c r="I121" s="536"/>
    </row>
    <row r="122" spans="1:9" ht="14.1" hidden="1" customHeight="1" outlineLevel="1">
      <c r="A122" s="190">
        <v>11</v>
      </c>
      <c r="B122" s="484"/>
      <c r="C122" s="536"/>
      <c r="D122" s="43"/>
      <c r="E122" s="536"/>
      <c r="F122" s="43"/>
      <c r="G122" s="151"/>
      <c r="H122" s="43"/>
      <c r="I122" s="536"/>
    </row>
    <row r="123" spans="1:9" ht="14.1" hidden="1" customHeight="1" outlineLevel="1">
      <c r="A123" s="190">
        <v>12</v>
      </c>
      <c r="B123" s="484"/>
      <c r="C123" s="536"/>
      <c r="D123" s="43"/>
      <c r="E123" s="536"/>
      <c r="F123" s="43"/>
      <c r="G123" s="151"/>
      <c r="H123" s="43"/>
      <c r="I123" s="536"/>
    </row>
    <row r="124" spans="1:9" ht="14.1" hidden="1" customHeight="1" outlineLevel="1">
      <c r="A124" s="190">
        <v>13</v>
      </c>
      <c r="B124" s="484"/>
      <c r="C124" s="536"/>
      <c r="D124" s="43"/>
      <c r="E124" s="536"/>
      <c r="F124" s="43"/>
      <c r="G124" s="151"/>
      <c r="H124" s="43"/>
      <c r="I124" s="536"/>
    </row>
    <row r="125" spans="1:9" ht="14.1" hidden="1" customHeight="1" outlineLevel="1">
      <c r="A125" s="190">
        <v>14</v>
      </c>
      <c r="B125" s="484"/>
      <c r="C125" s="536"/>
      <c r="D125" s="43"/>
      <c r="E125" s="536"/>
      <c r="F125" s="43"/>
      <c r="G125" s="151"/>
      <c r="H125" s="43"/>
      <c r="I125" s="536"/>
    </row>
    <row r="126" spans="1:9" ht="14.1" hidden="1" customHeight="1" outlineLevel="1">
      <c r="A126" s="190">
        <v>15</v>
      </c>
      <c r="B126" s="484"/>
      <c r="C126" s="536"/>
      <c r="D126" s="43"/>
      <c r="E126" s="536"/>
      <c r="F126" s="43"/>
      <c r="G126" s="151"/>
      <c r="H126" s="43"/>
      <c r="I126" s="536"/>
    </row>
    <row r="127" spans="1:9" ht="14.1" hidden="1" customHeight="1" outlineLevel="1">
      <c r="A127" s="190">
        <v>16</v>
      </c>
      <c r="B127" s="484"/>
      <c r="C127" s="536"/>
      <c r="D127" s="43"/>
      <c r="E127" s="536"/>
      <c r="F127" s="43"/>
      <c r="G127" s="151"/>
      <c r="H127" s="43"/>
      <c r="I127" s="536"/>
    </row>
    <row r="128" spans="1:9" ht="14.1" hidden="1" customHeight="1" outlineLevel="1">
      <c r="A128" s="190">
        <v>17</v>
      </c>
      <c r="B128" s="484"/>
      <c r="C128" s="536"/>
      <c r="D128" s="43"/>
      <c r="E128" s="536"/>
      <c r="F128" s="43"/>
      <c r="G128" s="151"/>
      <c r="H128" s="43"/>
      <c r="I128" s="536"/>
    </row>
    <row r="129" spans="1:9" ht="14.1" hidden="1" customHeight="1" outlineLevel="1">
      <c r="A129" s="190">
        <v>18</v>
      </c>
      <c r="B129" s="484"/>
      <c r="C129" s="536"/>
      <c r="D129" s="43"/>
      <c r="E129" s="536"/>
      <c r="F129" s="43"/>
      <c r="G129" s="151"/>
      <c r="H129" s="43"/>
      <c r="I129" s="536"/>
    </row>
    <row r="130" spans="1:9" ht="14.1" hidden="1" customHeight="1" outlineLevel="1">
      <c r="A130" s="190">
        <v>19</v>
      </c>
      <c r="B130" s="484"/>
      <c r="C130" s="536"/>
      <c r="D130" s="43"/>
      <c r="E130" s="536"/>
      <c r="F130" s="43"/>
      <c r="G130" s="151"/>
      <c r="H130" s="43"/>
      <c r="I130" s="536"/>
    </row>
    <row r="131" spans="1:9" ht="14.1" hidden="1" customHeight="1" outlineLevel="1">
      <c r="A131" s="190">
        <v>20</v>
      </c>
      <c r="B131" s="484"/>
      <c r="C131" s="536"/>
      <c r="D131" s="43"/>
      <c r="E131" s="536"/>
      <c r="F131" s="43"/>
      <c r="G131" s="151"/>
      <c r="H131" s="43"/>
      <c r="I131" s="536"/>
    </row>
    <row r="132" spans="1:9" ht="14.1" hidden="1" customHeight="1" outlineLevel="1">
      <c r="A132" s="190">
        <v>21</v>
      </c>
      <c r="B132" s="484"/>
      <c r="C132" s="536"/>
      <c r="D132" s="43"/>
      <c r="E132" s="536"/>
      <c r="F132" s="43"/>
      <c r="G132" s="151"/>
      <c r="H132" s="43"/>
      <c r="I132" s="536"/>
    </row>
    <row r="133" spans="1:9" ht="14.1" hidden="1" customHeight="1" outlineLevel="1">
      <c r="A133" s="190">
        <v>22</v>
      </c>
      <c r="B133" s="484"/>
      <c r="C133" s="536"/>
      <c r="D133" s="43"/>
      <c r="E133" s="536"/>
      <c r="F133" s="43"/>
      <c r="G133" s="151"/>
      <c r="H133" s="43"/>
      <c r="I133" s="536"/>
    </row>
    <row r="134" spans="1:9" ht="14.1" hidden="1" customHeight="1" outlineLevel="1">
      <c r="A134" s="190">
        <v>23</v>
      </c>
      <c r="B134" s="484"/>
      <c r="C134" s="536"/>
      <c r="D134" s="43"/>
      <c r="E134" s="536"/>
      <c r="F134" s="43"/>
      <c r="G134" s="151"/>
      <c r="H134" s="43"/>
      <c r="I134" s="536"/>
    </row>
    <row r="135" spans="1:9" ht="14.1" hidden="1" customHeight="1" outlineLevel="1">
      <c r="A135" s="190">
        <v>24</v>
      </c>
      <c r="B135" s="484"/>
      <c r="C135" s="536"/>
      <c r="D135" s="43"/>
      <c r="E135" s="536"/>
      <c r="F135" s="43"/>
      <c r="G135" s="151"/>
      <c r="H135" s="43"/>
      <c r="I135" s="536"/>
    </row>
    <row r="136" spans="1:9" ht="14.1" hidden="1" customHeight="1" outlineLevel="1">
      <c r="A136" s="190">
        <v>25</v>
      </c>
      <c r="B136" s="484"/>
      <c r="C136" s="536"/>
      <c r="D136" s="43"/>
      <c r="E136" s="536"/>
      <c r="F136" s="43"/>
      <c r="G136" s="151"/>
      <c r="H136" s="43"/>
      <c r="I136" s="536"/>
    </row>
    <row r="137" spans="1:9" ht="14.1" hidden="1" customHeight="1" outlineLevel="1">
      <c r="A137" s="190">
        <v>26</v>
      </c>
      <c r="B137" s="484"/>
      <c r="C137" s="536"/>
      <c r="D137" s="43"/>
      <c r="E137" s="536"/>
      <c r="F137" s="43"/>
      <c r="G137" s="151"/>
      <c r="H137" s="43"/>
      <c r="I137" s="536"/>
    </row>
    <row r="138" spans="1:9" ht="14.1" hidden="1" customHeight="1" outlineLevel="1">
      <c r="A138" s="190">
        <v>27</v>
      </c>
      <c r="B138" s="484"/>
      <c r="C138" s="536"/>
      <c r="D138" s="43"/>
      <c r="E138" s="536"/>
      <c r="F138" s="43"/>
      <c r="G138" s="151"/>
      <c r="H138" s="43"/>
      <c r="I138" s="536"/>
    </row>
    <row r="139" spans="1:9" ht="14.1" hidden="1" customHeight="1" outlineLevel="1">
      <c r="A139" s="190">
        <v>28</v>
      </c>
      <c r="B139" s="484"/>
      <c r="C139" s="536"/>
      <c r="D139" s="43"/>
      <c r="E139" s="536"/>
      <c r="F139" s="43"/>
      <c r="G139" s="151"/>
      <c r="H139" s="43"/>
      <c r="I139" s="536"/>
    </row>
    <row r="140" spans="1:9" ht="14.1" hidden="1" customHeight="1" outlineLevel="1">
      <c r="A140" s="190">
        <v>29</v>
      </c>
      <c r="B140" s="484"/>
      <c r="C140" s="536"/>
      <c r="D140" s="43"/>
      <c r="E140" s="536"/>
      <c r="F140" s="43"/>
      <c r="G140" s="151"/>
      <c r="H140" s="43"/>
      <c r="I140" s="536"/>
    </row>
    <row r="141" spans="1:9" ht="14.1" hidden="1" customHeight="1" outlineLevel="1">
      <c r="A141" s="190">
        <v>30</v>
      </c>
      <c r="B141" s="484"/>
      <c r="C141" s="536"/>
      <c r="D141" s="43"/>
      <c r="E141" s="536"/>
      <c r="F141" s="43"/>
      <c r="G141" s="151"/>
      <c r="H141" s="43"/>
      <c r="I141" s="536"/>
    </row>
    <row r="142" spans="1:9" ht="14.1" hidden="1" customHeight="1" outlineLevel="1">
      <c r="A142" s="190">
        <v>31</v>
      </c>
      <c r="B142" s="484"/>
      <c r="C142" s="536"/>
      <c r="D142" s="43"/>
      <c r="E142" s="536"/>
      <c r="F142" s="43"/>
      <c r="G142" s="151"/>
      <c r="H142" s="43"/>
      <c r="I142" s="536"/>
    </row>
    <row r="143" spans="1:9" ht="14.1" hidden="1" customHeight="1" outlineLevel="1">
      <c r="A143" s="190">
        <v>32</v>
      </c>
      <c r="B143" s="484"/>
      <c r="C143" s="536"/>
      <c r="D143" s="43"/>
      <c r="E143" s="536"/>
      <c r="F143" s="43"/>
      <c r="G143" s="151"/>
      <c r="H143" s="43"/>
      <c r="I143" s="536"/>
    </row>
    <row r="144" spans="1:9" ht="14.1" hidden="1" customHeight="1" outlineLevel="1">
      <c r="A144" s="190">
        <v>33</v>
      </c>
      <c r="B144" s="484"/>
      <c r="C144" s="536"/>
      <c r="D144" s="43"/>
      <c r="E144" s="536"/>
      <c r="F144" s="43"/>
      <c r="G144" s="151"/>
      <c r="H144" s="43"/>
      <c r="I144" s="536"/>
    </row>
    <row r="145" spans="1:9" ht="14.1" hidden="1" customHeight="1" outlineLevel="1">
      <c r="A145" s="190">
        <v>34</v>
      </c>
      <c r="B145" s="484"/>
      <c r="C145" s="536"/>
      <c r="D145" s="43"/>
      <c r="E145" s="536"/>
      <c r="F145" s="43"/>
      <c r="G145" s="151"/>
      <c r="H145" s="43"/>
      <c r="I145" s="536"/>
    </row>
    <row r="146" spans="1:9" ht="14.1" hidden="1" customHeight="1" outlineLevel="1">
      <c r="A146" s="190">
        <v>35</v>
      </c>
      <c r="B146" s="484"/>
      <c r="C146" s="536"/>
      <c r="D146" s="43"/>
      <c r="E146" s="536"/>
      <c r="F146" s="43"/>
      <c r="G146" s="151"/>
      <c r="H146" s="43"/>
      <c r="I146" s="536"/>
    </row>
    <row r="147" spans="1:9" ht="14.1" hidden="1" customHeight="1" outlineLevel="1">
      <c r="A147" s="190">
        <v>36</v>
      </c>
      <c r="B147" s="484"/>
      <c r="C147" s="536"/>
      <c r="D147" s="43"/>
      <c r="E147" s="536"/>
      <c r="F147" s="43"/>
      <c r="G147" s="151"/>
      <c r="H147" s="43"/>
      <c r="I147" s="536"/>
    </row>
    <row r="148" spans="1:9" ht="14.1" hidden="1" customHeight="1" outlineLevel="1">
      <c r="A148" s="190">
        <v>37</v>
      </c>
      <c r="B148" s="484"/>
      <c r="C148" s="536"/>
      <c r="D148" s="43"/>
      <c r="E148" s="536"/>
      <c r="F148" s="43"/>
      <c r="G148" s="151"/>
      <c r="H148" s="43"/>
      <c r="I148" s="536"/>
    </row>
    <row r="149" spans="1:9" ht="14.1" hidden="1" customHeight="1" outlineLevel="1">
      <c r="A149" s="190">
        <v>38</v>
      </c>
      <c r="B149" s="484"/>
      <c r="C149" s="536"/>
      <c r="D149" s="43"/>
      <c r="E149" s="536"/>
      <c r="F149" s="43"/>
      <c r="G149" s="151"/>
      <c r="H149" s="43"/>
      <c r="I149" s="536"/>
    </row>
    <row r="150" spans="1:9" ht="14.1" hidden="1" customHeight="1" outlineLevel="1">
      <c r="A150" s="190">
        <v>39</v>
      </c>
      <c r="B150" s="484"/>
      <c r="C150" s="536"/>
      <c r="D150" s="43"/>
      <c r="E150" s="536"/>
      <c r="F150" s="43"/>
      <c r="G150" s="151"/>
      <c r="H150" s="43"/>
      <c r="I150" s="536"/>
    </row>
    <row r="151" spans="1:9" ht="14.1" hidden="1" customHeight="1" outlineLevel="1">
      <c r="A151" s="190">
        <v>40</v>
      </c>
      <c r="B151" s="484"/>
      <c r="C151" s="536"/>
      <c r="D151" s="43"/>
      <c r="E151" s="536"/>
      <c r="F151" s="43"/>
      <c r="G151" s="151"/>
      <c r="H151" s="43"/>
      <c r="I151" s="536"/>
    </row>
    <row r="152" spans="1:9" ht="14.1" hidden="1" customHeight="1" outlineLevel="1">
      <c r="A152" s="190">
        <v>41</v>
      </c>
      <c r="B152" s="484"/>
      <c r="C152" s="536"/>
      <c r="D152" s="43"/>
      <c r="E152" s="536"/>
      <c r="F152" s="43"/>
      <c r="G152" s="151"/>
      <c r="H152" s="43"/>
      <c r="I152" s="536"/>
    </row>
    <row r="153" spans="1:9" ht="14.1" hidden="1" customHeight="1" outlineLevel="1">
      <c r="A153" s="190">
        <v>42</v>
      </c>
      <c r="B153" s="484"/>
      <c r="C153" s="536"/>
      <c r="D153" s="43"/>
      <c r="E153" s="536"/>
      <c r="F153" s="43"/>
      <c r="G153" s="151"/>
      <c r="H153" s="43"/>
      <c r="I153" s="536"/>
    </row>
    <row r="154" spans="1:9" ht="14.1" hidden="1" customHeight="1" outlineLevel="1">
      <c r="A154" s="190">
        <v>43</v>
      </c>
      <c r="B154" s="484"/>
      <c r="C154" s="536"/>
      <c r="D154" s="43"/>
      <c r="E154" s="536"/>
      <c r="F154" s="43"/>
      <c r="G154" s="151"/>
      <c r="H154" s="43"/>
      <c r="I154" s="536"/>
    </row>
    <row r="155" spans="1:9" ht="14.1" hidden="1" customHeight="1" outlineLevel="1">
      <c r="A155" s="190">
        <v>44</v>
      </c>
      <c r="B155" s="484"/>
      <c r="C155" s="536"/>
      <c r="D155" s="43"/>
      <c r="E155" s="536"/>
      <c r="F155" s="43"/>
      <c r="G155" s="151"/>
      <c r="H155" s="43"/>
      <c r="I155" s="536"/>
    </row>
    <row r="156" spans="1:9" ht="14.1" hidden="1" customHeight="1" outlineLevel="1">
      <c r="A156" s="190">
        <v>45</v>
      </c>
      <c r="B156" s="484"/>
      <c r="C156" s="536"/>
      <c r="D156" s="43"/>
      <c r="E156" s="536"/>
      <c r="F156" s="43"/>
      <c r="G156" s="151"/>
      <c r="H156" s="43"/>
      <c r="I156" s="536"/>
    </row>
    <row r="157" spans="1:9" ht="14.1" hidden="1" customHeight="1" outlineLevel="1">
      <c r="A157" s="190">
        <v>46</v>
      </c>
      <c r="B157" s="484"/>
      <c r="C157" s="536"/>
      <c r="D157" s="43"/>
      <c r="E157" s="536"/>
      <c r="F157" s="43"/>
      <c r="G157" s="151"/>
      <c r="H157" s="43"/>
      <c r="I157" s="536"/>
    </row>
    <row r="158" spans="1:9" ht="14.1" hidden="1" customHeight="1" outlineLevel="1">
      <c r="A158" s="190">
        <v>47</v>
      </c>
      <c r="B158" s="484"/>
      <c r="C158" s="536"/>
      <c r="D158" s="43"/>
      <c r="E158" s="536"/>
      <c r="F158" s="43"/>
      <c r="G158" s="151"/>
      <c r="H158" s="43"/>
      <c r="I158" s="536"/>
    </row>
    <row r="159" spans="1:9" ht="14.1" hidden="1" customHeight="1" outlineLevel="1">
      <c r="A159" s="190">
        <v>48</v>
      </c>
      <c r="B159" s="484"/>
      <c r="C159" s="536"/>
      <c r="D159" s="43"/>
      <c r="E159" s="536"/>
      <c r="F159" s="43"/>
      <c r="G159" s="151"/>
      <c r="H159" s="43"/>
      <c r="I159" s="536"/>
    </row>
    <row r="160" spans="1:9" ht="14.1" hidden="1" customHeight="1" outlineLevel="1">
      <c r="A160" s="190">
        <v>49</v>
      </c>
      <c r="B160" s="484"/>
      <c r="C160" s="536"/>
      <c r="D160" s="43"/>
      <c r="E160" s="536"/>
      <c r="F160" s="43"/>
      <c r="G160" s="151"/>
      <c r="H160" s="43"/>
      <c r="I160" s="536"/>
    </row>
    <row r="161" spans="1:9" ht="14.1" hidden="1" customHeight="1" outlineLevel="1" thickBot="1">
      <c r="A161" s="190">
        <v>50</v>
      </c>
      <c r="B161" s="484"/>
      <c r="C161" s="536"/>
      <c r="D161" s="43"/>
      <c r="E161" s="536"/>
      <c r="F161" s="43"/>
      <c r="G161" s="151"/>
      <c r="H161" s="43"/>
      <c r="I161" s="536"/>
    </row>
    <row r="162" spans="1:9" s="246" customFormat="1" ht="14.1" customHeight="1" thickBot="1">
      <c r="B162" s="542" t="s">
        <v>1854</v>
      </c>
      <c r="C162" s="538"/>
      <c r="D162" s="111">
        <f>SUM(D112:D161)</f>
        <v>0</v>
      </c>
      <c r="E162" s="539"/>
      <c r="F162" s="111">
        <f>SUM(F112:F161)</f>
        <v>0</v>
      </c>
      <c r="G162" s="540"/>
      <c r="H162" s="111">
        <f>SUM(H112:H161)</f>
        <v>0</v>
      </c>
      <c r="I162" s="541"/>
    </row>
    <row r="163" spans="1:9" ht="15.75" thickBot="1"/>
    <row r="164" spans="1:9" s="182" customFormat="1" ht="14.1" customHeight="1" collapsed="1" thickBot="1">
      <c r="B164" s="537" t="s">
        <v>731</v>
      </c>
      <c r="C164" s="485"/>
      <c r="D164" s="485"/>
      <c r="E164" s="485"/>
      <c r="F164" s="485"/>
      <c r="G164" s="485"/>
      <c r="H164" s="485"/>
      <c r="I164" s="485"/>
    </row>
    <row r="165" spans="1:9" ht="14.1" hidden="1" customHeight="1" outlineLevel="1">
      <c r="A165" s="190">
        <v>1</v>
      </c>
      <c r="B165" s="487"/>
      <c r="C165" s="535"/>
      <c r="D165" s="65"/>
      <c r="E165" s="535"/>
      <c r="F165" s="65"/>
      <c r="G165" s="149"/>
      <c r="H165" s="65"/>
      <c r="I165" s="535"/>
    </row>
    <row r="166" spans="1:9" ht="14.1" hidden="1" customHeight="1" outlineLevel="1">
      <c r="A166" s="190">
        <v>2</v>
      </c>
      <c r="B166" s="484"/>
      <c r="C166" s="536"/>
      <c r="D166" s="43"/>
      <c r="E166" s="536"/>
      <c r="F166" s="43"/>
      <c r="G166" s="151"/>
      <c r="H166" s="43"/>
      <c r="I166" s="536"/>
    </row>
    <row r="167" spans="1:9" ht="14.1" hidden="1" customHeight="1" outlineLevel="1">
      <c r="A167" s="190">
        <v>3</v>
      </c>
      <c r="B167" s="484"/>
      <c r="C167" s="536"/>
      <c r="D167" s="43"/>
      <c r="E167" s="536"/>
      <c r="F167" s="43"/>
      <c r="G167" s="151"/>
      <c r="H167" s="43"/>
      <c r="I167" s="536"/>
    </row>
    <row r="168" spans="1:9" ht="14.1" hidden="1" customHeight="1" outlineLevel="1">
      <c r="A168" s="190">
        <v>4</v>
      </c>
      <c r="B168" s="484"/>
      <c r="C168" s="536"/>
      <c r="D168" s="43"/>
      <c r="E168" s="536"/>
      <c r="F168" s="43"/>
      <c r="G168" s="151"/>
      <c r="H168" s="43"/>
      <c r="I168" s="536"/>
    </row>
    <row r="169" spans="1:9" ht="14.1" hidden="1" customHeight="1" outlineLevel="1">
      <c r="A169" s="190">
        <v>5</v>
      </c>
      <c r="B169" s="484"/>
      <c r="C169" s="536"/>
      <c r="D169" s="43"/>
      <c r="E169" s="536"/>
      <c r="F169" s="43"/>
      <c r="G169" s="151"/>
      <c r="H169" s="43"/>
      <c r="I169" s="536"/>
    </row>
    <row r="170" spans="1:9" ht="14.1" hidden="1" customHeight="1" outlineLevel="1">
      <c r="A170" s="190">
        <v>6</v>
      </c>
      <c r="B170" s="484"/>
      <c r="C170" s="536"/>
      <c r="D170" s="43"/>
      <c r="E170" s="536"/>
      <c r="F170" s="43"/>
      <c r="G170" s="151"/>
      <c r="H170" s="43"/>
      <c r="I170" s="536"/>
    </row>
    <row r="171" spans="1:9" ht="14.1" hidden="1" customHeight="1" outlineLevel="1">
      <c r="A171" s="190">
        <v>7</v>
      </c>
      <c r="B171" s="484"/>
      <c r="C171" s="536"/>
      <c r="D171" s="43"/>
      <c r="E171" s="536"/>
      <c r="F171" s="43"/>
      <c r="G171" s="151"/>
      <c r="H171" s="43"/>
      <c r="I171" s="536"/>
    </row>
    <row r="172" spans="1:9" ht="14.1" hidden="1" customHeight="1" outlineLevel="1">
      <c r="A172" s="190">
        <v>8</v>
      </c>
      <c r="B172" s="484"/>
      <c r="C172" s="536"/>
      <c r="D172" s="43"/>
      <c r="E172" s="536"/>
      <c r="F172" s="43"/>
      <c r="G172" s="151"/>
      <c r="H172" s="43"/>
      <c r="I172" s="536"/>
    </row>
    <row r="173" spans="1:9" ht="14.1" hidden="1" customHeight="1" outlineLevel="1">
      <c r="A173" s="190">
        <v>9</v>
      </c>
      <c r="B173" s="484"/>
      <c r="C173" s="536"/>
      <c r="D173" s="43"/>
      <c r="E173" s="536"/>
      <c r="F173" s="43"/>
      <c r="G173" s="151"/>
      <c r="H173" s="43"/>
      <c r="I173" s="536"/>
    </row>
    <row r="174" spans="1:9" ht="14.1" hidden="1" customHeight="1" outlineLevel="1">
      <c r="A174" s="190">
        <v>10</v>
      </c>
      <c r="B174" s="484"/>
      <c r="C174" s="536"/>
      <c r="D174" s="43"/>
      <c r="E174" s="536"/>
      <c r="F174" s="43"/>
      <c r="G174" s="151"/>
      <c r="H174" s="43"/>
      <c r="I174" s="536"/>
    </row>
    <row r="175" spans="1:9" ht="14.1" hidden="1" customHeight="1" outlineLevel="1">
      <c r="A175" s="190">
        <v>11</v>
      </c>
      <c r="B175" s="484"/>
      <c r="C175" s="536"/>
      <c r="D175" s="43"/>
      <c r="E175" s="536"/>
      <c r="F175" s="43"/>
      <c r="G175" s="151"/>
      <c r="H175" s="43"/>
      <c r="I175" s="536"/>
    </row>
    <row r="176" spans="1:9" ht="14.1" hidden="1" customHeight="1" outlineLevel="1">
      <c r="A176" s="190">
        <v>12</v>
      </c>
      <c r="B176" s="484"/>
      <c r="C176" s="536"/>
      <c r="D176" s="43"/>
      <c r="E176" s="536"/>
      <c r="F176" s="43"/>
      <c r="G176" s="151"/>
      <c r="H176" s="43"/>
      <c r="I176" s="536"/>
    </row>
    <row r="177" spans="1:9" ht="14.1" hidden="1" customHeight="1" outlineLevel="1">
      <c r="A177" s="190">
        <v>13</v>
      </c>
      <c r="B177" s="484"/>
      <c r="C177" s="536"/>
      <c r="D177" s="43"/>
      <c r="E177" s="536"/>
      <c r="F177" s="43"/>
      <c r="G177" s="151"/>
      <c r="H177" s="43"/>
      <c r="I177" s="536"/>
    </row>
    <row r="178" spans="1:9" ht="14.1" hidden="1" customHeight="1" outlineLevel="1">
      <c r="A178" s="190">
        <v>14</v>
      </c>
      <c r="B178" s="484"/>
      <c r="C178" s="536"/>
      <c r="D178" s="43"/>
      <c r="E178" s="536"/>
      <c r="F178" s="43"/>
      <c r="G178" s="151"/>
      <c r="H178" s="43"/>
      <c r="I178" s="536"/>
    </row>
    <row r="179" spans="1:9" ht="14.1" hidden="1" customHeight="1" outlineLevel="1">
      <c r="A179" s="190">
        <v>15</v>
      </c>
      <c r="B179" s="484"/>
      <c r="C179" s="536"/>
      <c r="D179" s="43"/>
      <c r="E179" s="536"/>
      <c r="F179" s="43"/>
      <c r="G179" s="151"/>
      <c r="H179" s="43"/>
      <c r="I179" s="536"/>
    </row>
    <row r="180" spans="1:9" ht="14.1" hidden="1" customHeight="1" outlineLevel="1">
      <c r="A180" s="190">
        <v>16</v>
      </c>
      <c r="B180" s="484"/>
      <c r="C180" s="536"/>
      <c r="D180" s="43"/>
      <c r="E180" s="536"/>
      <c r="F180" s="43"/>
      <c r="G180" s="151"/>
      <c r="H180" s="43"/>
      <c r="I180" s="536"/>
    </row>
    <row r="181" spans="1:9" ht="14.1" hidden="1" customHeight="1" outlineLevel="1">
      <c r="A181" s="190">
        <v>17</v>
      </c>
      <c r="B181" s="484"/>
      <c r="C181" s="536"/>
      <c r="D181" s="43"/>
      <c r="E181" s="536"/>
      <c r="F181" s="43"/>
      <c r="G181" s="151"/>
      <c r="H181" s="43"/>
      <c r="I181" s="536"/>
    </row>
    <row r="182" spans="1:9" ht="14.1" hidden="1" customHeight="1" outlineLevel="1">
      <c r="A182" s="190">
        <v>18</v>
      </c>
      <c r="B182" s="484"/>
      <c r="C182" s="536"/>
      <c r="D182" s="43"/>
      <c r="E182" s="536"/>
      <c r="F182" s="43"/>
      <c r="G182" s="151"/>
      <c r="H182" s="43"/>
      <c r="I182" s="536"/>
    </row>
    <row r="183" spans="1:9" ht="14.1" hidden="1" customHeight="1" outlineLevel="1">
      <c r="A183" s="190">
        <v>19</v>
      </c>
      <c r="B183" s="484"/>
      <c r="C183" s="536"/>
      <c r="D183" s="43"/>
      <c r="E183" s="536"/>
      <c r="F183" s="43"/>
      <c r="G183" s="151"/>
      <c r="H183" s="43"/>
      <c r="I183" s="536"/>
    </row>
    <row r="184" spans="1:9" ht="14.1" hidden="1" customHeight="1" outlineLevel="1">
      <c r="A184" s="190">
        <v>20</v>
      </c>
      <c r="B184" s="484"/>
      <c r="C184" s="536"/>
      <c r="D184" s="43"/>
      <c r="E184" s="536"/>
      <c r="F184" s="43"/>
      <c r="G184" s="151"/>
      <c r="H184" s="43"/>
      <c r="I184" s="536"/>
    </row>
    <row r="185" spans="1:9" ht="14.1" hidden="1" customHeight="1" outlineLevel="1">
      <c r="A185" s="190">
        <v>21</v>
      </c>
      <c r="B185" s="484"/>
      <c r="C185" s="536"/>
      <c r="D185" s="43"/>
      <c r="E185" s="536"/>
      <c r="F185" s="43"/>
      <c r="G185" s="151"/>
      <c r="H185" s="43"/>
      <c r="I185" s="536"/>
    </row>
    <row r="186" spans="1:9" ht="14.1" hidden="1" customHeight="1" outlineLevel="1">
      <c r="A186" s="190">
        <v>22</v>
      </c>
      <c r="B186" s="484"/>
      <c r="C186" s="536"/>
      <c r="D186" s="43"/>
      <c r="E186" s="536"/>
      <c r="F186" s="43"/>
      <c r="G186" s="151"/>
      <c r="H186" s="43"/>
      <c r="I186" s="536"/>
    </row>
    <row r="187" spans="1:9" ht="14.1" hidden="1" customHeight="1" outlineLevel="1">
      <c r="A187" s="190">
        <v>23</v>
      </c>
      <c r="B187" s="484"/>
      <c r="C187" s="536"/>
      <c r="D187" s="43"/>
      <c r="E187" s="536"/>
      <c r="F187" s="43"/>
      <c r="G187" s="151"/>
      <c r="H187" s="43"/>
      <c r="I187" s="536"/>
    </row>
    <row r="188" spans="1:9" ht="14.1" hidden="1" customHeight="1" outlineLevel="1">
      <c r="A188" s="190">
        <v>24</v>
      </c>
      <c r="B188" s="484"/>
      <c r="C188" s="536"/>
      <c r="D188" s="43"/>
      <c r="E188" s="536"/>
      <c r="F188" s="43"/>
      <c r="G188" s="151"/>
      <c r="H188" s="43"/>
      <c r="I188" s="536"/>
    </row>
    <row r="189" spans="1:9" ht="14.1" hidden="1" customHeight="1" outlineLevel="1">
      <c r="A189" s="190">
        <v>25</v>
      </c>
      <c r="B189" s="484"/>
      <c r="C189" s="536"/>
      <c r="D189" s="43"/>
      <c r="E189" s="536"/>
      <c r="F189" s="43"/>
      <c r="G189" s="151"/>
      <c r="H189" s="43"/>
      <c r="I189" s="536"/>
    </row>
    <row r="190" spans="1:9" ht="14.1" hidden="1" customHeight="1" outlineLevel="1">
      <c r="A190" s="190">
        <v>26</v>
      </c>
      <c r="B190" s="484"/>
      <c r="C190" s="536"/>
      <c r="D190" s="43"/>
      <c r="E190" s="536"/>
      <c r="F190" s="43"/>
      <c r="G190" s="151"/>
      <c r="H190" s="43"/>
      <c r="I190" s="536"/>
    </row>
    <row r="191" spans="1:9" ht="14.1" hidden="1" customHeight="1" outlineLevel="1">
      <c r="A191" s="190">
        <v>27</v>
      </c>
      <c r="B191" s="484"/>
      <c r="C191" s="536"/>
      <c r="D191" s="43"/>
      <c r="E191" s="536"/>
      <c r="F191" s="43"/>
      <c r="G191" s="151"/>
      <c r="H191" s="43"/>
      <c r="I191" s="536"/>
    </row>
    <row r="192" spans="1:9" ht="14.1" hidden="1" customHeight="1" outlineLevel="1">
      <c r="A192" s="190">
        <v>28</v>
      </c>
      <c r="B192" s="484"/>
      <c r="C192" s="536"/>
      <c r="D192" s="43"/>
      <c r="E192" s="536"/>
      <c r="F192" s="43"/>
      <c r="G192" s="151"/>
      <c r="H192" s="43"/>
      <c r="I192" s="536"/>
    </row>
    <row r="193" spans="1:9" ht="14.1" hidden="1" customHeight="1" outlineLevel="1">
      <c r="A193" s="190">
        <v>29</v>
      </c>
      <c r="B193" s="484"/>
      <c r="C193" s="536"/>
      <c r="D193" s="43"/>
      <c r="E193" s="536"/>
      <c r="F193" s="43"/>
      <c r="G193" s="151"/>
      <c r="H193" s="43"/>
      <c r="I193" s="536"/>
    </row>
    <row r="194" spans="1:9" ht="14.1" hidden="1" customHeight="1" outlineLevel="1">
      <c r="A194" s="190">
        <v>30</v>
      </c>
      <c r="B194" s="484"/>
      <c r="C194" s="536"/>
      <c r="D194" s="43"/>
      <c r="E194" s="536"/>
      <c r="F194" s="43"/>
      <c r="G194" s="151"/>
      <c r="H194" s="43"/>
      <c r="I194" s="536"/>
    </row>
    <row r="195" spans="1:9" ht="14.1" hidden="1" customHeight="1" outlineLevel="1">
      <c r="A195" s="190">
        <v>31</v>
      </c>
      <c r="B195" s="484"/>
      <c r="C195" s="536"/>
      <c r="D195" s="43"/>
      <c r="E195" s="536"/>
      <c r="F195" s="43"/>
      <c r="G195" s="151"/>
      <c r="H195" s="43"/>
      <c r="I195" s="536"/>
    </row>
    <row r="196" spans="1:9" ht="14.1" hidden="1" customHeight="1" outlineLevel="1">
      <c r="A196" s="190">
        <v>32</v>
      </c>
      <c r="B196" s="484"/>
      <c r="C196" s="536"/>
      <c r="D196" s="43"/>
      <c r="E196" s="536"/>
      <c r="F196" s="43"/>
      <c r="G196" s="151"/>
      <c r="H196" s="43"/>
      <c r="I196" s="536"/>
    </row>
    <row r="197" spans="1:9" ht="14.1" hidden="1" customHeight="1" outlineLevel="1">
      <c r="A197" s="190">
        <v>33</v>
      </c>
      <c r="B197" s="484"/>
      <c r="C197" s="536"/>
      <c r="D197" s="43"/>
      <c r="E197" s="536"/>
      <c r="F197" s="43"/>
      <c r="G197" s="151"/>
      <c r="H197" s="43"/>
      <c r="I197" s="536"/>
    </row>
    <row r="198" spans="1:9" ht="14.1" hidden="1" customHeight="1" outlineLevel="1">
      <c r="A198" s="190">
        <v>34</v>
      </c>
      <c r="B198" s="484"/>
      <c r="C198" s="536"/>
      <c r="D198" s="43"/>
      <c r="E198" s="536"/>
      <c r="F198" s="43"/>
      <c r="G198" s="151"/>
      <c r="H198" s="43"/>
      <c r="I198" s="536"/>
    </row>
    <row r="199" spans="1:9" ht="14.1" hidden="1" customHeight="1" outlineLevel="1">
      <c r="A199" s="190">
        <v>35</v>
      </c>
      <c r="B199" s="484"/>
      <c r="C199" s="536"/>
      <c r="D199" s="43"/>
      <c r="E199" s="536"/>
      <c r="F199" s="43"/>
      <c r="G199" s="151"/>
      <c r="H199" s="43"/>
      <c r="I199" s="536"/>
    </row>
    <row r="200" spans="1:9" ht="14.1" hidden="1" customHeight="1" outlineLevel="1">
      <c r="A200" s="190">
        <v>36</v>
      </c>
      <c r="B200" s="484"/>
      <c r="C200" s="536"/>
      <c r="D200" s="43"/>
      <c r="E200" s="536"/>
      <c r="F200" s="43"/>
      <c r="G200" s="151"/>
      <c r="H200" s="43"/>
      <c r="I200" s="536"/>
    </row>
    <row r="201" spans="1:9" ht="14.1" hidden="1" customHeight="1" outlineLevel="1">
      <c r="A201" s="190">
        <v>37</v>
      </c>
      <c r="B201" s="484"/>
      <c r="C201" s="536"/>
      <c r="D201" s="43"/>
      <c r="E201" s="536"/>
      <c r="F201" s="43"/>
      <c r="G201" s="151"/>
      <c r="H201" s="43"/>
      <c r="I201" s="536"/>
    </row>
    <row r="202" spans="1:9" ht="14.1" hidden="1" customHeight="1" outlineLevel="1">
      <c r="A202" s="190">
        <v>38</v>
      </c>
      <c r="B202" s="484"/>
      <c r="C202" s="536"/>
      <c r="D202" s="43"/>
      <c r="E202" s="536"/>
      <c r="F202" s="43"/>
      <c r="G202" s="151"/>
      <c r="H202" s="43"/>
      <c r="I202" s="536"/>
    </row>
    <row r="203" spans="1:9" ht="14.1" hidden="1" customHeight="1" outlineLevel="1">
      <c r="A203" s="190">
        <v>39</v>
      </c>
      <c r="B203" s="484"/>
      <c r="C203" s="536"/>
      <c r="D203" s="43"/>
      <c r="E203" s="536"/>
      <c r="F203" s="43"/>
      <c r="G203" s="151"/>
      <c r="H203" s="43"/>
      <c r="I203" s="536"/>
    </row>
    <row r="204" spans="1:9" ht="14.1" hidden="1" customHeight="1" outlineLevel="1">
      <c r="A204" s="190">
        <v>40</v>
      </c>
      <c r="B204" s="484"/>
      <c r="C204" s="536"/>
      <c r="D204" s="43"/>
      <c r="E204" s="536"/>
      <c r="F204" s="43"/>
      <c r="G204" s="151"/>
      <c r="H204" s="43"/>
      <c r="I204" s="536"/>
    </row>
    <row r="205" spans="1:9" ht="14.1" hidden="1" customHeight="1" outlineLevel="1">
      <c r="A205" s="190">
        <v>41</v>
      </c>
      <c r="B205" s="484"/>
      <c r="C205" s="536"/>
      <c r="D205" s="43"/>
      <c r="E205" s="536"/>
      <c r="F205" s="43"/>
      <c r="G205" s="151"/>
      <c r="H205" s="43"/>
      <c r="I205" s="536"/>
    </row>
    <row r="206" spans="1:9" ht="14.1" hidden="1" customHeight="1" outlineLevel="1">
      <c r="A206" s="190">
        <v>42</v>
      </c>
      <c r="B206" s="484"/>
      <c r="C206" s="536"/>
      <c r="D206" s="43"/>
      <c r="E206" s="536"/>
      <c r="F206" s="43"/>
      <c r="G206" s="151"/>
      <c r="H206" s="43"/>
      <c r="I206" s="536"/>
    </row>
    <row r="207" spans="1:9" ht="14.1" hidden="1" customHeight="1" outlineLevel="1">
      <c r="A207" s="190">
        <v>43</v>
      </c>
      <c r="B207" s="484"/>
      <c r="C207" s="536"/>
      <c r="D207" s="43"/>
      <c r="E207" s="536"/>
      <c r="F207" s="43"/>
      <c r="G207" s="151"/>
      <c r="H207" s="43"/>
      <c r="I207" s="536"/>
    </row>
    <row r="208" spans="1:9" ht="14.1" hidden="1" customHeight="1" outlineLevel="1">
      <c r="A208" s="190">
        <v>44</v>
      </c>
      <c r="B208" s="484"/>
      <c r="C208" s="536"/>
      <c r="D208" s="43"/>
      <c r="E208" s="536"/>
      <c r="F208" s="43"/>
      <c r="G208" s="151"/>
      <c r="H208" s="43"/>
      <c r="I208" s="536"/>
    </row>
    <row r="209" spans="1:9" ht="14.1" hidden="1" customHeight="1" outlineLevel="1">
      <c r="A209" s="190">
        <v>45</v>
      </c>
      <c r="B209" s="484"/>
      <c r="C209" s="536"/>
      <c r="D209" s="43"/>
      <c r="E209" s="536"/>
      <c r="F209" s="43"/>
      <c r="G209" s="151"/>
      <c r="H209" s="43"/>
      <c r="I209" s="536"/>
    </row>
    <row r="210" spans="1:9" ht="14.1" hidden="1" customHeight="1" outlineLevel="1">
      <c r="A210" s="190">
        <v>46</v>
      </c>
      <c r="B210" s="484"/>
      <c r="C210" s="536"/>
      <c r="D210" s="43"/>
      <c r="E210" s="536"/>
      <c r="F210" s="43"/>
      <c r="G210" s="151"/>
      <c r="H210" s="43"/>
      <c r="I210" s="536"/>
    </row>
    <row r="211" spans="1:9" ht="14.1" hidden="1" customHeight="1" outlineLevel="1">
      <c r="A211" s="190">
        <v>47</v>
      </c>
      <c r="B211" s="484"/>
      <c r="C211" s="536"/>
      <c r="D211" s="43"/>
      <c r="E211" s="536"/>
      <c r="F211" s="43"/>
      <c r="G211" s="151"/>
      <c r="H211" s="43"/>
      <c r="I211" s="536"/>
    </row>
    <row r="212" spans="1:9" ht="14.1" hidden="1" customHeight="1" outlineLevel="1">
      <c r="A212" s="190">
        <v>48</v>
      </c>
      <c r="B212" s="484"/>
      <c r="C212" s="536"/>
      <c r="D212" s="43"/>
      <c r="E212" s="536"/>
      <c r="F212" s="43"/>
      <c r="G212" s="151"/>
      <c r="H212" s="43"/>
      <c r="I212" s="536"/>
    </row>
    <row r="213" spans="1:9" ht="14.1" hidden="1" customHeight="1" outlineLevel="1">
      <c r="A213" s="190">
        <v>49</v>
      </c>
      <c r="B213" s="484"/>
      <c r="C213" s="536"/>
      <c r="D213" s="43"/>
      <c r="E213" s="536"/>
      <c r="F213" s="43"/>
      <c r="G213" s="151"/>
      <c r="H213" s="43"/>
      <c r="I213" s="536"/>
    </row>
    <row r="214" spans="1:9" ht="14.1" hidden="1" customHeight="1" outlineLevel="1" thickBot="1">
      <c r="A214" s="190">
        <v>50</v>
      </c>
      <c r="B214" s="484"/>
      <c r="C214" s="536"/>
      <c r="D214" s="43"/>
      <c r="E214" s="536"/>
      <c r="F214" s="43"/>
      <c r="G214" s="151"/>
      <c r="H214" s="43"/>
      <c r="I214" s="536"/>
    </row>
    <row r="215" spans="1:9" s="246" customFormat="1" ht="14.1" customHeight="1" thickBot="1">
      <c r="B215" s="542" t="s">
        <v>731</v>
      </c>
      <c r="C215" s="538"/>
      <c r="D215" s="111">
        <f>SUM(D165:D214)</f>
        <v>0</v>
      </c>
      <c r="E215" s="539"/>
      <c r="F215" s="111">
        <f>SUM(F165:F214)</f>
        <v>0</v>
      </c>
      <c r="G215" s="540"/>
      <c r="H215" s="111">
        <f>SUM(H165:H214)</f>
        <v>0</v>
      </c>
      <c r="I215" s="541"/>
    </row>
    <row r="216" spans="1:9" ht="15.75" thickBot="1"/>
    <row r="217" spans="1:9" s="182" customFormat="1" ht="14.1" customHeight="1" collapsed="1" thickBot="1">
      <c r="B217" s="537" t="s">
        <v>1771</v>
      </c>
      <c r="C217" s="485"/>
      <c r="D217" s="485"/>
      <c r="E217" s="485"/>
      <c r="F217" s="485"/>
      <c r="G217" s="485"/>
      <c r="H217" s="485"/>
      <c r="I217" s="485"/>
    </row>
    <row r="218" spans="1:9" ht="14.1" hidden="1" customHeight="1" outlineLevel="1">
      <c r="A218" s="190">
        <v>1</v>
      </c>
      <c r="B218" s="487"/>
      <c r="C218" s="535"/>
      <c r="D218" s="65"/>
      <c r="E218" s="535"/>
      <c r="F218" s="65"/>
      <c r="G218" s="149"/>
      <c r="H218" s="65"/>
      <c r="I218" s="535"/>
    </row>
    <row r="219" spans="1:9" ht="14.1" hidden="1" customHeight="1" outlineLevel="1">
      <c r="A219" s="190">
        <v>2</v>
      </c>
      <c r="B219" s="484"/>
      <c r="C219" s="536"/>
      <c r="D219" s="43"/>
      <c r="E219" s="536"/>
      <c r="F219" s="43"/>
      <c r="G219" s="151"/>
      <c r="H219" s="43"/>
      <c r="I219" s="536"/>
    </row>
    <row r="220" spans="1:9" ht="14.1" hidden="1" customHeight="1" outlineLevel="1">
      <c r="A220" s="190">
        <v>3</v>
      </c>
      <c r="B220" s="484"/>
      <c r="C220" s="536"/>
      <c r="D220" s="43"/>
      <c r="E220" s="536"/>
      <c r="F220" s="43"/>
      <c r="G220" s="151"/>
      <c r="H220" s="43"/>
      <c r="I220" s="536"/>
    </row>
    <row r="221" spans="1:9" ht="14.1" hidden="1" customHeight="1" outlineLevel="1">
      <c r="A221" s="190">
        <v>4</v>
      </c>
      <c r="B221" s="484"/>
      <c r="C221" s="536"/>
      <c r="D221" s="43"/>
      <c r="E221" s="536"/>
      <c r="F221" s="43"/>
      <c r="G221" s="151"/>
      <c r="H221" s="43"/>
      <c r="I221" s="536"/>
    </row>
    <row r="222" spans="1:9" ht="14.1" hidden="1" customHeight="1" outlineLevel="1">
      <c r="A222" s="190">
        <v>5</v>
      </c>
      <c r="B222" s="484"/>
      <c r="C222" s="536"/>
      <c r="D222" s="43"/>
      <c r="E222" s="536"/>
      <c r="F222" s="43"/>
      <c r="G222" s="151"/>
      <c r="H222" s="43"/>
      <c r="I222" s="536"/>
    </row>
    <row r="223" spans="1:9" ht="14.1" hidden="1" customHeight="1" outlineLevel="1">
      <c r="A223" s="190">
        <v>6</v>
      </c>
      <c r="B223" s="484"/>
      <c r="C223" s="536"/>
      <c r="D223" s="43"/>
      <c r="E223" s="536"/>
      <c r="F223" s="43"/>
      <c r="G223" s="151"/>
      <c r="H223" s="43"/>
      <c r="I223" s="536"/>
    </row>
    <row r="224" spans="1:9" ht="14.1" hidden="1" customHeight="1" outlineLevel="1">
      <c r="A224" s="190">
        <v>7</v>
      </c>
      <c r="B224" s="484"/>
      <c r="C224" s="536"/>
      <c r="D224" s="43"/>
      <c r="E224" s="536"/>
      <c r="F224" s="43"/>
      <c r="G224" s="151"/>
      <c r="H224" s="43"/>
      <c r="I224" s="536"/>
    </row>
    <row r="225" spans="1:9" ht="14.1" hidden="1" customHeight="1" outlineLevel="1">
      <c r="A225" s="190">
        <v>8</v>
      </c>
      <c r="B225" s="484"/>
      <c r="C225" s="536"/>
      <c r="D225" s="43"/>
      <c r="E225" s="536"/>
      <c r="F225" s="43"/>
      <c r="G225" s="151"/>
      <c r="H225" s="43"/>
      <c r="I225" s="536"/>
    </row>
    <row r="226" spans="1:9" ht="14.1" hidden="1" customHeight="1" outlineLevel="1">
      <c r="A226" s="190">
        <v>9</v>
      </c>
      <c r="B226" s="484"/>
      <c r="C226" s="536"/>
      <c r="D226" s="43"/>
      <c r="E226" s="536"/>
      <c r="F226" s="43"/>
      <c r="G226" s="151"/>
      <c r="H226" s="43"/>
      <c r="I226" s="536"/>
    </row>
    <row r="227" spans="1:9" ht="14.1" hidden="1" customHeight="1" outlineLevel="1">
      <c r="A227" s="190">
        <v>10</v>
      </c>
      <c r="B227" s="484"/>
      <c r="C227" s="536"/>
      <c r="D227" s="43"/>
      <c r="E227" s="536"/>
      <c r="F227" s="43"/>
      <c r="G227" s="151"/>
      <c r="H227" s="43"/>
      <c r="I227" s="536"/>
    </row>
    <row r="228" spans="1:9" ht="14.1" hidden="1" customHeight="1" outlineLevel="1">
      <c r="A228" s="190">
        <v>11</v>
      </c>
      <c r="B228" s="484"/>
      <c r="C228" s="536"/>
      <c r="D228" s="43"/>
      <c r="E228" s="536"/>
      <c r="F228" s="43"/>
      <c r="G228" s="151"/>
      <c r="H228" s="43"/>
      <c r="I228" s="536"/>
    </row>
    <row r="229" spans="1:9" ht="14.1" hidden="1" customHeight="1" outlineLevel="1">
      <c r="A229" s="190">
        <v>12</v>
      </c>
      <c r="B229" s="484"/>
      <c r="C229" s="536"/>
      <c r="D229" s="43"/>
      <c r="E229" s="536"/>
      <c r="F229" s="43"/>
      <c r="G229" s="151"/>
      <c r="H229" s="43"/>
      <c r="I229" s="536"/>
    </row>
    <row r="230" spans="1:9" ht="14.1" hidden="1" customHeight="1" outlineLevel="1">
      <c r="A230" s="190">
        <v>13</v>
      </c>
      <c r="B230" s="484"/>
      <c r="C230" s="536"/>
      <c r="D230" s="43"/>
      <c r="E230" s="536"/>
      <c r="F230" s="43"/>
      <c r="G230" s="151"/>
      <c r="H230" s="43"/>
      <c r="I230" s="536"/>
    </row>
    <row r="231" spans="1:9" ht="14.1" hidden="1" customHeight="1" outlineLevel="1">
      <c r="A231" s="190">
        <v>14</v>
      </c>
      <c r="B231" s="484"/>
      <c r="C231" s="536"/>
      <c r="D231" s="43"/>
      <c r="E231" s="536"/>
      <c r="F231" s="43"/>
      <c r="G231" s="151"/>
      <c r="H231" s="43"/>
      <c r="I231" s="536"/>
    </row>
    <row r="232" spans="1:9" ht="14.1" hidden="1" customHeight="1" outlineLevel="1">
      <c r="A232" s="190">
        <v>15</v>
      </c>
      <c r="B232" s="484"/>
      <c r="C232" s="536"/>
      <c r="D232" s="43"/>
      <c r="E232" s="536"/>
      <c r="F232" s="43"/>
      <c r="G232" s="151"/>
      <c r="H232" s="43"/>
      <c r="I232" s="536"/>
    </row>
    <row r="233" spans="1:9" ht="14.1" hidden="1" customHeight="1" outlineLevel="1">
      <c r="A233" s="190">
        <v>16</v>
      </c>
      <c r="B233" s="484"/>
      <c r="C233" s="536"/>
      <c r="D233" s="43"/>
      <c r="E233" s="536"/>
      <c r="F233" s="43"/>
      <c r="G233" s="151"/>
      <c r="H233" s="43"/>
      <c r="I233" s="536"/>
    </row>
    <row r="234" spans="1:9" ht="14.1" hidden="1" customHeight="1" outlineLevel="1">
      <c r="A234" s="190">
        <v>17</v>
      </c>
      <c r="B234" s="484"/>
      <c r="C234" s="536"/>
      <c r="D234" s="43"/>
      <c r="E234" s="536"/>
      <c r="F234" s="43"/>
      <c r="G234" s="151"/>
      <c r="H234" s="43"/>
      <c r="I234" s="536"/>
    </row>
    <row r="235" spans="1:9" ht="14.1" hidden="1" customHeight="1" outlineLevel="1">
      <c r="A235" s="190">
        <v>18</v>
      </c>
      <c r="B235" s="484"/>
      <c r="C235" s="536"/>
      <c r="D235" s="43"/>
      <c r="E235" s="536"/>
      <c r="F235" s="43"/>
      <c r="G235" s="151"/>
      <c r="H235" s="43"/>
      <c r="I235" s="536"/>
    </row>
    <row r="236" spans="1:9" ht="14.1" hidden="1" customHeight="1" outlineLevel="1">
      <c r="A236" s="190">
        <v>19</v>
      </c>
      <c r="B236" s="484"/>
      <c r="C236" s="536"/>
      <c r="D236" s="43"/>
      <c r="E236" s="536"/>
      <c r="F236" s="43"/>
      <c r="G236" s="151"/>
      <c r="H236" s="43"/>
      <c r="I236" s="536"/>
    </row>
    <row r="237" spans="1:9" ht="14.1" hidden="1" customHeight="1" outlineLevel="1">
      <c r="A237" s="190">
        <v>20</v>
      </c>
      <c r="B237" s="484"/>
      <c r="C237" s="536"/>
      <c r="D237" s="43"/>
      <c r="E237" s="536"/>
      <c r="F237" s="43"/>
      <c r="G237" s="151"/>
      <c r="H237" s="43"/>
      <c r="I237" s="536"/>
    </row>
    <row r="238" spans="1:9" ht="14.1" hidden="1" customHeight="1" outlineLevel="1">
      <c r="A238" s="190">
        <v>21</v>
      </c>
      <c r="B238" s="484"/>
      <c r="C238" s="536"/>
      <c r="D238" s="43"/>
      <c r="E238" s="536"/>
      <c r="F238" s="43"/>
      <c r="G238" s="151"/>
      <c r="H238" s="43"/>
      <c r="I238" s="536"/>
    </row>
    <row r="239" spans="1:9" ht="14.1" hidden="1" customHeight="1" outlineLevel="1">
      <c r="A239" s="190">
        <v>22</v>
      </c>
      <c r="B239" s="484"/>
      <c r="C239" s="536"/>
      <c r="D239" s="43"/>
      <c r="E239" s="536"/>
      <c r="F239" s="43"/>
      <c r="G239" s="151"/>
      <c r="H239" s="43"/>
      <c r="I239" s="536"/>
    </row>
    <row r="240" spans="1:9" ht="14.1" hidden="1" customHeight="1" outlineLevel="1">
      <c r="A240" s="190">
        <v>23</v>
      </c>
      <c r="B240" s="484"/>
      <c r="C240" s="536"/>
      <c r="D240" s="43"/>
      <c r="E240" s="536"/>
      <c r="F240" s="43"/>
      <c r="G240" s="151"/>
      <c r="H240" s="43"/>
      <c r="I240" s="536"/>
    </row>
    <row r="241" spans="1:9" ht="14.1" hidden="1" customHeight="1" outlineLevel="1">
      <c r="A241" s="190">
        <v>24</v>
      </c>
      <c r="B241" s="484"/>
      <c r="C241" s="536"/>
      <c r="D241" s="43"/>
      <c r="E241" s="536"/>
      <c r="F241" s="43"/>
      <c r="G241" s="151"/>
      <c r="H241" s="43"/>
      <c r="I241" s="536"/>
    </row>
    <row r="242" spans="1:9" ht="14.1" hidden="1" customHeight="1" outlineLevel="1">
      <c r="A242" s="190">
        <v>25</v>
      </c>
      <c r="B242" s="484"/>
      <c r="C242" s="536"/>
      <c r="D242" s="43"/>
      <c r="E242" s="536"/>
      <c r="F242" s="43"/>
      <c r="G242" s="151"/>
      <c r="H242" s="43"/>
      <c r="I242" s="536"/>
    </row>
    <row r="243" spans="1:9" ht="14.1" hidden="1" customHeight="1" outlineLevel="1">
      <c r="A243" s="190">
        <v>26</v>
      </c>
      <c r="B243" s="484"/>
      <c r="C243" s="536"/>
      <c r="D243" s="43"/>
      <c r="E243" s="536"/>
      <c r="F243" s="43"/>
      <c r="G243" s="151"/>
      <c r="H243" s="43"/>
      <c r="I243" s="536"/>
    </row>
    <row r="244" spans="1:9" ht="14.1" hidden="1" customHeight="1" outlineLevel="1">
      <c r="A244" s="190">
        <v>27</v>
      </c>
      <c r="B244" s="484"/>
      <c r="C244" s="536"/>
      <c r="D244" s="43"/>
      <c r="E244" s="536"/>
      <c r="F244" s="43"/>
      <c r="G244" s="151"/>
      <c r="H244" s="43"/>
      <c r="I244" s="536"/>
    </row>
    <row r="245" spans="1:9" ht="14.1" hidden="1" customHeight="1" outlineLevel="1">
      <c r="A245" s="190">
        <v>28</v>
      </c>
      <c r="B245" s="484"/>
      <c r="C245" s="536"/>
      <c r="D245" s="43"/>
      <c r="E245" s="536"/>
      <c r="F245" s="43"/>
      <c r="G245" s="151"/>
      <c r="H245" s="43"/>
      <c r="I245" s="536"/>
    </row>
    <row r="246" spans="1:9" ht="14.1" hidden="1" customHeight="1" outlineLevel="1">
      <c r="A246" s="190">
        <v>29</v>
      </c>
      <c r="B246" s="484"/>
      <c r="C246" s="536"/>
      <c r="D246" s="43"/>
      <c r="E246" s="536"/>
      <c r="F246" s="43"/>
      <c r="G246" s="151"/>
      <c r="H246" s="43"/>
      <c r="I246" s="536"/>
    </row>
    <row r="247" spans="1:9" ht="14.1" hidden="1" customHeight="1" outlineLevel="1">
      <c r="A247" s="190">
        <v>30</v>
      </c>
      <c r="B247" s="484"/>
      <c r="C247" s="536"/>
      <c r="D247" s="43"/>
      <c r="E247" s="536"/>
      <c r="F247" s="43"/>
      <c r="G247" s="151"/>
      <c r="H247" s="43"/>
      <c r="I247" s="536"/>
    </row>
    <row r="248" spans="1:9" ht="14.1" hidden="1" customHeight="1" outlineLevel="1">
      <c r="A248" s="190">
        <v>31</v>
      </c>
      <c r="B248" s="484"/>
      <c r="C248" s="536"/>
      <c r="D248" s="43"/>
      <c r="E248" s="536"/>
      <c r="F248" s="43"/>
      <c r="G248" s="151"/>
      <c r="H248" s="43"/>
      <c r="I248" s="536"/>
    </row>
    <row r="249" spans="1:9" ht="14.1" hidden="1" customHeight="1" outlineLevel="1">
      <c r="A249" s="190">
        <v>32</v>
      </c>
      <c r="B249" s="484"/>
      <c r="C249" s="536"/>
      <c r="D249" s="43"/>
      <c r="E249" s="536"/>
      <c r="F249" s="43"/>
      <c r="G249" s="151"/>
      <c r="H249" s="43"/>
      <c r="I249" s="536"/>
    </row>
    <row r="250" spans="1:9" ht="14.1" hidden="1" customHeight="1" outlineLevel="1">
      <c r="A250" s="190">
        <v>33</v>
      </c>
      <c r="B250" s="484"/>
      <c r="C250" s="536"/>
      <c r="D250" s="43"/>
      <c r="E250" s="536"/>
      <c r="F250" s="43"/>
      <c r="G250" s="151"/>
      <c r="H250" s="43"/>
      <c r="I250" s="536"/>
    </row>
    <row r="251" spans="1:9" ht="14.1" hidden="1" customHeight="1" outlineLevel="1">
      <c r="A251" s="190">
        <v>34</v>
      </c>
      <c r="B251" s="484"/>
      <c r="C251" s="536"/>
      <c r="D251" s="43"/>
      <c r="E251" s="536"/>
      <c r="F251" s="43"/>
      <c r="G251" s="151"/>
      <c r="H251" s="43"/>
      <c r="I251" s="536"/>
    </row>
    <row r="252" spans="1:9" ht="14.1" hidden="1" customHeight="1" outlineLevel="1">
      <c r="A252" s="190">
        <v>35</v>
      </c>
      <c r="B252" s="484"/>
      <c r="C252" s="536"/>
      <c r="D252" s="43"/>
      <c r="E252" s="536"/>
      <c r="F252" s="43"/>
      <c r="G252" s="151"/>
      <c r="H252" s="43"/>
      <c r="I252" s="536"/>
    </row>
    <row r="253" spans="1:9" ht="14.1" hidden="1" customHeight="1" outlineLevel="1">
      <c r="A253" s="190">
        <v>36</v>
      </c>
      <c r="B253" s="484"/>
      <c r="C253" s="536"/>
      <c r="D253" s="43"/>
      <c r="E253" s="536"/>
      <c r="F253" s="43"/>
      <c r="G253" s="151"/>
      <c r="H253" s="43"/>
      <c r="I253" s="536"/>
    </row>
    <row r="254" spans="1:9" ht="14.1" hidden="1" customHeight="1" outlineLevel="1">
      <c r="A254" s="190">
        <v>37</v>
      </c>
      <c r="B254" s="484"/>
      <c r="C254" s="536"/>
      <c r="D254" s="43"/>
      <c r="E254" s="536"/>
      <c r="F254" s="43"/>
      <c r="G254" s="151"/>
      <c r="H254" s="43"/>
      <c r="I254" s="536"/>
    </row>
    <row r="255" spans="1:9" ht="14.1" hidden="1" customHeight="1" outlineLevel="1">
      <c r="A255" s="190">
        <v>38</v>
      </c>
      <c r="B255" s="484"/>
      <c r="C255" s="536"/>
      <c r="D255" s="43"/>
      <c r="E255" s="536"/>
      <c r="F255" s="43"/>
      <c r="G255" s="151"/>
      <c r="H255" s="43"/>
      <c r="I255" s="536"/>
    </row>
    <row r="256" spans="1:9" ht="14.1" hidden="1" customHeight="1" outlineLevel="1">
      <c r="A256" s="190">
        <v>39</v>
      </c>
      <c r="B256" s="484"/>
      <c r="C256" s="536"/>
      <c r="D256" s="43"/>
      <c r="E256" s="536"/>
      <c r="F256" s="43"/>
      <c r="G256" s="151"/>
      <c r="H256" s="43"/>
      <c r="I256" s="536"/>
    </row>
    <row r="257" spans="1:9" ht="14.1" hidden="1" customHeight="1" outlineLevel="1">
      <c r="A257" s="190">
        <v>40</v>
      </c>
      <c r="B257" s="484"/>
      <c r="C257" s="536"/>
      <c r="D257" s="43"/>
      <c r="E257" s="536"/>
      <c r="F257" s="43"/>
      <c r="G257" s="151"/>
      <c r="H257" s="43"/>
      <c r="I257" s="536"/>
    </row>
    <row r="258" spans="1:9" ht="14.1" hidden="1" customHeight="1" outlineLevel="1">
      <c r="A258" s="190">
        <v>41</v>
      </c>
      <c r="B258" s="484"/>
      <c r="C258" s="536"/>
      <c r="D258" s="43"/>
      <c r="E258" s="536"/>
      <c r="F258" s="43"/>
      <c r="G258" s="151"/>
      <c r="H258" s="43"/>
      <c r="I258" s="536"/>
    </row>
    <row r="259" spans="1:9" ht="14.1" hidden="1" customHeight="1" outlineLevel="1">
      <c r="A259" s="190">
        <v>42</v>
      </c>
      <c r="B259" s="484"/>
      <c r="C259" s="536"/>
      <c r="D259" s="43"/>
      <c r="E259" s="536"/>
      <c r="F259" s="43"/>
      <c r="G259" s="151"/>
      <c r="H259" s="43"/>
      <c r="I259" s="536"/>
    </row>
    <row r="260" spans="1:9" ht="14.1" hidden="1" customHeight="1" outlineLevel="1">
      <c r="A260" s="190">
        <v>43</v>
      </c>
      <c r="B260" s="484"/>
      <c r="C260" s="536"/>
      <c r="D260" s="43"/>
      <c r="E260" s="536"/>
      <c r="F260" s="43"/>
      <c r="G260" s="151"/>
      <c r="H260" s="43"/>
      <c r="I260" s="536"/>
    </row>
    <row r="261" spans="1:9" ht="14.1" hidden="1" customHeight="1" outlineLevel="1">
      <c r="A261" s="190">
        <v>44</v>
      </c>
      <c r="B261" s="484"/>
      <c r="C261" s="536"/>
      <c r="D261" s="43"/>
      <c r="E261" s="536"/>
      <c r="F261" s="43"/>
      <c r="G261" s="151"/>
      <c r="H261" s="43"/>
      <c r="I261" s="536"/>
    </row>
    <row r="262" spans="1:9" ht="14.1" hidden="1" customHeight="1" outlineLevel="1">
      <c r="A262" s="190">
        <v>45</v>
      </c>
      <c r="B262" s="484"/>
      <c r="C262" s="536"/>
      <c r="D262" s="43"/>
      <c r="E262" s="536"/>
      <c r="F262" s="43"/>
      <c r="G262" s="151"/>
      <c r="H262" s="43"/>
      <c r="I262" s="536"/>
    </row>
    <row r="263" spans="1:9" ht="14.1" hidden="1" customHeight="1" outlineLevel="1">
      <c r="A263" s="190">
        <v>46</v>
      </c>
      <c r="B263" s="484"/>
      <c r="C263" s="536"/>
      <c r="D263" s="43"/>
      <c r="E263" s="536"/>
      <c r="F263" s="43"/>
      <c r="G263" s="151"/>
      <c r="H263" s="43"/>
      <c r="I263" s="536"/>
    </row>
    <row r="264" spans="1:9" ht="14.1" hidden="1" customHeight="1" outlineLevel="1">
      <c r="A264" s="190">
        <v>47</v>
      </c>
      <c r="B264" s="484"/>
      <c r="C264" s="536"/>
      <c r="D264" s="43"/>
      <c r="E264" s="536"/>
      <c r="F264" s="43"/>
      <c r="G264" s="151"/>
      <c r="H264" s="43"/>
      <c r="I264" s="536"/>
    </row>
    <row r="265" spans="1:9" ht="14.1" hidden="1" customHeight="1" outlineLevel="1">
      <c r="A265" s="190">
        <v>48</v>
      </c>
      <c r="B265" s="484"/>
      <c r="C265" s="536"/>
      <c r="D265" s="43"/>
      <c r="E265" s="536"/>
      <c r="F265" s="43"/>
      <c r="G265" s="151"/>
      <c r="H265" s="43"/>
      <c r="I265" s="536"/>
    </row>
    <row r="266" spans="1:9" ht="14.1" hidden="1" customHeight="1" outlineLevel="1">
      <c r="A266" s="190">
        <v>49</v>
      </c>
      <c r="B266" s="484"/>
      <c r="C266" s="536"/>
      <c r="D266" s="43"/>
      <c r="E266" s="536"/>
      <c r="F266" s="43"/>
      <c r="G266" s="151"/>
      <c r="H266" s="43"/>
      <c r="I266" s="536"/>
    </row>
    <row r="267" spans="1:9" ht="14.1" hidden="1" customHeight="1" outlineLevel="1" thickBot="1">
      <c r="A267" s="190">
        <v>50</v>
      </c>
      <c r="B267" s="484"/>
      <c r="C267" s="536"/>
      <c r="D267" s="43"/>
      <c r="E267" s="536"/>
      <c r="F267" s="43"/>
      <c r="G267" s="151"/>
      <c r="H267" s="43"/>
      <c r="I267" s="536"/>
    </row>
    <row r="268" spans="1:9" s="246" customFormat="1" ht="14.1" customHeight="1" thickBot="1">
      <c r="B268" s="542" t="s">
        <v>1771</v>
      </c>
      <c r="C268" s="538"/>
      <c r="D268" s="111">
        <f>SUM(D218:D267)</f>
        <v>0</v>
      </c>
      <c r="E268" s="539"/>
      <c r="F268" s="111">
        <f>SUM(F218:F267)</f>
        <v>0</v>
      </c>
      <c r="G268" s="540"/>
      <c r="H268" s="111">
        <f>SUM(H218:H267)</f>
        <v>0</v>
      </c>
      <c r="I268" s="541"/>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heetPr>
  <dimension ref="B1:J74"/>
  <sheetViews>
    <sheetView showGridLines="0" topLeftCell="A52" workbookViewId="0"/>
  </sheetViews>
  <sheetFormatPr baseColWidth="10" defaultColWidth="9.140625" defaultRowHeight="15"/>
  <cols>
    <col min="1" max="4" width="2.42578125" customWidth="1"/>
    <col min="5" max="5" width="66" customWidth="1"/>
    <col min="6" max="7" width="15.7109375" customWidth="1"/>
    <col min="8" max="8" width="10.7109375" customWidth="1"/>
    <col min="9" max="10" width="10" customWidth="1"/>
  </cols>
  <sheetData>
    <row r="1" spans="2:8" ht="15" customHeight="1"/>
    <row r="2" spans="2:8" s="1" customFormat="1" ht="15" customHeight="1"/>
    <row r="3" spans="2:8" ht="15" customHeight="1"/>
    <row r="4" spans="2:8" ht="23.25" customHeight="1">
      <c r="B4" s="1567"/>
      <c r="C4" s="1567"/>
      <c r="D4" s="1567"/>
      <c r="E4" s="1567"/>
      <c r="F4" s="29" t="str">
        <f>'3. Estado de resultados'!G4</f>
        <v>31.03.2018</v>
      </c>
      <c r="G4" s="29" t="str">
        <f>'3. Estado de resultados'!H4</f>
        <v>31.12.2017</v>
      </c>
      <c r="H4" s="29" t="str">
        <f>'3. Estado de resultados'!I4</f>
        <v>NOTA</v>
      </c>
    </row>
    <row r="5" spans="2:8" ht="15" customHeight="1">
      <c r="B5" s="1557" t="s">
        <v>849</v>
      </c>
      <c r="C5" s="1557"/>
      <c r="D5" s="1557"/>
      <c r="E5" s="1557"/>
      <c r="F5" s="21"/>
      <c r="G5" s="21"/>
      <c r="H5" s="15"/>
    </row>
    <row r="6" spans="2:8" ht="15" customHeight="1">
      <c r="B6" s="12"/>
      <c r="C6" s="1557" t="s">
        <v>850</v>
      </c>
      <c r="D6" s="1557"/>
      <c r="E6" s="1557"/>
      <c r="F6" s="21"/>
      <c r="G6" s="21"/>
      <c r="H6" s="15"/>
    </row>
    <row r="7" spans="2:8" ht="15" customHeight="1">
      <c r="B7" s="12"/>
      <c r="C7" s="12"/>
      <c r="D7" s="1557" t="s">
        <v>848</v>
      </c>
      <c r="E7" s="1557"/>
      <c r="F7" s="21"/>
      <c r="G7" s="21"/>
      <c r="H7" s="15"/>
    </row>
    <row r="8" spans="2:8" ht="15" customHeight="1">
      <c r="B8" s="12"/>
      <c r="C8" s="12"/>
      <c r="D8" s="12"/>
      <c r="E8" s="13" t="s">
        <v>165</v>
      </c>
      <c r="F8" s="20">
        <v>122052653</v>
      </c>
      <c r="G8" s="20">
        <v>498788323</v>
      </c>
      <c r="H8" s="15"/>
    </row>
    <row r="9" spans="2:8" ht="15" customHeight="1">
      <c r="B9" s="12"/>
      <c r="C9" s="12"/>
      <c r="D9" s="12"/>
      <c r="E9" s="13" t="s">
        <v>166</v>
      </c>
      <c r="F9" s="20"/>
      <c r="G9" s="20"/>
      <c r="H9" s="15"/>
    </row>
    <row r="10" spans="2:8" ht="15" customHeight="1">
      <c r="B10" s="12"/>
      <c r="C10" s="12"/>
      <c r="D10" s="12"/>
      <c r="E10" s="13" t="s">
        <v>167</v>
      </c>
      <c r="F10" s="20"/>
      <c r="G10" s="20"/>
      <c r="H10" s="15"/>
    </row>
    <row r="11" spans="2:8" ht="15" customHeight="1">
      <c r="B11" s="12"/>
      <c r="C11" s="12"/>
      <c r="D11" s="12"/>
      <c r="E11" s="13" t="s">
        <v>168</v>
      </c>
      <c r="F11" s="20"/>
      <c r="G11" s="20"/>
      <c r="H11" s="15"/>
    </row>
    <row r="12" spans="2:8" ht="15" customHeight="1">
      <c r="B12" s="12"/>
      <c r="C12" s="12"/>
      <c r="D12" s="12"/>
      <c r="E12" s="13" t="s">
        <v>169</v>
      </c>
      <c r="F12" s="20"/>
      <c r="G12" s="20"/>
      <c r="H12" s="15"/>
    </row>
    <row r="13" spans="2:8" ht="15" customHeight="1">
      <c r="B13" s="12"/>
      <c r="C13" s="12"/>
      <c r="D13" s="12"/>
      <c r="E13" s="13" t="s">
        <v>170</v>
      </c>
      <c r="F13" s="20">
        <v>108459289</v>
      </c>
      <c r="G13" s="20">
        <v>368749322</v>
      </c>
      <c r="H13" s="15"/>
    </row>
    <row r="14" spans="2:8" ht="15" customHeight="1">
      <c r="B14" s="12"/>
      <c r="C14" s="12"/>
      <c r="D14" s="12"/>
      <c r="E14" s="13" t="s">
        <v>171</v>
      </c>
      <c r="F14" s="20">
        <v>73869673</v>
      </c>
      <c r="G14" s="20">
        <v>210931315</v>
      </c>
      <c r="H14" s="15"/>
    </row>
    <row r="15" spans="2:8" ht="15" customHeight="1">
      <c r="B15" s="12"/>
      <c r="C15" s="12"/>
      <c r="D15" s="12"/>
      <c r="E15" s="13" t="s">
        <v>172</v>
      </c>
      <c r="F15" s="20">
        <v>3681365</v>
      </c>
      <c r="G15" s="20">
        <v>13246155</v>
      </c>
      <c r="H15" s="15"/>
    </row>
    <row r="16" spans="2:8" ht="15" customHeight="1">
      <c r="B16" s="12"/>
      <c r="C16" s="12"/>
      <c r="D16" s="12"/>
      <c r="E16" s="13" t="s">
        <v>173</v>
      </c>
      <c r="F16" s="20"/>
      <c r="G16" s="20">
        <v>0</v>
      </c>
      <c r="H16" s="15"/>
    </row>
    <row r="17" spans="2:8" ht="15" customHeight="1">
      <c r="B17" s="12"/>
      <c r="C17" s="12"/>
      <c r="D17" s="12"/>
      <c r="E17" s="13" t="s">
        <v>174</v>
      </c>
      <c r="F17" s="20"/>
      <c r="H17" s="15"/>
    </row>
    <row r="18" spans="2:8" ht="15" customHeight="1">
      <c r="B18" s="12"/>
      <c r="C18" s="12"/>
      <c r="D18" s="12"/>
      <c r="E18" s="13" t="s">
        <v>175</v>
      </c>
      <c r="F18" s="20"/>
      <c r="G18" s="20"/>
      <c r="H18" s="15"/>
    </row>
    <row r="19" spans="2:8" ht="15" customHeight="1">
      <c r="B19" s="12"/>
      <c r="C19" s="12"/>
      <c r="D19" s="12"/>
      <c r="E19" s="28" t="s">
        <v>176</v>
      </c>
      <c r="F19" s="23">
        <f>SUM(F8:F18)</f>
        <v>308062980</v>
      </c>
      <c r="G19" s="23">
        <f>SUM(G8:G18)</f>
        <v>1091715115</v>
      </c>
      <c r="H19" s="15"/>
    </row>
    <row r="20" spans="2:8" ht="15" customHeight="1">
      <c r="B20" s="12"/>
      <c r="C20" s="12"/>
      <c r="D20" s="1557" t="s">
        <v>847</v>
      </c>
      <c r="E20" s="1557"/>
      <c r="F20" s="21"/>
      <c r="G20" s="21"/>
      <c r="H20" s="15"/>
    </row>
    <row r="21" spans="2:8" ht="15" customHeight="1">
      <c r="B21" s="12"/>
      <c r="C21" s="12"/>
      <c r="D21" s="12"/>
      <c r="E21" s="13" t="s">
        <v>177</v>
      </c>
      <c r="F21" s="20">
        <v>6283802</v>
      </c>
      <c r="G21" s="20">
        <v>45910328</v>
      </c>
      <c r="H21" s="15"/>
    </row>
    <row r="22" spans="2:8" ht="15" customHeight="1">
      <c r="B22" s="12"/>
      <c r="C22" s="12"/>
      <c r="D22" s="12"/>
      <c r="E22" s="13" t="s">
        <v>178</v>
      </c>
      <c r="F22" s="20">
        <v>88112496</v>
      </c>
      <c r="G22" s="20">
        <v>387295156</v>
      </c>
      <c r="H22" s="15"/>
    </row>
    <row r="23" spans="2:8" ht="15" customHeight="1">
      <c r="B23" s="12"/>
      <c r="C23" s="12"/>
      <c r="D23" s="12"/>
      <c r="E23" s="13" t="s">
        <v>179</v>
      </c>
      <c r="F23" s="20"/>
      <c r="G23" s="20">
        <v>4173707</v>
      </c>
      <c r="H23" s="15"/>
    </row>
    <row r="24" spans="2:8" ht="15" customHeight="1">
      <c r="B24" s="12"/>
      <c r="C24" s="12"/>
      <c r="D24" s="12"/>
      <c r="E24" s="13" t="s">
        <v>180</v>
      </c>
      <c r="F24" s="20"/>
      <c r="G24" s="20"/>
      <c r="H24" s="15"/>
    </row>
    <row r="25" spans="2:8" ht="15" customHeight="1">
      <c r="B25" s="12"/>
      <c r="C25" s="12"/>
      <c r="D25" s="12"/>
      <c r="E25" s="13" t="s">
        <v>181</v>
      </c>
      <c r="F25" s="20">
        <v>75035004</v>
      </c>
      <c r="G25" s="20">
        <v>385734332</v>
      </c>
      <c r="H25" s="15"/>
    </row>
    <row r="26" spans="2:8" ht="15" customHeight="1">
      <c r="B26" s="12"/>
      <c r="C26" s="12"/>
      <c r="D26" s="12"/>
      <c r="E26" s="13" t="s">
        <v>182</v>
      </c>
      <c r="F26" s="20">
        <v>118769858</v>
      </c>
      <c r="G26" s="20">
        <v>143485363</v>
      </c>
      <c r="H26" s="15"/>
    </row>
    <row r="27" spans="2:8" ht="15" customHeight="1">
      <c r="B27" s="12"/>
      <c r="C27" s="12"/>
      <c r="D27" s="12"/>
      <c r="E27" s="13" t="s">
        <v>183</v>
      </c>
      <c r="F27" s="20">
        <v>706003</v>
      </c>
      <c r="G27" s="20">
        <v>69155524</v>
      </c>
      <c r="H27" s="15"/>
    </row>
    <row r="28" spans="2:8" ht="15" customHeight="1">
      <c r="B28" s="12"/>
      <c r="C28" s="12"/>
      <c r="D28" s="12"/>
      <c r="E28" s="13" t="s">
        <v>184</v>
      </c>
      <c r="F28" s="20">
        <v>1760446</v>
      </c>
      <c r="G28" s="20">
        <v>10647734</v>
      </c>
      <c r="H28" s="15"/>
    </row>
    <row r="29" spans="2:8" ht="15" customHeight="1">
      <c r="B29" s="12"/>
      <c r="C29" s="12"/>
      <c r="D29" s="12"/>
      <c r="E29" s="13" t="s">
        <v>185</v>
      </c>
      <c r="F29" s="20">
        <f>21004818+1</f>
        <v>21004819</v>
      </c>
      <c r="G29" s="20">
        <v>6333402</v>
      </c>
      <c r="H29" s="15"/>
    </row>
    <row r="30" spans="2:8" ht="15" customHeight="1">
      <c r="B30" s="12"/>
      <c r="C30" s="12"/>
      <c r="D30" s="12"/>
      <c r="E30" s="13" t="s">
        <v>186</v>
      </c>
      <c r="F30" s="20"/>
      <c r="G30" s="20"/>
      <c r="H30" s="15"/>
    </row>
    <row r="31" spans="2:8" ht="15" customHeight="1">
      <c r="B31" s="12"/>
      <c r="C31" s="12"/>
      <c r="D31" s="25"/>
      <c r="E31" s="28" t="s">
        <v>187</v>
      </c>
      <c r="F31" s="23">
        <f>SUM(F21:F30)</f>
        <v>311672428</v>
      </c>
      <c r="G31" s="23">
        <f>SUM(G21:G30)</f>
        <v>1052735546</v>
      </c>
      <c r="H31" s="15"/>
    </row>
    <row r="32" spans="2:8" ht="15" customHeight="1">
      <c r="B32" s="12"/>
      <c r="C32" s="12"/>
      <c r="D32" s="1564" t="s">
        <v>188</v>
      </c>
      <c r="E32" s="1564"/>
      <c r="F32" s="23">
        <f>F19-F31</f>
        <v>-3609448</v>
      </c>
      <c r="G32" s="23">
        <f>G19-G31</f>
        <v>38979569</v>
      </c>
      <c r="H32" s="15"/>
    </row>
    <row r="33" spans="2:8" ht="15" customHeight="1">
      <c r="B33" s="12"/>
      <c r="C33" s="1557" t="s">
        <v>846</v>
      </c>
      <c r="D33" s="1557"/>
      <c r="E33" s="1557"/>
      <c r="F33" s="21"/>
      <c r="G33" s="21"/>
      <c r="H33" s="15"/>
    </row>
    <row r="34" spans="2:8" ht="15" customHeight="1">
      <c r="B34" s="12"/>
      <c r="C34" s="12"/>
      <c r="D34" s="1557" t="s">
        <v>845</v>
      </c>
      <c r="E34" s="1557"/>
      <c r="F34" s="21"/>
      <c r="G34" s="21"/>
      <c r="H34" s="15"/>
    </row>
    <row r="35" spans="2:8" ht="15" customHeight="1">
      <c r="B35" s="12"/>
      <c r="C35" s="12"/>
      <c r="D35" s="12"/>
      <c r="E35" s="13" t="s">
        <v>189</v>
      </c>
      <c r="F35" s="20"/>
      <c r="G35" s="20"/>
      <c r="H35" s="15"/>
    </row>
    <row r="36" spans="2:8" ht="15" customHeight="1">
      <c r="B36" s="12"/>
      <c r="C36" s="12"/>
      <c r="D36" s="12"/>
      <c r="E36" s="13" t="s">
        <v>190</v>
      </c>
      <c r="F36" s="20"/>
      <c r="G36" s="20"/>
      <c r="H36" s="15"/>
    </row>
    <row r="37" spans="2:8" ht="15" customHeight="1">
      <c r="B37" s="12"/>
      <c r="C37" s="12"/>
      <c r="D37" s="12"/>
      <c r="E37" s="13" t="s">
        <v>191</v>
      </c>
      <c r="F37" s="20"/>
      <c r="G37" s="20"/>
      <c r="H37" s="15"/>
    </row>
    <row r="38" spans="2:8" ht="15" customHeight="1">
      <c r="B38" s="12"/>
      <c r="C38" s="12"/>
      <c r="D38" s="12"/>
      <c r="E38" s="13" t="s">
        <v>192</v>
      </c>
      <c r="F38" s="20"/>
      <c r="G38" s="20"/>
      <c r="H38" s="15"/>
    </row>
    <row r="39" spans="2:8" ht="15" customHeight="1">
      <c r="B39" s="12"/>
      <c r="C39" s="12"/>
      <c r="D39" s="12"/>
      <c r="E39" s="13" t="s">
        <v>193</v>
      </c>
      <c r="F39" s="20"/>
      <c r="G39" s="20">
        <v>88003</v>
      </c>
      <c r="H39" s="15"/>
    </row>
    <row r="40" spans="2:8" ht="15" customHeight="1">
      <c r="B40" s="12"/>
      <c r="C40" s="12"/>
      <c r="D40" s="12"/>
      <c r="E40" s="13" t="s">
        <v>194</v>
      </c>
      <c r="F40" s="20"/>
      <c r="G40" s="20"/>
      <c r="H40" s="15"/>
    </row>
    <row r="41" spans="2:8" ht="15" customHeight="1">
      <c r="B41" s="12"/>
      <c r="C41" s="12"/>
      <c r="D41" s="12"/>
      <c r="E41" s="28" t="s">
        <v>195</v>
      </c>
      <c r="F41" s="23">
        <f>SUM(F35:F40)</f>
        <v>0</v>
      </c>
      <c r="G41" s="23">
        <f>SUM(G35:G40)</f>
        <v>88003</v>
      </c>
      <c r="H41" s="15"/>
    </row>
    <row r="42" spans="2:8" ht="15" customHeight="1">
      <c r="B42" s="12"/>
      <c r="C42" s="12"/>
      <c r="D42" s="1557" t="s">
        <v>844</v>
      </c>
      <c r="E42" s="1557"/>
      <c r="F42" s="21"/>
      <c r="G42" s="21"/>
      <c r="H42" s="15"/>
    </row>
    <row r="43" spans="2:8" ht="15" customHeight="1">
      <c r="B43" s="12"/>
      <c r="C43" s="12"/>
      <c r="D43" s="12"/>
      <c r="E43" s="13" t="s">
        <v>196</v>
      </c>
      <c r="F43" s="20"/>
      <c r="G43" s="20"/>
      <c r="H43" s="15"/>
    </row>
    <row r="44" spans="2:8" ht="15" customHeight="1">
      <c r="B44" s="12"/>
      <c r="C44" s="12"/>
      <c r="D44" s="12"/>
      <c r="E44" s="13" t="s">
        <v>197</v>
      </c>
      <c r="F44" s="20"/>
      <c r="G44" s="20">
        <v>19047792</v>
      </c>
      <c r="H44" s="15"/>
    </row>
    <row r="45" spans="2:8" ht="15" customHeight="1">
      <c r="B45" s="12"/>
      <c r="C45" s="12"/>
      <c r="D45" s="12"/>
      <c r="E45" s="13" t="s">
        <v>198</v>
      </c>
      <c r="F45" s="20"/>
      <c r="G45" s="20"/>
      <c r="H45" s="15"/>
    </row>
    <row r="46" spans="2:8" ht="15" customHeight="1">
      <c r="B46" s="12"/>
      <c r="C46" s="12"/>
      <c r="D46" s="12"/>
      <c r="E46" s="13" t="s">
        <v>199</v>
      </c>
      <c r="F46" s="20"/>
      <c r="G46" s="20"/>
      <c r="H46" s="15"/>
    </row>
    <row r="47" spans="2:8" ht="15" customHeight="1">
      <c r="B47" s="12"/>
      <c r="C47" s="12"/>
      <c r="D47" s="12"/>
      <c r="E47" s="13" t="s">
        <v>200</v>
      </c>
      <c r="F47" s="20"/>
      <c r="G47" s="20"/>
      <c r="H47" s="15"/>
    </row>
    <row r="48" spans="2:8" ht="15" customHeight="1">
      <c r="B48" s="12"/>
      <c r="C48" s="12"/>
      <c r="D48" s="12"/>
      <c r="E48" s="13" t="s">
        <v>201</v>
      </c>
      <c r="F48" s="20">
        <v>0</v>
      </c>
      <c r="G48" s="20">
        <v>0</v>
      </c>
      <c r="H48" s="15"/>
    </row>
    <row r="49" spans="2:8" ht="15" customHeight="1">
      <c r="B49" s="12"/>
      <c r="C49" s="12"/>
      <c r="D49" s="25"/>
      <c r="E49" s="28" t="s">
        <v>202</v>
      </c>
      <c r="F49" s="23">
        <f>SUM(F43:F48)</f>
        <v>0</v>
      </c>
      <c r="G49" s="23">
        <f>SUM(G43:G48)</f>
        <v>19047792</v>
      </c>
      <c r="H49" s="15"/>
    </row>
    <row r="50" spans="2:8" ht="15" customHeight="1">
      <c r="B50" s="12"/>
      <c r="C50" s="12"/>
      <c r="D50" s="1564" t="s">
        <v>203</v>
      </c>
      <c r="E50" s="1564"/>
      <c r="F50" s="23">
        <f>F41-F49</f>
        <v>0</v>
      </c>
      <c r="G50" s="23">
        <f>G41-G49</f>
        <v>-18959789</v>
      </c>
      <c r="H50" s="15"/>
    </row>
    <row r="51" spans="2:8" ht="15" customHeight="1">
      <c r="B51" s="12"/>
      <c r="C51" s="1557" t="s">
        <v>843</v>
      </c>
      <c r="D51" s="1557"/>
      <c r="E51" s="1557"/>
      <c r="F51" s="21"/>
      <c r="G51" s="21"/>
      <c r="H51" s="15"/>
    </row>
    <row r="52" spans="2:8" ht="15" customHeight="1">
      <c r="B52" s="12"/>
      <c r="C52" s="12"/>
      <c r="D52" s="1557" t="s">
        <v>842</v>
      </c>
      <c r="E52" s="1557"/>
      <c r="F52" s="21"/>
      <c r="G52" s="21"/>
      <c r="H52" s="15"/>
    </row>
    <row r="53" spans="2:8" ht="15" customHeight="1">
      <c r="B53" s="12"/>
      <c r="C53" s="12"/>
      <c r="D53" s="12"/>
      <c r="E53" s="13" t="s">
        <v>204</v>
      </c>
      <c r="F53" s="20"/>
      <c r="G53" s="20"/>
      <c r="H53" s="15"/>
    </row>
    <row r="54" spans="2:8" ht="15" customHeight="1">
      <c r="B54" s="12"/>
      <c r="C54" s="12"/>
      <c r="D54" s="12"/>
      <c r="E54" s="13" t="s">
        <v>205</v>
      </c>
      <c r="F54" s="20"/>
      <c r="G54" s="20"/>
      <c r="H54" s="15"/>
    </row>
    <row r="55" spans="2:8" ht="15" customHeight="1">
      <c r="B55" s="12"/>
      <c r="C55" s="12"/>
      <c r="D55" s="12"/>
      <c r="E55" s="13" t="s">
        <v>206</v>
      </c>
      <c r="F55" s="20"/>
      <c r="G55" s="20"/>
      <c r="H55" s="15"/>
    </row>
    <row r="56" spans="2:8" ht="15" customHeight="1">
      <c r="B56" s="12"/>
      <c r="C56" s="12"/>
      <c r="D56" s="12"/>
      <c r="E56" s="13" t="s">
        <v>207</v>
      </c>
      <c r="F56" s="20"/>
      <c r="G56" s="20"/>
      <c r="H56" s="15"/>
    </row>
    <row r="57" spans="2:8" ht="15" customHeight="1">
      <c r="B57" s="12"/>
      <c r="C57" s="12"/>
      <c r="D57" s="12"/>
      <c r="E57" s="13" t="s">
        <v>208</v>
      </c>
      <c r="F57" s="20"/>
      <c r="G57" s="20"/>
      <c r="H57" s="15"/>
    </row>
    <row r="58" spans="2:8" ht="15" customHeight="1">
      <c r="B58" s="12"/>
      <c r="C58" s="12"/>
      <c r="D58" s="12"/>
      <c r="E58" s="28" t="s">
        <v>209</v>
      </c>
      <c r="F58" s="23">
        <f>SUM(F53:F57)</f>
        <v>0</v>
      </c>
      <c r="G58" s="23">
        <f>SUM(G53:G57)</f>
        <v>0</v>
      </c>
      <c r="H58" s="15"/>
    </row>
    <row r="59" spans="2:8" ht="15" customHeight="1">
      <c r="B59" s="12"/>
      <c r="C59" s="12"/>
      <c r="D59" s="1557" t="s">
        <v>841</v>
      </c>
      <c r="E59" s="1557"/>
      <c r="F59" s="21"/>
      <c r="G59" s="21"/>
      <c r="H59" s="15"/>
    </row>
    <row r="60" spans="2:8" ht="15" customHeight="1">
      <c r="B60" s="12"/>
      <c r="C60" s="12"/>
      <c r="D60" s="12"/>
      <c r="E60" s="13" t="s">
        <v>210</v>
      </c>
      <c r="F60" s="20"/>
      <c r="G60" s="20">
        <v>4987210</v>
      </c>
      <c r="H60" s="15"/>
    </row>
    <row r="61" spans="2:8" ht="15" customHeight="1">
      <c r="B61" s="12"/>
      <c r="C61" s="12"/>
      <c r="D61" s="12"/>
      <c r="E61" s="13" t="s">
        <v>211</v>
      </c>
      <c r="F61" s="20"/>
      <c r="G61" s="20"/>
      <c r="H61" s="15"/>
    </row>
    <row r="62" spans="2:8" ht="15" customHeight="1">
      <c r="B62" s="12"/>
      <c r="C62" s="12"/>
      <c r="D62" s="12"/>
      <c r="E62" s="13" t="s">
        <v>212</v>
      </c>
      <c r="F62" s="20"/>
      <c r="G62" s="20"/>
      <c r="H62" s="15"/>
    </row>
    <row r="63" spans="2:8" ht="15" customHeight="1">
      <c r="B63" s="12"/>
      <c r="C63" s="12"/>
      <c r="D63" s="12"/>
      <c r="E63" s="13" t="s">
        <v>213</v>
      </c>
      <c r="F63" s="20"/>
      <c r="G63" s="20"/>
      <c r="H63" s="15"/>
    </row>
    <row r="64" spans="2:8" ht="15" customHeight="1">
      <c r="B64" s="12"/>
      <c r="C64" s="12"/>
      <c r="D64" s="12"/>
      <c r="E64" s="13" t="s">
        <v>214</v>
      </c>
      <c r="F64" s="20">
        <v>0</v>
      </c>
      <c r="G64" s="20">
        <v>0</v>
      </c>
      <c r="H64" s="15"/>
    </row>
    <row r="65" spans="2:10" ht="15" customHeight="1">
      <c r="B65" s="12"/>
      <c r="C65" s="12"/>
      <c r="D65" s="25"/>
      <c r="E65" s="28" t="s">
        <v>215</v>
      </c>
      <c r="F65" s="23">
        <f>SUM(F60:F64)</f>
        <v>0</v>
      </c>
      <c r="G65" s="23">
        <f>SUM(G60:G64)</f>
        <v>4987210</v>
      </c>
      <c r="H65" s="15"/>
    </row>
    <row r="66" spans="2:10" ht="15" customHeight="1">
      <c r="B66" s="12"/>
      <c r="C66" s="12"/>
      <c r="D66" s="1564" t="s">
        <v>216</v>
      </c>
      <c r="E66" s="1564"/>
      <c r="F66" s="23">
        <f>F58-F65</f>
        <v>0</v>
      </c>
      <c r="G66" s="23">
        <f>G58-G65</f>
        <v>-4987210</v>
      </c>
      <c r="H66" s="15"/>
    </row>
    <row r="67" spans="2:10" ht="15" customHeight="1">
      <c r="B67" s="12"/>
      <c r="C67" s="12"/>
      <c r="D67" s="1555" t="s">
        <v>217</v>
      </c>
      <c r="E67" s="1555"/>
      <c r="F67" s="20">
        <v>-949501</v>
      </c>
      <c r="G67" s="20">
        <v>-13597000</v>
      </c>
      <c r="H67" s="15"/>
      <c r="J67" s="799" t="s">
        <v>2790</v>
      </c>
    </row>
    <row r="68" spans="2:10" ht="15" customHeight="1">
      <c r="B68" s="12"/>
      <c r="C68" s="1564" t="s">
        <v>218</v>
      </c>
      <c r="D68" s="1564"/>
      <c r="E68" s="1564"/>
      <c r="F68" s="23">
        <f>F32+F50+F66+F67</f>
        <v>-4558949</v>
      </c>
      <c r="G68" s="23">
        <f>G32+G50+G66+G67</f>
        <v>1435570</v>
      </c>
      <c r="H68" s="15"/>
    </row>
    <row r="69" spans="2:10" ht="15" customHeight="1">
      <c r="B69" s="12"/>
      <c r="C69" s="1555" t="s">
        <v>219</v>
      </c>
      <c r="D69" s="1555"/>
      <c r="E69" s="1555"/>
      <c r="F69" s="20">
        <v>11067317</v>
      </c>
      <c r="G69" s="20">
        <v>9631747</v>
      </c>
      <c r="H69" s="15"/>
    </row>
    <row r="70" spans="2:10" ht="15" customHeight="1">
      <c r="B70" s="12"/>
      <c r="C70" s="1564" t="s">
        <v>220</v>
      </c>
      <c r="D70" s="1564"/>
      <c r="E70" s="1564"/>
      <c r="F70" s="23">
        <f>F69+F68</f>
        <v>6508368</v>
      </c>
      <c r="G70" s="23">
        <f>G69+G68</f>
        <v>11067317</v>
      </c>
      <c r="H70" s="15"/>
    </row>
    <row r="71" spans="2:10" ht="15" customHeight="1">
      <c r="B71" s="12"/>
      <c r="C71" s="1564" t="s">
        <v>840</v>
      </c>
      <c r="D71" s="1564"/>
      <c r="E71" s="1564"/>
      <c r="F71" s="27">
        <f>SUM(F72:F74)</f>
        <v>6508368</v>
      </c>
      <c r="G71" s="27">
        <f>SUM(G72:G74)</f>
        <v>11067317</v>
      </c>
      <c r="H71" s="15"/>
    </row>
    <row r="72" spans="2:10" ht="15" customHeight="1">
      <c r="B72" s="12"/>
      <c r="C72" s="12"/>
      <c r="D72" s="1555" t="s">
        <v>221</v>
      </c>
      <c r="E72" s="1555"/>
      <c r="F72" s="20">
        <v>46184</v>
      </c>
      <c r="G72" s="20">
        <v>50573</v>
      </c>
      <c r="H72" s="15"/>
    </row>
    <row r="73" spans="2:10" ht="15" customHeight="1">
      <c r="B73" s="12"/>
      <c r="C73" s="12"/>
      <c r="D73" s="1555" t="s">
        <v>222</v>
      </c>
      <c r="E73" s="1555"/>
      <c r="F73" s="20">
        <v>6462184</v>
      </c>
      <c r="G73" s="20">
        <v>11016744</v>
      </c>
      <c r="H73" s="15"/>
    </row>
    <row r="74" spans="2:10" ht="15" customHeight="1">
      <c r="B74" s="12"/>
      <c r="C74" s="12"/>
      <c r="D74" s="1555" t="s">
        <v>223</v>
      </c>
      <c r="E74" s="1555"/>
      <c r="F74" s="20"/>
      <c r="G74" s="20"/>
      <c r="H74" s="15"/>
    </row>
  </sheetData>
  <mergeCells count="22">
    <mergeCell ref="D32:E32"/>
    <mergeCell ref="C33:E33"/>
    <mergeCell ref="D34:E34"/>
    <mergeCell ref="D42:E42"/>
    <mergeCell ref="B4:E4"/>
    <mergeCell ref="B5:E5"/>
    <mergeCell ref="C6:E6"/>
    <mergeCell ref="D7:E7"/>
    <mergeCell ref="D20:E20"/>
    <mergeCell ref="D73:E73"/>
    <mergeCell ref="D74:E74"/>
    <mergeCell ref="D50:E50"/>
    <mergeCell ref="C51:E51"/>
    <mergeCell ref="D52:E52"/>
    <mergeCell ref="D59:E59"/>
    <mergeCell ref="D66:E66"/>
    <mergeCell ref="D67:E67"/>
    <mergeCell ref="C68:E68"/>
    <mergeCell ref="C69:E69"/>
    <mergeCell ref="C70:E70"/>
    <mergeCell ref="C71:E71"/>
    <mergeCell ref="D72:E72"/>
  </mergeCell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heetPr>
  <dimension ref="A1:F16"/>
  <sheetViews>
    <sheetView showGridLines="0" workbookViewId="0">
      <pane xSplit="1" ySplit="4" topLeftCell="B5" activePane="bottomRight" state="frozen"/>
      <selection pane="topRight" activeCell="B1" sqref="B1"/>
      <selection pane="bottomLeft" activeCell="A5" sqref="A5"/>
      <selection pane="bottomRight" activeCell="B5" sqref="B5"/>
    </sheetView>
  </sheetViews>
  <sheetFormatPr baseColWidth="10" defaultColWidth="9.140625" defaultRowHeight="15" outlineLevelRow="1"/>
  <cols>
    <col min="1" max="1" width="3.7109375" customWidth="1"/>
    <col min="2" max="3" width="35.7109375" customWidth="1"/>
    <col min="4" max="5" width="14.7109375" customWidth="1"/>
    <col min="6" max="6" width="55.7109375" customWidth="1"/>
  </cols>
  <sheetData>
    <row r="1" spans="1:6" s="246" customFormat="1" ht="15" customHeight="1"/>
    <row r="2" spans="1:6" s="246" customFormat="1" ht="15" customHeight="1">
      <c r="B2" s="501" t="s">
        <v>1855</v>
      </c>
    </row>
    <row r="3" spans="1:6" s="246" customFormat="1" ht="15" customHeight="1" thickBot="1"/>
    <row r="4" spans="1:6" s="182" customFormat="1" ht="75" customHeight="1" thickBot="1">
      <c r="B4" s="493" t="s">
        <v>670</v>
      </c>
      <c r="C4" s="493" t="s">
        <v>671</v>
      </c>
      <c r="D4" s="493" t="s">
        <v>672</v>
      </c>
      <c r="E4" s="493" t="s">
        <v>673</v>
      </c>
      <c r="F4" s="493" t="s">
        <v>674</v>
      </c>
    </row>
    <row r="5" spans="1:6" s="182" customFormat="1" ht="14.1" customHeight="1" thickBot="1">
      <c r="B5" s="537" t="s">
        <v>1856</v>
      </c>
      <c r="C5" s="485"/>
      <c r="D5" s="485"/>
      <c r="E5" s="485"/>
      <c r="F5" s="485"/>
    </row>
    <row r="6" spans="1:6" ht="14.1" customHeight="1" outlineLevel="1">
      <c r="A6" s="190">
        <v>1</v>
      </c>
      <c r="B6" s="487"/>
      <c r="C6" s="535"/>
      <c r="D6" s="149"/>
      <c r="E6" s="65"/>
      <c r="F6" s="535"/>
    </row>
    <row r="7" spans="1:6" ht="14.1" customHeight="1" outlineLevel="1">
      <c r="A7" s="190">
        <v>2</v>
      </c>
      <c r="B7" s="484"/>
      <c r="C7" s="536"/>
      <c r="D7" s="151"/>
      <c r="E7" s="43"/>
      <c r="F7" s="536"/>
    </row>
    <row r="8" spans="1:6" ht="14.1" customHeight="1" outlineLevel="1">
      <c r="A8" s="190">
        <v>3</v>
      </c>
      <c r="B8" s="484"/>
      <c r="C8" s="536"/>
      <c r="D8" s="151"/>
      <c r="E8" s="43"/>
      <c r="F8" s="536"/>
    </row>
    <row r="9" spans="1:6" ht="14.1" customHeight="1" outlineLevel="1">
      <c r="A9" s="190">
        <v>4</v>
      </c>
      <c r="B9" s="484"/>
      <c r="C9" s="536"/>
      <c r="D9" s="151"/>
      <c r="E9" s="43"/>
      <c r="F9" s="536"/>
    </row>
    <row r="10" spans="1:6" ht="14.1" customHeight="1" outlineLevel="1">
      <c r="A10" s="190">
        <v>5</v>
      </c>
      <c r="B10" s="484"/>
      <c r="C10" s="536"/>
      <c r="D10" s="151"/>
      <c r="E10" s="43"/>
      <c r="F10" s="536"/>
    </row>
    <row r="11" spans="1:6" ht="14.1" customHeight="1" outlineLevel="1">
      <c r="A11" s="190">
        <v>6</v>
      </c>
      <c r="B11" s="484"/>
      <c r="C11" s="536"/>
      <c r="D11" s="151"/>
      <c r="E11" s="43"/>
      <c r="F11" s="536"/>
    </row>
    <row r="12" spans="1:6" ht="14.1" customHeight="1" outlineLevel="1">
      <c r="A12" s="190">
        <v>7</v>
      </c>
      <c r="B12" s="484"/>
      <c r="C12" s="536"/>
      <c r="D12" s="151"/>
      <c r="E12" s="43"/>
      <c r="F12" s="536"/>
    </row>
    <row r="13" spans="1:6" ht="14.1" customHeight="1" outlineLevel="1">
      <c r="A13" s="190">
        <v>8</v>
      </c>
      <c r="B13" s="484"/>
      <c r="C13" s="536"/>
      <c r="D13" s="151"/>
      <c r="E13" s="43"/>
      <c r="F13" s="536"/>
    </row>
    <row r="14" spans="1:6" ht="14.1" customHeight="1" outlineLevel="1">
      <c r="A14" s="190">
        <v>9</v>
      </c>
      <c r="B14" s="484"/>
      <c r="C14" s="536"/>
      <c r="D14" s="151"/>
      <c r="E14" s="43"/>
      <c r="F14" s="536"/>
    </row>
    <row r="15" spans="1:6" ht="14.1" customHeight="1" outlineLevel="1" thickBot="1">
      <c r="A15" s="190">
        <v>10</v>
      </c>
      <c r="B15" s="484"/>
      <c r="C15" s="544"/>
      <c r="D15" s="156"/>
      <c r="E15" s="43"/>
      <c r="F15" s="536"/>
    </row>
    <row r="16" spans="1:6" s="246" customFormat="1" ht="14.1" customHeight="1" thickBot="1">
      <c r="B16" s="212" t="s">
        <v>1856</v>
      </c>
      <c r="C16" s="539"/>
      <c r="D16" s="545"/>
      <c r="E16" s="111">
        <f>SUM(E6:E15)</f>
        <v>0</v>
      </c>
      <c r="F16" s="543"/>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heetPr>
  <dimension ref="B1:S80"/>
  <sheetViews>
    <sheetView showGridLines="0" topLeftCell="B46" zoomScale="90" zoomScaleNormal="90" workbookViewId="0">
      <selection activeCell="Q32" sqref="Q32"/>
    </sheetView>
  </sheetViews>
  <sheetFormatPr baseColWidth="10" defaultColWidth="9.140625" defaultRowHeight="15"/>
  <cols>
    <col min="1" max="2" width="2.42578125" customWidth="1"/>
    <col min="3" max="3" width="3.7109375" customWidth="1"/>
    <col min="4" max="4" width="50.7109375" customWidth="1"/>
    <col min="5" max="8" width="14.7109375" customWidth="1"/>
    <col min="9" max="9" width="14.7109375" style="146" customWidth="1"/>
    <col min="10" max="10" width="14.7109375" style="315" customWidth="1"/>
    <col min="11" max="15" width="14.7109375" hidden="1" customWidth="1"/>
    <col min="16" max="36" width="14.7109375" customWidth="1"/>
  </cols>
  <sheetData>
    <row r="1" spans="2:13" ht="15" customHeight="1"/>
    <row r="2" spans="2:13" ht="15" customHeight="1"/>
    <row r="3" spans="2:13" s="246" customFormat="1" ht="15" customHeight="1">
      <c r="B3" s="247"/>
      <c r="C3" s="379" t="s">
        <v>1857</v>
      </c>
      <c r="I3" s="315"/>
      <c r="J3" s="315"/>
    </row>
    <row r="4" spans="2:13" ht="15" customHeight="1" thickBot="1"/>
    <row r="5" spans="2:13">
      <c r="D5" s="1670"/>
      <c r="E5" s="1686" t="s">
        <v>1858</v>
      </c>
      <c r="F5" s="1686" t="s">
        <v>1859</v>
      </c>
      <c r="G5" s="1686" t="s">
        <v>1860</v>
      </c>
      <c r="H5" s="1686" t="s">
        <v>1861</v>
      </c>
      <c r="I5" s="1686" t="s">
        <v>1862</v>
      </c>
      <c r="J5" s="1686" t="s">
        <v>1871</v>
      </c>
      <c r="K5" s="1686" t="s">
        <v>1872</v>
      </c>
      <c r="L5" s="1686" t="s">
        <v>1873</v>
      </c>
      <c r="M5" s="1686" t="s">
        <v>1862</v>
      </c>
    </row>
    <row r="6" spans="2:13" ht="54.95" customHeight="1" thickBot="1">
      <c r="D6" s="1674"/>
      <c r="E6" s="1687"/>
      <c r="F6" s="1687"/>
      <c r="G6" s="1687"/>
      <c r="H6" s="1687"/>
      <c r="I6" s="1687"/>
      <c r="J6" s="1687"/>
      <c r="K6" s="1687"/>
      <c r="L6" s="1687"/>
      <c r="M6" s="1687"/>
    </row>
    <row r="7" spans="2:13" ht="15" customHeight="1">
      <c r="D7" s="740" t="s">
        <v>490</v>
      </c>
      <c r="E7" s="392" t="s">
        <v>2248</v>
      </c>
      <c r="F7" s="392" t="s">
        <v>2238</v>
      </c>
      <c r="G7" s="392"/>
      <c r="H7" s="392"/>
      <c r="I7" s="734"/>
      <c r="J7" s="392" t="s">
        <v>2235</v>
      </c>
      <c r="K7" s="392"/>
      <c r="L7" s="392"/>
      <c r="M7" s="734"/>
    </row>
    <row r="8" spans="2:13" ht="24" customHeight="1">
      <c r="D8" s="229" t="s">
        <v>682</v>
      </c>
      <c r="E8" s="763" t="s">
        <v>2248</v>
      </c>
      <c r="F8" s="763" t="s">
        <v>2238</v>
      </c>
      <c r="G8" s="763"/>
      <c r="H8" s="763"/>
      <c r="I8" s="763"/>
      <c r="J8" s="764" t="s">
        <v>2235</v>
      </c>
      <c r="K8" s="764" t="s">
        <v>2801</v>
      </c>
      <c r="L8" s="764" t="s">
        <v>2800</v>
      </c>
      <c r="M8" s="764"/>
    </row>
    <row r="9" spans="2:13" ht="15" customHeight="1">
      <c r="D9" s="525" t="s">
        <v>1535</v>
      </c>
      <c r="E9" s="304"/>
      <c r="F9" s="304"/>
      <c r="G9" s="304"/>
      <c r="H9" s="304"/>
      <c r="I9" s="304"/>
      <c r="J9" s="304"/>
      <c r="K9" s="304"/>
      <c r="L9" s="304"/>
      <c r="M9" s="304"/>
    </row>
    <row r="10" spans="2:13" ht="15" customHeight="1">
      <c r="D10" s="525" t="s">
        <v>683</v>
      </c>
      <c r="E10" s="60">
        <f>SUM(E11:E13)</f>
        <v>80344005</v>
      </c>
      <c r="F10" s="61">
        <f>SUM(F11:F13)</f>
        <v>4429</v>
      </c>
      <c r="G10" s="61">
        <f t="shared" ref="G10:I10" si="0">SUM(G11:G13)</f>
        <v>0</v>
      </c>
      <c r="H10" s="61">
        <f t="shared" si="0"/>
        <v>0</v>
      </c>
      <c r="I10" s="62">
        <f t="shared" si="0"/>
        <v>80348434</v>
      </c>
      <c r="J10" s="61">
        <f>SUM(J11:J13)</f>
        <v>1590102873</v>
      </c>
      <c r="K10" s="61">
        <f t="shared" ref="K10" si="1">SUM(K11:K13)</f>
        <v>0</v>
      </c>
      <c r="L10" s="61">
        <f t="shared" ref="L10:M10" si="2">SUM(L11:L13)</f>
        <v>0</v>
      </c>
      <c r="M10" s="60">
        <f t="shared" si="2"/>
        <v>1590102873</v>
      </c>
    </row>
    <row r="11" spans="2:13" ht="15" customHeight="1">
      <c r="D11" s="229" t="s">
        <v>675</v>
      </c>
      <c r="E11" s="58">
        <v>69590347</v>
      </c>
      <c r="F11" s="353">
        <v>0</v>
      </c>
      <c r="G11" s="353"/>
      <c r="H11" s="353"/>
      <c r="I11" s="330">
        <f>+E11+F11+G11+H11</f>
        <v>69590347</v>
      </c>
      <c r="J11" s="353">
        <v>1590102873</v>
      </c>
      <c r="K11" s="353"/>
      <c r="L11" s="353"/>
      <c r="M11" s="353">
        <f>+J11+K11+L11</f>
        <v>1590102873</v>
      </c>
    </row>
    <row r="12" spans="2:13" ht="15" customHeight="1">
      <c r="D12" s="229" t="s">
        <v>676</v>
      </c>
      <c r="E12" s="43">
        <v>10344929</v>
      </c>
      <c r="F12" s="54">
        <v>4429</v>
      </c>
      <c r="G12" s="54"/>
      <c r="H12" s="54"/>
      <c r="I12" s="204">
        <f t="shared" ref="I12:I13" si="3">+E12+F12+G12+H12</f>
        <v>10349358</v>
      </c>
      <c r="J12" s="54"/>
      <c r="K12" s="54"/>
      <c r="L12" s="54"/>
      <c r="M12" s="58">
        <f t="shared" ref="M12:M13" si="4">+J12+K12+L12</f>
        <v>0</v>
      </c>
    </row>
    <row r="13" spans="2:13" ht="15" customHeight="1">
      <c r="D13" s="229" t="s">
        <v>677</v>
      </c>
      <c r="E13" s="43">
        <v>408729</v>
      </c>
      <c r="F13" s="54"/>
      <c r="G13" s="54"/>
      <c r="H13" s="54"/>
      <c r="I13" s="204">
        <f t="shared" si="3"/>
        <v>408729</v>
      </c>
      <c r="J13" s="54"/>
      <c r="K13" s="54"/>
      <c r="L13" s="54"/>
      <c r="M13" s="58">
        <f t="shared" si="4"/>
        <v>0</v>
      </c>
    </row>
    <row r="14" spans="2:13" ht="15" customHeight="1">
      <c r="D14" s="525" t="s">
        <v>684</v>
      </c>
      <c r="E14" s="60">
        <f>SUM(E15:E17)</f>
        <v>0</v>
      </c>
      <c r="F14" s="61">
        <f t="shared" ref="F14:I14" si="5">SUM(F15:F17)</f>
        <v>0</v>
      </c>
      <c r="G14" s="61">
        <f t="shared" si="5"/>
        <v>0</v>
      </c>
      <c r="H14" s="61">
        <f t="shared" si="5"/>
        <v>0</v>
      </c>
      <c r="I14" s="62">
        <f t="shared" si="5"/>
        <v>0</v>
      </c>
      <c r="J14" s="61">
        <f>SUM(J15:J17)</f>
        <v>0</v>
      </c>
      <c r="K14" s="61">
        <f t="shared" ref="K14" si="6">SUM(K15:K17)</f>
        <v>0</v>
      </c>
      <c r="L14" s="61">
        <f t="shared" ref="L14:M14" si="7">SUM(L15:L17)</f>
        <v>0</v>
      </c>
      <c r="M14" s="60">
        <f t="shared" si="7"/>
        <v>0</v>
      </c>
    </row>
    <row r="15" spans="2:13" ht="15" customHeight="1">
      <c r="D15" s="521" t="s">
        <v>685</v>
      </c>
      <c r="E15" s="58"/>
      <c r="F15" s="353"/>
      <c r="G15" s="353"/>
      <c r="H15" s="353"/>
      <c r="I15" s="204">
        <f t="shared" ref="I15:I21" si="8">+E15+F15+G15+H15</f>
        <v>0</v>
      </c>
      <c r="J15" s="353"/>
      <c r="K15" s="353"/>
      <c r="L15" s="353"/>
      <c r="M15" s="58">
        <f t="shared" ref="M15:M21" si="9">+J15+K15+L15</f>
        <v>0</v>
      </c>
    </row>
    <row r="16" spans="2:13" ht="15" customHeight="1">
      <c r="D16" s="229" t="s">
        <v>686</v>
      </c>
      <c r="E16" s="43"/>
      <c r="F16" s="54"/>
      <c r="G16" s="54"/>
      <c r="H16" s="54"/>
      <c r="I16" s="204">
        <f t="shared" si="8"/>
        <v>0</v>
      </c>
      <c r="J16" s="54"/>
      <c r="K16" s="54"/>
      <c r="L16" s="54"/>
      <c r="M16" s="58">
        <f t="shared" si="9"/>
        <v>0</v>
      </c>
    </row>
    <row r="17" spans="4:13" ht="15" customHeight="1">
      <c r="D17" s="229" t="s">
        <v>678</v>
      </c>
      <c r="E17" s="43"/>
      <c r="F17" s="54"/>
      <c r="G17" s="54"/>
      <c r="H17" s="54"/>
      <c r="I17" s="204">
        <f t="shared" si="8"/>
        <v>0</v>
      </c>
      <c r="J17" s="54"/>
      <c r="K17" s="54"/>
      <c r="L17" s="54"/>
      <c r="M17" s="58">
        <f t="shared" si="9"/>
        <v>0</v>
      </c>
    </row>
    <row r="18" spans="4:13" ht="15" customHeight="1">
      <c r="D18" s="229" t="s">
        <v>679</v>
      </c>
      <c r="E18" s="58"/>
      <c r="F18" s="353"/>
      <c r="G18" s="353"/>
      <c r="H18" s="353"/>
      <c r="I18" s="204">
        <f t="shared" si="8"/>
        <v>0</v>
      </c>
      <c r="J18" s="353"/>
      <c r="K18" s="353"/>
      <c r="L18" s="353"/>
      <c r="M18" s="58">
        <f t="shared" si="9"/>
        <v>0</v>
      </c>
    </row>
    <row r="19" spans="4:13" ht="15" customHeight="1">
      <c r="D19" s="229" t="s">
        <v>687</v>
      </c>
      <c r="E19" s="58"/>
      <c r="F19" s="353"/>
      <c r="G19" s="353"/>
      <c r="H19" s="353"/>
      <c r="I19" s="204">
        <f t="shared" si="8"/>
        <v>0</v>
      </c>
      <c r="J19" s="353"/>
      <c r="K19" s="353"/>
      <c r="L19" s="353"/>
      <c r="M19" s="58">
        <f t="shared" si="9"/>
        <v>0</v>
      </c>
    </row>
    <row r="20" spans="4:13" ht="15" customHeight="1">
      <c r="D20" s="521" t="s">
        <v>688</v>
      </c>
      <c r="E20" s="58"/>
      <c r="F20" s="353"/>
      <c r="G20" s="353"/>
      <c r="H20" s="353"/>
      <c r="I20" s="204">
        <f t="shared" si="8"/>
        <v>0</v>
      </c>
      <c r="J20" s="353"/>
      <c r="K20" s="353"/>
      <c r="L20" s="353"/>
      <c r="M20" s="58">
        <f t="shared" si="9"/>
        <v>0</v>
      </c>
    </row>
    <row r="21" spans="4:13" ht="15" customHeight="1">
      <c r="D21" s="229" t="s">
        <v>689</v>
      </c>
      <c r="E21" s="43">
        <v>162816</v>
      </c>
      <c r="F21" s="54">
        <v>76</v>
      </c>
      <c r="G21" s="54"/>
      <c r="H21" s="54"/>
      <c r="I21" s="204">
        <f t="shared" si="8"/>
        <v>162892</v>
      </c>
      <c r="J21" s="54">
        <v>4376350</v>
      </c>
      <c r="K21" s="54">
        <v>5507126</v>
      </c>
      <c r="L21" s="54">
        <v>10720</v>
      </c>
      <c r="M21" s="58">
        <f t="shared" si="9"/>
        <v>9894196</v>
      </c>
    </row>
    <row r="22" spans="4:13" ht="15" customHeight="1">
      <c r="D22" s="525" t="s">
        <v>690</v>
      </c>
      <c r="E22" s="60">
        <f>E10+E14+E18+E19+E20+E21</f>
        <v>80506821</v>
      </c>
      <c r="F22" s="61">
        <f>F10+F14+F18+F19+F20+F21</f>
        <v>4505</v>
      </c>
      <c r="G22" s="61">
        <f t="shared" ref="G22:I22" si="10">G10+G14+G18+G19+G20+G21</f>
        <v>0</v>
      </c>
      <c r="H22" s="61">
        <f t="shared" si="10"/>
        <v>0</v>
      </c>
      <c r="I22" s="62">
        <f t="shared" si="10"/>
        <v>80511326</v>
      </c>
      <c r="J22" s="61">
        <f>J10+J14+J18+J19+J20+J21</f>
        <v>1594479223</v>
      </c>
      <c r="K22" s="61">
        <f>K10+K14+K18+K19+K20+K21</f>
        <v>5507126</v>
      </c>
      <c r="L22" s="61">
        <f t="shared" ref="L22:M22" si="11">L10+L14+L18+L19+L20+L21</f>
        <v>10720</v>
      </c>
      <c r="M22" s="60">
        <f t="shared" si="11"/>
        <v>1599997069</v>
      </c>
    </row>
    <row r="23" spans="4:13" ht="15" customHeight="1">
      <c r="D23" s="523" t="s">
        <v>1536</v>
      </c>
      <c r="E23" s="419"/>
      <c r="F23" s="551"/>
      <c r="G23" s="551"/>
      <c r="H23" s="551"/>
      <c r="I23" s="62"/>
      <c r="J23" s="551"/>
      <c r="K23" s="551"/>
      <c r="L23" s="551"/>
      <c r="M23" s="60"/>
    </row>
    <row r="24" spans="4:13" ht="15" customHeight="1">
      <c r="D24" s="525" t="s">
        <v>691</v>
      </c>
      <c r="E24" s="60">
        <f>SUM(E25:E28)</f>
        <v>10022479</v>
      </c>
      <c r="F24" s="61">
        <f t="shared" ref="F24:I24" si="12">SUM(F25:F28)</f>
        <v>227</v>
      </c>
      <c r="G24" s="61">
        <f t="shared" si="12"/>
        <v>0</v>
      </c>
      <c r="H24" s="61">
        <f t="shared" si="12"/>
        <v>0</v>
      </c>
      <c r="I24" s="62">
        <f t="shared" si="12"/>
        <v>10022706</v>
      </c>
      <c r="J24" s="61">
        <f>SUM(J25:J28)</f>
        <v>1683914724</v>
      </c>
      <c r="K24" s="61">
        <f t="shared" ref="K24" si="13">SUM(K25:K28)</f>
        <v>9197380</v>
      </c>
      <c r="L24" s="61">
        <f t="shared" ref="L24:M24" si="14">SUM(L25:L28)</f>
        <v>53504</v>
      </c>
      <c r="M24" s="60">
        <f t="shared" si="14"/>
        <v>1693165608</v>
      </c>
    </row>
    <row r="25" spans="4:13" ht="15" customHeight="1">
      <c r="D25" s="229" t="s">
        <v>692</v>
      </c>
      <c r="E25" s="58"/>
      <c r="F25" s="353"/>
      <c r="G25" s="353"/>
      <c r="H25" s="353"/>
      <c r="I25" s="204">
        <f t="shared" ref="I25:I28" si="15">+E25+F25+G25+H25</f>
        <v>0</v>
      </c>
      <c r="J25" s="353">
        <v>8069146</v>
      </c>
      <c r="K25" s="353">
        <v>7183618</v>
      </c>
      <c r="L25" s="353">
        <v>702</v>
      </c>
      <c r="M25" s="58">
        <f t="shared" ref="M25:M28" si="16">+J25+K25+L25</f>
        <v>15253466</v>
      </c>
    </row>
    <row r="26" spans="4:13" ht="15" customHeight="1">
      <c r="D26" s="229" t="s">
        <v>1863</v>
      </c>
      <c r="E26" s="1539">
        <v>10022479</v>
      </c>
      <c r="F26" s="1540">
        <v>227</v>
      </c>
      <c r="G26" s="353"/>
      <c r="H26" s="353"/>
      <c r="I26" s="1521">
        <f t="shared" si="15"/>
        <v>10022706</v>
      </c>
      <c r="J26" s="1540">
        <v>120999016</v>
      </c>
      <c r="K26" s="353">
        <v>26900</v>
      </c>
      <c r="L26" s="353">
        <v>52802</v>
      </c>
      <c r="M26" s="1539">
        <f t="shared" si="16"/>
        <v>121078718</v>
      </c>
    </row>
    <row r="27" spans="4:13" ht="15" customHeight="1">
      <c r="D27" s="229" t="s">
        <v>1864</v>
      </c>
      <c r="E27" s="43"/>
      <c r="F27" s="54"/>
      <c r="G27" s="54"/>
      <c r="H27" s="54"/>
      <c r="I27" s="204">
        <f t="shared" si="15"/>
        <v>0</v>
      </c>
      <c r="J27" s="54">
        <v>1554846562</v>
      </c>
      <c r="K27" s="54">
        <v>1986862</v>
      </c>
      <c r="L27" s="54"/>
      <c r="M27" s="58">
        <f t="shared" si="16"/>
        <v>1556833424</v>
      </c>
    </row>
    <row r="28" spans="4:13" ht="15" customHeight="1">
      <c r="D28" s="229" t="s">
        <v>693</v>
      </c>
      <c r="E28" s="43"/>
      <c r="F28" s="54"/>
      <c r="G28" s="54"/>
      <c r="H28" s="54"/>
      <c r="I28" s="204">
        <f t="shared" si="15"/>
        <v>0</v>
      </c>
      <c r="J28" s="54"/>
      <c r="K28" s="54"/>
      <c r="L28" s="54"/>
      <c r="M28" s="58">
        <f t="shared" si="16"/>
        <v>0</v>
      </c>
    </row>
    <row r="29" spans="4:13" ht="15" customHeight="1">
      <c r="D29" s="525" t="s">
        <v>694</v>
      </c>
      <c r="E29" s="60">
        <f>SUM(E30:E32)</f>
        <v>0</v>
      </c>
      <c r="F29" s="61">
        <f t="shared" ref="F29:I29" si="17">SUM(F30:F32)</f>
        <v>0</v>
      </c>
      <c r="G29" s="61">
        <f t="shared" si="17"/>
        <v>0</v>
      </c>
      <c r="H29" s="61">
        <f t="shared" si="17"/>
        <v>0</v>
      </c>
      <c r="I29" s="62">
        <f t="shared" si="17"/>
        <v>0</v>
      </c>
      <c r="J29" s="61">
        <f>SUM(J30:J32)</f>
        <v>0</v>
      </c>
      <c r="K29" s="61">
        <f t="shared" ref="K29" si="18">SUM(K30:K32)</f>
        <v>0</v>
      </c>
      <c r="L29" s="61">
        <f>SUM(L30:L32)</f>
        <v>0</v>
      </c>
      <c r="M29" s="60">
        <f t="shared" ref="M29" si="19">SUM(M30:M32)</f>
        <v>0</v>
      </c>
    </row>
    <row r="30" spans="4:13" ht="15" customHeight="1">
      <c r="D30" s="229" t="s">
        <v>685</v>
      </c>
      <c r="E30" s="43"/>
      <c r="F30" s="54"/>
      <c r="G30" s="54"/>
      <c r="H30" s="54"/>
      <c r="I30" s="204">
        <f t="shared" ref="I30:I34" si="20">+E30+F30+G30+H30</f>
        <v>0</v>
      </c>
      <c r="J30" s="54"/>
      <c r="K30" s="54"/>
      <c r="L30" s="54"/>
      <c r="M30" s="58">
        <f t="shared" ref="M30:M34" si="21">+J30+K30+L30</f>
        <v>0</v>
      </c>
    </row>
    <row r="31" spans="4:13" ht="15" customHeight="1">
      <c r="D31" s="229" t="s">
        <v>686</v>
      </c>
      <c r="E31" s="43"/>
      <c r="F31" s="54"/>
      <c r="G31" s="54"/>
      <c r="H31" s="54"/>
      <c r="I31" s="204">
        <f t="shared" si="20"/>
        <v>0</v>
      </c>
      <c r="J31" s="54"/>
      <c r="K31" s="54"/>
      <c r="L31" s="54"/>
      <c r="M31" s="58">
        <f t="shared" si="21"/>
        <v>0</v>
      </c>
    </row>
    <row r="32" spans="4:13" ht="15" customHeight="1">
      <c r="D32" s="229" t="s">
        <v>695</v>
      </c>
      <c r="E32" s="43"/>
      <c r="F32" s="54"/>
      <c r="G32" s="54"/>
      <c r="H32" s="54"/>
      <c r="I32" s="204">
        <f t="shared" si="20"/>
        <v>0</v>
      </c>
      <c r="J32" s="54"/>
      <c r="K32" s="54"/>
      <c r="L32" s="54"/>
      <c r="M32" s="58">
        <f t="shared" si="21"/>
        <v>0</v>
      </c>
    </row>
    <row r="33" spans="3:19" ht="15" customHeight="1">
      <c r="D33" s="229" t="s">
        <v>1865</v>
      </c>
      <c r="E33" s="1539">
        <v>69590311</v>
      </c>
      <c r="F33" s="353"/>
      <c r="G33" s="353"/>
      <c r="H33" s="353"/>
      <c r="I33" s="1521">
        <f t="shared" si="20"/>
        <v>69590311</v>
      </c>
      <c r="J33" s="353"/>
      <c r="K33" s="353"/>
      <c r="L33" s="353"/>
      <c r="M33" s="58">
        <f t="shared" si="21"/>
        <v>0</v>
      </c>
    </row>
    <row r="34" spans="3:19" ht="15" customHeight="1">
      <c r="D34" s="229" t="s">
        <v>696</v>
      </c>
      <c r="E34" s="1541">
        <v>399900</v>
      </c>
      <c r="F34" s="54"/>
      <c r="G34" s="54"/>
      <c r="H34" s="54"/>
      <c r="I34" s="1521">
        <f t="shared" si="20"/>
        <v>399900</v>
      </c>
      <c r="J34" s="54">
        <v>2079067</v>
      </c>
      <c r="K34" s="54">
        <v>1713</v>
      </c>
      <c r="L34" s="54">
        <v>5</v>
      </c>
      <c r="M34" s="1539">
        <f t="shared" si="21"/>
        <v>2080785</v>
      </c>
    </row>
    <row r="35" spans="3:19" ht="15" customHeight="1">
      <c r="D35" s="525" t="s">
        <v>697</v>
      </c>
      <c r="E35" s="60">
        <f>E24+E29+E33+E34</f>
        <v>80012690</v>
      </c>
      <c r="F35" s="61">
        <f t="shared" ref="F35:I35" si="22">F24+F29+F33+F34</f>
        <v>227</v>
      </c>
      <c r="G35" s="61">
        <f t="shared" si="22"/>
        <v>0</v>
      </c>
      <c r="H35" s="61">
        <f t="shared" si="22"/>
        <v>0</v>
      </c>
      <c r="I35" s="62">
        <f t="shared" si="22"/>
        <v>80012917</v>
      </c>
      <c r="J35" s="61">
        <f>J24+J29+J33+J34</f>
        <v>1685993791</v>
      </c>
      <c r="K35" s="61">
        <f>K24+K29+K33+K34</f>
        <v>9199093</v>
      </c>
      <c r="L35" s="61">
        <f>L24+L29+L33+L34</f>
        <v>53509</v>
      </c>
      <c r="M35" s="1542">
        <f t="shared" ref="M35" si="23">M24+M29+M33+M34</f>
        <v>1695246393</v>
      </c>
    </row>
    <row r="36" spans="3:19" ht="15" customHeight="1">
      <c r="D36" s="525" t="s">
        <v>698</v>
      </c>
      <c r="E36" s="60">
        <f>E22-E35</f>
        <v>494131</v>
      </c>
      <c r="F36" s="61">
        <f t="shared" ref="F36:I36" si="24">F22-F35</f>
        <v>4278</v>
      </c>
      <c r="G36" s="61">
        <f t="shared" si="24"/>
        <v>0</v>
      </c>
      <c r="H36" s="61">
        <f t="shared" si="24"/>
        <v>0</v>
      </c>
      <c r="I36" s="62">
        <f t="shared" si="24"/>
        <v>498409</v>
      </c>
      <c r="J36" s="61">
        <f>J22-J35</f>
        <v>-91514568</v>
      </c>
      <c r="K36" s="61">
        <f>K22-K35</f>
        <v>-3691967</v>
      </c>
      <c r="L36" s="61">
        <f t="shared" ref="L36:M36" si="25">L22-L35</f>
        <v>-42789</v>
      </c>
      <c r="M36" s="60">
        <f t="shared" si="25"/>
        <v>-95249324</v>
      </c>
    </row>
    <row r="37" spans="3:19" ht="15" customHeight="1">
      <c r="D37" s="229" t="s">
        <v>680</v>
      </c>
      <c r="E37" s="58">
        <f>+E36/E38</f>
        <v>818.92474187507253</v>
      </c>
      <c r="F37" s="58">
        <f>+F36/F38</f>
        <v>5.7662757784067935</v>
      </c>
      <c r="G37" s="353">
        <f t="shared" ref="G37:I37" si="26">+G36</f>
        <v>0</v>
      </c>
      <c r="H37" s="353">
        <f t="shared" si="26"/>
        <v>0</v>
      </c>
      <c r="I37" s="204">
        <f t="shared" si="26"/>
        <v>498409</v>
      </c>
      <c r="J37" s="353">
        <f>+J36/J38</f>
        <v>-3393.5899912819018</v>
      </c>
      <c r="K37" s="353">
        <f t="shared" ref="K37:L37" si="27">+K36/K38</f>
        <v>-18887.640047066045</v>
      </c>
      <c r="L37" s="353">
        <f t="shared" si="27"/>
        <v>-216.11697560482853</v>
      </c>
      <c r="M37" s="58">
        <f>+J37+K37+L37</f>
        <v>-22497.347013952774</v>
      </c>
    </row>
    <row r="38" spans="3:19" ht="15" customHeight="1" thickBot="1">
      <c r="D38" s="420" t="s">
        <v>681</v>
      </c>
      <c r="E38" s="765">
        <v>603.39</v>
      </c>
      <c r="F38" s="550">
        <v>741.9</v>
      </c>
      <c r="G38" s="550"/>
      <c r="H38" s="550"/>
      <c r="I38" s="553"/>
      <c r="J38" s="550">
        <v>26966.89</v>
      </c>
      <c r="K38" s="550">
        <v>195.47</v>
      </c>
      <c r="L38" s="550">
        <v>197.99</v>
      </c>
      <c r="M38" s="766"/>
    </row>
    <row r="39" spans="3:19" s="315" customFormat="1">
      <c r="D39" s="524"/>
      <c r="E39" s="373"/>
      <c r="F39" s="373"/>
      <c r="G39" s="373"/>
      <c r="H39" s="373"/>
      <c r="I39" s="373"/>
      <c r="J39" s="374"/>
    </row>
    <row r="40" spans="3:19" s="315" customFormat="1">
      <c r="D40" s="524"/>
      <c r="E40" s="373"/>
      <c r="F40" s="373"/>
      <c r="G40" s="373"/>
      <c r="H40" s="373"/>
      <c r="I40" s="373"/>
      <c r="J40" s="374"/>
    </row>
    <row r="41" spans="3:19" s="315" customFormat="1">
      <c r="C41" s="379" t="s">
        <v>1866</v>
      </c>
      <c r="D41" s="514"/>
      <c r="E41" s="515"/>
      <c r="F41" s="515"/>
      <c r="G41" s="515"/>
      <c r="H41" s="515"/>
      <c r="I41" s="515"/>
      <c r="J41" s="515"/>
    </row>
    <row r="42" spans="3:19" s="315" customFormat="1" ht="15.75" thickBot="1">
      <c r="E42" s="516"/>
      <c r="F42" s="516"/>
      <c r="G42" s="516"/>
      <c r="H42" s="516"/>
      <c r="I42" s="516"/>
      <c r="J42" s="516"/>
    </row>
    <row r="43" spans="3:19" ht="15.75" customHeight="1" thickBot="1">
      <c r="D43" s="1670"/>
      <c r="E43" s="1660" t="s">
        <v>1858</v>
      </c>
      <c r="F43" s="1661"/>
      <c r="G43" s="1662"/>
      <c r="H43" s="1660" t="s">
        <v>1859</v>
      </c>
      <c r="I43" s="1661"/>
      <c r="J43" s="1661"/>
      <c r="K43" s="1660" t="s">
        <v>1860</v>
      </c>
      <c r="L43" s="1661"/>
      <c r="M43" s="1661"/>
      <c r="N43" s="1660" t="s">
        <v>1861</v>
      </c>
      <c r="O43" s="1661"/>
      <c r="P43" s="1661"/>
      <c r="Q43" s="1660"/>
      <c r="R43" s="1661"/>
      <c r="S43" s="1661"/>
    </row>
    <row r="44" spans="3:19" ht="54.95" customHeight="1" thickBot="1">
      <c r="D44" s="1674"/>
      <c r="E44" s="528" t="s">
        <v>1868</v>
      </c>
      <c r="F44" s="528" t="s">
        <v>1869</v>
      </c>
      <c r="G44" s="528" t="s">
        <v>1867</v>
      </c>
      <c r="H44" s="528" t="s">
        <v>1868</v>
      </c>
      <c r="I44" s="528" t="s">
        <v>1869</v>
      </c>
      <c r="J44" s="529" t="s">
        <v>1867</v>
      </c>
      <c r="K44" s="528" t="s">
        <v>1868</v>
      </c>
      <c r="L44" s="528" t="s">
        <v>1869</v>
      </c>
      <c r="M44" s="529" t="s">
        <v>1867</v>
      </c>
      <c r="N44" s="528" t="s">
        <v>1868</v>
      </c>
      <c r="O44" s="528" t="s">
        <v>1869</v>
      </c>
      <c r="P44" s="529" t="s">
        <v>1867</v>
      </c>
      <c r="Q44" s="528" t="s">
        <v>1868</v>
      </c>
      <c r="R44" s="528" t="s">
        <v>1869</v>
      </c>
      <c r="S44" s="529" t="s">
        <v>1862</v>
      </c>
    </row>
    <row r="45" spans="3:19" ht="15" customHeight="1">
      <c r="D45" s="740" t="s">
        <v>490</v>
      </c>
      <c r="E45" s="1723" t="s">
        <v>2236</v>
      </c>
      <c r="F45" s="1723"/>
      <c r="G45" s="1723"/>
      <c r="H45" s="1723" t="s">
        <v>2248</v>
      </c>
      <c r="I45" s="1723"/>
      <c r="J45" s="1723"/>
      <c r="K45" s="1723"/>
      <c r="L45" s="1723"/>
      <c r="M45" s="1723"/>
      <c r="N45" s="1723"/>
      <c r="O45" s="1723"/>
      <c r="P45" s="1723"/>
      <c r="Q45" s="1612"/>
      <c r="R45" s="1612"/>
      <c r="S45" s="1612"/>
    </row>
    <row r="46" spans="3:19">
      <c r="D46" s="521" t="s">
        <v>496</v>
      </c>
      <c r="E46" s="567"/>
      <c r="F46" s="567">
        <v>21124</v>
      </c>
      <c r="G46" s="304">
        <f>-(E46-F46)</f>
        <v>21124</v>
      </c>
      <c r="H46" s="567"/>
      <c r="I46" s="567">
        <v>6639622</v>
      </c>
      <c r="J46" s="304">
        <f>-(H46-I46)</f>
        <v>6639622</v>
      </c>
      <c r="K46" s="567"/>
      <c r="L46" s="567"/>
      <c r="M46" s="304">
        <f>K46-L46</f>
        <v>0</v>
      </c>
      <c r="N46" s="567"/>
      <c r="O46" s="567"/>
      <c r="P46" s="304">
        <f>N46-O46</f>
        <v>0</v>
      </c>
      <c r="Q46" s="567">
        <f>E46+H46+K46+N46</f>
        <v>0</v>
      </c>
      <c r="R46" s="567">
        <f>F46+I46+L46+O46</f>
        <v>6660746</v>
      </c>
      <c r="S46" s="304">
        <f>-(Q46-R46)</f>
        <v>6660746</v>
      </c>
    </row>
    <row r="47" spans="3:19">
      <c r="D47" s="521" t="s">
        <v>699</v>
      </c>
      <c r="E47" s="58">
        <v>33263</v>
      </c>
      <c r="F47" s="58"/>
      <c r="G47" s="60">
        <f t="shared" ref="G47:G48" si="28">E47-F47</f>
        <v>33263</v>
      </c>
      <c r="H47" s="58">
        <v>5264438</v>
      </c>
      <c r="I47" s="58"/>
      <c r="J47" s="60">
        <f t="shared" ref="J47:J48" si="29">H47-I47</f>
        <v>5264438</v>
      </c>
      <c r="K47" s="58"/>
      <c r="L47" s="58"/>
      <c r="M47" s="60">
        <f t="shared" ref="M47:M48" si="30">K47-L47</f>
        <v>0</v>
      </c>
      <c r="N47" s="58"/>
      <c r="O47" s="58"/>
      <c r="P47" s="60">
        <f t="shared" ref="P47:P48" si="31">N47-O47</f>
        <v>0</v>
      </c>
      <c r="Q47" s="58">
        <f t="shared" ref="Q47:Q48" si="32">E47+H47+K47+N47</f>
        <v>5297701</v>
      </c>
      <c r="R47" s="58">
        <f t="shared" ref="R47:R48" si="33">F47+I47+L47+O47</f>
        <v>0</v>
      </c>
      <c r="S47" s="60">
        <f>Q47-R47</f>
        <v>5297701</v>
      </c>
    </row>
    <row r="48" spans="3:19" ht="15.75" thickBot="1">
      <c r="D48" s="229" t="s">
        <v>604</v>
      </c>
      <c r="E48" s="59"/>
      <c r="F48" s="59"/>
      <c r="G48" s="133">
        <f t="shared" si="28"/>
        <v>0</v>
      </c>
      <c r="H48" s="59"/>
      <c r="I48" s="59"/>
      <c r="J48" s="133">
        <f t="shared" si="29"/>
        <v>0</v>
      </c>
      <c r="K48" s="59"/>
      <c r="L48" s="59"/>
      <c r="M48" s="133">
        <f t="shared" si="30"/>
        <v>0</v>
      </c>
      <c r="N48" s="59"/>
      <c r="O48" s="59"/>
      <c r="P48" s="133">
        <f t="shared" si="31"/>
        <v>0</v>
      </c>
      <c r="Q48" s="59">
        <f t="shared" si="32"/>
        <v>0</v>
      </c>
      <c r="R48" s="59">
        <f t="shared" si="33"/>
        <v>0</v>
      </c>
      <c r="S48" s="133">
        <f t="shared" ref="S48" si="34">Q48-R48</f>
        <v>0</v>
      </c>
    </row>
    <row r="49" spans="3:19" ht="15.75" thickBot="1">
      <c r="D49" s="527" t="s">
        <v>700</v>
      </c>
      <c r="E49" s="56">
        <f>-E46+E47+E48</f>
        <v>33263</v>
      </c>
      <c r="F49" s="56">
        <f t="shared" ref="F49" si="35">-F46+F47+F48</f>
        <v>-21124</v>
      </c>
      <c r="G49" s="56">
        <f>+SUM(E49:F49)</f>
        <v>12139</v>
      </c>
      <c r="H49" s="56">
        <f>-H46+H47+H48</f>
        <v>5264438</v>
      </c>
      <c r="I49" s="56">
        <f t="shared" ref="I49" si="36">-I46+I47+I48</f>
        <v>-6639622</v>
      </c>
      <c r="J49" s="199">
        <f>+SUM(H49:I49)</f>
        <v>-1375184</v>
      </c>
      <c r="K49" s="56">
        <f>-K46+K47+K48</f>
        <v>0</v>
      </c>
      <c r="L49" s="56">
        <f t="shared" ref="L49" si="37">-L46+L47+L48</f>
        <v>0</v>
      </c>
      <c r="M49" s="199">
        <f t="shared" ref="M49" si="38">-M46+M47+M48</f>
        <v>0</v>
      </c>
      <c r="N49" s="56">
        <f>-N46+N47+N48</f>
        <v>0</v>
      </c>
      <c r="O49" s="56">
        <f t="shared" ref="O49" si="39">-O46+O47+O48</f>
        <v>0</v>
      </c>
      <c r="P49" s="199">
        <f t="shared" ref="P49" si="40">-P46+P47+P48</f>
        <v>0</v>
      </c>
      <c r="Q49" s="56">
        <f>-Q46+Q47+Q48</f>
        <v>5297701</v>
      </c>
      <c r="R49" s="56">
        <f t="shared" ref="R49" si="41">-R46+R47+R48</f>
        <v>-6660746</v>
      </c>
      <c r="S49" s="199">
        <f>-S46+S47+S48</f>
        <v>-1363045</v>
      </c>
    </row>
    <row r="52" spans="3:19">
      <c r="C52" s="379" t="s">
        <v>1870</v>
      </c>
    </row>
    <row r="53" spans="3:19" ht="15.75" thickBot="1"/>
    <row r="54" spans="3:19">
      <c r="D54" s="1670"/>
      <c r="E54" s="1686" t="s">
        <v>1858</v>
      </c>
      <c r="F54" s="1686" t="s">
        <v>1859</v>
      </c>
      <c r="G54" s="1686" t="s">
        <v>1860</v>
      </c>
      <c r="H54" s="1686" t="s">
        <v>1861</v>
      </c>
      <c r="I54" s="1686" t="s">
        <v>1862</v>
      </c>
      <c r="J54" s="1686" t="s">
        <v>1871</v>
      </c>
      <c r="K54" s="1686" t="s">
        <v>1872</v>
      </c>
      <c r="L54" s="1686" t="s">
        <v>1873</v>
      </c>
      <c r="M54" s="1686" t="s">
        <v>1862</v>
      </c>
    </row>
    <row r="55" spans="3:19" ht="54.95" customHeight="1" thickBot="1">
      <c r="D55" s="1674"/>
      <c r="E55" s="1687"/>
      <c r="F55" s="1687"/>
      <c r="G55" s="1687"/>
      <c r="H55" s="1687"/>
      <c r="I55" s="1687"/>
      <c r="J55" s="1687"/>
      <c r="K55" s="1687"/>
      <c r="L55" s="1687"/>
      <c r="M55" s="1687"/>
    </row>
    <row r="56" spans="3:19" ht="15" customHeight="1">
      <c r="D56" s="740" t="s">
        <v>490</v>
      </c>
      <c r="E56" s="392" t="s">
        <v>2248</v>
      </c>
      <c r="F56" s="392" t="s">
        <v>2238</v>
      </c>
      <c r="G56" s="392"/>
      <c r="H56" s="392"/>
      <c r="I56" s="733"/>
      <c r="J56" s="392" t="s">
        <v>2235</v>
      </c>
      <c r="K56" s="392"/>
      <c r="L56" s="392"/>
      <c r="M56" s="734"/>
    </row>
    <row r="57" spans="3:19" ht="15" customHeight="1">
      <c r="D57" s="566" t="s">
        <v>682</v>
      </c>
      <c r="E57" s="763"/>
      <c r="F57" s="763"/>
      <c r="G57" s="763"/>
      <c r="H57" s="763"/>
      <c r="I57" s="763"/>
      <c r="J57" s="413"/>
      <c r="K57" s="413" t="s">
        <v>2801</v>
      </c>
      <c r="L57" s="413" t="s">
        <v>2800</v>
      </c>
      <c r="M57" s="413"/>
    </row>
    <row r="58" spans="3:19" ht="14.45" customHeight="1">
      <c r="D58" s="521" t="s">
        <v>701</v>
      </c>
      <c r="E58" s="355"/>
      <c r="F58" s="355"/>
      <c r="G58" s="355"/>
      <c r="H58" s="355"/>
      <c r="I58" s="355">
        <f t="shared" ref="I58:I61" si="42">+E58+F58+G58+H58</f>
        <v>0</v>
      </c>
      <c r="J58" s="567">
        <v>550598833</v>
      </c>
      <c r="K58" s="567">
        <v>42304619</v>
      </c>
      <c r="L58" s="567">
        <v>5339</v>
      </c>
      <c r="M58" s="567">
        <f t="shared" ref="M58:M61" si="43">+I58+J58+K58+L58</f>
        <v>592908791</v>
      </c>
    </row>
    <row r="59" spans="3:19">
      <c r="D59" s="521" t="s">
        <v>702</v>
      </c>
      <c r="E59" s="58"/>
      <c r="F59" s="58"/>
      <c r="G59" s="58"/>
      <c r="H59" s="58"/>
      <c r="I59" s="58">
        <f t="shared" si="42"/>
        <v>0</v>
      </c>
      <c r="J59" s="58">
        <v>3171575</v>
      </c>
      <c r="K59" s="58">
        <v>8376</v>
      </c>
      <c r="L59" s="58">
        <v>25</v>
      </c>
      <c r="M59" s="58">
        <f t="shared" si="43"/>
        <v>3179976</v>
      </c>
    </row>
    <row r="60" spans="3:19">
      <c r="D60" s="229" t="s">
        <v>703</v>
      </c>
      <c r="E60" s="58"/>
      <c r="F60" s="58"/>
      <c r="G60" s="58"/>
      <c r="H60" s="58"/>
      <c r="I60" s="58">
        <f t="shared" si="42"/>
        <v>0</v>
      </c>
      <c r="J60" s="58">
        <v>0</v>
      </c>
      <c r="K60" s="58">
        <v>0</v>
      </c>
      <c r="L60" s="58">
        <v>0</v>
      </c>
      <c r="M60" s="58">
        <f t="shared" si="43"/>
        <v>0</v>
      </c>
    </row>
    <row r="61" spans="3:19">
      <c r="D61" s="229" t="s">
        <v>704</v>
      </c>
      <c r="E61" s="43"/>
      <c r="F61" s="43"/>
      <c r="G61" s="43"/>
      <c r="H61" s="43"/>
      <c r="I61" s="58">
        <f t="shared" si="42"/>
        <v>0</v>
      </c>
      <c r="J61" s="43">
        <v>-71691717</v>
      </c>
      <c r="K61" s="43">
        <v>-1291334</v>
      </c>
      <c r="L61" s="43">
        <v>7686</v>
      </c>
      <c r="M61" s="58">
        <f t="shared" si="43"/>
        <v>-72975365</v>
      </c>
    </row>
    <row r="62" spans="3:19">
      <c r="D62" s="525" t="s">
        <v>705</v>
      </c>
      <c r="E62" s="60">
        <f>E58-E59+E60+E61</f>
        <v>0</v>
      </c>
      <c r="F62" s="60">
        <f t="shared" ref="F62:I62" si="44">F58-F59+F60+F61</f>
        <v>0</v>
      </c>
      <c r="G62" s="60">
        <f t="shared" si="44"/>
        <v>0</v>
      </c>
      <c r="H62" s="60">
        <f t="shared" si="44"/>
        <v>0</v>
      </c>
      <c r="I62" s="60">
        <f t="shared" si="44"/>
        <v>0</v>
      </c>
      <c r="J62" s="60">
        <f t="shared" ref="J62:M62" si="45">J58-J59+J60+J61</f>
        <v>475735541</v>
      </c>
      <c r="K62" s="60">
        <f t="shared" si="45"/>
        <v>41004909</v>
      </c>
      <c r="L62" s="60">
        <f t="shared" si="45"/>
        <v>13000</v>
      </c>
      <c r="M62" s="60">
        <f t="shared" si="45"/>
        <v>516753450</v>
      </c>
    </row>
    <row r="63" spans="3:19">
      <c r="D63" s="521" t="s">
        <v>706</v>
      </c>
      <c r="E63" s="58"/>
      <c r="F63" s="58"/>
      <c r="G63" s="58"/>
      <c r="H63" s="58"/>
      <c r="I63" s="58">
        <f t="shared" ref="I63:I65" si="46">+E63+F63+G63+H63</f>
        <v>0</v>
      </c>
      <c r="J63" s="58">
        <v>7700865</v>
      </c>
      <c r="K63" s="58">
        <v>5550169</v>
      </c>
      <c r="L63" s="58">
        <v>419</v>
      </c>
      <c r="M63" s="58">
        <f t="shared" ref="M63:M65" si="47">+I63+J63+K63+L63</f>
        <v>13251453</v>
      </c>
    </row>
    <row r="64" spans="3:19">
      <c r="D64" s="521" t="s">
        <v>707</v>
      </c>
      <c r="E64" s="58"/>
      <c r="F64" s="58"/>
      <c r="G64" s="58"/>
      <c r="H64" s="58"/>
      <c r="I64" s="58">
        <f t="shared" si="46"/>
        <v>0</v>
      </c>
      <c r="J64" s="58">
        <v>157509985</v>
      </c>
      <c r="K64" s="58">
        <v>1703468</v>
      </c>
      <c r="L64" s="58">
        <v>28</v>
      </c>
      <c r="M64" s="58">
        <f t="shared" si="47"/>
        <v>159213481</v>
      </c>
    </row>
    <row r="65" spans="3:19">
      <c r="D65" s="229" t="s">
        <v>708</v>
      </c>
      <c r="E65" s="43">
        <v>5207838</v>
      </c>
      <c r="F65" s="43"/>
      <c r="G65" s="43"/>
      <c r="H65" s="43"/>
      <c r="I65" s="58">
        <f t="shared" si="46"/>
        <v>5207838</v>
      </c>
      <c r="J65" s="43">
        <v>0</v>
      </c>
      <c r="K65" s="43">
        <v>0</v>
      </c>
      <c r="L65" s="43">
        <v>0</v>
      </c>
      <c r="M65" s="58">
        <f t="shared" si="47"/>
        <v>5207838</v>
      </c>
    </row>
    <row r="66" spans="3:19">
      <c r="D66" s="525" t="s">
        <v>709</v>
      </c>
      <c r="E66" s="60">
        <f>E63+E64+E65</f>
        <v>5207838</v>
      </c>
      <c r="F66" s="60">
        <f t="shared" ref="F66:I66" si="48">F63+F64+F65</f>
        <v>0</v>
      </c>
      <c r="G66" s="60">
        <f t="shared" si="48"/>
        <v>0</v>
      </c>
      <c r="H66" s="60">
        <f t="shared" si="48"/>
        <v>0</v>
      </c>
      <c r="I66" s="60">
        <f t="shared" si="48"/>
        <v>5207838</v>
      </c>
      <c r="J66" s="60">
        <f t="shared" ref="J66:M66" si="49">J63+J64+J65</f>
        <v>165210850</v>
      </c>
      <c r="K66" s="60">
        <f t="shared" si="49"/>
        <v>7253637</v>
      </c>
      <c r="L66" s="60">
        <f t="shared" si="49"/>
        <v>447</v>
      </c>
      <c r="M66" s="60">
        <f t="shared" si="49"/>
        <v>177672772</v>
      </c>
    </row>
    <row r="67" spans="3:19">
      <c r="D67" s="229" t="s">
        <v>710</v>
      </c>
      <c r="E67" s="58">
        <v>193475</v>
      </c>
      <c r="F67" s="58">
        <v>-24909</v>
      </c>
      <c r="G67" s="58"/>
      <c r="H67" s="58"/>
      <c r="I67" s="58">
        <f t="shared" ref="I67:I69" si="50">+E67+F67+G67+H67</f>
        <v>168566</v>
      </c>
      <c r="J67" s="58">
        <v>3859080</v>
      </c>
      <c r="K67" s="58">
        <v>0</v>
      </c>
      <c r="L67" s="58">
        <v>0</v>
      </c>
      <c r="M67" s="58">
        <f t="shared" ref="M67:M69" si="51">+I67+J67+K67+L67</f>
        <v>4027646</v>
      </c>
    </row>
    <row r="68" spans="3:19">
      <c r="D68" s="229" t="s">
        <v>711</v>
      </c>
      <c r="E68" s="58">
        <v>25252</v>
      </c>
      <c r="F68" s="58"/>
      <c r="G68" s="58"/>
      <c r="H68" s="58"/>
      <c r="I68" s="58">
        <f t="shared" si="50"/>
        <v>25252</v>
      </c>
      <c r="J68" s="58">
        <v>0</v>
      </c>
      <c r="K68" s="58">
        <v>0</v>
      </c>
      <c r="L68" s="58">
        <v>0</v>
      </c>
      <c r="M68" s="58">
        <f t="shared" si="51"/>
        <v>25252</v>
      </c>
    </row>
    <row r="69" spans="3:19" ht="15.75" thickBot="1">
      <c r="D69" s="521" t="s">
        <v>652</v>
      </c>
      <c r="E69" s="59">
        <v>5991097</v>
      </c>
      <c r="F69" s="59">
        <v>24832</v>
      </c>
      <c r="G69" s="59"/>
      <c r="H69" s="59"/>
      <c r="I69" s="59">
        <f t="shared" si="50"/>
        <v>6015929</v>
      </c>
      <c r="J69" s="59">
        <v>368343950</v>
      </c>
      <c r="K69" s="59">
        <v>35237699</v>
      </c>
      <c r="L69" s="59">
        <v>4962</v>
      </c>
      <c r="M69" s="59">
        <f t="shared" si="51"/>
        <v>409602540</v>
      </c>
    </row>
    <row r="70" spans="3:19" s="146" customFormat="1" ht="15.75" thickBot="1">
      <c r="D70" s="230" t="s">
        <v>712</v>
      </c>
      <c r="E70" s="134">
        <f>E62-E66+E67+E68+E69</f>
        <v>1001986</v>
      </c>
      <c r="F70" s="134">
        <f t="shared" ref="F70:I70" si="52">F62-F66+F67+F68+F69</f>
        <v>-77</v>
      </c>
      <c r="G70" s="134">
        <f t="shared" si="52"/>
        <v>0</v>
      </c>
      <c r="H70" s="134">
        <f t="shared" si="52"/>
        <v>0</v>
      </c>
      <c r="I70" s="136">
        <f t="shared" si="52"/>
        <v>1001909</v>
      </c>
      <c r="J70" s="134">
        <f>J62-J66+J67+J68+J69</f>
        <v>682727721</v>
      </c>
      <c r="K70" s="134">
        <f t="shared" ref="K70:M70" si="53">K62-K66+K67+K68+K69</f>
        <v>68988971</v>
      </c>
      <c r="L70" s="134">
        <f t="shared" si="53"/>
        <v>17515</v>
      </c>
      <c r="M70" s="136">
        <f t="shared" si="53"/>
        <v>752736116</v>
      </c>
    </row>
    <row r="71" spans="3:19" s="315" customFormat="1">
      <c r="D71" s="521"/>
      <c r="E71" s="374"/>
      <c r="F71" s="374"/>
      <c r="G71" s="374"/>
      <c r="H71" s="374"/>
      <c r="I71" s="374"/>
    </row>
    <row r="73" spans="3:19">
      <c r="C73" s="379" t="s">
        <v>1874</v>
      </c>
    </row>
    <row r="74" spans="3:19" ht="15.75" thickBot="1"/>
    <row r="75" spans="3:19" ht="15.75" customHeight="1" thickBot="1">
      <c r="D75" s="1670"/>
      <c r="E75" s="1660" t="s">
        <v>1871</v>
      </c>
      <c r="F75" s="1661"/>
      <c r="G75" s="1662"/>
      <c r="H75" s="1660" t="s">
        <v>1872</v>
      </c>
      <c r="I75" s="1661"/>
      <c r="J75" s="1661"/>
      <c r="K75" s="1660" t="s">
        <v>1873</v>
      </c>
      <c r="L75" s="1661"/>
      <c r="M75" s="1661"/>
      <c r="N75" s="1660"/>
      <c r="O75" s="1661"/>
      <c r="P75" s="1661"/>
      <c r="Q75" s="1685"/>
      <c r="R75" s="1685"/>
      <c r="S75" s="1685"/>
    </row>
    <row r="76" spans="3:19" ht="54.95" customHeight="1" thickBot="1">
      <c r="D76" s="1674"/>
      <c r="E76" s="528" t="s">
        <v>1868</v>
      </c>
      <c r="F76" s="528" t="s">
        <v>1869</v>
      </c>
      <c r="G76" s="528" t="s">
        <v>1867</v>
      </c>
      <c r="H76" s="528" t="s">
        <v>1868</v>
      </c>
      <c r="I76" s="528" t="s">
        <v>1869</v>
      </c>
      <c r="J76" s="529" t="s">
        <v>1867</v>
      </c>
      <c r="K76" s="528" t="s">
        <v>1868</v>
      </c>
      <c r="L76" s="528" t="s">
        <v>1869</v>
      </c>
      <c r="M76" s="529" t="s">
        <v>1867</v>
      </c>
      <c r="N76" s="528" t="s">
        <v>1868</v>
      </c>
      <c r="O76" s="528" t="s">
        <v>1869</v>
      </c>
      <c r="P76" s="529" t="s">
        <v>1862</v>
      </c>
      <c r="Q76" s="526"/>
      <c r="R76" s="526"/>
      <c r="S76" s="526"/>
    </row>
    <row r="77" spans="3:19">
      <c r="D77" s="521" t="s">
        <v>496</v>
      </c>
      <c r="E77" s="530"/>
      <c r="F77" s="530"/>
      <c r="G77" s="519">
        <f>E77-F77</f>
        <v>0</v>
      </c>
      <c r="H77" s="530"/>
      <c r="I77" s="530"/>
      <c r="J77" s="555">
        <f>H77-I77</f>
        <v>0</v>
      </c>
      <c r="K77" s="530"/>
      <c r="L77" s="530"/>
      <c r="M77" s="555">
        <f>K77-L77</f>
        <v>0</v>
      </c>
      <c r="N77" s="530">
        <f t="shared" ref="N77:O79" si="54">B77+E77+H77+K77</f>
        <v>0</v>
      </c>
      <c r="O77" s="530">
        <f t="shared" si="54"/>
        <v>0</v>
      </c>
      <c r="P77" s="555">
        <f>N77-O77</f>
        <v>0</v>
      </c>
      <c r="Q77" s="372"/>
      <c r="R77" s="372"/>
      <c r="S77" s="554"/>
    </row>
    <row r="78" spans="3:19">
      <c r="D78" s="521" t="s">
        <v>699</v>
      </c>
      <c r="E78" s="353"/>
      <c r="F78" s="353"/>
      <c r="G78" s="61">
        <f t="shared" ref="G78:G79" si="55">E78-F78</f>
        <v>0</v>
      </c>
      <c r="H78" s="353"/>
      <c r="I78" s="353"/>
      <c r="J78" s="370">
        <f t="shared" ref="J78:J79" si="56">H78-I78</f>
        <v>0</v>
      </c>
      <c r="K78" s="353"/>
      <c r="L78" s="353"/>
      <c r="M78" s="370">
        <f t="shared" ref="M78:M79" si="57">K78-L78</f>
        <v>0</v>
      </c>
      <c r="N78" s="353">
        <f t="shared" si="54"/>
        <v>0</v>
      </c>
      <c r="O78" s="353">
        <f t="shared" si="54"/>
        <v>0</v>
      </c>
      <c r="P78" s="370">
        <f t="shared" ref="P78:P79" si="58">N78-O78</f>
        <v>0</v>
      </c>
      <c r="Q78" s="374"/>
      <c r="R78" s="374"/>
      <c r="S78" s="131"/>
    </row>
    <row r="79" spans="3:19" ht="15.75" thickBot="1">
      <c r="D79" s="229" t="s">
        <v>604</v>
      </c>
      <c r="E79" s="375"/>
      <c r="F79" s="375"/>
      <c r="G79" s="552">
        <f t="shared" si="55"/>
        <v>0</v>
      </c>
      <c r="H79" s="375"/>
      <c r="I79" s="375"/>
      <c r="J79" s="556">
        <f t="shared" si="56"/>
        <v>0</v>
      </c>
      <c r="K79" s="375"/>
      <c r="L79" s="375"/>
      <c r="M79" s="556">
        <f t="shared" si="57"/>
        <v>0</v>
      </c>
      <c r="N79" s="375">
        <f t="shared" si="54"/>
        <v>0</v>
      </c>
      <c r="O79" s="375">
        <f t="shared" si="54"/>
        <v>0</v>
      </c>
      <c r="P79" s="556">
        <f t="shared" si="58"/>
        <v>0</v>
      </c>
      <c r="Q79" s="374"/>
      <c r="R79" s="374"/>
      <c r="S79" s="131"/>
    </row>
    <row r="80" spans="3:19" ht="15.75" thickBot="1">
      <c r="D80" s="527" t="s">
        <v>700</v>
      </c>
      <c r="E80" s="56">
        <f>-E77+E78+E79</f>
        <v>0</v>
      </c>
      <c r="F80" s="56">
        <f t="shared" ref="F80" si="59">-F77+F78+F79</f>
        <v>0</v>
      </c>
      <c r="G80" s="56">
        <f t="shared" ref="G80" si="60">-G77+G78+G79</f>
        <v>0</v>
      </c>
      <c r="H80" s="56">
        <f>-H77+H78+H79</f>
        <v>0</v>
      </c>
      <c r="I80" s="56">
        <f t="shared" ref="I80" si="61">-I77+I78+I79</f>
        <v>0</v>
      </c>
      <c r="J80" s="199">
        <f t="shared" ref="J80" si="62">-J77+J78+J79</f>
        <v>0</v>
      </c>
      <c r="K80" s="56">
        <f>-K77+K78+K79</f>
        <v>0</v>
      </c>
      <c r="L80" s="56">
        <f t="shared" ref="L80" si="63">-L77+L78+L79</f>
        <v>0</v>
      </c>
      <c r="M80" s="199">
        <f t="shared" ref="M80" si="64">-M77+M78+M79</f>
        <v>0</v>
      </c>
      <c r="N80" s="56">
        <f>-N77+N78+N79</f>
        <v>0</v>
      </c>
      <c r="O80" s="56">
        <f t="shared" ref="O80" si="65">-O77+O78+O79</f>
        <v>0</v>
      </c>
      <c r="P80" s="199">
        <f t="shared" ref="P80" si="66">-P77+P78+P79</f>
        <v>0</v>
      </c>
      <c r="Q80" s="131"/>
      <c r="R80" s="131"/>
      <c r="S80" s="131"/>
    </row>
  </sheetData>
  <mergeCells count="37">
    <mergeCell ref="N43:P43"/>
    <mergeCell ref="Q43:S43"/>
    <mergeCell ref="D75:D76"/>
    <mergeCell ref="E75:G75"/>
    <mergeCell ref="H75:J75"/>
    <mergeCell ref="K75:M75"/>
    <mergeCell ref="N75:P75"/>
    <mergeCell ref="Q75:S75"/>
    <mergeCell ref="L54:L55"/>
    <mergeCell ref="M54:M55"/>
    <mergeCell ref="E45:G45"/>
    <mergeCell ref="H45:J45"/>
    <mergeCell ref="K45:M45"/>
    <mergeCell ref="N45:P45"/>
    <mergeCell ref="Q45:S45"/>
    <mergeCell ref="L5:L6"/>
    <mergeCell ref="M5:M6"/>
    <mergeCell ref="D54:D55"/>
    <mergeCell ref="E54:E55"/>
    <mergeCell ref="F54:F55"/>
    <mergeCell ref="G54:G55"/>
    <mergeCell ref="H54:H55"/>
    <mergeCell ref="I54:I55"/>
    <mergeCell ref="G5:G6"/>
    <mergeCell ref="F5:F6"/>
    <mergeCell ref="E43:G43"/>
    <mergeCell ref="H43:J43"/>
    <mergeCell ref="D5:D6"/>
    <mergeCell ref="E5:E6"/>
    <mergeCell ref="H5:H6"/>
    <mergeCell ref="K43:M43"/>
    <mergeCell ref="I5:I6"/>
    <mergeCell ref="J5:J6"/>
    <mergeCell ref="D43:D44"/>
    <mergeCell ref="J54:J55"/>
    <mergeCell ref="K54:K55"/>
    <mergeCell ref="K5:K6"/>
  </mergeCells>
  <conditionalFormatting sqref="E42:F42 H42:J42">
    <cfRule type="cellIs" dxfId="22" priority="3" operator="equal">
      <formula>"OK"</formula>
    </cfRule>
    <cfRule type="cellIs" dxfId="21" priority="4" operator="equal">
      <formula>"ERROR"</formula>
    </cfRule>
  </conditionalFormatting>
  <conditionalFormatting sqref="G42">
    <cfRule type="cellIs" dxfId="20" priority="1" operator="equal">
      <formula>"OK"</formula>
    </cfRule>
    <cfRule type="cellIs" dxfId="19" priority="2" operator="equal">
      <formula>"ERROR"</formula>
    </cfRule>
  </conditionalFormatting>
  <pageMargins left="0.7" right="0.7" top="0.75" bottom="0.75" header="0.3" footer="0.3"/>
  <pageSetup orientation="portrait" r:id="rId1"/>
  <ignoredErrors>
    <ignoredError sqref="I62 M62" 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14:formula1>
            <xm:f>'1. Carátula'!$C$282:$C$459</xm:f>
          </x14:formula1>
          <xm:sqref>E7:H7 J7:L7 E45 H45 K45 N45 E56:H56 J56:L56</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heetPr>
  <dimension ref="C1:M26"/>
  <sheetViews>
    <sheetView showGridLines="0" zoomScaleNormal="100" workbookViewId="0">
      <selection activeCell="M30" sqref="M30"/>
    </sheetView>
  </sheetViews>
  <sheetFormatPr baseColWidth="10" defaultColWidth="9.140625" defaultRowHeight="15"/>
  <cols>
    <col min="1" max="2" width="2.42578125" customWidth="1"/>
    <col min="3" max="3" width="3.7109375" customWidth="1"/>
    <col min="4" max="4" width="50.7109375" customWidth="1"/>
    <col min="5" max="13" width="14.7109375" customWidth="1"/>
  </cols>
  <sheetData>
    <row r="1" spans="3:13" ht="15" customHeight="1"/>
    <row r="3" spans="3:13">
      <c r="C3" s="1584" t="s">
        <v>2687</v>
      </c>
      <c r="D3" s="1584"/>
      <c r="E3" s="1584"/>
      <c r="F3" s="1584"/>
      <c r="G3" s="1584"/>
    </row>
    <row r="4" spans="3:13" ht="15.75" thickBot="1"/>
    <row r="5" spans="3:13">
      <c r="D5" s="1670"/>
      <c r="E5" s="1686" t="s">
        <v>2680</v>
      </c>
      <c r="F5" s="1686" t="s">
        <v>2681</v>
      </c>
      <c r="G5" s="1686" t="s">
        <v>2682</v>
      </c>
      <c r="H5" s="1686" t="s">
        <v>2683</v>
      </c>
      <c r="I5" s="1686" t="s">
        <v>2684</v>
      </c>
      <c r="J5" s="1686" t="s">
        <v>2685</v>
      </c>
      <c r="K5" s="1686" t="s">
        <v>2686</v>
      </c>
      <c r="L5" s="1686" t="s">
        <v>604</v>
      </c>
      <c r="M5" s="1686" t="s">
        <v>432</v>
      </c>
    </row>
    <row r="6" spans="3:13" ht="54.95" customHeight="1" thickBot="1">
      <c r="D6" s="1674"/>
      <c r="E6" s="1687"/>
      <c r="F6" s="1687"/>
      <c r="G6" s="1687"/>
      <c r="H6" s="1687"/>
      <c r="I6" s="1687"/>
      <c r="J6" s="1687"/>
      <c r="K6" s="1687"/>
      <c r="L6" s="1687"/>
      <c r="M6" s="1687"/>
    </row>
    <row r="7" spans="3:13">
      <c r="D7" s="688" t="s">
        <v>2665</v>
      </c>
      <c r="E7" s="530"/>
      <c r="F7" s="530"/>
      <c r="G7" s="530"/>
      <c r="H7" s="530"/>
      <c r="I7" s="530"/>
      <c r="J7" s="530"/>
      <c r="K7" s="530"/>
      <c r="L7" s="530"/>
      <c r="M7" s="530">
        <f>SUM(E7:L7)</f>
        <v>0</v>
      </c>
    </row>
    <row r="8" spans="3:13">
      <c r="D8" s="688" t="s">
        <v>2666</v>
      </c>
      <c r="E8" s="353"/>
      <c r="F8" s="353"/>
      <c r="G8" s="353"/>
      <c r="H8" s="353"/>
      <c r="I8" s="353"/>
      <c r="J8" s="353"/>
      <c r="K8" s="353"/>
      <c r="L8" s="353"/>
      <c r="M8" s="353">
        <f t="shared" ref="M8:M21" si="0">SUM(E8:L8)</f>
        <v>0</v>
      </c>
    </row>
    <row r="9" spans="3:13">
      <c r="D9" s="229" t="s">
        <v>2667</v>
      </c>
      <c r="E9" s="353"/>
      <c r="F9" s="353"/>
      <c r="G9" s="353"/>
      <c r="H9" s="353"/>
      <c r="I9" s="353"/>
      <c r="J9" s="353"/>
      <c r="K9" s="353"/>
      <c r="L9" s="353"/>
      <c r="M9" s="353">
        <f t="shared" si="0"/>
        <v>0</v>
      </c>
    </row>
    <row r="10" spans="3:13">
      <c r="D10" s="229" t="s">
        <v>2668</v>
      </c>
      <c r="E10" s="54"/>
      <c r="F10" s="54"/>
      <c r="G10" s="54"/>
      <c r="H10" s="54"/>
      <c r="I10" s="54"/>
      <c r="J10" s="54"/>
      <c r="K10" s="54"/>
      <c r="L10" s="54"/>
      <c r="M10" s="353">
        <f t="shared" si="0"/>
        <v>0</v>
      </c>
    </row>
    <row r="11" spans="3:13">
      <c r="D11" s="229" t="s">
        <v>2669</v>
      </c>
      <c r="E11" s="54"/>
      <c r="F11" s="54"/>
      <c r="G11" s="54"/>
      <c r="H11" s="54"/>
      <c r="I11" s="54"/>
      <c r="J11" s="54"/>
      <c r="K11" s="54"/>
      <c r="L11" s="54"/>
      <c r="M11" s="353">
        <f t="shared" si="0"/>
        <v>0</v>
      </c>
    </row>
    <row r="12" spans="3:13">
      <c r="D12" s="229" t="s">
        <v>2670</v>
      </c>
      <c r="E12" s="54"/>
      <c r="F12" s="54"/>
      <c r="G12" s="54"/>
      <c r="H12" s="54"/>
      <c r="I12" s="54"/>
      <c r="J12" s="54"/>
      <c r="K12" s="54"/>
      <c r="L12" s="54"/>
      <c r="M12" s="353">
        <f t="shared" si="0"/>
        <v>0</v>
      </c>
    </row>
    <row r="13" spans="3:13">
      <c r="D13" s="229" t="s">
        <v>2671</v>
      </c>
      <c r="E13" s="189"/>
      <c r="F13" s="189"/>
      <c r="G13" s="189"/>
      <c r="H13" s="189"/>
      <c r="I13" s="189"/>
      <c r="J13" s="189"/>
      <c r="K13" s="189"/>
      <c r="L13" s="189"/>
      <c r="M13" s="375">
        <f t="shared" si="0"/>
        <v>0</v>
      </c>
    </row>
    <row r="14" spans="3:13">
      <c r="D14" s="229" t="s">
        <v>2672</v>
      </c>
      <c r="E14" s="189"/>
      <c r="F14" s="189"/>
      <c r="G14" s="189"/>
      <c r="H14" s="189"/>
      <c r="I14" s="189"/>
      <c r="J14" s="189"/>
      <c r="K14" s="189"/>
      <c r="L14" s="189"/>
      <c r="M14" s="375">
        <f t="shared" si="0"/>
        <v>0</v>
      </c>
    </row>
    <row r="15" spans="3:13">
      <c r="D15" s="229" t="s">
        <v>2673</v>
      </c>
      <c r="E15" s="189"/>
      <c r="F15" s="189"/>
      <c r="G15" s="189"/>
      <c r="H15" s="189"/>
      <c r="I15" s="189"/>
      <c r="J15" s="189"/>
      <c r="K15" s="189"/>
      <c r="L15" s="189"/>
      <c r="M15" s="375">
        <f t="shared" si="0"/>
        <v>0</v>
      </c>
    </row>
    <row r="16" spans="3:13">
      <c r="D16" s="229" t="s">
        <v>2674</v>
      </c>
      <c r="E16" s="189"/>
      <c r="F16" s="189"/>
      <c r="G16" s="189"/>
      <c r="H16" s="189"/>
      <c r="I16" s="189"/>
      <c r="J16" s="189"/>
      <c r="K16" s="189"/>
      <c r="L16" s="189"/>
      <c r="M16" s="375">
        <f t="shared" si="0"/>
        <v>0</v>
      </c>
    </row>
    <row r="17" spans="4:13">
      <c r="D17" s="229" t="s">
        <v>2675</v>
      </c>
      <c r="E17" s="189"/>
      <c r="F17" s="189"/>
      <c r="G17" s="189"/>
      <c r="H17" s="189"/>
      <c r="I17" s="189"/>
      <c r="J17" s="189"/>
      <c r="K17" s="189"/>
      <c r="L17" s="189"/>
      <c r="M17" s="375">
        <f t="shared" si="0"/>
        <v>0</v>
      </c>
    </row>
    <row r="18" spans="4:13">
      <c r="D18" s="229" t="s">
        <v>2676</v>
      </c>
      <c r="E18" s="189"/>
      <c r="F18" s="189"/>
      <c r="G18" s="189"/>
      <c r="H18" s="189"/>
      <c r="I18" s="189"/>
      <c r="J18" s="189"/>
      <c r="K18" s="189"/>
      <c r="L18" s="189"/>
      <c r="M18" s="375">
        <f t="shared" si="0"/>
        <v>0</v>
      </c>
    </row>
    <row r="19" spans="4:13">
      <c r="D19" s="229" t="s">
        <v>2677</v>
      </c>
      <c r="E19" s="189"/>
      <c r="F19" s="189"/>
      <c r="G19" s="189"/>
      <c r="H19" s="189"/>
      <c r="I19" s="189"/>
      <c r="J19" s="189"/>
      <c r="K19" s="189"/>
      <c r="L19" s="189"/>
      <c r="M19" s="375">
        <f t="shared" si="0"/>
        <v>0</v>
      </c>
    </row>
    <row r="20" spans="4:13">
      <c r="D20" s="229" t="s">
        <v>2678</v>
      </c>
      <c r="E20" s="189"/>
      <c r="F20" s="189"/>
      <c r="G20" s="189"/>
      <c r="H20" s="189"/>
      <c r="I20" s="189"/>
      <c r="J20" s="189"/>
      <c r="K20" s="189"/>
      <c r="L20" s="189"/>
      <c r="M20" s="375">
        <f t="shared" si="0"/>
        <v>0</v>
      </c>
    </row>
    <row r="21" spans="4:13" ht="15.75" thickBot="1">
      <c r="D21" s="229" t="s">
        <v>2679</v>
      </c>
      <c r="E21" s="189"/>
      <c r="F21" s="189"/>
      <c r="G21" s="189"/>
      <c r="H21" s="189"/>
      <c r="I21" s="189"/>
      <c r="J21" s="189"/>
      <c r="K21" s="189"/>
      <c r="L21" s="189"/>
      <c r="M21" s="375">
        <f t="shared" si="0"/>
        <v>0</v>
      </c>
    </row>
    <row r="22" spans="4:13" s="146" customFormat="1" ht="15.75" thickBot="1">
      <c r="D22" s="230" t="s">
        <v>432</v>
      </c>
      <c r="E22" s="56">
        <f>SUM(E7:E21)</f>
        <v>0</v>
      </c>
      <c r="F22" s="56">
        <f t="shared" ref="F22:M22" si="1">SUM(F7:F21)</f>
        <v>0</v>
      </c>
      <c r="G22" s="56">
        <f t="shared" si="1"/>
        <v>0</v>
      </c>
      <c r="H22" s="56">
        <f t="shared" si="1"/>
        <v>0</v>
      </c>
      <c r="I22" s="56">
        <f t="shared" si="1"/>
        <v>0</v>
      </c>
      <c r="J22" s="56">
        <f t="shared" si="1"/>
        <v>0</v>
      </c>
      <c r="K22" s="56">
        <f t="shared" si="1"/>
        <v>0</v>
      </c>
      <c r="L22" s="56">
        <f t="shared" si="1"/>
        <v>0</v>
      </c>
      <c r="M22" s="56">
        <f t="shared" si="1"/>
        <v>0</v>
      </c>
    </row>
    <row r="23" spans="4:13" s="315" customFormat="1">
      <c r="D23" s="229"/>
      <c r="E23" s="373"/>
      <c r="F23" s="373"/>
    </row>
    <row r="24" spans="4:13" s="315" customFormat="1">
      <c r="D24" s="229"/>
      <c r="E24" s="374"/>
      <c r="F24" s="374"/>
    </row>
    <row r="25" spans="4:13" s="315" customFormat="1">
      <c r="D25" s="229"/>
      <c r="E25" s="374"/>
      <c r="F25" s="374"/>
    </row>
    <row r="26" spans="4:13" s="315" customFormat="1">
      <c r="D26" s="688"/>
      <c r="E26" s="374"/>
      <c r="F26" s="374"/>
    </row>
  </sheetData>
  <mergeCells count="11">
    <mergeCell ref="I5:I6"/>
    <mergeCell ref="J5:J6"/>
    <mergeCell ref="K5:K6"/>
    <mergeCell ref="L5:L6"/>
    <mergeCell ref="M5:M6"/>
    <mergeCell ref="H5:H6"/>
    <mergeCell ref="D5:D6"/>
    <mergeCell ref="E5:E6"/>
    <mergeCell ref="F5:F6"/>
    <mergeCell ref="C3:G3"/>
    <mergeCell ref="G5:G6"/>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heetPr>
  <dimension ref="B1:S55"/>
  <sheetViews>
    <sheetView showGridLines="0" topLeftCell="A37" workbookViewId="0">
      <selection activeCell="A61" sqref="A61"/>
    </sheetView>
  </sheetViews>
  <sheetFormatPr baseColWidth="10" defaultColWidth="9.140625" defaultRowHeight="15"/>
  <cols>
    <col min="1" max="2" width="2.42578125" customWidth="1"/>
    <col min="3" max="3" width="3.7109375" customWidth="1"/>
    <col min="4" max="4" width="50.7109375" customWidth="1"/>
    <col min="5" max="8" width="14.7109375" customWidth="1"/>
    <col min="9" max="9" width="14.7109375" style="146" customWidth="1"/>
    <col min="10" max="10" width="14.7109375" style="315" customWidth="1"/>
    <col min="11" max="36" width="14.7109375" customWidth="1"/>
  </cols>
  <sheetData>
    <row r="1" spans="2:16" ht="15" customHeight="1"/>
    <row r="2" spans="2:16" ht="15" customHeight="1"/>
    <row r="3" spans="2:16" s="246" customFormat="1" ht="15" customHeight="1">
      <c r="B3" s="247"/>
      <c r="C3" s="1584" t="s">
        <v>1875</v>
      </c>
      <c r="D3" s="1584"/>
      <c r="E3" s="1584"/>
      <c r="F3" s="1584"/>
      <c r="G3" s="1584"/>
      <c r="I3" s="315"/>
      <c r="J3" s="315"/>
    </row>
    <row r="4" spans="2:16" ht="15" customHeight="1" thickBot="1"/>
    <row r="5" spans="2:16" ht="14.45" customHeight="1" thickBot="1">
      <c r="D5" s="1670"/>
      <c r="E5" s="1704" t="s">
        <v>1876</v>
      </c>
      <c r="F5" s="1652"/>
      <c r="G5" s="1698"/>
      <c r="H5" s="1704" t="s">
        <v>1877</v>
      </c>
      <c r="I5" s="1652"/>
      <c r="J5" s="1698"/>
      <c r="K5" s="1704" t="s">
        <v>1878</v>
      </c>
      <c r="L5" s="1652"/>
      <c r="M5" s="1698"/>
      <c r="N5" s="1704" t="s">
        <v>1879</v>
      </c>
      <c r="O5" s="1652"/>
      <c r="P5" s="1698"/>
    </row>
    <row r="6" spans="2:16" ht="54.95" customHeight="1" thickBot="1">
      <c r="D6" s="1674"/>
      <c r="E6" s="548" t="s">
        <v>1522</v>
      </c>
      <c r="F6" s="564" t="s">
        <v>1523</v>
      </c>
      <c r="G6" s="564" t="s">
        <v>1790</v>
      </c>
      <c r="H6" s="548" t="s">
        <v>1522</v>
      </c>
      <c r="I6" s="564" t="s">
        <v>1523</v>
      </c>
      <c r="J6" s="564" t="s">
        <v>1790</v>
      </c>
      <c r="K6" s="548" t="s">
        <v>1522</v>
      </c>
      <c r="L6" s="564" t="s">
        <v>1523</v>
      </c>
      <c r="M6" s="564" t="s">
        <v>1790</v>
      </c>
      <c r="N6" s="548" t="s">
        <v>1522</v>
      </c>
      <c r="O6" s="564" t="s">
        <v>1523</v>
      </c>
      <c r="P6" s="564" t="s">
        <v>1790</v>
      </c>
    </row>
    <row r="7" spans="2:16" ht="15" customHeight="1">
      <c r="D7" s="521" t="s">
        <v>713</v>
      </c>
      <c r="E7" s="303">
        <v>6942100.2470000004</v>
      </c>
      <c r="F7" s="304">
        <v>0</v>
      </c>
      <c r="G7" s="304">
        <v>1030199.106</v>
      </c>
      <c r="H7" s="304">
        <v>3948376580.323</v>
      </c>
      <c r="I7" s="304">
        <v>0</v>
      </c>
      <c r="J7" s="304">
        <v>1759936313.5320001</v>
      </c>
      <c r="K7" s="304">
        <v>888954.04500000004</v>
      </c>
      <c r="L7" s="304">
        <v>0</v>
      </c>
      <c r="M7" s="305">
        <v>30529.756000000001</v>
      </c>
      <c r="N7" s="304">
        <v>3947487626.2779999</v>
      </c>
      <c r="O7" s="304">
        <v>0</v>
      </c>
      <c r="P7" s="305">
        <v>1759905783.776</v>
      </c>
    </row>
    <row r="8" spans="2:16" ht="15" customHeight="1">
      <c r="D8" s="521" t="s">
        <v>714</v>
      </c>
      <c r="E8" s="61">
        <v>64380554.090999998</v>
      </c>
      <c r="F8" s="61">
        <v>0</v>
      </c>
      <c r="G8" s="61">
        <v>2105930.3509999998</v>
      </c>
      <c r="H8" s="61">
        <v>6466622748.2119999</v>
      </c>
      <c r="I8" s="62">
        <v>0</v>
      </c>
      <c r="J8" s="61">
        <v>247615916.71700001</v>
      </c>
      <c r="K8" s="61">
        <v>15840586.558</v>
      </c>
      <c r="L8" s="61">
        <v>0</v>
      </c>
      <c r="M8" s="62">
        <v>722128.96600000001</v>
      </c>
      <c r="N8" s="61">
        <v>6450782161.6540003</v>
      </c>
      <c r="O8" s="61">
        <v>0</v>
      </c>
      <c r="P8" s="62">
        <v>246893787.75099999</v>
      </c>
    </row>
    <row r="9" spans="2:16" ht="15" customHeight="1">
      <c r="D9" s="229" t="s">
        <v>715</v>
      </c>
      <c r="E9" s="353">
        <v>1383873.422</v>
      </c>
      <c r="F9" s="353">
        <v>0</v>
      </c>
      <c r="G9" s="353">
        <v>158519.068</v>
      </c>
      <c r="H9" s="353">
        <v>3900679772.053</v>
      </c>
      <c r="I9" s="330">
        <v>0</v>
      </c>
      <c r="J9" s="353">
        <v>1147975809.691</v>
      </c>
      <c r="K9" s="353">
        <v>385063.28200000001</v>
      </c>
      <c r="L9" s="353">
        <v>0</v>
      </c>
      <c r="M9" s="330">
        <v>31152.718000000001</v>
      </c>
      <c r="N9" s="353">
        <v>3900294708.7709999</v>
      </c>
      <c r="O9" s="353">
        <v>0</v>
      </c>
      <c r="P9" s="330">
        <v>1147944656.973</v>
      </c>
    </row>
    <row r="10" spans="2:16" s="30" customFormat="1" ht="15" customHeight="1">
      <c r="D10" s="547" t="s">
        <v>716</v>
      </c>
      <c r="E10" s="61">
        <f t="shared" ref="E10:P10" si="0">(SUM(E7:E9))/1000</f>
        <v>72706.527760000012</v>
      </c>
      <c r="F10" s="61">
        <f t="shared" si="0"/>
        <v>0</v>
      </c>
      <c r="G10" s="61">
        <f t="shared" si="0"/>
        <v>3294.6485250000001</v>
      </c>
      <c r="H10" s="61">
        <f t="shared" si="0"/>
        <v>14315679.100587999</v>
      </c>
      <c r="I10" s="62">
        <f t="shared" si="0"/>
        <v>0</v>
      </c>
      <c r="J10" s="61">
        <f t="shared" si="0"/>
        <v>3155528.03994</v>
      </c>
      <c r="K10" s="61">
        <f t="shared" si="0"/>
        <v>17114.603885</v>
      </c>
      <c r="L10" s="61">
        <f t="shared" si="0"/>
        <v>0</v>
      </c>
      <c r="M10" s="62">
        <f t="shared" si="0"/>
        <v>783.81144000000006</v>
      </c>
      <c r="N10" s="61">
        <f t="shared" si="0"/>
        <v>14298564.496702999</v>
      </c>
      <c r="O10" s="61">
        <f t="shared" si="0"/>
        <v>0</v>
      </c>
      <c r="P10" s="62">
        <f t="shared" si="0"/>
        <v>3154744.2285000002</v>
      </c>
    </row>
    <row r="11" spans="2:16" ht="15" customHeight="1">
      <c r="D11" s="229" t="s">
        <v>717</v>
      </c>
      <c r="E11" s="54">
        <v>40638356.770000003</v>
      </c>
      <c r="F11" s="54">
        <v>0</v>
      </c>
      <c r="G11" s="54">
        <v>938228.978</v>
      </c>
      <c r="H11" s="54">
        <v>6622685111.6269999</v>
      </c>
      <c r="I11" s="204">
        <v>0</v>
      </c>
      <c r="J11" s="54">
        <v>923222104.20899999</v>
      </c>
      <c r="K11" s="54">
        <v>16127701.309</v>
      </c>
      <c r="L11" s="54">
        <v>0</v>
      </c>
      <c r="M11" s="204">
        <v>491131.19300000003</v>
      </c>
      <c r="N11" s="54">
        <v>6606557410.3179998</v>
      </c>
      <c r="O11" s="54">
        <v>0</v>
      </c>
      <c r="P11" s="204">
        <v>922730973.01600003</v>
      </c>
    </row>
    <row r="12" spans="2:16" ht="15" customHeight="1">
      <c r="D12" s="521" t="s">
        <v>718</v>
      </c>
      <c r="E12" s="61">
        <v>4139730.4240000001</v>
      </c>
      <c r="F12" s="61">
        <v>0</v>
      </c>
      <c r="G12" s="61">
        <v>255542.98499999999</v>
      </c>
      <c r="H12" s="61">
        <v>239994964.454</v>
      </c>
      <c r="I12" s="62">
        <v>0</v>
      </c>
      <c r="J12" s="61">
        <v>53883684.023000002</v>
      </c>
      <c r="K12" s="61">
        <v>49648468.232000001</v>
      </c>
      <c r="L12" s="61">
        <v>0</v>
      </c>
      <c r="M12" s="62">
        <v>3025.4810000000002</v>
      </c>
      <c r="N12" s="61">
        <v>190346496.222</v>
      </c>
      <c r="O12" s="61">
        <v>0</v>
      </c>
      <c r="P12" s="62">
        <v>53880658.542000003</v>
      </c>
    </row>
    <row r="13" spans="2:16" ht="15" customHeight="1">
      <c r="D13" s="547" t="s">
        <v>1881</v>
      </c>
      <c r="E13" s="353">
        <v>0</v>
      </c>
      <c r="F13" s="353">
        <v>0</v>
      </c>
      <c r="G13" s="353">
        <v>0</v>
      </c>
      <c r="H13" s="353">
        <v>0</v>
      </c>
      <c r="I13" s="204">
        <v>0</v>
      </c>
      <c r="J13" s="353">
        <v>0</v>
      </c>
      <c r="K13" s="353">
        <v>0</v>
      </c>
      <c r="L13" s="353">
        <v>0</v>
      </c>
      <c r="M13" s="204">
        <v>0</v>
      </c>
      <c r="N13" s="353">
        <v>0</v>
      </c>
      <c r="O13" s="353">
        <v>0</v>
      </c>
      <c r="P13" s="204">
        <v>0</v>
      </c>
    </row>
    <row r="14" spans="2:16" ht="15" customHeight="1">
      <c r="D14" s="229" t="s">
        <v>719</v>
      </c>
      <c r="E14" s="54">
        <v>0</v>
      </c>
      <c r="F14" s="54">
        <v>0</v>
      </c>
      <c r="G14" s="54">
        <v>0</v>
      </c>
      <c r="H14" s="54">
        <v>0</v>
      </c>
      <c r="I14" s="204">
        <v>0</v>
      </c>
      <c r="J14" s="54">
        <v>0</v>
      </c>
      <c r="K14" s="54">
        <v>0</v>
      </c>
      <c r="L14" s="54">
        <v>0</v>
      </c>
      <c r="M14" s="204">
        <v>0</v>
      </c>
      <c r="N14" s="54">
        <v>0</v>
      </c>
      <c r="O14" s="54">
        <v>0</v>
      </c>
      <c r="P14" s="204">
        <v>0</v>
      </c>
    </row>
    <row r="15" spans="2:16" ht="15" customHeight="1">
      <c r="D15" s="229" t="s">
        <v>720</v>
      </c>
      <c r="E15" s="54">
        <v>185901602.66999999</v>
      </c>
      <c r="F15" s="54">
        <v>0</v>
      </c>
      <c r="G15" s="54">
        <v>74110264.011000007</v>
      </c>
      <c r="H15" s="54">
        <v>750408589.95599997</v>
      </c>
      <c r="I15" s="204">
        <v>0</v>
      </c>
      <c r="J15" s="54">
        <v>86186059628.332993</v>
      </c>
      <c r="K15" s="54">
        <v>119071955.649</v>
      </c>
      <c r="L15" s="54">
        <v>0</v>
      </c>
      <c r="M15" s="204">
        <v>46912870.766000003</v>
      </c>
      <c r="N15" s="54">
        <v>0</v>
      </c>
      <c r="O15" s="54">
        <v>0</v>
      </c>
      <c r="P15" s="204">
        <v>0</v>
      </c>
    </row>
    <row r="16" spans="2:16" ht="15" customHeight="1" thickBot="1">
      <c r="D16" s="549" t="s">
        <v>1880</v>
      </c>
      <c r="E16" s="375">
        <v>109493078.90800001</v>
      </c>
      <c r="F16" s="375">
        <v>0</v>
      </c>
      <c r="G16" s="375">
        <v>0</v>
      </c>
      <c r="H16" s="375">
        <v>1997631030.744</v>
      </c>
      <c r="I16" s="205">
        <v>0</v>
      </c>
      <c r="J16" s="375">
        <v>0</v>
      </c>
      <c r="K16" s="375">
        <v>1491349571.4219999</v>
      </c>
      <c r="L16" s="375">
        <v>0</v>
      </c>
      <c r="M16" s="205">
        <v>20329985.644000001</v>
      </c>
      <c r="N16" s="375">
        <v>0</v>
      </c>
      <c r="O16" s="375">
        <v>0</v>
      </c>
      <c r="P16" s="205">
        <v>0</v>
      </c>
    </row>
    <row r="17" spans="3:19" s="30" customFormat="1" ht="15" customHeight="1" thickBot="1">
      <c r="D17" s="568" t="s">
        <v>716</v>
      </c>
      <c r="E17" s="56">
        <f>E14+E15+E16</f>
        <v>295394681.57800001</v>
      </c>
      <c r="F17" s="56">
        <f t="shared" ref="F17:P17" si="1">F14+F15+F16</f>
        <v>0</v>
      </c>
      <c r="G17" s="56">
        <f t="shared" si="1"/>
        <v>74110264.011000007</v>
      </c>
      <c r="H17" s="56">
        <f t="shared" si="1"/>
        <v>2748039620.6999998</v>
      </c>
      <c r="I17" s="202">
        <f t="shared" si="1"/>
        <v>0</v>
      </c>
      <c r="J17" s="56">
        <f t="shared" si="1"/>
        <v>86186059628.332993</v>
      </c>
      <c r="K17" s="56">
        <f t="shared" si="1"/>
        <v>1610421527.0709999</v>
      </c>
      <c r="L17" s="56">
        <f t="shared" si="1"/>
        <v>0</v>
      </c>
      <c r="M17" s="202">
        <f t="shared" si="1"/>
        <v>67242856.409999996</v>
      </c>
      <c r="N17" s="56">
        <f t="shared" si="1"/>
        <v>0</v>
      </c>
      <c r="O17" s="56">
        <f t="shared" si="1"/>
        <v>0</v>
      </c>
      <c r="P17" s="569">
        <f t="shared" si="1"/>
        <v>0</v>
      </c>
    </row>
    <row r="18" spans="3:19" s="315" customFormat="1">
      <c r="D18" s="546"/>
      <c r="E18" s="373"/>
      <c r="F18" s="373"/>
      <c r="G18" s="373"/>
      <c r="H18" s="373"/>
      <c r="I18" s="373"/>
      <c r="J18" s="374"/>
    </row>
    <row r="19" spans="3:19" s="315" customFormat="1">
      <c r="D19" s="546"/>
      <c r="E19" s="373"/>
      <c r="F19" s="373"/>
      <c r="G19" s="373"/>
      <c r="H19" s="373"/>
      <c r="I19" s="373"/>
      <c r="J19" s="374"/>
    </row>
    <row r="20" spans="3:19">
      <c r="C20" s="1584" t="s">
        <v>1882</v>
      </c>
      <c r="D20" s="1584"/>
      <c r="E20" s="1584"/>
      <c r="F20" s="1584"/>
      <c r="G20" s="1584"/>
    </row>
    <row r="21" spans="3:19" ht="15.75" thickBot="1"/>
    <row r="22" spans="3:19" ht="14.45" customHeight="1" thickBot="1">
      <c r="D22" s="1670"/>
      <c r="E22" s="1704" t="s">
        <v>1883</v>
      </c>
      <c r="F22" s="1652"/>
      <c r="G22" s="1698"/>
      <c r="H22" s="1704" t="s">
        <v>1884</v>
      </c>
      <c r="I22" s="1652"/>
      <c r="J22" s="1698"/>
      <c r="K22" s="1704" t="s">
        <v>1885</v>
      </c>
      <c r="L22" s="1652"/>
      <c r="M22" s="1698"/>
      <c r="N22" s="1685"/>
      <c r="O22" s="1685"/>
      <c r="P22" s="1685"/>
    </row>
    <row r="23" spans="3:19" ht="54.95" customHeight="1" thickBot="1">
      <c r="D23" s="1674"/>
      <c r="E23" s="564" t="s">
        <v>1522</v>
      </c>
      <c r="F23" s="564" t="s">
        <v>1523</v>
      </c>
      <c r="G23" s="564" t="s">
        <v>1790</v>
      </c>
      <c r="H23" s="564" t="s">
        <v>1522</v>
      </c>
      <c r="I23" s="564" t="s">
        <v>1523</v>
      </c>
      <c r="J23" s="564" t="s">
        <v>1790</v>
      </c>
      <c r="K23" s="564" t="s">
        <v>1522</v>
      </c>
      <c r="L23" s="564" t="s">
        <v>1523</v>
      </c>
      <c r="M23" s="564" t="s">
        <v>1790</v>
      </c>
      <c r="N23" s="561"/>
      <c r="O23" s="561"/>
      <c r="P23" s="561"/>
    </row>
    <row r="24" spans="3:19" ht="15" customHeight="1">
      <c r="D24" s="521" t="s">
        <v>713</v>
      </c>
      <c r="E24" s="303">
        <v>1619059654</v>
      </c>
      <c r="F24" s="304">
        <v>0</v>
      </c>
      <c r="G24" s="304">
        <v>253664253</v>
      </c>
      <c r="H24" s="304">
        <v>715151305</v>
      </c>
      <c r="I24" s="304">
        <v>0</v>
      </c>
      <c r="J24" s="304">
        <v>67079813</v>
      </c>
      <c r="K24" s="304">
        <v>27262723</v>
      </c>
      <c r="L24" s="304">
        <v>0</v>
      </c>
      <c r="M24" s="305">
        <v>0</v>
      </c>
      <c r="N24" s="554"/>
      <c r="O24" s="554"/>
      <c r="P24" s="554"/>
    </row>
    <row r="25" spans="3:19" ht="15" customHeight="1">
      <c r="D25" s="521" t="s">
        <v>714</v>
      </c>
      <c r="E25" s="61">
        <v>37390884379</v>
      </c>
      <c r="F25" s="61">
        <v>0</v>
      </c>
      <c r="G25" s="61">
        <v>1700765474</v>
      </c>
      <c r="H25" s="61">
        <v>30131582770</v>
      </c>
      <c r="I25" s="62">
        <v>0</v>
      </c>
      <c r="J25" s="61">
        <v>233920529</v>
      </c>
      <c r="K25" s="61">
        <v>21277922090</v>
      </c>
      <c r="L25" s="61">
        <v>0</v>
      </c>
      <c r="M25" s="62">
        <v>191197286</v>
      </c>
      <c r="N25" s="131"/>
      <c r="O25" s="131"/>
      <c r="P25" s="131"/>
    </row>
    <row r="26" spans="3:19" ht="15" customHeight="1" thickBot="1">
      <c r="D26" s="229" t="s">
        <v>715</v>
      </c>
      <c r="E26" s="353">
        <v>130061146</v>
      </c>
      <c r="F26" s="353">
        <v>0</v>
      </c>
      <c r="G26" s="353">
        <v>0</v>
      </c>
      <c r="H26" s="353">
        <v>108333862</v>
      </c>
      <c r="I26" s="330">
        <v>0</v>
      </c>
      <c r="J26" s="353">
        <v>0</v>
      </c>
      <c r="K26" s="353">
        <v>69623245</v>
      </c>
      <c r="L26" s="353">
        <v>0</v>
      </c>
      <c r="M26" s="330">
        <v>604727010</v>
      </c>
      <c r="N26" s="374"/>
      <c r="O26" s="374"/>
      <c r="P26" s="374"/>
    </row>
    <row r="27" spans="3:19" s="30" customFormat="1" ht="15" customHeight="1" thickBot="1">
      <c r="D27" s="568" t="s">
        <v>716</v>
      </c>
      <c r="E27" s="56">
        <f>SUM(E24:E26)</f>
        <v>39140005179</v>
      </c>
      <c r="F27" s="56">
        <f t="shared" ref="F27:M27" si="2">SUM(F24:F26)</f>
        <v>0</v>
      </c>
      <c r="G27" s="56">
        <f t="shared" si="2"/>
        <v>1954429727</v>
      </c>
      <c r="H27" s="56">
        <f t="shared" si="2"/>
        <v>30955067937</v>
      </c>
      <c r="I27" s="202">
        <f t="shared" si="2"/>
        <v>0</v>
      </c>
      <c r="J27" s="56">
        <f t="shared" si="2"/>
        <v>301000342</v>
      </c>
      <c r="K27" s="56">
        <f t="shared" si="2"/>
        <v>21374808058</v>
      </c>
      <c r="L27" s="56">
        <f t="shared" si="2"/>
        <v>0</v>
      </c>
      <c r="M27" s="202">
        <f t="shared" si="2"/>
        <v>795924296</v>
      </c>
      <c r="N27" s="131"/>
      <c r="O27" s="131"/>
      <c r="P27" s="131"/>
    </row>
    <row r="30" spans="3:19">
      <c r="C30" s="1584" t="s">
        <v>1894</v>
      </c>
      <c r="D30" s="1584"/>
      <c r="E30" s="1584"/>
      <c r="F30" s="1584"/>
      <c r="G30" s="1584"/>
    </row>
    <row r="31" spans="3:19" ht="15.75" thickBot="1"/>
    <row r="32" spans="3:19" ht="15" customHeight="1" thickBot="1">
      <c r="D32" s="1673"/>
      <c r="E32" s="1569" t="s">
        <v>724</v>
      </c>
      <c r="F32" s="1569" t="s">
        <v>496</v>
      </c>
      <c r="G32" s="1661" t="s">
        <v>725</v>
      </c>
      <c r="H32" s="1662"/>
      <c r="I32" s="1569" t="s">
        <v>722</v>
      </c>
      <c r="J32" s="1569" t="s">
        <v>726</v>
      </c>
      <c r="K32" s="1569" t="s">
        <v>699</v>
      </c>
      <c r="L32" s="1661" t="s">
        <v>725</v>
      </c>
      <c r="M32" s="1662"/>
      <c r="N32" s="1569" t="s">
        <v>723</v>
      </c>
      <c r="O32" s="1569" t="s">
        <v>721</v>
      </c>
      <c r="P32" s="561"/>
      <c r="Q32" s="561"/>
      <c r="R32" s="561"/>
      <c r="S32" s="561"/>
    </row>
    <row r="33" spans="3:19" ht="54.95" customHeight="1" thickBot="1">
      <c r="D33" s="1673"/>
      <c r="E33" s="1570"/>
      <c r="F33" s="1570"/>
      <c r="G33" s="564" t="s">
        <v>727</v>
      </c>
      <c r="H33" s="564" t="s">
        <v>728</v>
      </c>
      <c r="I33" s="1570"/>
      <c r="J33" s="1570"/>
      <c r="K33" s="1570"/>
      <c r="L33" s="564" t="s">
        <v>727</v>
      </c>
      <c r="M33" s="564" t="s">
        <v>728</v>
      </c>
      <c r="N33" s="1570"/>
      <c r="O33" s="1570"/>
      <c r="P33" s="561"/>
      <c r="Q33" s="561"/>
      <c r="R33" s="561"/>
      <c r="S33" s="561"/>
    </row>
    <row r="34" spans="3:19" ht="15" customHeight="1">
      <c r="D34" s="574" t="s">
        <v>713</v>
      </c>
      <c r="E34" s="1358">
        <v>0.14000000000000001</v>
      </c>
      <c r="F34" s="573">
        <v>6942100</v>
      </c>
      <c r="G34" s="1358">
        <v>0.84330000000000005</v>
      </c>
      <c r="H34" s="1358">
        <v>0.95</v>
      </c>
      <c r="I34" s="576">
        <v>923299</v>
      </c>
      <c r="J34" s="1358">
        <v>0.17</v>
      </c>
      <c r="K34" s="573">
        <v>787158</v>
      </c>
      <c r="L34" s="577">
        <v>0.84330000000000005</v>
      </c>
      <c r="M34" s="1358">
        <v>0.95</v>
      </c>
      <c r="N34" s="573">
        <v>127126</v>
      </c>
      <c r="O34" s="573">
        <v>923299</v>
      </c>
      <c r="P34" s="554"/>
      <c r="Q34" s="146"/>
      <c r="R34" s="146"/>
      <c r="S34" s="146"/>
    </row>
    <row r="35" spans="3:19" ht="15" customHeight="1">
      <c r="D35" s="574" t="s">
        <v>714</v>
      </c>
      <c r="E35" s="1359">
        <v>0.14000000000000001</v>
      </c>
      <c r="F35" s="60">
        <v>64380554</v>
      </c>
      <c r="G35" s="1359">
        <v>0.95450000000000002</v>
      </c>
      <c r="H35" s="1359">
        <v>0.95</v>
      </c>
      <c r="I35" s="60">
        <v>8603299</v>
      </c>
      <c r="J35" s="1359">
        <v>0.17</v>
      </c>
      <c r="K35" s="60">
        <v>29600130</v>
      </c>
      <c r="L35" s="578">
        <v>0.95450000000000002</v>
      </c>
      <c r="M35" s="1359">
        <v>0.95</v>
      </c>
      <c r="N35" s="60">
        <v>4803135</v>
      </c>
      <c r="O35" s="60">
        <v>8603299</v>
      </c>
      <c r="P35" s="131"/>
    </row>
    <row r="36" spans="3:19" s="146" customFormat="1" ht="15" customHeight="1" thickBot="1">
      <c r="D36" s="575" t="s">
        <v>715</v>
      </c>
      <c r="E36" s="1360">
        <v>0.14000000000000001</v>
      </c>
      <c r="F36" s="376">
        <v>1383873</v>
      </c>
      <c r="G36" s="1360">
        <v>1</v>
      </c>
      <c r="H36" s="1360">
        <v>0.95</v>
      </c>
      <c r="I36" s="376">
        <v>193742</v>
      </c>
      <c r="J36" s="1360">
        <v>0.17</v>
      </c>
      <c r="K36" s="376">
        <v>102673</v>
      </c>
      <c r="L36" s="579">
        <v>1</v>
      </c>
      <c r="M36" s="1360">
        <v>0.95</v>
      </c>
      <c r="N36" s="376">
        <v>17454</v>
      </c>
      <c r="O36" s="376">
        <v>193742</v>
      </c>
      <c r="P36" s="374"/>
    </row>
    <row r="37" spans="3:19" s="572" customFormat="1" ht="15" customHeight="1" thickBot="1">
      <c r="D37" s="230" t="s">
        <v>432</v>
      </c>
      <c r="E37" s="398"/>
      <c r="F37" s="199">
        <f t="shared" ref="F37" si="3">SUM(F34:F36)</f>
        <v>72706527</v>
      </c>
      <c r="G37" s="398"/>
      <c r="H37" s="398"/>
      <c r="I37" s="199">
        <f t="shared" ref="I37" si="4">SUM(I34:I36)</f>
        <v>9720340</v>
      </c>
      <c r="J37" s="398"/>
      <c r="K37" s="199">
        <f t="shared" ref="K37" si="5">SUM(K34:K36)</f>
        <v>30489961</v>
      </c>
      <c r="L37" s="398"/>
      <c r="M37" s="398"/>
      <c r="N37" s="199">
        <f t="shared" ref="N37" si="6">SUM(N34:N36)</f>
        <v>4947715</v>
      </c>
      <c r="O37" s="199">
        <f t="shared" ref="O37" si="7">SUM(O34:O36)</f>
        <v>9720340</v>
      </c>
      <c r="P37" s="131"/>
    </row>
    <row r="38" spans="3:19" s="315" customFormat="1" ht="15" customHeight="1">
      <c r="D38" s="229"/>
      <c r="E38" s="373"/>
      <c r="F38" s="373"/>
      <c r="G38" s="373"/>
      <c r="H38" s="373"/>
      <c r="I38" s="374"/>
      <c r="J38" s="373"/>
      <c r="K38" s="373"/>
      <c r="L38" s="373"/>
      <c r="M38" s="374"/>
      <c r="N38" s="373"/>
      <c r="O38" s="373"/>
      <c r="P38" s="374"/>
    </row>
    <row r="39" spans="3:19" s="315" customFormat="1" ht="15" customHeight="1">
      <c r="D39" s="521"/>
      <c r="E39" s="131"/>
      <c r="F39" s="131"/>
      <c r="G39" s="131"/>
      <c r="H39" s="131"/>
      <c r="I39" s="131"/>
      <c r="J39" s="131"/>
      <c r="K39" s="131"/>
      <c r="L39" s="131"/>
      <c r="M39" s="131"/>
      <c r="N39" s="131"/>
      <c r="O39" s="131"/>
      <c r="P39" s="131"/>
    </row>
    <row r="40" spans="3:19" s="315" customFormat="1" ht="15" customHeight="1">
      <c r="C40" s="1584" t="s">
        <v>1886</v>
      </c>
      <c r="D40" s="1584"/>
      <c r="E40" s="1584"/>
      <c r="F40" s="1584"/>
      <c r="G40" s="1584"/>
      <c r="H40" s="374"/>
      <c r="I40" s="374"/>
      <c r="J40" s="374"/>
      <c r="K40" s="374"/>
      <c r="L40" s="374"/>
      <c r="M40" s="374"/>
      <c r="N40" s="374"/>
      <c r="O40" s="374"/>
      <c r="P40" s="374"/>
    </row>
    <row r="41" spans="3:19" s="315" customFormat="1" ht="15" customHeight="1" thickBot="1">
      <c r="D41" s="229"/>
      <c r="E41" s="373"/>
      <c r="F41" s="373"/>
      <c r="G41" s="373"/>
      <c r="H41" s="373"/>
      <c r="I41" s="374"/>
      <c r="J41" s="373"/>
      <c r="K41" s="373"/>
      <c r="L41" s="373"/>
      <c r="M41" s="374"/>
      <c r="N41" s="373"/>
      <c r="O41" s="373"/>
      <c r="P41" s="374"/>
    </row>
    <row r="42" spans="3:19" s="315" customFormat="1" ht="15" customHeight="1" thickBot="1">
      <c r="D42" s="1673"/>
      <c r="E42" s="1569" t="s">
        <v>1888</v>
      </c>
      <c r="F42" s="1569" t="s">
        <v>729</v>
      </c>
      <c r="G42" s="1661" t="s">
        <v>1889</v>
      </c>
      <c r="H42" s="1662"/>
      <c r="I42" s="1569" t="s">
        <v>721</v>
      </c>
      <c r="J42" s="373"/>
      <c r="K42" s="373"/>
      <c r="L42" s="373"/>
      <c r="M42" s="374"/>
      <c r="N42" s="373"/>
      <c r="O42" s="373"/>
      <c r="P42" s="374"/>
    </row>
    <row r="43" spans="3:19" s="315" customFormat="1" ht="54.95" customHeight="1" thickBot="1">
      <c r="D43" s="1673"/>
      <c r="E43" s="1570"/>
      <c r="F43" s="1570"/>
      <c r="G43" s="564" t="s">
        <v>727</v>
      </c>
      <c r="H43" s="564" t="s">
        <v>728</v>
      </c>
      <c r="I43" s="1570"/>
      <c r="J43" s="374"/>
      <c r="K43" s="374"/>
      <c r="L43" s="374"/>
      <c r="M43" s="374"/>
      <c r="N43" s="374"/>
      <c r="O43" s="374"/>
      <c r="P43" s="374"/>
    </row>
    <row r="44" spans="3:19" s="572" customFormat="1" ht="15" customHeight="1">
      <c r="D44" s="521"/>
      <c r="E44" s="554"/>
      <c r="F44" s="554"/>
      <c r="G44" s="580"/>
      <c r="H44" s="580"/>
      <c r="I44" s="581"/>
      <c r="J44" s="131"/>
      <c r="K44" s="131"/>
      <c r="L44" s="131"/>
      <c r="M44" s="131"/>
      <c r="N44" s="131"/>
      <c r="O44" s="131"/>
      <c r="P44" s="131"/>
    </row>
    <row r="45" spans="3:19">
      <c r="D45" s="583" t="s">
        <v>1887</v>
      </c>
      <c r="E45" s="330">
        <v>6606557410</v>
      </c>
      <c r="F45" s="1361">
        <v>5.0000000000000001E-4</v>
      </c>
      <c r="G45" s="1361">
        <v>0.86029999999999995</v>
      </c>
      <c r="H45" s="1361">
        <v>0.5</v>
      </c>
      <c r="I45" s="61">
        <v>2841913</v>
      </c>
    </row>
    <row r="46" spans="3:19">
      <c r="D46" s="229"/>
      <c r="E46" s="374"/>
      <c r="F46" s="374"/>
      <c r="G46" s="467"/>
      <c r="H46" s="467"/>
      <c r="I46" s="374"/>
    </row>
    <row r="47" spans="3:19">
      <c r="D47" s="559"/>
      <c r="E47" s="131"/>
      <c r="F47" s="131"/>
      <c r="G47" s="582"/>
      <c r="H47" s="582"/>
      <c r="I47" s="131"/>
    </row>
    <row r="48" spans="3:19">
      <c r="C48" s="1584" t="s">
        <v>1890</v>
      </c>
      <c r="D48" s="1584"/>
      <c r="E48" s="1584"/>
      <c r="F48" s="1584"/>
      <c r="G48" s="1584"/>
    </row>
    <row r="49" spans="4:15" ht="15.75" thickBot="1"/>
    <row r="50" spans="4:15">
      <c r="D50" s="1673"/>
      <c r="E50" s="1569" t="s">
        <v>1892</v>
      </c>
      <c r="F50" s="1569" t="s">
        <v>1893</v>
      </c>
      <c r="G50" s="1569" t="s">
        <v>713</v>
      </c>
      <c r="H50" s="1569" t="s">
        <v>714</v>
      </c>
      <c r="I50" s="1569" t="s">
        <v>715</v>
      </c>
      <c r="J50" s="1569" t="s">
        <v>732</v>
      </c>
      <c r="K50" s="1569" t="s">
        <v>733</v>
      </c>
      <c r="L50" s="1569" t="s">
        <v>734</v>
      </c>
      <c r="M50" s="1569" t="s">
        <v>730</v>
      </c>
      <c r="N50" s="1685"/>
      <c r="O50" s="1685"/>
    </row>
    <row r="51" spans="4:15" ht="54.95" customHeight="1" thickBot="1">
      <c r="D51" s="1673"/>
      <c r="E51" s="1570"/>
      <c r="F51" s="1570"/>
      <c r="G51" s="1570"/>
      <c r="H51" s="1570"/>
      <c r="I51" s="1570"/>
      <c r="J51" s="1570"/>
      <c r="K51" s="1570"/>
      <c r="L51" s="1570"/>
      <c r="M51" s="1570"/>
      <c r="N51" s="1685"/>
      <c r="O51" s="1685"/>
    </row>
    <row r="52" spans="4:15">
      <c r="D52" s="521"/>
      <c r="E52" s="580"/>
      <c r="F52" s="554"/>
      <c r="G52" s="580"/>
      <c r="H52" s="580"/>
      <c r="I52" s="581"/>
      <c r="J52" s="580"/>
      <c r="K52" s="554"/>
      <c r="L52" s="580"/>
      <c r="M52" s="580"/>
      <c r="N52" s="554"/>
      <c r="O52" s="554"/>
    </row>
    <row r="53" spans="4:15">
      <c r="D53" s="574" t="s">
        <v>1891</v>
      </c>
      <c r="E53" s="58">
        <f ca="1">(+Pasivo!V11-Activo!X53)/1000</f>
        <v>1918640049.096</v>
      </c>
      <c r="F53" s="58">
        <v>0</v>
      </c>
      <c r="G53" s="58">
        <f>+K7-M7</f>
        <v>858424.28899999999</v>
      </c>
      <c r="H53" s="58">
        <f>+K8-M8</f>
        <v>15118457.592</v>
      </c>
      <c r="I53" s="58">
        <f>+K9-M9</f>
        <v>353910.56400000001</v>
      </c>
      <c r="J53" s="58">
        <f>+G53+H53+I53</f>
        <v>16330792.445</v>
      </c>
      <c r="K53" s="58">
        <f>+K11-M11</f>
        <v>15636570.116</v>
      </c>
      <c r="L53" s="58">
        <f ca="1">+E53-J53-K53</f>
        <v>1886672686.5350001</v>
      </c>
      <c r="M53" s="60">
        <v>84149419.96398215</v>
      </c>
      <c r="N53" s="131"/>
      <c r="O53" s="131"/>
    </row>
    <row r="54" spans="4:15" ht="15.75" thickBot="1">
      <c r="D54" s="229"/>
      <c r="E54" s="467"/>
      <c r="F54" s="374"/>
      <c r="G54" s="467"/>
      <c r="H54" s="467"/>
      <c r="I54" s="374"/>
      <c r="J54" s="467"/>
      <c r="K54" s="374"/>
      <c r="L54" s="467"/>
      <c r="M54" s="467"/>
      <c r="N54" s="374"/>
      <c r="O54" s="374"/>
    </row>
    <row r="55" spans="4:15" ht="15.75" thickBot="1">
      <c r="D55" s="1724" t="s">
        <v>747</v>
      </c>
      <c r="E55" s="1725"/>
      <c r="F55" s="1725"/>
      <c r="G55" s="1725"/>
      <c r="H55" s="1725"/>
      <c r="I55" s="1725"/>
      <c r="J55" s="1725"/>
      <c r="K55" s="1725"/>
      <c r="L55" s="1725"/>
      <c r="M55" s="1725"/>
      <c r="N55" s="1726">
        <f>O37+I45+M53</f>
        <v>96711672.96398215</v>
      </c>
      <c r="O55" s="1727"/>
    </row>
  </sheetData>
  <mergeCells count="44">
    <mergeCell ref="C3:G3"/>
    <mergeCell ref="C20:G20"/>
    <mergeCell ref="C30:G30"/>
    <mergeCell ref="C40:G40"/>
    <mergeCell ref="C48:G48"/>
    <mergeCell ref="D42:D43"/>
    <mergeCell ref="E42:E43"/>
    <mergeCell ref="F42:F43"/>
    <mergeCell ref="G42:H42"/>
    <mergeCell ref="D32:D33"/>
    <mergeCell ref="D22:D23"/>
    <mergeCell ref="E22:G22"/>
    <mergeCell ref="H22:J22"/>
    <mergeCell ref="D5:D6"/>
    <mergeCell ref="I42:I43"/>
    <mergeCell ref="D55:M55"/>
    <mergeCell ref="N55:O55"/>
    <mergeCell ref="J50:J51"/>
    <mergeCell ref="K50:K51"/>
    <mergeCell ref="N50:N51"/>
    <mergeCell ref="O50:O51"/>
    <mergeCell ref="L50:L51"/>
    <mergeCell ref="M50:M51"/>
    <mergeCell ref="D50:D51"/>
    <mergeCell ref="E50:E51"/>
    <mergeCell ref="F50:F51"/>
    <mergeCell ref="I50:I51"/>
    <mergeCell ref="G50:G51"/>
    <mergeCell ref="H50:H51"/>
    <mergeCell ref="N32:N33"/>
    <mergeCell ref="O32:O33"/>
    <mergeCell ref="E32:E33"/>
    <mergeCell ref="F32:F33"/>
    <mergeCell ref="G32:H32"/>
    <mergeCell ref="I32:I33"/>
    <mergeCell ref="J32:J33"/>
    <mergeCell ref="K32:K33"/>
    <mergeCell ref="L32:M32"/>
    <mergeCell ref="K22:M22"/>
    <mergeCell ref="N22:P22"/>
    <mergeCell ref="E5:G5"/>
    <mergeCell ref="H5:J5"/>
    <mergeCell ref="K5:M5"/>
    <mergeCell ref="N5:P5"/>
  </mergeCells>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M149"/>
  <sheetViews>
    <sheetView showGridLines="0" zoomScaleNormal="100" workbookViewId="0">
      <selection activeCell="D26" sqref="D26"/>
    </sheetView>
  </sheetViews>
  <sheetFormatPr baseColWidth="10" defaultColWidth="9.140625" defaultRowHeight="15"/>
  <cols>
    <col min="1" max="2" width="2.42578125" customWidth="1"/>
    <col min="3" max="3" width="3.7109375" customWidth="1"/>
    <col min="4" max="4" width="76.28515625" customWidth="1"/>
    <col min="5" max="9" width="14.7109375" customWidth="1"/>
    <col min="10" max="10" width="14.7109375" style="146" customWidth="1"/>
    <col min="11" max="13" width="14.7109375" style="315" customWidth="1"/>
  </cols>
  <sheetData>
    <row r="1" spans="3:9" ht="15" customHeight="1"/>
    <row r="2" spans="3:9" ht="15" customHeight="1"/>
    <row r="3" spans="3:9" ht="15" customHeight="1">
      <c r="C3" s="1584" t="s">
        <v>1895</v>
      </c>
      <c r="D3" s="1584"/>
      <c r="E3" s="1584"/>
      <c r="F3" s="1584"/>
      <c r="G3" s="1584"/>
    </row>
    <row r="4" spans="3:9" ht="15" customHeight="1" thickBot="1"/>
    <row r="5" spans="3:9" ht="15" customHeight="1" thickBot="1">
      <c r="D5" s="562" t="s">
        <v>2614</v>
      </c>
      <c r="E5" s="405"/>
    </row>
    <row r="6" spans="3:9" ht="15" customHeight="1">
      <c r="D6" s="557" t="s">
        <v>735</v>
      </c>
      <c r="E6" s="408">
        <f ca="1">SUM(E7:E8)</f>
        <v>1977252733.9639821</v>
      </c>
    </row>
    <row r="7" spans="3:9" ht="15" customHeight="1">
      <c r="D7" s="521" t="s">
        <v>1834</v>
      </c>
      <c r="E7" s="330">
        <f ca="1">+E52</f>
        <v>1880541061</v>
      </c>
    </row>
    <row r="8" spans="3:9" ht="15" customHeight="1">
      <c r="D8" s="229" t="s">
        <v>736</v>
      </c>
      <c r="E8" s="330">
        <f ca="1">+E53</f>
        <v>96711672.96398215</v>
      </c>
      <c r="F8" s="192"/>
      <c r="G8" s="1552"/>
      <c r="H8" s="1271"/>
      <c r="I8" s="1271"/>
    </row>
    <row r="9" spans="3:9" ht="15" customHeight="1">
      <c r="D9" s="229" t="s">
        <v>737</v>
      </c>
      <c r="E9" s="330">
        <f>+F133</f>
        <v>2004696705</v>
      </c>
      <c r="G9" s="1271"/>
      <c r="H9" s="1271"/>
      <c r="I9" s="1271"/>
    </row>
    <row r="10" spans="3:9" ht="15" customHeight="1">
      <c r="D10" s="560" t="s">
        <v>738</v>
      </c>
      <c r="E10" s="370">
        <f ca="1">E9-E6</f>
        <v>27443971.036017895</v>
      </c>
      <c r="G10" s="1552">
        <f ca="1">+E10-H133</f>
        <v>0</v>
      </c>
      <c r="H10" s="1271" t="s">
        <v>3966</v>
      </c>
      <c r="I10" s="1271"/>
    </row>
    <row r="11" spans="3:9" ht="15" customHeight="1">
      <c r="D11" s="557" t="s">
        <v>739</v>
      </c>
      <c r="E11" s="370">
        <f ca="1">E12-E13</f>
        <v>132656488.145</v>
      </c>
      <c r="G11" s="1271"/>
      <c r="H11" s="1271"/>
      <c r="I11" s="1271"/>
    </row>
    <row r="12" spans="3:9" ht="15" customHeight="1">
      <c r="D12" s="521" t="s">
        <v>1896</v>
      </c>
      <c r="E12" s="330">
        <f ca="1">'2. Estado de situación'!I95</f>
        <v>138704079</v>
      </c>
      <c r="G12" s="1271"/>
      <c r="H12" s="1271"/>
      <c r="I12" s="1271"/>
    </row>
    <row r="13" spans="3:9" ht="15" customHeight="1">
      <c r="D13" s="229" t="s">
        <v>740</v>
      </c>
      <c r="E13" s="330">
        <f>+H83</f>
        <v>6047590.8550000004</v>
      </c>
      <c r="G13" s="1271"/>
      <c r="H13" s="1271"/>
      <c r="I13" s="1271"/>
    </row>
    <row r="14" spans="3:9" ht="15" customHeight="1">
      <c r="D14" s="557" t="s">
        <v>741</v>
      </c>
      <c r="E14" s="330"/>
      <c r="G14" s="1271"/>
      <c r="H14" s="1271"/>
      <c r="I14" s="1271"/>
    </row>
    <row r="15" spans="3:9" ht="15" customHeight="1">
      <c r="D15" s="229" t="s">
        <v>432</v>
      </c>
      <c r="E15" s="1362">
        <f ca="1">+'Datos Varios'!G28</f>
        <v>12.92774972505177</v>
      </c>
      <c r="G15" s="1271"/>
      <c r="H15" s="1271"/>
      <c r="I15" s="1271"/>
    </row>
    <row r="16" spans="3:9" ht="15" customHeight="1">
      <c r="D16" s="229" t="s">
        <v>1897</v>
      </c>
      <c r="E16" s="1363">
        <f ca="1">+('Datos Varios'!C28-'Nota 48'!E7)/'Nota 48'!E11</f>
        <v>0.28720035131908472</v>
      </c>
      <c r="G16" s="1271"/>
      <c r="H16" s="1271"/>
      <c r="I16" s="1271"/>
    </row>
    <row r="17" spans="4:9" ht="15" customHeight="1" thickBot="1">
      <c r="D17" s="229"/>
      <c r="E17" s="331"/>
      <c r="G17" s="1271"/>
      <c r="H17" s="1271"/>
      <c r="I17" s="1271"/>
    </row>
    <row r="18" spans="4:9" ht="15" customHeight="1" thickBot="1">
      <c r="D18" s="562" t="s">
        <v>1898</v>
      </c>
      <c r="E18" s="407"/>
      <c r="G18" s="1271"/>
      <c r="H18" s="1271"/>
      <c r="I18" s="1271"/>
    </row>
    <row r="19" spans="4:9" ht="15" customHeight="1">
      <c r="D19" s="557" t="s">
        <v>1899</v>
      </c>
      <c r="E19" s="408">
        <f ca="1">E20+E23</f>
        <v>1542741818</v>
      </c>
      <c r="G19" s="1271"/>
      <c r="H19" s="1271"/>
      <c r="I19" s="1271"/>
    </row>
    <row r="20" spans="4:9" ht="15" customHeight="1">
      <c r="D20" s="557" t="s">
        <v>742</v>
      </c>
      <c r="E20" s="370">
        <f ca="1">E21-E22</f>
        <v>1471019586</v>
      </c>
      <c r="G20" s="1271"/>
      <c r="H20" s="1271"/>
      <c r="I20" s="1271"/>
    </row>
    <row r="21" spans="4:9" ht="15" customHeight="1">
      <c r="D21" s="229" t="s">
        <v>1900</v>
      </c>
      <c r="E21" s="330">
        <f ca="1">'2. Estado de situación'!I68</f>
        <v>1491349572</v>
      </c>
      <c r="G21" s="1271"/>
      <c r="H21" s="1271"/>
      <c r="I21" s="1271"/>
    </row>
    <row r="22" spans="4:9" ht="15" customHeight="1">
      <c r="D22" s="229" t="s">
        <v>40</v>
      </c>
      <c r="E22" s="330">
        <f ca="1">'2. Estado de situación'!I40</f>
        <v>20329986</v>
      </c>
      <c r="G22" s="1271"/>
      <c r="H22" s="1271"/>
      <c r="I22" s="1271"/>
    </row>
    <row r="23" spans="4:9" ht="15" customHeight="1">
      <c r="D23" s="557" t="s">
        <v>442</v>
      </c>
      <c r="E23" s="370">
        <f ca="1">E24-E25</f>
        <v>71722232</v>
      </c>
      <c r="G23" s="1271"/>
      <c r="H23" s="1271"/>
      <c r="I23" s="1271"/>
    </row>
    <row r="24" spans="4:9" ht="15" customHeight="1">
      <c r="D24" s="229" t="s">
        <v>69</v>
      </c>
      <c r="E24" s="330">
        <f ca="1">+'2. Estado de situación'!I69</f>
        <v>117922105</v>
      </c>
      <c r="G24" s="1271"/>
      <c r="H24" s="1271"/>
      <c r="I24" s="1271"/>
    </row>
    <row r="25" spans="4:9" ht="15" customHeight="1">
      <c r="D25" s="565" t="s">
        <v>41</v>
      </c>
      <c r="E25" s="330">
        <f ca="1">'2. Estado de situación'!I41</f>
        <v>46199873</v>
      </c>
      <c r="G25" s="1271"/>
      <c r="H25" s="1271"/>
      <c r="I25" s="1271"/>
    </row>
    <row r="26" spans="4:9" ht="15" customHeight="1">
      <c r="D26" s="557" t="s">
        <v>1901</v>
      </c>
      <c r="E26" s="370">
        <f ca="1">E27+E30+E33+E34+E37+E41</f>
        <v>319249812</v>
      </c>
      <c r="G26" s="1271"/>
      <c r="H26" s="1271"/>
      <c r="I26" s="1271"/>
    </row>
    <row r="27" spans="4:9" ht="15" customHeight="1">
      <c r="D27" s="557" t="s">
        <v>1592</v>
      </c>
      <c r="E27" s="370">
        <f ca="1">E28-E29</f>
        <v>15253285</v>
      </c>
      <c r="G27" s="1271"/>
      <c r="H27" s="1271"/>
      <c r="I27" s="1271"/>
    </row>
    <row r="28" spans="4:9" ht="15" customHeight="1">
      <c r="D28" s="229" t="s">
        <v>1902</v>
      </c>
      <c r="E28" s="330">
        <f ca="1">+'2. Estado de situación'!I66</f>
        <v>15621002</v>
      </c>
      <c r="G28" s="1271"/>
      <c r="H28" s="1271"/>
      <c r="I28" s="1271"/>
    </row>
    <row r="29" spans="4:9" ht="15" customHeight="1">
      <c r="D29" s="229" t="s">
        <v>1903</v>
      </c>
      <c r="E29" s="330">
        <f ca="1">'2. Estado de situación'!I38</f>
        <v>367717</v>
      </c>
      <c r="G29" s="1271"/>
      <c r="H29" s="1271"/>
      <c r="I29" s="1271"/>
    </row>
    <row r="30" spans="4:9" ht="15" customHeight="1">
      <c r="D30" s="557" t="s">
        <v>443</v>
      </c>
      <c r="E30" s="370">
        <f ca="1">E31-E32</f>
        <v>34625496</v>
      </c>
      <c r="G30" s="1271"/>
      <c r="H30" s="1271"/>
      <c r="I30" s="1271"/>
    </row>
    <row r="31" spans="4:9" ht="15" customHeight="1">
      <c r="D31" s="229" t="s">
        <v>70</v>
      </c>
      <c r="E31" s="330">
        <f ca="1">'2. Estado de situación'!I70</f>
        <v>34625496</v>
      </c>
      <c r="G31" s="1271"/>
      <c r="H31" s="1271"/>
      <c r="I31" s="1271"/>
    </row>
    <row r="32" spans="4:9" ht="15" customHeight="1">
      <c r="D32" s="229" t="s">
        <v>42</v>
      </c>
      <c r="E32" s="330">
        <f ca="1">+'2. Estado de situación'!I42</f>
        <v>0</v>
      </c>
      <c r="G32" s="1552">
        <f ca="1">+E21+E24+E28+E31+E33+E35+E38+E44</f>
        <v>1930950837</v>
      </c>
      <c r="H32" s="1271" t="s">
        <v>691</v>
      </c>
      <c r="I32" s="1271"/>
    </row>
    <row r="33" spans="4:9" ht="15" customHeight="1">
      <c r="D33" s="229" t="s">
        <v>71</v>
      </c>
      <c r="E33" s="330">
        <f ca="1">'2. Estado de situación'!I71</f>
        <v>237638535</v>
      </c>
      <c r="G33" s="1552">
        <f ca="1">+E22+E25+E29+E32+E36+E40+E45+E48</f>
        <v>68520824</v>
      </c>
      <c r="H33" s="1271" t="s">
        <v>3965</v>
      </c>
      <c r="I33" s="1271"/>
    </row>
    <row r="34" spans="4:9" ht="15" customHeight="1">
      <c r="D34" s="557" t="s">
        <v>743</v>
      </c>
      <c r="E34" s="370">
        <f ca="1">E35-E36</f>
        <v>14763120</v>
      </c>
    </row>
    <row r="35" spans="4:9" ht="15" customHeight="1">
      <c r="D35" s="229" t="s">
        <v>1904</v>
      </c>
      <c r="E35" s="330">
        <f ca="1">'2. Estado de situación'!I72</f>
        <v>14763120</v>
      </c>
    </row>
    <row r="36" spans="4:9" ht="15" customHeight="1">
      <c r="D36" s="229" t="s">
        <v>43</v>
      </c>
      <c r="E36" s="330">
        <f ca="1">+'2. Estado de situación'!I43</f>
        <v>0</v>
      </c>
    </row>
    <row r="37" spans="4:9" ht="15" customHeight="1">
      <c r="D37" s="557" t="s">
        <v>445</v>
      </c>
      <c r="E37" s="370">
        <f ca="1">E38+E39-E40</f>
        <v>16969376</v>
      </c>
    </row>
    <row r="38" spans="4:9" ht="15" customHeight="1">
      <c r="D38" s="229" t="s">
        <v>73</v>
      </c>
      <c r="E38" s="330">
        <f ca="1">'2. Estado de situación'!I73</f>
        <v>17881158</v>
      </c>
    </row>
    <row r="39" spans="4:9" ht="15" customHeight="1">
      <c r="D39" s="229" t="s">
        <v>82</v>
      </c>
      <c r="E39" s="330">
        <f>'2. Estado de situación'!I82</f>
        <v>0</v>
      </c>
    </row>
    <row r="40" spans="4:9" ht="15" customHeight="1">
      <c r="D40" s="229" t="s">
        <v>44</v>
      </c>
      <c r="E40" s="330">
        <f ca="1">+'2. Estado de situación'!I44</f>
        <v>911782</v>
      </c>
    </row>
    <row r="41" spans="4:9" ht="15" customHeight="1">
      <c r="D41" s="229" t="s">
        <v>74</v>
      </c>
      <c r="E41" s="330">
        <f ca="1">'2. Estado de situación'!I74</f>
        <v>0</v>
      </c>
    </row>
    <row r="42" spans="4:9" ht="15" customHeight="1">
      <c r="D42" s="557" t="s">
        <v>1905</v>
      </c>
      <c r="E42" s="370">
        <f ca="1">E43+E46</f>
        <v>438383</v>
      </c>
    </row>
    <row r="43" spans="4:9" ht="15" customHeight="1">
      <c r="D43" s="557" t="s">
        <v>745</v>
      </c>
      <c r="E43" s="370">
        <f ca="1">E44-E45</f>
        <v>438383</v>
      </c>
    </row>
    <row r="44" spans="4:9" ht="15" customHeight="1">
      <c r="D44" s="229" t="s">
        <v>75</v>
      </c>
      <c r="E44" s="330">
        <f ca="1">'2. Estado de situación'!I75</f>
        <v>1149849</v>
      </c>
    </row>
    <row r="45" spans="4:9" ht="15" customHeight="1">
      <c r="D45" s="229" t="s">
        <v>45</v>
      </c>
      <c r="E45" s="330">
        <f ca="1">'2. Estado de situación'!I45</f>
        <v>711466</v>
      </c>
    </row>
    <row r="46" spans="4:9" ht="15" customHeight="1">
      <c r="D46" s="557" t="s">
        <v>453</v>
      </c>
      <c r="E46" s="370">
        <f ca="1">E47-E48</f>
        <v>0</v>
      </c>
    </row>
    <row r="47" spans="4:9" ht="15" customHeight="1">
      <c r="D47" s="229" t="s">
        <v>76</v>
      </c>
      <c r="E47" s="330">
        <f ca="1">'2. Estado de situación'!I76</f>
        <v>0</v>
      </c>
    </row>
    <row r="48" spans="4:9" ht="15" customHeight="1">
      <c r="D48" s="229" t="s">
        <v>46</v>
      </c>
      <c r="E48" s="330">
        <f>'2. Estado de situación'!I46</f>
        <v>0</v>
      </c>
    </row>
    <row r="49" spans="4:7" ht="15" customHeight="1">
      <c r="D49" s="557" t="s">
        <v>694</v>
      </c>
      <c r="E49" s="370">
        <f ca="1">E50+E51</f>
        <v>18111048</v>
      </c>
    </row>
    <row r="50" spans="4:7" ht="15" customHeight="1">
      <c r="D50" s="229" t="s">
        <v>79</v>
      </c>
      <c r="E50" s="330">
        <f ca="1">'2. Estado de situación'!I79</f>
        <v>18064490</v>
      </c>
    </row>
    <row r="51" spans="4:7" ht="15" customHeight="1">
      <c r="D51" s="229" t="s">
        <v>81</v>
      </c>
      <c r="E51" s="330">
        <f ca="1">+'2. Estado de situación'!I81</f>
        <v>46558</v>
      </c>
    </row>
    <row r="52" spans="4:7" ht="15" customHeight="1">
      <c r="D52" s="557" t="s">
        <v>1906</v>
      </c>
      <c r="E52" s="370">
        <f ca="1">E19+E26+E42+E49</f>
        <v>1880541061</v>
      </c>
    </row>
    <row r="53" spans="4:7" ht="15" customHeight="1">
      <c r="D53" s="229" t="s">
        <v>746</v>
      </c>
      <c r="E53" s="330">
        <f ca="1">+MAX(E54,E55,E58)</f>
        <v>96711672.96398215</v>
      </c>
    </row>
    <row r="54" spans="4:7" ht="15" customHeight="1">
      <c r="D54" s="229" t="s">
        <v>747</v>
      </c>
      <c r="E54" s="330">
        <f>'Nota 46'!N55</f>
        <v>96711672.96398215</v>
      </c>
      <c r="F54" s="746">
        <f>'Nota 46'!N55</f>
        <v>96711672.96398215</v>
      </c>
      <c r="G54" s="696" t="str">
        <f>IF(E54-F54=0,"OK","ERROR")</f>
        <v>OK</v>
      </c>
    </row>
    <row r="55" spans="4:7" ht="15" customHeight="1">
      <c r="D55" s="229" t="s">
        <v>748</v>
      </c>
      <c r="E55" s="330">
        <f ca="1">+MAX(E56:E57)</f>
        <v>85747494</v>
      </c>
      <c r="F55" s="498"/>
      <c r="G55" s="499"/>
    </row>
    <row r="56" spans="4:7" ht="15" customHeight="1">
      <c r="D56" s="565" t="s">
        <v>1907</v>
      </c>
      <c r="E56" s="330">
        <f ca="1">+ROUND((('Datos Varios'!C28+'Datos Varios'!C35-E33)/20)+(E33/140),0)</f>
        <v>85747494</v>
      </c>
      <c r="G56" s="183"/>
    </row>
    <row r="57" spans="4:7" ht="15" customHeight="1">
      <c r="D57" s="229" t="s">
        <v>749</v>
      </c>
      <c r="E57" s="330">
        <f ca="1">ROUND('Datos Varios'!G24+'Datos Varios'!G25-'Nota 48'!E52,0)</f>
        <v>38098990</v>
      </c>
      <c r="G57" s="146"/>
    </row>
    <row r="58" spans="4:7" ht="15" customHeight="1">
      <c r="D58" s="229" t="s">
        <v>750</v>
      </c>
      <c r="E58" s="330">
        <f>+ROUND(+(90000*'Datos Varios'!$C$14),0)/1000</f>
        <v>2427020.1</v>
      </c>
    </row>
    <row r="59" spans="4:7" ht="15" customHeight="1">
      <c r="D59" s="560" t="s">
        <v>1908</v>
      </c>
      <c r="E59" s="556">
        <f ca="1">E52+E53</f>
        <v>1977252733.9639821</v>
      </c>
    </row>
    <row r="60" spans="4:7" ht="15" customHeight="1" thickBot="1">
      <c r="D60" s="229"/>
      <c r="E60" s="374"/>
    </row>
    <row r="61" spans="4:7" ht="15" customHeight="1" thickBot="1">
      <c r="D61" s="562" t="s">
        <v>1909</v>
      </c>
      <c r="E61" s="407"/>
    </row>
    <row r="62" spans="4:7" ht="15" customHeight="1">
      <c r="D62" s="557" t="s">
        <v>1910</v>
      </c>
      <c r="E62" s="408">
        <f ca="1">E63+E64+E65</f>
        <v>18111048</v>
      </c>
    </row>
    <row r="63" spans="4:7" ht="15" customHeight="1">
      <c r="D63" s="229" t="s">
        <v>1911</v>
      </c>
      <c r="E63" s="330">
        <f ca="1">+'2. Estado de situación'!I79</f>
        <v>18064490</v>
      </c>
    </row>
    <row r="64" spans="4:7" ht="15" customHeight="1">
      <c r="D64" s="229" t="s">
        <v>1912</v>
      </c>
      <c r="E64" s="330">
        <f ca="1">+'2. Estado de situación'!I81</f>
        <v>46558</v>
      </c>
    </row>
    <row r="65" spans="3:12" ht="15" customHeight="1">
      <c r="D65" s="229" t="s">
        <v>1913</v>
      </c>
      <c r="E65" s="330"/>
    </row>
    <row r="66" spans="3:12" ht="15" customHeight="1">
      <c r="D66" s="557" t="s">
        <v>1914</v>
      </c>
      <c r="E66" s="370">
        <f>E67-E68</f>
        <v>0</v>
      </c>
    </row>
    <row r="67" spans="3:12" ht="15" customHeight="1">
      <c r="D67" s="229" t="s">
        <v>751</v>
      </c>
      <c r="E67" s="330"/>
    </row>
    <row r="68" spans="3:12" ht="15" customHeight="1">
      <c r="D68" s="229" t="s">
        <v>752</v>
      </c>
      <c r="E68" s="330"/>
    </row>
    <row r="69" spans="3:12" ht="15" customHeight="1">
      <c r="D69" s="229" t="s">
        <v>1915</v>
      </c>
      <c r="E69" s="330"/>
    </row>
    <row r="70" spans="3:12" ht="15" customHeight="1">
      <c r="D70" s="229" t="s">
        <v>1916</v>
      </c>
      <c r="E70" s="330"/>
    </row>
    <row r="71" spans="3:12" ht="15" customHeight="1">
      <c r="D71" s="229"/>
      <c r="E71" s="374"/>
    </row>
    <row r="72" spans="3:12" ht="15" customHeight="1"/>
    <row r="73" spans="3:12" ht="15" customHeight="1">
      <c r="C73" s="1584" t="s">
        <v>1917</v>
      </c>
      <c r="D73" s="1584"/>
      <c r="E73" s="1584"/>
      <c r="F73" s="1584"/>
      <c r="G73" s="1584"/>
    </row>
    <row r="74" spans="3:12" ht="15" customHeight="1" thickBot="1"/>
    <row r="75" spans="3:12" ht="15" customHeight="1">
      <c r="D75" s="1670"/>
      <c r="E75" s="1686" t="s">
        <v>758</v>
      </c>
      <c r="F75" s="1686" t="s">
        <v>1918</v>
      </c>
      <c r="G75" s="1686" t="s">
        <v>1919</v>
      </c>
      <c r="H75" s="1686" t="s">
        <v>1920</v>
      </c>
      <c r="I75" s="1686" t="s">
        <v>759</v>
      </c>
      <c r="J75" s="1686" t="s">
        <v>760</v>
      </c>
      <c r="K75" s="1685"/>
      <c r="L75" s="1685"/>
    </row>
    <row r="76" spans="3:12" ht="54.95" customHeight="1" thickBot="1">
      <c r="D76" s="1674"/>
      <c r="E76" s="1687"/>
      <c r="F76" s="1687"/>
      <c r="G76" s="1687"/>
      <c r="H76" s="1687"/>
      <c r="I76" s="1687"/>
      <c r="J76" s="1687"/>
      <c r="K76" s="1685"/>
      <c r="L76" s="1685"/>
    </row>
    <row r="77" spans="3:12" ht="15" customHeight="1">
      <c r="D77" s="521" t="s">
        <v>1921</v>
      </c>
      <c r="E77" s="593"/>
      <c r="F77" s="530"/>
      <c r="G77" s="598"/>
      <c r="H77" s="530"/>
      <c r="I77" s="530"/>
      <c r="J77" s="602"/>
      <c r="K77" s="589"/>
      <c r="L77" s="589"/>
    </row>
    <row r="78" spans="3:12" ht="15" customHeight="1">
      <c r="D78" s="521" t="s">
        <v>1922</v>
      </c>
      <c r="E78" s="594"/>
      <c r="F78" s="353">
        <f>+'Datos Varios'!D42+'Datos Varios'!D43</f>
        <v>213444</v>
      </c>
      <c r="G78" s="599">
        <v>42430</v>
      </c>
      <c r="H78" s="353">
        <f>+'Datos Varios'!G42</f>
        <v>215891.82500000001</v>
      </c>
      <c r="I78" s="353">
        <f>-+'Datos Varios'!E43</f>
        <v>26712.788</v>
      </c>
      <c r="J78" s="603" t="s">
        <v>3963</v>
      </c>
      <c r="K78" s="590"/>
      <c r="L78" s="590"/>
    </row>
    <row r="79" spans="3:12" ht="15" customHeight="1">
      <c r="D79" s="229" t="s">
        <v>1923</v>
      </c>
      <c r="E79" s="594"/>
      <c r="F79" s="353"/>
      <c r="G79" s="599"/>
      <c r="H79" s="353"/>
      <c r="I79" s="353"/>
      <c r="J79" s="603"/>
      <c r="K79" s="590"/>
      <c r="L79" s="590"/>
    </row>
    <row r="80" spans="3:12" ht="15" customHeight="1">
      <c r="D80" s="229" t="s">
        <v>1924</v>
      </c>
      <c r="E80" s="595"/>
      <c r="F80" s="54"/>
      <c r="G80" s="600"/>
      <c r="H80" s="54"/>
      <c r="I80" s="54"/>
      <c r="J80" s="604"/>
      <c r="K80" s="591"/>
      <c r="L80" s="591"/>
    </row>
    <row r="81" spans="1:12" ht="15" customHeight="1">
      <c r="D81" s="229" t="s">
        <v>1925</v>
      </c>
      <c r="E81" s="595"/>
      <c r="F81" s="54"/>
      <c r="G81" s="600"/>
      <c r="H81" s="54"/>
      <c r="I81" s="54"/>
      <c r="J81" s="604"/>
      <c r="K81" s="591"/>
      <c r="L81" s="591"/>
    </row>
    <row r="82" spans="1:12" ht="15" customHeight="1" thickBot="1">
      <c r="D82" s="521" t="s">
        <v>604</v>
      </c>
      <c r="E82" s="596"/>
      <c r="F82" s="375">
        <f>+'Datos Varios'!D44+'Datos Varios'!D46+'Datos Varios'!D47+'Datos Varios'!D49</f>
        <v>5334528</v>
      </c>
      <c r="G82" s="601">
        <v>42369</v>
      </c>
      <c r="H82" s="375">
        <f>+'Datos Varios'!G43+'Datos Varios'!G45</f>
        <v>5831699.0300000003</v>
      </c>
      <c r="I82" s="375">
        <f>-'Datos Varios'!E47-'Datos Varios'!E46</f>
        <v>103166.28999999998</v>
      </c>
      <c r="J82" s="605" t="s">
        <v>3964</v>
      </c>
      <c r="K82" s="590"/>
      <c r="L82" s="590"/>
    </row>
    <row r="83" spans="1:12" ht="15" customHeight="1" thickBot="1">
      <c r="A83" s="146"/>
      <c r="B83" s="146"/>
      <c r="C83" s="146"/>
      <c r="D83" s="230" t="s">
        <v>1926</v>
      </c>
      <c r="E83" s="597"/>
      <c r="F83" s="56">
        <f>SUM(F77:F82)</f>
        <v>5547972</v>
      </c>
      <c r="G83" s="588"/>
      <c r="H83" s="56">
        <f t="shared" ref="H83:I83" si="0">SUM(H77:H82)</f>
        <v>6047590.8550000004</v>
      </c>
      <c r="I83" s="56">
        <f t="shared" si="0"/>
        <v>129879.07799999998</v>
      </c>
      <c r="J83" s="606"/>
      <c r="K83" s="592"/>
      <c r="L83" s="592"/>
    </row>
    <row r="84" spans="1:12" ht="15" customHeight="1">
      <c r="A84" s="315"/>
      <c r="B84" s="315"/>
      <c r="C84" s="315"/>
      <c r="D84" s="229"/>
      <c r="E84" s="373"/>
      <c r="F84" s="373"/>
    </row>
    <row r="85" spans="1:12" ht="15" customHeight="1">
      <c r="A85" s="315"/>
      <c r="B85" s="315"/>
      <c r="C85" s="315"/>
      <c r="D85" s="229"/>
      <c r="E85" s="374"/>
      <c r="F85" s="1357"/>
    </row>
    <row r="86" spans="1:12" ht="15" customHeight="1">
      <c r="A86" s="315"/>
      <c r="B86" s="315"/>
      <c r="C86" s="1584" t="s">
        <v>1927</v>
      </c>
      <c r="D86" s="1584"/>
      <c r="E86" s="1584"/>
      <c r="F86" s="1584"/>
      <c r="G86" s="1584"/>
    </row>
    <row r="87" spans="1:12" ht="15" customHeight="1" thickBot="1">
      <c r="A87" s="315"/>
      <c r="B87" s="315"/>
      <c r="C87" s="315"/>
      <c r="D87" s="521"/>
      <c r="E87" s="374"/>
      <c r="F87" s="374"/>
    </row>
    <row r="88" spans="1:12" ht="15" customHeight="1">
      <c r="D88" s="1670"/>
      <c r="E88" s="1686" t="s">
        <v>1928</v>
      </c>
      <c r="F88" s="1686" t="s">
        <v>1929</v>
      </c>
      <c r="G88" s="1686" t="s">
        <v>1930</v>
      </c>
      <c r="H88" s="1686" t="s">
        <v>1931</v>
      </c>
    </row>
    <row r="89" spans="1:12" ht="54.95" customHeight="1" thickBot="1">
      <c r="D89" s="1674"/>
      <c r="E89" s="1687"/>
      <c r="F89" s="1687"/>
      <c r="G89" s="1687"/>
      <c r="H89" s="1687"/>
    </row>
    <row r="90" spans="1:12" ht="15" customHeight="1">
      <c r="D90" s="559" t="s">
        <v>1535</v>
      </c>
      <c r="E90" s="530"/>
      <c r="F90" s="530"/>
      <c r="G90" s="530"/>
      <c r="H90" s="530"/>
    </row>
    <row r="91" spans="1:12" ht="15" customHeight="1">
      <c r="D91" s="521" t="s">
        <v>1932</v>
      </c>
      <c r="E91" s="353"/>
      <c r="F91" s="353">
        <v>75457564</v>
      </c>
      <c r="G91" s="353">
        <f>+E91+F91</f>
        <v>75457564</v>
      </c>
      <c r="H91" s="353">
        <f ca="1">+E10</f>
        <v>27443971.036017895</v>
      </c>
    </row>
    <row r="92" spans="1:12" ht="15" customHeight="1">
      <c r="D92" s="229" t="s">
        <v>1933</v>
      </c>
      <c r="E92" s="353"/>
      <c r="F92" s="353">
        <v>50276240</v>
      </c>
      <c r="G92" s="353">
        <f t="shared" ref="G92:G109" si="1">+E92+F92</f>
        <v>50276240</v>
      </c>
      <c r="H92" s="353"/>
    </row>
    <row r="93" spans="1:12" ht="15" customHeight="1">
      <c r="D93" s="229" t="s">
        <v>1934</v>
      </c>
      <c r="E93" s="54"/>
      <c r="F93" s="54">
        <v>223942166</v>
      </c>
      <c r="G93" s="353">
        <f t="shared" si="1"/>
        <v>223942166</v>
      </c>
      <c r="H93" s="54"/>
    </row>
    <row r="94" spans="1:12" ht="15" customHeight="1">
      <c r="D94" s="229" t="s">
        <v>1935</v>
      </c>
      <c r="E94" s="54"/>
      <c r="F94" s="54">
        <v>2928378</v>
      </c>
      <c r="G94" s="353">
        <f t="shared" si="1"/>
        <v>2928378</v>
      </c>
      <c r="H94" s="54"/>
    </row>
    <row r="95" spans="1:12" ht="15" customHeight="1">
      <c r="D95" s="229" t="s">
        <v>1936</v>
      </c>
      <c r="E95" s="189"/>
      <c r="F95" s="189">
        <v>869817137</v>
      </c>
      <c r="G95" s="353">
        <f t="shared" si="1"/>
        <v>869817137</v>
      </c>
      <c r="H95" s="189"/>
    </row>
    <row r="96" spans="1:12" ht="15" customHeight="1">
      <c r="D96" s="229" t="s">
        <v>1937</v>
      </c>
      <c r="E96" s="189"/>
      <c r="F96" s="189">
        <v>4576316</v>
      </c>
      <c r="G96" s="353">
        <f t="shared" si="1"/>
        <v>4576316</v>
      </c>
      <c r="H96" s="189"/>
    </row>
    <row r="97" spans="4:13" ht="15" customHeight="1">
      <c r="D97" s="229" t="s">
        <v>1938</v>
      </c>
      <c r="E97" s="1550">
        <v>740336</v>
      </c>
      <c r="F97" s="1550">
        <v>132059784</v>
      </c>
      <c r="G97" s="353">
        <f t="shared" si="1"/>
        <v>132800120</v>
      </c>
      <c r="H97" s="189"/>
      <c r="I97">
        <v>750336</v>
      </c>
      <c r="J97" s="146">
        <v>132049784</v>
      </c>
    </row>
    <row r="98" spans="4:13" ht="15" customHeight="1">
      <c r="D98" s="229" t="s">
        <v>1939</v>
      </c>
      <c r="E98" s="189"/>
      <c r="F98" s="189">
        <v>8091344</v>
      </c>
      <c r="G98" s="353">
        <f t="shared" si="1"/>
        <v>8091344</v>
      </c>
      <c r="H98" s="189"/>
    </row>
    <row r="99" spans="4:13" ht="15" customHeight="1">
      <c r="D99" s="229" t="s">
        <v>1940</v>
      </c>
      <c r="E99" s="189"/>
      <c r="F99" s="189">
        <v>36998597</v>
      </c>
      <c r="G99" s="353">
        <f t="shared" si="1"/>
        <v>36998597</v>
      </c>
      <c r="H99" s="189"/>
    </row>
    <row r="100" spans="4:13" ht="15" customHeight="1">
      <c r="D100" s="229" t="s">
        <v>1941</v>
      </c>
      <c r="E100" s="189"/>
      <c r="F100" s="189">
        <v>109566497</v>
      </c>
      <c r="G100" s="353">
        <f t="shared" si="1"/>
        <v>109566497</v>
      </c>
      <c r="H100" s="189"/>
    </row>
    <row r="101" spans="4:13" ht="15" customHeight="1">
      <c r="D101" s="229" t="s">
        <v>1942</v>
      </c>
      <c r="E101" s="189"/>
      <c r="F101" s="189">
        <v>81196</v>
      </c>
      <c r="G101" s="353">
        <f t="shared" si="1"/>
        <v>81196</v>
      </c>
      <c r="H101" s="189"/>
    </row>
    <row r="102" spans="4:13" ht="15" customHeight="1">
      <c r="D102" s="565" t="s">
        <v>1943</v>
      </c>
      <c r="E102" s="189"/>
      <c r="F102" s="189"/>
      <c r="G102" s="353">
        <f t="shared" si="1"/>
        <v>0</v>
      </c>
      <c r="H102" s="189"/>
    </row>
    <row r="103" spans="4:13" ht="15" customHeight="1">
      <c r="D103" s="229" t="s">
        <v>1944</v>
      </c>
      <c r="E103" s="189"/>
      <c r="F103" s="189">
        <v>86508173</v>
      </c>
      <c r="G103" s="353">
        <f t="shared" si="1"/>
        <v>86508173</v>
      </c>
      <c r="H103" s="189"/>
    </row>
    <row r="104" spans="4:13" ht="15" customHeight="1">
      <c r="D104" s="229" t="s">
        <v>1945</v>
      </c>
      <c r="E104" s="189">
        <v>20296</v>
      </c>
      <c r="F104" s="189"/>
      <c r="G104" s="353">
        <f t="shared" si="1"/>
        <v>20296</v>
      </c>
      <c r="H104" s="189"/>
    </row>
    <row r="105" spans="4:13" ht="15" customHeight="1">
      <c r="D105" s="229" t="s">
        <v>1946</v>
      </c>
      <c r="E105" s="189">
        <v>266373</v>
      </c>
      <c r="F105" s="189">
        <v>1361609</v>
      </c>
      <c r="G105" s="353">
        <f t="shared" si="1"/>
        <v>1627982</v>
      </c>
      <c r="H105" s="189"/>
    </row>
    <row r="106" spans="4:13" ht="15" customHeight="1">
      <c r="D106" s="565" t="s">
        <v>1947</v>
      </c>
      <c r="E106" s="189"/>
      <c r="F106" s="189">
        <v>46686848</v>
      </c>
      <c r="G106" s="353">
        <f t="shared" si="1"/>
        <v>46686848</v>
      </c>
      <c r="H106" s="189"/>
    </row>
    <row r="107" spans="4:13" ht="15" customHeight="1">
      <c r="D107" s="229" t="s">
        <v>1948</v>
      </c>
      <c r="E107" s="189"/>
      <c r="F107" s="189"/>
      <c r="G107" s="353">
        <f t="shared" si="1"/>
        <v>0</v>
      </c>
      <c r="H107" s="189"/>
    </row>
    <row r="108" spans="4:13" ht="15" customHeight="1">
      <c r="D108" s="229" t="s">
        <v>1949</v>
      </c>
      <c r="E108" s="189"/>
      <c r="F108" s="189"/>
      <c r="G108" s="353">
        <f t="shared" si="1"/>
        <v>0</v>
      </c>
      <c r="H108" s="189"/>
    </row>
    <row r="109" spans="4:13" ht="15" customHeight="1">
      <c r="D109" s="229" t="s">
        <v>1950</v>
      </c>
      <c r="E109" s="189"/>
      <c r="F109" s="189"/>
      <c r="G109" s="353">
        <f t="shared" si="1"/>
        <v>0</v>
      </c>
      <c r="H109" s="189"/>
    </row>
    <row r="110" spans="4:13" s="8" customFormat="1" ht="15" customHeight="1">
      <c r="D110" s="557" t="s">
        <v>1951</v>
      </c>
      <c r="E110" s="552">
        <f>SUM(E111:E114)</f>
        <v>0</v>
      </c>
      <c r="F110" s="552">
        <f t="shared" ref="F110:H110" si="2">SUM(F111:F114)</f>
        <v>299169323</v>
      </c>
      <c r="G110" s="552">
        <f t="shared" si="2"/>
        <v>299169323</v>
      </c>
      <c r="H110" s="552">
        <f t="shared" si="2"/>
        <v>0</v>
      </c>
      <c r="J110" s="608"/>
      <c r="K110" s="609"/>
      <c r="L110" s="609"/>
      <c r="M110" s="609"/>
    </row>
    <row r="111" spans="4:13" ht="15" customHeight="1">
      <c r="D111" s="607" t="s">
        <v>1952</v>
      </c>
      <c r="E111" s="189"/>
      <c r="F111" s="189">
        <v>153329844</v>
      </c>
      <c r="G111" s="189">
        <f>+E111+F111</f>
        <v>153329844</v>
      </c>
      <c r="H111" s="189"/>
    </row>
    <row r="112" spans="4:13" ht="15" customHeight="1">
      <c r="D112" s="607" t="s">
        <v>1953</v>
      </c>
      <c r="E112" s="189"/>
      <c r="F112" s="189">
        <v>145839479</v>
      </c>
      <c r="G112" s="189">
        <f t="shared" ref="G112:G114" si="3">+E112+F112</f>
        <v>145839479</v>
      </c>
      <c r="H112" s="189"/>
    </row>
    <row r="113" spans="4:13" ht="15" customHeight="1">
      <c r="D113" s="607" t="s">
        <v>1954</v>
      </c>
      <c r="E113" s="189"/>
      <c r="F113" s="189"/>
      <c r="G113" s="189">
        <f t="shared" si="3"/>
        <v>0</v>
      </c>
      <c r="H113" s="189"/>
    </row>
    <row r="114" spans="4:13" ht="15" customHeight="1">
      <c r="D114" s="607" t="s">
        <v>1955</v>
      </c>
      <c r="E114" s="189"/>
      <c r="F114" s="189"/>
      <c r="G114" s="189">
        <f t="shared" si="3"/>
        <v>0</v>
      </c>
      <c r="H114" s="189"/>
    </row>
    <row r="115" spans="4:13" ht="15" customHeight="1">
      <c r="D115" s="229" t="s">
        <v>761</v>
      </c>
      <c r="E115" s="189"/>
      <c r="F115" s="189"/>
      <c r="G115" s="189">
        <f>+E115+F115</f>
        <v>0</v>
      </c>
      <c r="H115" s="189"/>
    </row>
    <row r="116" spans="4:13" ht="15" customHeight="1">
      <c r="D116" s="565" t="s">
        <v>762</v>
      </c>
      <c r="E116" s="189"/>
      <c r="F116" s="1550">
        <v>866390</v>
      </c>
      <c r="G116" s="1550">
        <f t="shared" ref="G116:G127" si="4">+E116+F116</f>
        <v>866390</v>
      </c>
      <c r="H116" s="189"/>
      <c r="J116" s="1269">
        <f>+'Nota 18'!E10+'Nota 17.1'!F81</f>
        <v>866390</v>
      </c>
      <c r="K116" s="1268" t="s">
        <v>3939</v>
      </c>
    </row>
    <row r="117" spans="4:13" ht="15" customHeight="1">
      <c r="D117" s="565" t="s">
        <v>1956</v>
      </c>
      <c r="E117" s="189"/>
      <c r="F117" s="189">
        <v>31414250</v>
      </c>
      <c r="G117" s="189">
        <f t="shared" si="4"/>
        <v>31414250</v>
      </c>
      <c r="H117" s="189"/>
      <c r="J117" s="1269">
        <f>+J116-G116</f>
        <v>0</v>
      </c>
      <c r="K117" s="1270" t="s">
        <v>3940</v>
      </c>
    </row>
    <row r="118" spans="4:13" ht="15" customHeight="1">
      <c r="D118" s="229" t="s">
        <v>1957</v>
      </c>
      <c r="E118" s="189"/>
      <c r="F118" s="189">
        <v>2508900</v>
      </c>
      <c r="G118" s="189">
        <f t="shared" si="4"/>
        <v>2508900</v>
      </c>
      <c r="H118" s="189"/>
    </row>
    <row r="119" spans="4:13" ht="15" customHeight="1">
      <c r="D119" s="229" t="s">
        <v>1958</v>
      </c>
      <c r="E119" s="189"/>
      <c r="F119" s="189"/>
      <c r="G119" s="189">
        <f t="shared" si="4"/>
        <v>0</v>
      </c>
      <c r="H119" s="189"/>
    </row>
    <row r="120" spans="4:13" ht="15" customHeight="1">
      <c r="D120" s="229" t="s">
        <v>1959</v>
      </c>
      <c r="E120" s="189"/>
      <c r="F120" s="189"/>
      <c r="G120" s="189">
        <f t="shared" si="4"/>
        <v>0</v>
      </c>
      <c r="H120" s="189"/>
    </row>
    <row r="121" spans="4:13" ht="15" customHeight="1">
      <c r="D121" s="229" t="s">
        <v>1960</v>
      </c>
      <c r="E121" s="189"/>
      <c r="F121" s="189"/>
      <c r="G121" s="189">
        <f t="shared" si="4"/>
        <v>0</v>
      </c>
      <c r="H121" s="189"/>
    </row>
    <row r="122" spans="4:13" ht="15" customHeight="1">
      <c r="D122" s="229" t="s">
        <v>1961</v>
      </c>
      <c r="E122" s="189"/>
      <c r="F122" s="189">
        <v>12249435</v>
      </c>
      <c r="G122" s="189">
        <f t="shared" si="4"/>
        <v>12249435</v>
      </c>
      <c r="H122" s="189"/>
    </row>
    <row r="123" spans="4:13" s="8" customFormat="1" ht="15" customHeight="1">
      <c r="D123" s="557" t="s">
        <v>1962</v>
      </c>
      <c r="E123" s="552">
        <f>SUM(E124:E127)</f>
        <v>0</v>
      </c>
      <c r="F123" s="552">
        <f>SUM(F124:F127)</f>
        <v>3186578</v>
      </c>
      <c r="G123" s="552">
        <f>SUM(G124:G127)</f>
        <v>3186578</v>
      </c>
      <c r="H123" s="552">
        <f t="shared" ref="H123" si="5">SUM(H124:H127)</f>
        <v>0</v>
      </c>
      <c r="J123" s="608"/>
      <c r="K123" s="609"/>
      <c r="L123" s="609"/>
      <c r="M123" s="609"/>
    </row>
    <row r="124" spans="4:13" ht="15" customHeight="1">
      <c r="D124" s="607" t="s">
        <v>1963</v>
      </c>
      <c r="E124" s="189"/>
      <c r="F124" s="189">
        <v>3186578</v>
      </c>
      <c r="G124" s="189">
        <f t="shared" si="4"/>
        <v>3186578</v>
      </c>
      <c r="H124" s="189"/>
    </row>
    <row r="125" spans="4:13" ht="15" customHeight="1">
      <c r="D125" s="607" t="s">
        <v>1964</v>
      </c>
      <c r="E125" s="189"/>
      <c r="F125" s="189"/>
      <c r="G125" s="189">
        <f t="shared" si="4"/>
        <v>0</v>
      </c>
      <c r="H125" s="189"/>
    </row>
    <row r="126" spans="4:13" ht="15" customHeight="1">
      <c r="D126" s="607" t="s">
        <v>1965</v>
      </c>
      <c r="E126" s="189"/>
      <c r="F126" s="189"/>
      <c r="G126" s="189">
        <f t="shared" si="4"/>
        <v>0</v>
      </c>
      <c r="H126" s="189"/>
    </row>
    <row r="127" spans="4:13" ht="15" customHeight="1">
      <c r="D127" s="607" t="s">
        <v>1966</v>
      </c>
      <c r="E127" s="189"/>
      <c r="F127" s="189"/>
      <c r="G127" s="189">
        <f t="shared" si="4"/>
        <v>0</v>
      </c>
      <c r="H127" s="189"/>
    </row>
    <row r="128" spans="4:13" ht="15" customHeight="1">
      <c r="D128" s="229" t="s">
        <v>1967</v>
      </c>
      <c r="E128" s="189"/>
      <c r="F128" s="189">
        <v>6949980</v>
      </c>
      <c r="G128" s="189">
        <f>+E128+F128</f>
        <v>6949980</v>
      </c>
      <c r="H128" s="189"/>
    </row>
    <row r="129" spans="4:11" ht="15" customHeight="1">
      <c r="D129" s="229" t="s">
        <v>1968</v>
      </c>
      <c r="E129" s="189">
        <v>46184</v>
      </c>
      <c r="F129" s="189"/>
      <c r="G129" s="189">
        <f t="shared" ref="G129:G132" si="6">+E129+F129</f>
        <v>46184</v>
      </c>
      <c r="H129" s="189"/>
      <c r="J129" s="1499"/>
    </row>
    <row r="130" spans="4:11" ht="15" customHeight="1">
      <c r="D130" s="229" t="s">
        <v>1969</v>
      </c>
      <c r="E130" s="189">
        <v>1758434</v>
      </c>
      <c r="F130" s="189"/>
      <c r="G130" s="189">
        <f t="shared" si="6"/>
        <v>1758434</v>
      </c>
      <c r="H130" s="189"/>
      <c r="J130" s="1499">
        <f ca="1">+'2. Estado de situación'!I23</f>
        <v>1758434</v>
      </c>
      <c r="K130" s="1267">
        <f ca="1">+J130-G130</f>
        <v>0</v>
      </c>
    </row>
    <row r="131" spans="4:11" ht="15" customHeight="1">
      <c r="D131" s="229" t="s">
        <v>1970</v>
      </c>
      <c r="E131" s="189">
        <v>2992394</v>
      </c>
      <c r="F131" s="189"/>
      <c r="G131" s="189">
        <f t="shared" si="6"/>
        <v>2992394</v>
      </c>
      <c r="H131" s="189"/>
      <c r="J131" s="1499">
        <f>+'Nota 12'!G104</f>
        <v>5463590</v>
      </c>
    </row>
    <row r="132" spans="4:11" ht="15" customHeight="1" thickBot="1">
      <c r="D132" s="229" t="s">
        <v>1971</v>
      </c>
      <c r="E132" s="189">
        <v>2519351</v>
      </c>
      <c r="F132" s="189"/>
      <c r="G132" s="189">
        <f t="shared" si="6"/>
        <v>2519351</v>
      </c>
      <c r="H132" s="189"/>
    </row>
    <row r="133" spans="4:11" ht="15" customHeight="1" thickBot="1">
      <c r="D133" s="230" t="s">
        <v>1972</v>
      </c>
      <c r="E133" s="56">
        <f>E91+E92+E93+E94+E95+E96+E97+E98+E99+E100+E101+E102+E103+E104+E105+E106+E107+E108+E109+E110+E115+E116+E117+E118+E119+E120+E121+E122+E123+E128+E129+E130+E131+E132</f>
        <v>8343368</v>
      </c>
      <c r="F133" s="56">
        <f t="shared" ref="F133:H133" si="7">F91+F92+F93+F94+F95+F96+F97+F98+F99+F100+F101+F102+F103+F104+F105+F106+F107+F108+F109+F110+F115+F116+F117+F118+F119+F120+F121+F122+F123+F128+F129+F130+F131+F132</f>
        <v>2004696705</v>
      </c>
      <c r="G133" s="56">
        <f t="shared" si="7"/>
        <v>2013040073</v>
      </c>
      <c r="H133" s="56">
        <f t="shared" ca="1" si="7"/>
        <v>27443971.036017895</v>
      </c>
    </row>
    <row r="135" spans="4:11" ht="15" customHeight="1">
      <c r="G135" s="498" t="s">
        <v>1769</v>
      </c>
      <c r="H135" s="499">
        <f ca="1">H133</f>
        <v>27443971.036017895</v>
      </c>
    </row>
    <row r="136" spans="4:11" ht="15" customHeight="1">
      <c r="G136" s="498" t="s">
        <v>2615</v>
      </c>
      <c r="H136" s="499">
        <f ca="1">E10</f>
        <v>27443971.036017895</v>
      </c>
      <c r="I136" s="192">
        <f ca="1">+H135-H136</f>
        <v>0</v>
      </c>
    </row>
    <row r="137" spans="4:11" ht="15" customHeight="1">
      <c r="H137" s="1500">
        <f ca="1">+H135-H136</f>
        <v>0</v>
      </c>
    </row>
    <row r="138" spans="4:11" ht="15" customHeight="1"/>
    <row r="139" spans="4:11" ht="15" customHeight="1"/>
    <row r="140" spans="4:11" ht="15" customHeight="1"/>
    <row r="141" spans="4:11" ht="15" customHeight="1"/>
    <row r="142" spans="4:11" ht="15" customHeight="1"/>
    <row r="145" spans="1:13" s="146" customFormat="1">
      <c r="A145"/>
      <c r="B145"/>
      <c r="C145"/>
      <c r="D145"/>
      <c r="E145"/>
      <c r="F145"/>
      <c r="K145" s="315"/>
      <c r="L145" s="315"/>
      <c r="M145" s="315"/>
    </row>
    <row r="146" spans="1:13" s="315" customFormat="1">
      <c r="A146"/>
      <c r="B146"/>
      <c r="C146"/>
      <c r="D146"/>
      <c r="E146"/>
      <c r="F146"/>
    </row>
    <row r="147" spans="1:13" s="315" customFormat="1">
      <c r="A147"/>
      <c r="B147"/>
      <c r="C147"/>
      <c r="D147"/>
      <c r="E147"/>
      <c r="F147"/>
    </row>
    <row r="148" spans="1:13" s="315" customFormat="1">
      <c r="A148"/>
      <c r="B148"/>
      <c r="C148"/>
      <c r="D148"/>
      <c r="E148"/>
      <c r="F148"/>
    </row>
    <row r="149" spans="1:13" s="315" customFormat="1">
      <c r="A149"/>
      <c r="B149"/>
      <c r="C149"/>
      <c r="D149"/>
      <c r="E149"/>
      <c r="F149"/>
    </row>
  </sheetData>
  <mergeCells count="17">
    <mergeCell ref="C3:G3"/>
    <mergeCell ref="C73:G73"/>
    <mergeCell ref="C86:G86"/>
    <mergeCell ref="J75:J76"/>
    <mergeCell ref="K75:K76"/>
    <mergeCell ref="L75:L76"/>
    <mergeCell ref="D88:D89"/>
    <mergeCell ref="E88:E89"/>
    <mergeCell ref="F88:F89"/>
    <mergeCell ref="G88:G89"/>
    <mergeCell ref="H88:H89"/>
    <mergeCell ref="D75:D76"/>
    <mergeCell ref="E75:E76"/>
    <mergeCell ref="F75:F76"/>
    <mergeCell ref="G75:G76"/>
    <mergeCell ref="H75:H76"/>
    <mergeCell ref="I75:I76"/>
  </mergeCells>
  <conditionalFormatting sqref="H137">
    <cfRule type="cellIs" dxfId="18" priority="5" operator="equal">
      <formula>"OK"</formula>
    </cfRule>
    <cfRule type="cellIs" dxfId="17" priority="6" operator="equal">
      <formula>"ERROR"</formula>
    </cfRule>
  </conditionalFormatting>
  <conditionalFormatting sqref="G54">
    <cfRule type="cellIs" dxfId="16" priority="1" operator="equal">
      <formula>"OK"</formula>
    </cfRule>
    <cfRule type="cellIs" dxfId="15" priority="2" operator="equal">
      <formula>"ERROR"</formula>
    </cfRule>
  </conditionalFormatting>
  <conditionalFormatting sqref="G56">
    <cfRule type="cellIs" dxfId="14" priority="3" operator="equal">
      <formula>"OK"</formula>
    </cfRule>
    <cfRule type="cellIs" dxfId="13" priority="4" operator="equal">
      <formula>"ERROR"</formula>
    </cfRule>
  </conditionalFormatting>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B1:BC12"/>
  <sheetViews>
    <sheetView showGridLines="0" workbookViewId="0">
      <pane xSplit="4" ySplit="6" topLeftCell="E7" activePane="bottomRight" state="frozen"/>
      <selection pane="topRight" activeCell="E1" sqref="E1"/>
      <selection pane="bottomLeft" activeCell="A7" sqref="A7"/>
      <selection pane="bottomRight" activeCell="F17" sqref="F17"/>
    </sheetView>
  </sheetViews>
  <sheetFormatPr baseColWidth="10" defaultColWidth="9.140625" defaultRowHeight="15" outlineLevelCol="1"/>
  <cols>
    <col min="1" max="2" width="2.42578125" customWidth="1"/>
    <col min="3" max="3" width="3.7109375" customWidth="1"/>
    <col min="4" max="4" width="50.7109375" customWidth="1"/>
    <col min="5" max="8" width="14.7109375" customWidth="1" outlineLevel="1"/>
    <col min="9" max="9" width="14.7109375" style="146" customWidth="1" outlineLevel="1"/>
    <col min="10" max="10" width="14.7109375" style="315" customWidth="1" outlineLevel="1"/>
    <col min="11" max="17" width="14.7109375" customWidth="1" outlineLevel="1"/>
    <col min="18" max="18" width="14.7109375" style="146" customWidth="1" outlineLevel="1"/>
    <col min="19" max="19" width="14.7109375" style="315" customWidth="1" outlineLevel="1"/>
    <col min="20" max="26" width="14.7109375" customWidth="1" outlineLevel="1"/>
    <col min="27" max="27" width="14.7109375" style="146" customWidth="1" outlineLevel="1"/>
    <col min="28" max="28" width="14.7109375" style="315" customWidth="1" outlineLevel="1"/>
    <col min="29" max="35" width="14.7109375" customWidth="1" outlineLevel="1"/>
    <col min="36" max="36" width="14.7109375" style="146" customWidth="1" outlineLevel="1"/>
    <col min="37" max="37" width="14.7109375" style="315" customWidth="1" outlineLevel="1"/>
    <col min="38" max="40" width="14.7109375" customWidth="1" outlineLevel="1"/>
    <col min="41" max="41" width="14.7109375" style="146" customWidth="1" outlineLevel="1"/>
    <col min="42" max="42" width="14.7109375" style="315" customWidth="1" outlineLevel="1"/>
    <col min="43" max="45" width="14.7109375" customWidth="1" outlineLevel="1"/>
    <col min="46" max="46" width="14.7109375" style="146" customWidth="1" outlineLevel="1"/>
    <col min="47" max="47" width="14.7109375" style="315" customWidth="1" outlineLevel="1"/>
    <col min="48" max="50" width="14.7109375" customWidth="1" outlineLevel="1"/>
    <col min="51" max="51" width="14.7109375" style="146" customWidth="1" outlineLevel="1"/>
    <col min="52" max="52" width="14.7109375" style="315" customWidth="1" outlineLevel="1"/>
    <col min="53" max="54" width="14.7109375" customWidth="1" outlineLevel="1"/>
    <col min="55" max="55" width="14.7109375" customWidth="1"/>
  </cols>
  <sheetData>
    <row r="1" spans="2:55" ht="15" customHeight="1"/>
    <row r="2" spans="2:55" ht="15" customHeight="1"/>
    <row r="3" spans="2:55" s="246" customFormat="1" ht="15" customHeight="1">
      <c r="B3" s="247"/>
      <c r="C3" s="1728" t="s">
        <v>1982</v>
      </c>
      <c r="D3" s="1728"/>
      <c r="E3" s="1728"/>
      <c r="F3" s="1728"/>
      <c r="G3" s="1728"/>
      <c r="H3" s="1728"/>
      <c r="I3" s="1728"/>
      <c r="J3" s="1728"/>
      <c r="R3" s="315"/>
      <c r="S3" s="315"/>
      <c r="AA3" s="315"/>
      <c r="AB3" s="315"/>
      <c r="AJ3" s="315"/>
      <c r="AK3" s="315"/>
      <c r="AO3" s="315"/>
      <c r="AP3" s="315"/>
      <c r="AT3" s="315"/>
      <c r="AU3" s="315"/>
      <c r="AY3" s="315"/>
      <c r="AZ3" s="315"/>
    </row>
    <row r="4" spans="2:55" ht="15" customHeight="1" thickBot="1"/>
    <row r="5" spans="2:55" ht="15" customHeight="1">
      <c r="D5" s="1670"/>
      <c r="E5" s="1686">
        <v>1</v>
      </c>
      <c r="F5" s="1686">
        <v>2</v>
      </c>
      <c r="G5" s="1686">
        <v>3</v>
      </c>
      <c r="H5" s="1686">
        <v>4</v>
      </c>
      <c r="I5" s="1686">
        <v>5</v>
      </c>
      <c r="J5" s="1686">
        <v>6</v>
      </c>
      <c r="K5" s="1686">
        <v>7</v>
      </c>
      <c r="L5" s="1686">
        <v>8</v>
      </c>
      <c r="M5" s="1686">
        <v>9</v>
      </c>
      <c r="N5" s="1686">
        <v>10</v>
      </c>
      <c r="O5" s="1686">
        <v>11</v>
      </c>
      <c r="P5" s="1686">
        <v>12</v>
      </c>
      <c r="Q5" s="1686">
        <v>13</v>
      </c>
      <c r="R5" s="1686">
        <v>14</v>
      </c>
      <c r="S5" s="1686">
        <v>15</v>
      </c>
      <c r="T5" s="1686">
        <v>16</v>
      </c>
      <c r="U5" s="1686">
        <v>17</v>
      </c>
      <c r="V5" s="1686">
        <v>18</v>
      </c>
      <c r="W5" s="1686">
        <v>19</v>
      </c>
      <c r="X5" s="1686">
        <v>20</v>
      </c>
      <c r="Y5" s="1686">
        <v>21</v>
      </c>
      <c r="Z5" s="1686">
        <v>22</v>
      </c>
      <c r="AA5" s="1686">
        <v>23</v>
      </c>
      <c r="AB5" s="1686">
        <v>24</v>
      </c>
      <c r="AC5" s="1686">
        <v>25</v>
      </c>
      <c r="AD5" s="1686">
        <v>26</v>
      </c>
      <c r="AE5" s="1686">
        <v>27</v>
      </c>
      <c r="AF5" s="1686">
        <v>28</v>
      </c>
      <c r="AG5" s="1686">
        <v>29</v>
      </c>
      <c r="AH5" s="1686">
        <v>30</v>
      </c>
      <c r="AI5" s="1686">
        <v>31</v>
      </c>
      <c r="AJ5" s="1686">
        <v>32</v>
      </c>
      <c r="AK5" s="1686">
        <v>33</v>
      </c>
      <c r="AL5" s="1686">
        <v>34</v>
      </c>
      <c r="AM5" s="1686">
        <v>35</v>
      </c>
      <c r="AN5" s="1686">
        <v>36</v>
      </c>
      <c r="AO5" s="1686">
        <v>37</v>
      </c>
      <c r="AP5" s="1686">
        <v>38</v>
      </c>
      <c r="AQ5" s="1686">
        <v>39</v>
      </c>
      <c r="AR5" s="1686">
        <v>40</v>
      </c>
      <c r="AS5" s="1686">
        <v>41</v>
      </c>
      <c r="AT5" s="1686">
        <v>42</v>
      </c>
      <c r="AU5" s="1686">
        <v>43</v>
      </c>
      <c r="AV5" s="1686">
        <v>44</v>
      </c>
      <c r="AW5" s="1686">
        <v>45</v>
      </c>
      <c r="AX5" s="1686">
        <v>46</v>
      </c>
      <c r="AY5" s="1686">
        <v>47</v>
      </c>
      <c r="AZ5" s="1686">
        <v>48</v>
      </c>
      <c r="BA5" s="1686">
        <v>49</v>
      </c>
      <c r="BB5" s="1686">
        <v>50</v>
      </c>
      <c r="BC5" s="1686">
        <v>999</v>
      </c>
    </row>
    <row r="6" spans="2:55" ht="54.95" customHeight="1" thickBot="1">
      <c r="D6" s="1674"/>
      <c r="E6" s="1687"/>
      <c r="F6" s="1687"/>
      <c r="G6" s="1687"/>
      <c r="H6" s="1687"/>
      <c r="I6" s="1687"/>
      <c r="J6" s="1687"/>
      <c r="K6" s="1687"/>
      <c r="L6" s="1687"/>
      <c r="M6" s="1687"/>
      <c r="N6" s="1687"/>
      <c r="O6" s="1687"/>
      <c r="P6" s="1687"/>
      <c r="Q6" s="1687"/>
      <c r="R6" s="1687"/>
      <c r="S6" s="1687"/>
      <c r="T6" s="1687"/>
      <c r="U6" s="1687"/>
      <c r="V6" s="1687"/>
      <c r="W6" s="1687"/>
      <c r="X6" s="1687"/>
      <c r="Y6" s="1687"/>
      <c r="Z6" s="1687"/>
      <c r="AA6" s="1687"/>
      <c r="AB6" s="1687"/>
      <c r="AC6" s="1687"/>
      <c r="AD6" s="1687"/>
      <c r="AE6" s="1687"/>
      <c r="AF6" s="1687"/>
      <c r="AG6" s="1687"/>
      <c r="AH6" s="1687"/>
      <c r="AI6" s="1687"/>
      <c r="AJ6" s="1687"/>
      <c r="AK6" s="1687"/>
      <c r="AL6" s="1687"/>
      <c r="AM6" s="1687"/>
      <c r="AN6" s="1687"/>
      <c r="AO6" s="1687"/>
      <c r="AP6" s="1687"/>
      <c r="AQ6" s="1687"/>
      <c r="AR6" s="1687"/>
      <c r="AS6" s="1687"/>
      <c r="AT6" s="1687"/>
      <c r="AU6" s="1687"/>
      <c r="AV6" s="1687"/>
      <c r="AW6" s="1687"/>
      <c r="AX6" s="1687"/>
      <c r="AY6" s="1687"/>
      <c r="AZ6" s="1687"/>
      <c r="BA6" s="1687"/>
      <c r="BB6" s="1687"/>
      <c r="BC6" s="1687"/>
    </row>
    <row r="7" spans="2:55" ht="15" customHeight="1">
      <c r="D7" s="229" t="s">
        <v>753</v>
      </c>
      <c r="E7" s="584"/>
      <c r="F7" s="585"/>
      <c r="G7" s="585"/>
      <c r="H7" s="585"/>
      <c r="I7" s="585"/>
      <c r="J7" s="585"/>
      <c r="K7" s="585"/>
      <c r="L7" s="585"/>
      <c r="M7" s="586"/>
      <c r="N7" s="584"/>
      <c r="O7" s="585"/>
      <c r="P7" s="585"/>
      <c r="Q7" s="585"/>
      <c r="R7" s="585"/>
      <c r="S7" s="585"/>
      <c r="T7" s="585"/>
      <c r="U7" s="585"/>
      <c r="V7" s="586"/>
      <c r="W7" s="584"/>
      <c r="X7" s="585"/>
      <c r="Y7" s="585"/>
      <c r="Z7" s="585"/>
      <c r="AA7" s="585"/>
      <c r="AB7" s="585"/>
      <c r="AC7" s="585"/>
      <c r="AD7" s="585"/>
      <c r="AE7" s="586"/>
      <c r="AF7" s="584"/>
      <c r="AG7" s="585"/>
      <c r="AH7" s="585"/>
      <c r="AI7" s="585"/>
      <c r="AJ7" s="585"/>
      <c r="AK7" s="585"/>
      <c r="AL7" s="585"/>
      <c r="AM7" s="585"/>
      <c r="AN7" s="585"/>
      <c r="AO7" s="585"/>
      <c r="AP7" s="585"/>
      <c r="AQ7" s="585"/>
      <c r="AR7" s="585"/>
      <c r="AS7" s="585"/>
      <c r="AT7" s="585"/>
      <c r="AU7" s="585"/>
      <c r="AV7" s="585"/>
      <c r="AW7" s="585"/>
      <c r="AX7" s="585"/>
      <c r="AY7" s="585"/>
      <c r="AZ7" s="585"/>
      <c r="BA7" s="585"/>
      <c r="BB7" s="585"/>
      <c r="BC7" s="587">
        <f>SUM(E7:BB7)</f>
        <v>0</v>
      </c>
    </row>
    <row r="8" spans="2:55" ht="15" customHeight="1">
      <c r="D8" s="521" t="s">
        <v>754</v>
      </c>
      <c r="E8" s="303"/>
      <c r="F8" s="304"/>
      <c r="G8" s="304"/>
      <c r="H8" s="304"/>
      <c r="I8" s="304"/>
      <c r="J8" s="304"/>
      <c r="K8" s="304"/>
      <c r="L8" s="304"/>
      <c r="M8" s="305"/>
      <c r="N8" s="303"/>
      <c r="O8" s="304"/>
      <c r="P8" s="304"/>
      <c r="Q8" s="304"/>
      <c r="R8" s="304"/>
      <c r="S8" s="304"/>
      <c r="T8" s="304"/>
      <c r="U8" s="304"/>
      <c r="V8" s="305"/>
      <c r="W8" s="303"/>
      <c r="X8" s="304"/>
      <c r="Y8" s="304"/>
      <c r="Z8" s="304"/>
      <c r="AA8" s="304"/>
      <c r="AB8" s="304"/>
      <c r="AC8" s="304"/>
      <c r="AD8" s="304"/>
      <c r="AE8" s="305"/>
      <c r="AF8" s="303"/>
      <c r="AG8" s="304"/>
      <c r="AH8" s="304"/>
      <c r="AI8" s="304"/>
      <c r="AJ8" s="304"/>
      <c r="AK8" s="304"/>
      <c r="AL8" s="304"/>
      <c r="AM8" s="304"/>
      <c r="AN8" s="304"/>
      <c r="AO8" s="304"/>
      <c r="AP8" s="304"/>
      <c r="AQ8" s="304"/>
      <c r="AR8" s="304"/>
      <c r="AS8" s="304"/>
      <c r="AT8" s="304"/>
      <c r="AU8" s="304"/>
      <c r="AV8" s="304"/>
      <c r="AW8" s="304"/>
      <c r="AX8" s="304"/>
      <c r="AY8" s="304"/>
      <c r="AZ8" s="304"/>
      <c r="BA8" s="304"/>
      <c r="BB8" s="304"/>
      <c r="BC8" s="304">
        <f t="shared" ref="BC8:BC11" si="0">SUM(E8:BB8)</f>
        <v>0</v>
      </c>
    </row>
    <row r="9" spans="2:55" ht="15" customHeight="1">
      <c r="D9" s="521" t="s">
        <v>755</v>
      </c>
      <c r="E9" s="61"/>
      <c r="F9" s="61"/>
      <c r="G9" s="61"/>
      <c r="H9" s="61"/>
      <c r="I9" s="62"/>
      <c r="J9" s="61"/>
      <c r="K9" s="61"/>
      <c r="L9" s="61"/>
      <c r="M9" s="62"/>
      <c r="N9" s="61"/>
      <c r="O9" s="61"/>
      <c r="P9" s="61"/>
      <c r="Q9" s="61"/>
      <c r="R9" s="62"/>
      <c r="S9" s="61"/>
      <c r="T9" s="61"/>
      <c r="U9" s="61"/>
      <c r="V9" s="62"/>
      <c r="W9" s="61"/>
      <c r="X9" s="61"/>
      <c r="Y9" s="61"/>
      <c r="Z9" s="61"/>
      <c r="AA9" s="62"/>
      <c r="AB9" s="61"/>
      <c r="AC9" s="61"/>
      <c r="AD9" s="61"/>
      <c r="AE9" s="62"/>
      <c r="AF9" s="61"/>
      <c r="AG9" s="61"/>
      <c r="AH9" s="61"/>
      <c r="AI9" s="61"/>
      <c r="AJ9" s="62"/>
      <c r="AK9" s="61"/>
      <c r="AL9" s="61"/>
      <c r="AM9" s="61"/>
      <c r="AN9" s="61"/>
      <c r="AO9" s="62"/>
      <c r="AP9" s="61"/>
      <c r="AQ9" s="61"/>
      <c r="AR9" s="61"/>
      <c r="AS9" s="61"/>
      <c r="AT9" s="62"/>
      <c r="AU9" s="61"/>
      <c r="AV9" s="61"/>
      <c r="AW9" s="61"/>
      <c r="AX9" s="61"/>
      <c r="AY9" s="62"/>
      <c r="AZ9" s="61"/>
      <c r="BA9" s="61"/>
      <c r="BB9" s="61"/>
      <c r="BC9" s="61">
        <f t="shared" si="0"/>
        <v>0</v>
      </c>
    </row>
    <row r="10" spans="2:55" ht="15" customHeight="1">
      <c r="D10" s="229" t="s">
        <v>756</v>
      </c>
      <c r="E10" s="353"/>
      <c r="F10" s="353"/>
      <c r="G10" s="353"/>
      <c r="H10" s="353"/>
      <c r="I10" s="330"/>
      <c r="J10" s="353"/>
      <c r="K10" s="353"/>
      <c r="L10" s="353"/>
      <c r="M10" s="330"/>
      <c r="N10" s="353"/>
      <c r="O10" s="353"/>
      <c r="P10" s="353"/>
      <c r="Q10" s="353"/>
      <c r="R10" s="330"/>
      <c r="S10" s="353"/>
      <c r="T10" s="353"/>
      <c r="U10" s="353"/>
      <c r="V10" s="330"/>
      <c r="W10" s="353"/>
      <c r="X10" s="353"/>
      <c r="Y10" s="353"/>
      <c r="Z10" s="353"/>
      <c r="AA10" s="330"/>
      <c r="AB10" s="353"/>
      <c r="AC10" s="353"/>
      <c r="AD10" s="353"/>
      <c r="AE10" s="330"/>
      <c r="AF10" s="353"/>
      <c r="AG10" s="353"/>
      <c r="AH10" s="353"/>
      <c r="AI10" s="353"/>
      <c r="AJ10" s="330"/>
      <c r="AK10" s="353"/>
      <c r="AL10" s="353"/>
      <c r="AM10" s="353"/>
      <c r="AN10" s="353"/>
      <c r="AO10" s="330"/>
      <c r="AP10" s="353"/>
      <c r="AQ10" s="353"/>
      <c r="AR10" s="353"/>
      <c r="AS10" s="353"/>
      <c r="AT10" s="330"/>
      <c r="AU10" s="353"/>
      <c r="AV10" s="353"/>
      <c r="AW10" s="353"/>
      <c r="AX10" s="353"/>
      <c r="AY10" s="330"/>
      <c r="AZ10" s="353"/>
      <c r="BA10" s="353"/>
      <c r="BB10" s="353"/>
      <c r="BC10" s="61">
        <f t="shared" si="0"/>
        <v>0</v>
      </c>
    </row>
    <row r="11" spans="2:55" ht="15" customHeight="1">
      <c r="D11" s="229" t="s">
        <v>757</v>
      </c>
      <c r="E11" s="54"/>
      <c r="F11" s="54"/>
      <c r="G11" s="54"/>
      <c r="H11" s="54"/>
      <c r="I11" s="204"/>
      <c r="J11" s="54"/>
      <c r="K11" s="54"/>
      <c r="L11" s="54"/>
      <c r="M11" s="204"/>
      <c r="N11" s="54"/>
      <c r="O11" s="54"/>
      <c r="P11" s="54"/>
      <c r="Q11" s="54"/>
      <c r="R11" s="204"/>
      <c r="S11" s="54"/>
      <c r="T11" s="54"/>
      <c r="U11" s="54"/>
      <c r="V11" s="204"/>
      <c r="W11" s="54"/>
      <c r="X11" s="54"/>
      <c r="Y11" s="54"/>
      <c r="Z11" s="54"/>
      <c r="AA11" s="204"/>
      <c r="AB11" s="54"/>
      <c r="AC11" s="54"/>
      <c r="AD11" s="54"/>
      <c r="AE11" s="204"/>
      <c r="AF11" s="54"/>
      <c r="AG11" s="54"/>
      <c r="AH11" s="54"/>
      <c r="AI11" s="54"/>
      <c r="AJ11" s="204"/>
      <c r="AK11" s="54"/>
      <c r="AL11" s="54"/>
      <c r="AM11" s="54"/>
      <c r="AN11" s="54"/>
      <c r="AO11" s="204"/>
      <c r="AP11" s="54"/>
      <c r="AQ11" s="54"/>
      <c r="AR11" s="54"/>
      <c r="AS11" s="54"/>
      <c r="AT11" s="204"/>
      <c r="AU11" s="54"/>
      <c r="AV11" s="54"/>
      <c r="AW11" s="54"/>
      <c r="AX11" s="54"/>
      <c r="AY11" s="204"/>
      <c r="AZ11" s="54"/>
      <c r="BA11" s="54"/>
      <c r="BB11" s="54"/>
      <c r="BC11" s="61">
        <f t="shared" si="0"/>
        <v>0</v>
      </c>
    </row>
    <row r="12" spans="2:55" s="315" customFormat="1">
      <c r="D12" s="558"/>
      <c r="E12" s="373"/>
      <c r="F12" s="373"/>
      <c r="G12" s="373"/>
      <c r="H12" s="373"/>
      <c r="I12" s="373"/>
      <c r="J12" s="374"/>
      <c r="N12" s="373"/>
      <c r="O12" s="373"/>
      <c r="P12" s="373"/>
      <c r="Q12" s="373"/>
      <c r="R12" s="373"/>
      <c r="S12" s="374"/>
      <c r="W12" s="373"/>
      <c r="X12" s="373"/>
      <c r="Y12" s="373"/>
      <c r="Z12" s="373"/>
      <c r="AA12" s="373"/>
      <c r="AB12" s="374"/>
      <c r="AF12" s="373"/>
      <c r="AG12" s="373"/>
      <c r="AH12" s="373"/>
      <c r="AI12" s="373"/>
      <c r="AJ12" s="373"/>
      <c r="AK12" s="374"/>
      <c r="AN12" s="373"/>
      <c r="AO12" s="373"/>
      <c r="AP12" s="374"/>
      <c r="AS12" s="373"/>
      <c r="AT12" s="373"/>
      <c r="AU12" s="374"/>
      <c r="AX12" s="373"/>
      <c r="AY12" s="373"/>
      <c r="AZ12" s="374"/>
    </row>
  </sheetData>
  <mergeCells count="53">
    <mergeCell ref="C3:J3"/>
    <mergeCell ref="BC5:BC6"/>
    <mergeCell ref="AR5:AR6"/>
    <mergeCell ref="AS5:AS6"/>
    <mergeCell ref="AT5:AT6"/>
    <mergeCell ref="AU5:AU6"/>
    <mergeCell ref="AV5:AV6"/>
    <mergeCell ref="AW5:AW6"/>
    <mergeCell ref="AX5:AX6"/>
    <mergeCell ref="AY5:AY6"/>
    <mergeCell ref="AZ5:AZ6"/>
    <mergeCell ref="BA5:BA6"/>
    <mergeCell ref="BB5:BB6"/>
    <mergeCell ref="AQ5:AQ6"/>
    <mergeCell ref="AF5:AF6"/>
    <mergeCell ref="AG5:AG6"/>
    <mergeCell ref="AM5:AM6"/>
    <mergeCell ref="AN5:AN6"/>
    <mergeCell ref="AO5:AO6"/>
    <mergeCell ref="AP5:AP6"/>
    <mergeCell ref="AE5:AE6"/>
    <mergeCell ref="AH5:AH6"/>
    <mergeCell ref="AI5:AI6"/>
    <mergeCell ref="AJ5:AJ6"/>
    <mergeCell ref="AK5:AK6"/>
    <mergeCell ref="AL5:AL6"/>
    <mergeCell ref="T5:T6"/>
    <mergeCell ref="U5:U6"/>
    <mergeCell ref="V5:V6"/>
    <mergeCell ref="W5:W6"/>
    <mergeCell ref="X5:X6"/>
    <mergeCell ref="AD5:AD6"/>
    <mergeCell ref="S5:S6"/>
    <mergeCell ref="J5:J6"/>
    <mergeCell ref="K5:K6"/>
    <mergeCell ref="L5:L6"/>
    <mergeCell ref="M5:M6"/>
    <mergeCell ref="N5:N6"/>
    <mergeCell ref="O5:O6"/>
    <mergeCell ref="P5:P6"/>
    <mergeCell ref="Q5:Q6"/>
    <mergeCell ref="R5:R6"/>
    <mergeCell ref="Y5:Y6"/>
    <mergeCell ref="Z5:Z6"/>
    <mergeCell ref="AA5:AA6"/>
    <mergeCell ref="AB5:AB6"/>
    <mergeCell ref="AC5:AC6"/>
    <mergeCell ref="I5:I6"/>
    <mergeCell ref="D5:D6"/>
    <mergeCell ref="E5:E6"/>
    <mergeCell ref="F5:F6"/>
    <mergeCell ref="G5:G6"/>
    <mergeCell ref="H5:H6"/>
  </mergeCells>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B1:Q459"/>
  <sheetViews>
    <sheetView showGridLines="0" workbookViewId="0">
      <selection activeCell="G12" sqref="G12"/>
    </sheetView>
  </sheetViews>
  <sheetFormatPr baseColWidth="10" defaultColWidth="9.140625" defaultRowHeight="15" outlineLevelRow="1"/>
  <cols>
    <col min="1" max="2" width="2.42578125" customWidth="1"/>
    <col min="3" max="3" width="3.7109375" customWidth="1"/>
    <col min="4" max="4" width="50.7109375" customWidth="1"/>
    <col min="5" max="8" width="14.7109375" customWidth="1"/>
    <col min="9" max="9" width="14.7109375" style="146" customWidth="1"/>
    <col min="10" max="10" width="14.7109375" style="315" customWidth="1"/>
    <col min="11" max="11" width="14.7109375" style="146" customWidth="1"/>
    <col min="12" max="14" width="14.7109375" style="315" customWidth="1"/>
    <col min="15" max="15" width="14.7109375" style="146" customWidth="1"/>
    <col min="16" max="36" width="14.7109375" customWidth="1"/>
  </cols>
  <sheetData>
    <row r="1" spans="2:15" ht="15" customHeight="1"/>
    <row r="2" spans="2:15" ht="15" customHeight="1"/>
    <row r="3" spans="2:15" s="246" customFormat="1" ht="15" customHeight="1">
      <c r="B3" s="247"/>
      <c r="C3" s="1584" t="s">
        <v>1976</v>
      </c>
      <c r="D3" s="1584"/>
      <c r="E3" s="1584"/>
      <c r="F3" s="1584"/>
      <c r="G3" s="1584"/>
      <c r="I3" s="315"/>
      <c r="J3" s="315"/>
      <c r="K3" s="315"/>
      <c r="L3" s="315"/>
      <c r="M3" s="315"/>
      <c r="N3" s="315"/>
      <c r="O3" s="315"/>
    </row>
    <row r="4" spans="2:15" ht="15" customHeight="1" thickBot="1"/>
    <row r="5" spans="2:15">
      <c r="D5" s="1670"/>
      <c r="E5" s="1686" t="s">
        <v>226</v>
      </c>
      <c r="F5" s="1686" t="s">
        <v>1973</v>
      </c>
      <c r="G5" s="1686" t="s">
        <v>763</v>
      </c>
      <c r="H5" s="1686" t="s">
        <v>764</v>
      </c>
      <c r="I5" s="1686" t="s">
        <v>1974</v>
      </c>
      <c r="J5" s="1686" t="s">
        <v>490</v>
      </c>
      <c r="K5" s="1686" t="s">
        <v>1975</v>
      </c>
      <c r="L5" s="1685"/>
      <c r="M5" s="1685"/>
    </row>
    <row r="6" spans="2:15" ht="54.95" customHeight="1" thickBot="1">
      <c r="D6" s="1674"/>
      <c r="E6" s="1687"/>
      <c r="F6" s="1687"/>
      <c r="G6" s="1687"/>
      <c r="H6" s="1687"/>
      <c r="I6" s="1687"/>
      <c r="J6" s="1687"/>
      <c r="K6" s="1687"/>
      <c r="L6" s="1685"/>
      <c r="M6" s="1685"/>
    </row>
    <row r="7" spans="2:15" ht="15" customHeight="1" outlineLevel="1">
      <c r="C7" s="615">
        <v>1</v>
      </c>
      <c r="D7" s="384" t="s">
        <v>3907</v>
      </c>
      <c r="E7" s="618" t="s">
        <v>3899</v>
      </c>
      <c r="F7" s="617" t="s">
        <v>3907</v>
      </c>
      <c r="G7" s="617" t="s">
        <v>3914</v>
      </c>
      <c r="H7" s="618">
        <v>3</v>
      </c>
      <c r="I7" s="610" t="s">
        <v>3921</v>
      </c>
      <c r="J7" s="392" t="s">
        <v>2236</v>
      </c>
      <c r="K7" s="622">
        <v>19655</v>
      </c>
      <c r="L7" s="1266"/>
      <c r="M7" s="612"/>
      <c r="N7" s="1267"/>
    </row>
    <row r="8" spans="2:15" ht="15" customHeight="1" outlineLevel="1">
      <c r="C8" s="615">
        <v>2</v>
      </c>
      <c r="D8" s="623" t="s">
        <v>3734</v>
      </c>
      <c r="E8" s="619" t="s">
        <v>3900</v>
      </c>
      <c r="F8" s="616" t="s">
        <v>3734</v>
      </c>
      <c r="G8" s="616" t="s">
        <v>3915</v>
      </c>
      <c r="H8" s="619">
        <v>3</v>
      </c>
      <c r="I8" s="620" t="s">
        <v>3921</v>
      </c>
      <c r="J8" s="619" t="s">
        <v>2236</v>
      </c>
      <c r="K8" s="611">
        <v>99571</v>
      </c>
      <c r="L8" s="372"/>
      <c r="M8" s="372"/>
      <c r="N8" s="1267"/>
    </row>
    <row r="9" spans="2:15" ht="15" customHeight="1" outlineLevel="1">
      <c r="C9" s="615">
        <v>3</v>
      </c>
      <c r="D9" s="623" t="s">
        <v>3734</v>
      </c>
      <c r="E9" s="393" t="s">
        <v>3900</v>
      </c>
      <c r="F9" s="624" t="s">
        <v>3734</v>
      </c>
      <c r="G9" s="624" t="s">
        <v>3916</v>
      </c>
      <c r="H9" s="393">
        <v>3</v>
      </c>
      <c r="I9" s="625" t="s">
        <v>3921</v>
      </c>
      <c r="J9" s="619" t="s">
        <v>2236</v>
      </c>
      <c r="K9" s="204">
        <v>120810</v>
      </c>
      <c r="L9" s="374"/>
      <c r="M9" s="374"/>
      <c r="N9" s="1267"/>
    </row>
    <row r="10" spans="2:15" ht="15" customHeight="1" outlineLevel="1">
      <c r="C10" s="615">
        <v>4</v>
      </c>
      <c r="D10" s="386" t="s">
        <v>3908</v>
      </c>
      <c r="E10" s="393" t="s">
        <v>3902</v>
      </c>
      <c r="F10" s="624" t="s">
        <v>3908</v>
      </c>
      <c r="G10" s="624" t="s">
        <v>3917</v>
      </c>
      <c r="H10" s="393">
        <v>3</v>
      </c>
      <c r="I10" s="625" t="s">
        <v>3921</v>
      </c>
      <c r="J10" s="619" t="s">
        <v>2236</v>
      </c>
      <c r="K10" s="204">
        <v>500000</v>
      </c>
      <c r="L10" s="374"/>
      <c r="M10" s="374"/>
      <c r="N10" s="1267"/>
    </row>
    <row r="11" spans="2:15" ht="15" customHeight="1" outlineLevel="1">
      <c r="C11" s="615">
        <v>5</v>
      </c>
      <c r="D11" s="386" t="s">
        <v>3909</v>
      </c>
      <c r="E11" s="95" t="s">
        <v>3903</v>
      </c>
      <c r="F11" s="508" t="s">
        <v>3909</v>
      </c>
      <c r="G11" s="508" t="s">
        <v>3918</v>
      </c>
      <c r="H11" s="95">
        <v>3</v>
      </c>
      <c r="I11" s="625" t="s">
        <v>3921</v>
      </c>
      <c r="J11" s="619" t="s">
        <v>2236</v>
      </c>
      <c r="K11" s="44">
        <v>7091</v>
      </c>
      <c r="L11" s="373"/>
      <c r="M11" s="374"/>
      <c r="N11" s="1267"/>
    </row>
    <row r="12" spans="2:15" ht="15" customHeight="1" outlineLevel="1">
      <c r="C12" s="615">
        <v>6</v>
      </c>
      <c r="D12" s="386" t="s">
        <v>3910</v>
      </c>
      <c r="E12" s="95" t="s">
        <v>3904</v>
      </c>
      <c r="F12" s="508" t="s">
        <v>3910</v>
      </c>
      <c r="G12" s="508" t="s">
        <v>3918</v>
      </c>
      <c r="H12" s="95">
        <v>3</v>
      </c>
      <c r="I12" s="625" t="s">
        <v>3921</v>
      </c>
      <c r="J12" s="619" t="s">
        <v>2236</v>
      </c>
      <c r="K12" s="44">
        <v>2370</v>
      </c>
      <c r="L12" s="373"/>
      <c r="M12" s="374"/>
      <c r="N12" s="1267"/>
    </row>
    <row r="13" spans="2:15" ht="15" customHeight="1" outlineLevel="1">
      <c r="C13" s="615">
        <v>7</v>
      </c>
      <c r="D13" s="623" t="s">
        <v>3911</v>
      </c>
      <c r="E13" s="393" t="s">
        <v>3899</v>
      </c>
      <c r="F13" s="624" t="s">
        <v>3911</v>
      </c>
      <c r="G13" s="624" t="s">
        <v>3919</v>
      </c>
      <c r="H13" s="393">
        <v>3</v>
      </c>
      <c r="I13" s="625" t="s">
        <v>3921</v>
      </c>
      <c r="J13" s="619" t="s">
        <v>2236</v>
      </c>
      <c r="K13" s="204">
        <v>24064</v>
      </c>
      <c r="L13" s="374"/>
      <c r="M13" s="374"/>
      <c r="N13" s="1267"/>
    </row>
    <row r="14" spans="2:15" ht="15" customHeight="1" outlineLevel="1">
      <c r="C14" s="615">
        <v>8</v>
      </c>
      <c r="D14" s="623" t="s">
        <v>3912</v>
      </c>
      <c r="E14" s="393" t="s">
        <v>3905</v>
      </c>
      <c r="F14" s="624" t="s">
        <v>3912</v>
      </c>
      <c r="G14" s="624" t="s">
        <v>3920</v>
      </c>
      <c r="H14" s="393">
        <v>3</v>
      </c>
      <c r="I14" s="625" t="s">
        <v>3921</v>
      </c>
      <c r="J14" s="619" t="s">
        <v>2236</v>
      </c>
      <c r="K14" s="204">
        <v>97497</v>
      </c>
      <c r="L14" s="374"/>
      <c r="M14" s="374"/>
      <c r="N14" s="1267"/>
    </row>
    <row r="15" spans="2:15" ht="15" customHeight="1" outlineLevel="1">
      <c r="C15" s="615">
        <v>9</v>
      </c>
      <c r="D15" s="386" t="s">
        <v>3913</v>
      </c>
      <c r="E15" s="95" t="s">
        <v>3905</v>
      </c>
      <c r="F15" s="508" t="s">
        <v>3913</v>
      </c>
      <c r="G15" s="508" t="s">
        <v>3920</v>
      </c>
      <c r="H15" s="95">
        <v>3</v>
      </c>
      <c r="I15" s="625" t="s">
        <v>3921</v>
      </c>
      <c r="J15" s="619" t="s">
        <v>2236</v>
      </c>
      <c r="K15" s="44">
        <v>14175</v>
      </c>
      <c r="L15" s="373"/>
      <c r="M15" s="374"/>
      <c r="N15" s="1267"/>
    </row>
    <row r="16" spans="2:15" ht="15" customHeight="1" outlineLevel="1">
      <c r="C16" s="615">
        <v>10</v>
      </c>
      <c r="D16" s="386" t="s">
        <v>3906</v>
      </c>
      <c r="E16" s="95" t="s">
        <v>3899</v>
      </c>
      <c r="F16" s="508" t="s">
        <v>3906</v>
      </c>
      <c r="G16" s="508" t="s">
        <v>3919</v>
      </c>
      <c r="H16" s="95">
        <v>3</v>
      </c>
      <c r="I16" s="625" t="s">
        <v>3921</v>
      </c>
      <c r="J16" s="619" t="s">
        <v>2236</v>
      </c>
      <c r="K16" s="44">
        <f>167032+73446</f>
        <v>240478</v>
      </c>
      <c r="L16" s="373"/>
      <c r="M16" s="374" t="s">
        <v>4133</v>
      </c>
      <c r="N16" s="1267"/>
    </row>
    <row r="17" spans="3:13" ht="15" customHeight="1" outlineLevel="1">
      <c r="C17" s="615">
        <v>11</v>
      </c>
      <c r="D17" s="386"/>
      <c r="E17" s="393"/>
      <c r="F17" s="624"/>
      <c r="G17" s="624"/>
      <c r="H17" s="393"/>
      <c r="I17" s="625"/>
      <c r="J17" s="619"/>
      <c r="K17" s="204"/>
      <c r="L17" s="374"/>
      <c r="M17" s="374"/>
    </row>
    <row r="18" spans="3:13" ht="15" customHeight="1" outlineLevel="1">
      <c r="C18" s="615">
        <v>12</v>
      </c>
      <c r="D18" s="386"/>
      <c r="E18" s="393"/>
      <c r="F18" s="624"/>
      <c r="G18" s="624"/>
      <c r="H18" s="393"/>
      <c r="I18" s="625"/>
      <c r="J18" s="619"/>
      <c r="K18" s="204"/>
      <c r="L18" s="374"/>
      <c r="M18" s="374"/>
    </row>
    <row r="19" spans="3:13" ht="15" customHeight="1" outlineLevel="1">
      <c r="C19" s="615">
        <v>13</v>
      </c>
      <c r="D19" s="623"/>
      <c r="E19" s="393"/>
      <c r="F19" s="624"/>
      <c r="G19" s="624"/>
      <c r="H19" s="393"/>
      <c r="I19" s="625"/>
      <c r="J19" s="619"/>
      <c r="K19" s="204"/>
      <c r="L19" s="374"/>
      <c r="M19" s="374"/>
    </row>
    <row r="20" spans="3:13" ht="15" customHeight="1" outlineLevel="1">
      <c r="C20" s="779">
        <v>14</v>
      </c>
      <c r="D20" s="386"/>
      <c r="E20" s="95"/>
      <c r="F20" s="508"/>
      <c r="G20" s="508"/>
      <c r="H20" s="95"/>
      <c r="I20" s="625"/>
      <c r="J20" s="619"/>
      <c r="K20" s="44"/>
      <c r="L20" s="373"/>
      <c r="M20" s="374"/>
    </row>
    <row r="21" spans="3:13" ht="15" customHeight="1" outlineLevel="1">
      <c r="C21" s="779">
        <v>15</v>
      </c>
      <c r="D21" s="623"/>
      <c r="E21" s="393"/>
      <c r="F21" s="624"/>
      <c r="G21" s="624"/>
      <c r="H21" s="393"/>
      <c r="I21" s="625"/>
      <c r="J21" s="619"/>
      <c r="K21" s="204"/>
      <c r="L21" s="374"/>
      <c r="M21" s="374"/>
    </row>
    <row r="22" spans="3:13" ht="15" customHeight="1" outlineLevel="1">
      <c r="C22" s="779">
        <v>16</v>
      </c>
      <c r="D22" s="386"/>
      <c r="E22" s="95"/>
      <c r="F22" s="508"/>
      <c r="G22" s="508"/>
      <c r="H22" s="95"/>
      <c r="I22" s="625"/>
      <c r="J22" s="619"/>
      <c r="K22" s="44"/>
      <c r="L22" s="373"/>
      <c r="M22" s="374"/>
    </row>
    <row r="23" spans="3:13" ht="15" customHeight="1" outlineLevel="1">
      <c r="C23" s="779">
        <v>17</v>
      </c>
      <c r="D23" s="623"/>
      <c r="E23" s="393"/>
      <c r="F23" s="624"/>
      <c r="G23" s="624"/>
      <c r="H23" s="393"/>
      <c r="I23" s="625"/>
      <c r="J23" s="619"/>
      <c r="K23" s="204"/>
      <c r="L23" s="374"/>
      <c r="M23" s="374"/>
    </row>
    <row r="24" spans="3:13" ht="15" customHeight="1" outlineLevel="1">
      <c r="C24" s="779">
        <v>18</v>
      </c>
      <c r="D24" s="386"/>
      <c r="E24" s="393"/>
      <c r="F24" s="624"/>
      <c r="G24" s="624"/>
      <c r="H24" s="393"/>
      <c r="I24" s="625"/>
      <c r="J24" s="619"/>
      <c r="K24" s="204"/>
      <c r="L24" s="374"/>
      <c r="M24" s="374"/>
    </row>
    <row r="25" spans="3:13" ht="15" customHeight="1" outlineLevel="1">
      <c r="C25" s="779">
        <v>19</v>
      </c>
      <c r="D25" s="386"/>
      <c r="E25" s="393"/>
      <c r="F25" s="624"/>
      <c r="G25" s="624"/>
      <c r="H25" s="393"/>
      <c r="I25" s="625"/>
      <c r="J25" s="619"/>
      <c r="K25" s="204"/>
      <c r="L25" s="374"/>
      <c r="M25" s="374"/>
    </row>
    <row r="26" spans="3:13" ht="15" customHeight="1" outlineLevel="1" thickBot="1">
      <c r="C26" s="779">
        <v>20</v>
      </c>
      <c r="D26" s="387"/>
      <c r="E26" s="101"/>
      <c r="F26" s="626"/>
      <c r="G26" s="626"/>
      <c r="H26" s="101"/>
      <c r="I26" s="627"/>
      <c r="J26" s="767"/>
      <c r="K26" s="46"/>
      <c r="L26" s="373"/>
      <c r="M26" s="374"/>
    </row>
    <row r="27" spans="3:13" ht="15" customHeight="1" thickBot="1">
      <c r="C27" s="779"/>
      <c r="D27" s="562" t="s">
        <v>432</v>
      </c>
      <c r="E27" s="459"/>
      <c r="F27" s="512"/>
      <c r="G27" s="512"/>
      <c r="H27" s="459"/>
      <c r="I27" s="621"/>
      <c r="J27" s="640"/>
      <c r="K27" s="111">
        <f>SUM(K7:K26)</f>
        <v>1052267</v>
      </c>
      <c r="L27" s="613"/>
      <c r="M27" s="614"/>
    </row>
    <row r="28" spans="3:13" s="315" customFormat="1">
      <c r="C28" s="780"/>
      <c r="D28" s="558"/>
      <c r="E28" s="373"/>
      <c r="F28" s="373"/>
      <c r="G28" s="373"/>
      <c r="H28" s="373"/>
      <c r="I28" s="373"/>
      <c r="J28" s="374"/>
    </row>
    <row r="29" spans="3:13">
      <c r="C29" s="777"/>
    </row>
    <row r="30" spans="3:13">
      <c r="C30" s="1729" t="s">
        <v>1977</v>
      </c>
      <c r="D30" s="1584"/>
      <c r="E30" s="1584"/>
      <c r="F30" s="1584"/>
      <c r="G30" s="1584"/>
    </row>
    <row r="31" spans="3:13" ht="15.75" thickBot="1">
      <c r="C31" s="777"/>
    </row>
    <row r="32" spans="3:13">
      <c r="C32" s="777"/>
      <c r="D32" s="1670"/>
      <c r="E32" s="1686" t="s">
        <v>226</v>
      </c>
      <c r="F32" s="1686" t="s">
        <v>1973</v>
      </c>
      <c r="G32" s="1686" t="s">
        <v>763</v>
      </c>
      <c r="H32" s="1686" t="s">
        <v>764</v>
      </c>
      <c r="I32" s="1686" t="s">
        <v>1974</v>
      </c>
      <c r="J32" s="1686" t="s">
        <v>490</v>
      </c>
      <c r="K32" s="1686" t="s">
        <v>1978</v>
      </c>
      <c r="L32" s="1685"/>
      <c r="M32" s="1685"/>
    </row>
    <row r="33" spans="3:13" ht="54.95" customHeight="1" thickBot="1">
      <c r="C33" s="777"/>
      <c r="D33" s="1674"/>
      <c r="E33" s="1687"/>
      <c r="F33" s="1687"/>
      <c r="G33" s="1687"/>
      <c r="H33" s="1687"/>
      <c r="I33" s="1687"/>
      <c r="J33" s="1687"/>
      <c r="K33" s="1687"/>
      <c r="L33" s="1685"/>
      <c r="M33" s="1685"/>
    </row>
    <row r="34" spans="3:13" ht="15" customHeight="1" outlineLevel="1">
      <c r="C34" s="779">
        <v>1</v>
      </c>
      <c r="D34" s="384" t="s">
        <v>3922</v>
      </c>
      <c r="E34" s="618" t="s">
        <v>3905</v>
      </c>
      <c r="F34" s="617" t="s">
        <v>3922</v>
      </c>
      <c r="G34" s="617" t="s">
        <v>3920</v>
      </c>
      <c r="H34" s="618">
        <v>3</v>
      </c>
      <c r="I34" s="1265" t="s">
        <v>3921</v>
      </c>
      <c r="J34" s="392" t="s">
        <v>2236</v>
      </c>
      <c r="K34" s="622">
        <v>14953</v>
      </c>
      <c r="L34" s="612"/>
      <c r="M34" s="612"/>
    </row>
    <row r="35" spans="3:13" ht="15" customHeight="1" outlineLevel="1">
      <c r="C35" s="779">
        <v>2</v>
      </c>
      <c r="D35" s="623" t="s">
        <v>3924</v>
      </c>
      <c r="E35" s="619" t="s">
        <v>3905</v>
      </c>
      <c r="F35" s="616" t="s">
        <v>3924</v>
      </c>
      <c r="G35" s="624" t="s">
        <v>3920</v>
      </c>
      <c r="H35" s="619">
        <v>3</v>
      </c>
      <c r="I35" s="620" t="s">
        <v>3921</v>
      </c>
      <c r="J35" s="619" t="s">
        <v>2236</v>
      </c>
      <c r="K35" s="611">
        <v>47164</v>
      </c>
      <c r="L35" s="372"/>
      <c r="M35" s="372"/>
    </row>
    <row r="36" spans="3:13" ht="15" customHeight="1" outlineLevel="1">
      <c r="C36" s="779">
        <v>3</v>
      </c>
      <c r="D36" s="623" t="s">
        <v>3925</v>
      </c>
      <c r="E36" s="393" t="s">
        <v>3905</v>
      </c>
      <c r="F36" s="624" t="s">
        <v>3925</v>
      </c>
      <c r="G36" s="624" t="s">
        <v>3920</v>
      </c>
      <c r="H36" s="393">
        <v>3</v>
      </c>
      <c r="I36" s="625" t="s">
        <v>3921</v>
      </c>
      <c r="J36" s="619" t="s">
        <v>2236</v>
      </c>
      <c r="K36" s="204">
        <v>20499</v>
      </c>
      <c r="L36" s="374"/>
      <c r="M36" s="374"/>
    </row>
    <row r="37" spans="3:13" ht="15" customHeight="1" outlineLevel="1">
      <c r="C37" s="779">
        <v>4</v>
      </c>
      <c r="D37" s="386" t="s">
        <v>3927</v>
      </c>
      <c r="E37" s="393" t="s">
        <v>3905</v>
      </c>
      <c r="F37" s="624" t="s">
        <v>3927</v>
      </c>
      <c r="G37" s="624" t="s">
        <v>3920</v>
      </c>
      <c r="H37" s="393">
        <v>3</v>
      </c>
      <c r="I37" s="625" t="s">
        <v>3921</v>
      </c>
      <c r="J37" s="619" t="s">
        <v>2236</v>
      </c>
      <c r="K37" s="204">
        <v>68335</v>
      </c>
      <c r="L37" s="374"/>
      <c r="M37" s="374"/>
    </row>
    <row r="38" spans="3:13" ht="15" customHeight="1" outlineLevel="1">
      <c r="C38" s="779">
        <v>5</v>
      </c>
      <c r="D38" s="386" t="s">
        <v>3911</v>
      </c>
      <c r="E38" s="95" t="s">
        <v>3905</v>
      </c>
      <c r="F38" s="508" t="s">
        <v>3911</v>
      </c>
      <c r="G38" s="508" t="s">
        <v>3920</v>
      </c>
      <c r="H38" s="95">
        <v>3</v>
      </c>
      <c r="I38" s="625" t="s">
        <v>3921</v>
      </c>
      <c r="J38" s="619" t="s">
        <v>2236</v>
      </c>
      <c r="K38" s="44">
        <v>72362</v>
      </c>
      <c r="L38" s="373"/>
      <c r="M38" s="374"/>
    </row>
    <row r="39" spans="3:13" ht="15" customHeight="1" outlineLevel="1">
      <c r="C39" s="779">
        <v>6</v>
      </c>
      <c r="D39" s="386" t="s">
        <v>3906</v>
      </c>
      <c r="E39" s="95" t="s">
        <v>3905</v>
      </c>
      <c r="F39" s="508" t="s">
        <v>3906</v>
      </c>
      <c r="G39" s="508" t="s">
        <v>3920</v>
      </c>
      <c r="H39" s="95">
        <v>3</v>
      </c>
      <c r="I39" s="625" t="s">
        <v>3921</v>
      </c>
      <c r="J39" s="619" t="s">
        <v>2236</v>
      </c>
      <c r="K39" s="44">
        <f>902726-73772</f>
        <v>828954</v>
      </c>
      <c r="L39" s="373"/>
      <c r="M39" s="131" t="s">
        <v>4133</v>
      </c>
    </row>
    <row r="40" spans="3:13" ht="15" customHeight="1" outlineLevel="1">
      <c r="C40" s="779">
        <v>7</v>
      </c>
      <c r="D40" s="623"/>
      <c r="E40" s="393"/>
      <c r="F40" s="624"/>
      <c r="G40" s="624"/>
      <c r="H40" s="393"/>
      <c r="I40" s="625"/>
      <c r="J40" s="619"/>
      <c r="K40" s="204"/>
      <c r="L40" s="374"/>
      <c r="M40" s="374"/>
    </row>
    <row r="41" spans="3:13" ht="15" customHeight="1" outlineLevel="1">
      <c r="C41" s="779">
        <v>8</v>
      </c>
      <c r="D41" s="623"/>
      <c r="E41" s="393"/>
      <c r="F41" s="624"/>
      <c r="G41" s="624"/>
      <c r="H41" s="393"/>
      <c r="I41" s="625"/>
      <c r="J41" s="619"/>
      <c r="K41" s="204"/>
      <c r="L41" s="374"/>
      <c r="M41" s="374"/>
    </row>
    <row r="42" spans="3:13" ht="15" customHeight="1" outlineLevel="1">
      <c r="C42" s="779">
        <v>9</v>
      </c>
      <c r="D42" s="386"/>
      <c r="E42" s="95"/>
      <c r="F42" s="508"/>
      <c r="G42" s="508"/>
      <c r="H42" s="95"/>
      <c r="I42" s="625"/>
      <c r="J42" s="619"/>
      <c r="K42" s="44"/>
      <c r="L42" s="373"/>
      <c r="M42" s="374"/>
    </row>
    <row r="43" spans="3:13" ht="15" customHeight="1" outlineLevel="1">
      <c r="C43" s="779">
        <v>10</v>
      </c>
      <c r="D43" s="386"/>
      <c r="E43" s="95"/>
      <c r="F43" s="508"/>
      <c r="G43" s="508"/>
      <c r="H43" s="95"/>
      <c r="I43" s="625"/>
      <c r="J43" s="619"/>
      <c r="K43" s="44"/>
      <c r="L43" s="373"/>
      <c r="M43" s="374"/>
    </row>
    <row r="44" spans="3:13" ht="15" customHeight="1" outlineLevel="1">
      <c r="C44" s="779">
        <v>11</v>
      </c>
      <c r="D44" s="386"/>
      <c r="E44" s="393"/>
      <c r="F44" s="624"/>
      <c r="G44" s="624"/>
      <c r="H44" s="393"/>
      <c r="I44" s="625"/>
      <c r="J44" s="619"/>
      <c r="K44" s="204"/>
      <c r="L44" s="374"/>
      <c r="M44" s="374"/>
    </row>
    <row r="45" spans="3:13" ht="15" customHeight="1" outlineLevel="1">
      <c r="C45" s="779">
        <v>12</v>
      </c>
      <c r="D45" s="386"/>
      <c r="E45" s="393"/>
      <c r="F45" s="624"/>
      <c r="G45" s="624"/>
      <c r="H45" s="393"/>
      <c r="I45" s="625"/>
      <c r="J45" s="619"/>
      <c r="K45" s="204"/>
      <c r="L45" s="374"/>
      <c r="M45" s="374"/>
    </row>
    <row r="46" spans="3:13" ht="15" customHeight="1" outlineLevel="1">
      <c r="C46" s="779">
        <v>13</v>
      </c>
      <c r="D46" s="623"/>
      <c r="E46" s="393"/>
      <c r="F46" s="624"/>
      <c r="G46" s="624"/>
      <c r="H46" s="393"/>
      <c r="I46" s="625"/>
      <c r="J46" s="619"/>
      <c r="K46" s="204"/>
      <c r="L46" s="374"/>
      <c r="M46" s="374"/>
    </row>
    <row r="47" spans="3:13" ht="15" customHeight="1" outlineLevel="1">
      <c r="C47" s="779">
        <v>14</v>
      </c>
      <c r="D47" s="386"/>
      <c r="E47" s="95"/>
      <c r="F47" s="508"/>
      <c r="G47" s="508"/>
      <c r="H47" s="95"/>
      <c r="I47" s="625"/>
      <c r="J47" s="619"/>
      <c r="K47" s="44"/>
      <c r="L47" s="373"/>
      <c r="M47" s="374"/>
    </row>
    <row r="48" spans="3:13" ht="15" customHeight="1" outlineLevel="1">
      <c r="C48" s="779">
        <v>15</v>
      </c>
      <c r="D48" s="623"/>
      <c r="E48" s="393"/>
      <c r="F48" s="624"/>
      <c r="G48" s="624"/>
      <c r="H48" s="393"/>
      <c r="I48" s="625"/>
      <c r="J48" s="619"/>
      <c r="K48" s="204"/>
      <c r="L48" s="374"/>
      <c r="M48" s="374"/>
    </row>
    <row r="49" spans="3:17" ht="15" customHeight="1" outlineLevel="1">
      <c r="C49" s="779">
        <v>16</v>
      </c>
      <c r="D49" s="386"/>
      <c r="E49" s="95"/>
      <c r="F49" s="508"/>
      <c r="G49" s="508"/>
      <c r="H49" s="95"/>
      <c r="I49" s="625"/>
      <c r="J49" s="619"/>
      <c r="K49" s="44"/>
      <c r="L49" s="373"/>
      <c r="M49" s="374"/>
    </row>
    <row r="50" spans="3:17" ht="15" customHeight="1" outlineLevel="1">
      <c r="C50" s="779">
        <v>17</v>
      </c>
      <c r="D50" s="623"/>
      <c r="E50" s="393"/>
      <c r="F50" s="624"/>
      <c r="G50" s="624"/>
      <c r="H50" s="393"/>
      <c r="I50" s="625"/>
      <c r="J50" s="619"/>
      <c r="K50" s="204"/>
      <c r="L50" s="374"/>
      <c r="M50" s="374"/>
    </row>
    <row r="51" spans="3:17" ht="15" customHeight="1" outlineLevel="1">
      <c r="C51" s="779">
        <v>18</v>
      </c>
      <c r="D51" s="386"/>
      <c r="E51" s="393"/>
      <c r="F51" s="624"/>
      <c r="G51" s="624"/>
      <c r="H51" s="393"/>
      <c r="I51" s="625"/>
      <c r="J51" s="619"/>
      <c r="K51" s="204"/>
      <c r="L51" s="374"/>
      <c r="M51" s="374"/>
    </row>
    <row r="52" spans="3:17" ht="15" customHeight="1" outlineLevel="1">
      <c r="C52" s="779">
        <v>19</v>
      </c>
      <c r="D52" s="386"/>
      <c r="E52" s="393"/>
      <c r="F52" s="624"/>
      <c r="G52" s="624"/>
      <c r="H52" s="393"/>
      <c r="I52" s="625"/>
      <c r="J52" s="619"/>
      <c r="K52" s="204"/>
      <c r="L52" s="374"/>
      <c r="M52" s="374"/>
    </row>
    <row r="53" spans="3:17" ht="15" customHeight="1" outlineLevel="1" thickBot="1">
      <c r="C53" s="779">
        <v>20</v>
      </c>
      <c r="D53" s="387"/>
      <c r="E53" s="101"/>
      <c r="F53" s="626"/>
      <c r="G53" s="626"/>
      <c r="H53" s="101"/>
      <c r="I53" s="627"/>
      <c r="J53" s="767"/>
      <c r="K53" s="46"/>
      <c r="L53" s="373"/>
      <c r="M53" s="374"/>
    </row>
    <row r="54" spans="3:17" ht="15" customHeight="1" thickBot="1">
      <c r="C54" s="779"/>
      <c r="D54" s="562" t="s">
        <v>432</v>
      </c>
      <c r="E54" s="459"/>
      <c r="F54" s="512"/>
      <c r="G54" s="512"/>
      <c r="H54" s="459"/>
      <c r="I54" s="621"/>
      <c r="J54" s="639"/>
      <c r="K54" s="111">
        <f>SUM(K34:K53)</f>
        <v>1125711</v>
      </c>
      <c r="L54" s="613"/>
      <c r="M54" s="614"/>
    </row>
    <row r="55" spans="3:17">
      <c r="C55" s="777"/>
    </row>
    <row r="56" spans="3:17">
      <c r="C56" s="777"/>
    </row>
    <row r="57" spans="3:17">
      <c r="C57" s="1729" t="s">
        <v>1979</v>
      </c>
      <c r="D57" s="1584"/>
      <c r="E57" s="1584"/>
      <c r="F57" s="1584"/>
      <c r="G57" s="1584"/>
    </row>
    <row r="58" spans="3:17" ht="15.75" thickBot="1">
      <c r="C58" s="777"/>
    </row>
    <row r="59" spans="3:17" ht="15" customHeight="1">
      <c r="C59" s="777"/>
      <c r="D59" s="1686" t="s">
        <v>1980</v>
      </c>
      <c r="E59" s="1686" t="s">
        <v>226</v>
      </c>
      <c r="F59" s="1686" t="s">
        <v>552</v>
      </c>
      <c r="G59" s="1569" t="s">
        <v>765</v>
      </c>
      <c r="H59" s="1569" t="s">
        <v>766</v>
      </c>
      <c r="I59" s="1569" t="s">
        <v>490</v>
      </c>
      <c r="J59" s="1569" t="s">
        <v>1974</v>
      </c>
      <c r="K59" s="1569" t="s">
        <v>767</v>
      </c>
      <c r="L59" s="1569" t="s">
        <v>768</v>
      </c>
      <c r="M59" s="1569" t="s">
        <v>768</v>
      </c>
    </row>
    <row r="60" spans="3:17" ht="54.95" customHeight="1" thickBot="1">
      <c r="C60" s="777"/>
      <c r="D60" s="1687"/>
      <c r="E60" s="1687"/>
      <c r="F60" s="1687"/>
      <c r="G60" s="1570"/>
      <c r="H60" s="1570"/>
      <c r="I60" s="1570"/>
      <c r="J60" s="1570"/>
      <c r="K60" s="1570"/>
      <c r="L60" s="1570"/>
      <c r="M60" s="1570"/>
    </row>
    <row r="61" spans="3:17" ht="15" customHeight="1" outlineLevel="1">
      <c r="C61" s="779">
        <v>1</v>
      </c>
      <c r="D61" s="384" t="s">
        <v>3923</v>
      </c>
      <c r="E61" s="618" t="s">
        <v>3905</v>
      </c>
      <c r="F61" s="610" t="s">
        <v>2215</v>
      </c>
      <c r="G61" s="617" t="s">
        <v>3930</v>
      </c>
      <c r="H61" s="618" t="s">
        <v>3931</v>
      </c>
      <c r="I61" s="619" t="s">
        <v>2236</v>
      </c>
      <c r="J61" s="618" t="s">
        <v>3937</v>
      </c>
      <c r="K61" s="622">
        <v>-16241</v>
      </c>
      <c r="L61" s="628">
        <v>-16241</v>
      </c>
      <c r="M61" s="622"/>
      <c r="P61" s="192"/>
      <c r="Q61" s="192"/>
    </row>
    <row r="62" spans="3:17" ht="15" customHeight="1" outlineLevel="1">
      <c r="C62" s="779">
        <v>2</v>
      </c>
      <c r="D62" s="623" t="s">
        <v>3922</v>
      </c>
      <c r="E62" s="619" t="s">
        <v>3905</v>
      </c>
      <c r="F62" s="620" t="s">
        <v>2215</v>
      </c>
      <c r="G62" s="616" t="s">
        <v>3930</v>
      </c>
      <c r="H62" s="619" t="s">
        <v>3931</v>
      </c>
      <c r="I62" s="619" t="s">
        <v>2236</v>
      </c>
      <c r="J62" s="619" t="s">
        <v>3937</v>
      </c>
      <c r="K62" s="611">
        <v>-14953</v>
      </c>
      <c r="L62" s="567">
        <v>-14953</v>
      </c>
      <c r="M62" s="611"/>
      <c r="P62" s="192"/>
      <c r="Q62" s="192"/>
    </row>
    <row r="63" spans="3:17" ht="15" customHeight="1" outlineLevel="1">
      <c r="C63" s="779">
        <v>3</v>
      </c>
      <c r="D63" s="623" t="s">
        <v>3912</v>
      </c>
      <c r="E63" s="393" t="s">
        <v>3905</v>
      </c>
      <c r="F63" s="625" t="s">
        <v>1992</v>
      </c>
      <c r="G63" s="624" t="s">
        <v>3930</v>
      </c>
      <c r="H63" s="393" t="s">
        <v>3932</v>
      </c>
      <c r="I63" s="619" t="s">
        <v>2236</v>
      </c>
      <c r="J63" s="393" t="s">
        <v>3937</v>
      </c>
      <c r="K63" s="204">
        <v>98081</v>
      </c>
      <c r="L63" s="58">
        <v>98081</v>
      </c>
      <c r="M63" s="204"/>
      <c r="P63" s="192"/>
      <c r="Q63" s="192"/>
    </row>
    <row r="64" spans="3:17" ht="15" customHeight="1" outlineLevel="1">
      <c r="C64" s="779">
        <v>4</v>
      </c>
      <c r="D64" s="386" t="s">
        <v>3924</v>
      </c>
      <c r="E64" s="393" t="s">
        <v>3905</v>
      </c>
      <c r="F64" s="625" t="s">
        <v>1992</v>
      </c>
      <c r="G64" s="624" t="s">
        <v>3930</v>
      </c>
      <c r="H64" s="393" t="s">
        <v>3931</v>
      </c>
      <c r="I64" s="619" t="s">
        <v>2236</v>
      </c>
      <c r="J64" s="393" t="s">
        <v>3937</v>
      </c>
      <c r="K64" s="204">
        <v>-148331</v>
      </c>
      <c r="L64" s="58">
        <v>-148612</v>
      </c>
      <c r="M64" s="204"/>
      <c r="P64" s="192"/>
      <c r="Q64" s="192"/>
    </row>
    <row r="65" spans="3:17" ht="15" customHeight="1" outlineLevel="1">
      <c r="C65" s="779">
        <v>5</v>
      </c>
      <c r="D65" s="386" t="s">
        <v>3925</v>
      </c>
      <c r="E65" s="95" t="s">
        <v>3905</v>
      </c>
      <c r="F65" s="505" t="s">
        <v>1992</v>
      </c>
      <c r="G65" s="508" t="s">
        <v>3930</v>
      </c>
      <c r="H65" s="95" t="s">
        <v>3931</v>
      </c>
      <c r="I65" s="619" t="s">
        <v>2236</v>
      </c>
      <c r="J65" s="95" t="s">
        <v>3937</v>
      </c>
      <c r="K65" s="44">
        <v>-61894</v>
      </c>
      <c r="L65" s="43">
        <v>-61716</v>
      </c>
      <c r="M65" s="44"/>
      <c r="P65" s="192"/>
      <c r="Q65" s="192"/>
    </row>
    <row r="66" spans="3:17" ht="15" customHeight="1" outlineLevel="1">
      <c r="C66" s="779">
        <v>6</v>
      </c>
      <c r="D66" s="386" t="s">
        <v>3913</v>
      </c>
      <c r="E66" s="95" t="s">
        <v>3905</v>
      </c>
      <c r="F66" s="505" t="s">
        <v>2013</v>
      </c>
      <c r="G66" s="508" t="s">
        <v>3930</v>
      </c>
      <c r="H66" s="95" t="s">
        <v>3931</v>
      </c>
      <c r="I66" s="619" t="s">
        <v>2236</v>
      </c>
      <c r="J66" s="95" t="s">
        <v>3937</v>
      </c>
      <c r="K66" s="44">
        <v>14669</v>
      </c>
      <c r="L66" s="43">
        <v>17014</v>
      </c>
      <c r="M66" s="44"/>
      <c r="P66" s="192"/>
      <c r="Q66" s="192"/>
    </row>
    <row r="67" spans="3:17" ht="15" customHeight="1" outlineLevel="1">
      <c r="C67" s="779">
        <v>7</v>
      </c>
      <c r="D67" s="623" t="s">
        <v>3927</v>
      </c>
      <c r="E67" s="393" t="s">
        <v>3905</v>
      </c>
      <c r="F67" s="625" t="s">
        <v>2025</v>
      </c>
      <c r="G67" s="624" t="s">
        <v>3930</v>
      </c>
      <c r="H67" s="393" t="s">
        <v>3931</v>
      </c>
      <c r="I67" s="619" t="s">
        <v>2236</v>
      </c>
      <c r="J67" s="393" t="s">
        <v>3937</v>
      </c>
      <c r="K67" s="204">
        <v>-68335</v>
      </c>
      <c r="L67" s="58">
        <v>-68335</v>
      </c>
      <c r="M67" s="204"/>
      <c r="P67" s="192"/>
      <c r="Q67" s="192"/>
    </row>
    <row r="68" spans="3:17" ht="15" customHeight="1" outlineLevel="1">
      <c r="C68" s="779">
        <v>8</v>
      </c>
      <c r="D68" s="623" t="s">
        <v>3908</v>
      </c>
      <c r="E68" s="393" t="s">
        <v>3902</v>
      </c>
      <c r="F68" s="625" t="s">
        <v>2028</v>
      </c>
      <c r="G68" s="624" t="s">
        <v>3930</v>
      </c>
      <c r="H68" s="393" t="s">
        <v>3933</v>
      </c>
      <c r="I68" s="619" t="s">
        <v>2236</v>
      </c>
      <c r="J68" s="393" t="s">
        <v>3937</v>
      </c>
      <c r="K68" s="204">
        <v>500000</v>
      </c>
      <c r="L68" s="58">
        <v>0</v>
      </c>
      <c r="M68" s="204"/>
      <c r="P68" s="192"/>
      <c r="Q68" s="192"/>
    </row>
    <row r="69" spans="3:17" ht="15" customHeight="1" outlineLevel="1">
      <c r="C69" s="779">
        <v>9</v>
      </c>
      <c r="D69" s="386" t="s">
        <v>3926</v>
      </c>
      <c r="E69" s="95" t="s">
        <v>3929</v>
      </c>
      <c r="F69" s="505" t="s">
        <v>2028</v>
      </c>
      <c r="G69" s="508" t="s">
        <v>3930</v>
      </c>
      <c r="H69" s="95" t="s">
        <v>3934</v>
      </c>
      <c r="I69" s="619" t="s">
        <v>2236</v>
      </c>
      <c r="J69" s="95" t="s">
        <v>3937</v>
      </c>
      <c r="K69" s="44">
        <v>13738</v>
      </c>
      <c r="L69" s="43">
        <v>11998</v>
      </c>
      <c r="M69" s="44"/>
      <c r="P69" s="192"/>
      <c r="Q69" s="192"/>
    </row>
    <row r="70" spans="3:17" ht="15" customHeight="1" outlineLevel="1">
      <c r="C70" s="779">
        <v>10</v>
      </c>
      <c r="D70" s="386" t="s">
        <v>3734</v>
      </c>
      <c r="E70" s="95" t="s">
        <v>3900</v>
      </c>
      <c r="F70" s="505" t="s">
        <v>2028</v>
      </c>
      <c r="G70" s="508" t="s">
        <v>3930</v>
      </c>
      <c r="H70" s="95" t="s">
        <v>3915</v>
      </c>
      <c r="I70" s="619" t="s">
        <v>2236</v>
      </c>
      <c r="J70" s="95" t="s">
        <v>3937</v>
      </c>
      <c r="K70" s="44">
        <v>403722</v>
      </c>
      <c r="L70" s="43">
        <v>403722</v>
      </c>
      <c r="M70" s="44"/>
      <c r="P70" s="192"/>
      <c r="Q70" s="192"/>
    </row>
    <row r="71" spans="3:17" ht="15" customHeight="1" outlineLevel="1">
      <c r="C71" s="779">
        <v>11</v>
      </c>
      <c r="D71" s="386" t="s">
        <v>3736</v>
      </c>
      <c r="E71" s="393" t="s">
        <v>3901</v>
      </c>
      <c r="F71" s="625" t="s">
        <v>2028</v>
      </c>
      <c r="G71" s="624" t="s">
        <v>3930</v>
      </c>
      <c r="H71" s="393" t="s">
        <v>3935</v>
      </c>
      <c r="I71" s="619" t="s">
        <v>2236</v>
      </c>
      <c r="J71" s="393" t="s">
        <v>3937</v>
      </c>
      <c r="K71" s="204">
        <v>17525</v>
      </c>
      <c r="L71" s="58">
        <v>22129</v>
      </c>
      <c r="M71" s="204"/>
      <c r="P71" s="192"/>
      <c r="Q71" s="192"/>
    </row>
    <row r="72" spans="3:17" ht="15" customHeight="1" outlineLevel="1">
      <c r="C72" s="779">
        <v>12</v>
      </c>
      <c r="D72" s="386" t="s">
        <v>3928</v>
      </c>
      <c r="E72" s="393" t="s">
        <v>3730</v>
      </c>
      <c r="F72" s="625" t="s">
        <v>2028</v>
      </c>
      <c r="G72" s="624" t="s">
        <v>3930</v>
      </c>
      <c r="H72" s="393" t="s">
        <v>3935</v>
      </c>
      <c r="I72" s="619" t="s">
        <v>2236</v>
      </c>
      <c r="J72" s="393" t="s">
        <v>3937</v>
      </c>
      <c r="K72" s="204">
        <v>28439</v>
      </c>
      <c r="L72" s="58">
        <v>28439</v>
      </c>
      <c r="M72" s="204"/>
      <c r="P72" s="192"/>
      <c r="Q72" s="192"/>
    </row>
    <row r="73" spans="3:17" ht="15" customHeight="1" outlineLevel="1">
      <c r="C73" s="779">
        <v>13</v>
      </c>
      <c r="D73" s="623" t="s">
        <v>3909</v>
      </c>
      <c r="E73" s="393" t="s">
        <v>3903</v>
      </c>
      <c r="F73" s="625" t="s">
        <v>2028</v>
      </c>
      <c r="G73" s="624" t="s">
        <v>3930</v>
      </c>
      <c r="H73" s="393" t="s">
        <v>3932</v>
      </c>
      <c r="I73" s="619" t="s">
        <v>2236</v>
      </c>
      <c r="J73" s="393" t="s">
        <v>3937</v>
      </c>
      <c r="K73" s="204">
        <v>7091</v>
      </c>
      <c r="L73" s="58">
        <v>7091</v>
      </c>
      <c r="M73" s="204"/>
      <c r="P73" s="192"/>
      <c r="Q73" s="192"/>
    </row>
    <row r="74" spans="3:17" ht="15" customHeight="1" outlineLevel="1">
      <c r="C74" s="779">
        <v>14</v>
      </c>
      <c r="D74" s="386" t="s">
        <v>3910</v>
      </c>
      <c r="E74" s="95" t="s">
        <v>3904</v>
      </c>
      <c r="F74" s="505" t="s">
        <v>2028</v>
      </c>
      <c r="G74" s="508" t="s">
        <v>3930</v>
      </c>
      <c r="H74" s="95" t="s">
        <v>3931</v>
      </c>
      <c r="I74" s="619" t="s">
        <v>2236</v>
      </c>
      <c r="J74" s="95" t="s">
        <v>3937</v>
      </c>
      <c r="K74" s="44">
        <v>7091</v>
      </c>
      <c r="L74" s="43">
        <v>7091</v>
      </c>
      <c r="M74" s="44"/>
      <c r="P74" s="192"/>
      <c r="Q74" s="192"/>
    </row>
    <row r="75" spans="3:17" ht="15" customHeight="1" outlineLevel="1">
      <c r="C75" s="779">
        <v>15</v>
      </c>
      <c r="D75" s="623" t="s">
        <v>3911</v>
      </c>
      <c r="E75" s="393" t="s">
        <v>3905</v>
      </c>
      <c r="F75" s="625" t="s">
        <v>2025</v>
      </c>
      <c r="G75" s="624" t="s">
        <v>3930</v>
      </c>
      <c r="H75" s="393" t="s">
        <v>3936</v>
      </c>
      <c r="I75" s="619" t="s">
        <v>2236</v>
      </c>
      <c r="J75" s="393" t="s">
        <v>3937</v>
      </c>
      <c r="K75" s="204">
        <v>-66958</v>
      </c>
      <c r="L75" s="58">
        <v>-66958</v>
      </c>
      <c r="M75" s="204"/>
      <c r="P75" s="192"/>
      <c r="Q75" s="192"/>
    </row>
    <row r="76" spans="3:17" ht="15" customHeight="1" outlineLevel="1">
      <c r="C76" s="779">
        <v>16</v>
      </c>
      <c r="D76" s="386" t="s">
        <v>3906</v>
      </c>
      <c r="E76" s="95" t="s">
        <v>3905</v>
      </c>
      <c r="F76" s="505" t="s">
        <v>2025</v>
      </c>
      <c r="G76" s="508" t="s">
        <v>3930</v>
      </c>
      <c r="H76" s="95" t="s">
        <v>3936</v>
      </c>
      <c r="I76" s="619" t="s">
        <v>2236</v>
      </c>
      <c r="J76" s="95" t="s">
        <v>3937</v>
      </c>
      <c r="K76" s="44">
        <v>-349126</v>
      </c>
      <c r="L76" s="43">
        <v>-348725</v>
      </c>
      <c r="M76" s="44"/>
      <c r="P76" s="192"/>
      <c r="Q76" s="192"/>
    </row>
    <row r="77" spans="3:17" ht="15" customHeight="1" outlineLevel="1">
      <c r="C77" s="779">
        <v>17</v>
      </c>
      <c r="D77" s="623"/>
      <c r="E77" s="393"/>
      <c r="F77" s="625"/>
      <c r="G77" s="624"/>
      <c r="H77" s="393"/>
      <c r="I77" s="619"/>
      <c r="J77" s="393"/>
      <c r="K77" s="204"/>
      <c r="L77" s="58"/>
      <c r="M77" s="204"/>
    </row>
    <row r="78" spans="3:17" ht="15" customHeight="1" outlineLevel="1">
      <c r="C78" s="779">
        <v>18</v>
      </c>
      <c r="D78" s="386"/>
      <c r="E78" s="393"/>
      <c r="F78" s="625"/>
      <c r="G78" s="624"/>
      <c r="H78" s="393"/>
      <c r="I78" s="619"/>
      <c r="J78" s="393"/>
      <c r="K78" s="204"/>
      <c r="L78" s="58"/>
      <c r="M78" s="204"/>
    </row>
    <row r="79" spans="3:17" ht="15" customHeight="1" outlineLevel="1">
      <c r="C79" s="779">
        <v>19</v>
      </c>
      <c r="D79" s="386"/>
      <c r="E79" s="393"/>
      <c r="F79" s="625"/>
      <c r="G79" s="624"/>
      <c r="H79" s="393"/>
      <c r="I79" s="619"/>
      <c r="J79" s="393"/>
      <c r="K79" s="204"/>
      <c r="L79" s="58"/>
      <c r="M79" s="204"/>
    </row>
    <row r="80" spans="3:17" ht="15" customHeight="1" outlineLevel="1" thickBot="1">
      <c r="C80" s="779">
        <v>20</v>
      </c>
      <c r="D80" s="387"/>
      <c r="E80" s="101"/>
      <c r="F80" s="629"/>
      <c r="G80" s="626"/>
      <c r="H80" s="101"/>
      <c r="I80" s="619"/>
      <c r="J80" s="101"/>
      <c r="K80" s="46"/>
      <c r="L80" s="45"/>
      <c r="M80" s="46"/>
    </row>
    <row r="81" spans="3:14" ht="15" customHeight="1" thickBot="1">
      <c r="C81" s="779"/>
      <c r="D81" s="562" t="s">
        <v>432</v>
      </c>
      <c r="E81" s="459"/>
      <c r="F81" s="512"/>
      <c r="G81" s="512"/>
      <c r="H81" s="459"/>
      <c r="I81" s="621"/>
      <c r="J81" s="639"/>
      <c r="K81" s="111">
        <f>SUM(K61:K80)</f>
        <v>364518</v>
      </c>
      <c r="L81" s="111">
        <f t="shared" ref="L81:M81" si="0">SUM(L61:L80)</f>
        <v>-129975</v>
      </c>
      <c r="M81" s="111">
        <f t="shared" si="0"/>
        <v>0</v>
      </c>
    </row>
    <row r="82" spans="3:14">
      <c r="C82" s="777"/>
    </row>
    <row r="83" spans="3:14">
      <c r="C83" s="777"/>
    </row>
    <row r="84" spans="3:14">
      <c r="C84" s="1729" t="s">
        <v>1981</v>
      </c>
      <c r="D84" s="1584"/>
      <c r="E84" s="1584"/>
      <c r="F84" s="1584"/>
      <c r="G84" s="1584"/>
    </row>
    <row r="85" spans="3:14" ht="15.75" thickBot="1">
      <c r="C85" s="777"/>
    </row>
    <row r="86" spans="3:14" ht="15" customHeight="1">
      <c r="C86" s="777"/>
      <c r="D86" s="1686"/>
      <c r="E86" s="1686" t="s">
        <v>773</v>
      </c>
      <c r="F86" s="1686" t="s">
        <v>774</v>
      </c>
      <c r="G86" s="1569" t="s">
        <v>775</v>
      </c>
      <c r="H86" s="1569" t="s">
        <v>776</v>
      </c>
      <c r="I86" s="1569" t="s">
        <v>604</v>
      </c>
      <c r="J86" s="1569" t="s">
        <v>432</v>
      </c>
      <c r="K86" s="1685"/>
      <c r="L86" s="1685"/>
      <c r="M86" s="1685"/>
    </row>
    <row r="87" spans="3:14" ht="54.95" customHeight="1" thickBot="1">
      <c r="C87" s="777"/>
      <c r="D87" s="1687"/>
      <c r="E87" s="1687"/>
      <c r="F87" s="1687"/>
      <c r="G87" s="1570"/>
      <c r="H87" s="1570"/>
      <c r="I87" s="1570"/>
      <c r="J87" s="1570"/>
      <c r="K87" s="1685"/>
      <c r="L87" s="1685"/>
      <c r="M87" s="1685"/>
    </row>
    <row r="88" spans="3:14" ht="15" customHeight="1">
      <c r="C88" s="779"/>
      <c r="D88" s="384" t="s">
        <v>770</v>
      </c>
      <c r="E88" s="628"/>
      <c r="F88" s="628">
        <v>19312</v>
      </c>
      <c r="G88" s="628"/>
      <c r="H88" s="628"/>
      <c r="I88" s="628"/>
      <c r="J88" s="637">
        <f>SUM(E88:I88)</f>
        <v>19312</v>
      </c>
      <c r="K88" s="630"/>
      <c r="L88" s="1485" t="s">
        <v>4143</v>
      </c>
      <c r="M88" s="630"/>
    </row>
    <row r="89" spans="3:14" ht="15" customHeight="1">
      <c r="C89" s="779"/>
      <c r="D89" s="623" t="s">
        <v>771</v>
      </c>
      <c r="E89" s="567"/>
      <c r="F89" s="567"/>
      <c r="G89" s="567"/>
      <c r="H89" s="567"/>
      <c r="I89" s="567"/>
      <c r="J89" s="305">
        <f t="shared" ref="J89:J91" si="1">SUM(E89:I89)</f>
        <v>0</v>
      </c>
      <c r="K89" s="372"/>
      <c r="L89" s="372"/>
      <c r="M89" s="372"/>
    </row>
    <row r="90" spans="3:14" ht="15" customHeight="1">
      <c r="C90" s="779"/>
      <c r="D90" s="623" t="s">
        <v>772</v>
      </c>
      <c r="E90" s="58">
        <v>519481</v>
      </c>
      <c r="F90" s="58"/>
      <c r="G90" s="58"/>
      <c r="H90" s="58"/>
      <c r="I90" s="58">
        <v>430246</v>
      </c>
      <c r="J90" s="62">
        <f t="shared" si="1"/>
        <v>949727</v>
      </c>
      <c r="K90" s="374"/>
      <c r="L90" s="374"/>
      <c r="M90" s="374"/>
    </row>
    <row r="91" spans="3:14" ht="15" customHeight="1" thickBot="1">
      <c r="C91" s="779"/>
      <c r="D91" s="631" t="s">
        <v>604</v>
      </c>
      <c r="E91" s="376">
        <v>264661</v>
      </c>
      <c r="F91" s="376"/>
      <c r="G91" s="376"/>
      <c r="H91" s="376"/>
      <c r="I91" s="376">
        <v>130161</v>
      </c>
      <c r="J91" s="638">
        <f t="shared" si="1"/>
        <v>394822</v>
      </c>
      <c r="K91" s="374"/>
      <c r="L91" s="374"/>
      <c r="M91" s="374"/>
    </row>
    <row r="92" spans="3:14" s="146" customFormat="1" ht="15" customHeight="1" thickBot="1">
      <c r="C92" s="781"/>
      <c r="D92" s="636" t="s">
        <v>769</v>
      </c>
      <c r="E92" s="1483">
        <f>SUM(E88:E91)</f>
        <v>784142</v>
      </c>
      <c r="F92" s="1483">
        <f t="shared" ref="F92:J92" si="2">SUM(F88:F91)</f>
        <v>19312</v>
      </c>
      <c r="G92" s="1483">
        <f t="shared" si="2"/>
        <v>0</v>
      </c>
      <c r="H92" s="1483">
        <f t="shared" si="2"/>
        <v>0</v>
      </c>
      <c r="I92" s="1483">
        <f t="shared" si="2"/>
        <v>560407</v>
      </c>
      <c r="J92" s="1484">
        <f t="shared" si="2"/>
        <v>1363861</v>
      </c>
      <c r="K92" s="373"/>
      <c r="L92" s="373"/>
      <c r="M92" s="373"/>
      <c r="N92" s="315"/>
    </row>
    <row r="93" spans="3:14" s="146" customFormat="1" ht="15" customHeight="1">
      <c r="C93" s="781"/>
      <c r="D93" s="229"/>
      <c r="E93" s="451"/>
      <c r="F93" s="632"/>
      <c r="G93" s="633"/>
      <c r="H93" s="451"/>
      <c r="I93" s="634"/>
      <c r="J93" s="451"/>
      <c r="K93" s="373"/>
      <c r="L93" s="373"/>
      <c r="M93" s="373"/>
      <c r="N93" s="315"/>
    </row>
    <row r="94" spans="3:14" s="146" customFormat="1" ht="15" customHeight="1">
      <c r="C94" s="781"/>
      <c r="D94" s="521"/>
      <c r="E94" s="453"/>
      <c r="F94" s="634"/>
      <c r="G94" s="635"/>
      <c r="H94" s="453"/>
      <c r="I94" s="634"/>
      <c r="J94" s="453"/>
      <c r="K94" s="374"/>
      <c r="L94" s="374"/>
      <c r="M94" s="374"/>
      <c r="N94" s="315"/>
    </row>
    <row r="95" spans="3:14" s="146" customFormat="1" ht="15" customHeight="1">
      <c r="C95" s="781"/>
      <c r="D95" s="521"/>
      <c r="E95" s="453"/>
      <c r="F95" s="634"/>
      <c r="G95" s="635"/>
      <c r="H95" s="453"/>
      <c r="I95" s="634"/>
      <c r="J95" s="453"/>
      <c r="K95" s="374"/>
      <c r="L95" s="374"/>
      <c r="M95" s="374"/>
      <c r="N95" s="315"/>
    </row>
    <row r="96" spans="3:14" s="146" customFormat="1" ht="15" customHeight="1">
      <c r="C96" s="781"/>
      <c r="D96" s="229"/>
      <c r="E96" s="451"/>
      <c r="F96" s="632"/>
      <c r="G96" s="633"/>
      <c r="H96" s="451"/>
      <c r="I96" s="634"/>
      <c r="J96" s="451"/>
      <c r="K96" s="373"/>
      <c r="L96" s="373"/>
      <c r="M96" s="373"/>
      <c r="N96" s="315"/>
    </row>
    <row r="97" spans="3:14" s="146" customFormat="1">
      <c r="C97" s="782"/>
      <c r="J97" s="315"/>
      <c r="L97" s="315"/>
      <c r="M97" s="315"/>
      <c r="N97" s="315"/>
    </row>
    <row r="98" spans="3:14">
      <c r="C98" s="777"/>
    </row>
    <row r="99" spans="3:14">
      <c r="C99" s="777"/>
    </row>
    <row r="100" spans="3:14">
      <c r="C100" s="777"/>
    </row>
    <row r="101" spans="3:14">
      <c r="C101" s="777"/>
    </row>
    <row r="102" spans="3:14">
      <c r="C102" s="777"/>
    </row>
    <row r="103" spans="3:14">
      <c r="C103" s="777"/>
    </row>
    <row r="104" spans="3:14">
      <c r="C104" s="777"/>
    </row>
    <row r="105" spans="3:14">
      <c r="C105" s="777"/>
    </row>
    <row r="106" spans="3:14">
      <c r="C106" s="777"/>
    </row>
    <row r="107" spans="3:14">
      <c r="C107" s="777"/>
    </row>
    <row r="108" spans="3:14">
      <c r="C108" s="777"/>
    </row>
    <row r="109" spans="3:14">
      <c r="C109" s="777"/>
    </row>
    <row r="110" spans="3:14">
      <c r="C110" s="777"/>
    </row>
    <row r="111" spans="3:14">
      <c r="C111" s="777"/>
    </row>
    <row r="112" spans="3:14">
      <c r="C112" s="777"/>
    </row>
    <row r="113" spans="3:3">
      <c r="C113" s="777"/>
    </row>
    <row r="114" spans="3:3">
      <c r="C114" s="777"/>
    </row>
    <row r="115" spans="3:3">
      <c r="C115" s="777"/>
    </row>
    <row r="116" spans="3:3">
      <c r="C116" s="777"/>
    </row>
    <row r="117" spans="3:3">
      <c r="C117" s="777"/>
    </row>
    <row r="118" spans="3:3">
      <c r="C118" s="777"/>
    </row>
    <row r="119" spans="3:3">
      <c r="C119" s="777"/>
    </row>
    <row r="120" spans="3:3">
      <c r="C120" s="777"/>
    </row>
    <row r="121" spans="3:3">
      <c r="C121" s="777"/>
    </row>
    <row r="122" spans="3:3">
      <c r="C122" s="777"/>
    </row>
    <row r="123" spans="3:3">
      <c r="C123" s="777"/>
    </row>
    <row r="124" spans="3:3">
      <c r="C124" s="777"/>
    </row>
    <row r="125" spans="3:3">
      <c r="C125" s="777"/>
    </row>
    <row r="126" spans="3:3">
      <c r="C126" s="777"/>
    </row>
    <row r="127" spans="3:3">
      <c r="C127" s="777"/>
    </row>
    <row r="128" spans="3:3">
      <c r="C128" s="777"/>
    </row>
    <row r="129" spans="3:3">
      <c r="C129" s="777"/>
    </row>
    <row r="130" spans="3:3">
      <c r="C130" s="777"/>
    </row>
    <row r="131" spans="3:3">
      <c r="C131" s="777"/>
    </row>
    <row r="132" spans="3:3">
      <c r="C132" s="777"/>
    </row>
    <row r="133" spans="3:3">
      <c r="C133" s="777"/>
    </row>
    <row r="134" spans="3:3">
      <c r="C134" s="777"/>
    </row>
    <row r="135" spans="3:3">
      <c r="C135" s="777"/>
    </row>
    <row r="136" spans="3:3">
      <c r="C136" s="777"/>
    </row>
    <row r="137" spans="3:3">
      <c r="C137" s="777"/>
    </row>
    <row r="138" spans="3:3">
      <c r="C138" s="777"/>
    </row>
    <row r="139" spans="3:3">
      <c r="C139" s="777"/>
    </row>
    <row r="140" spans="3:3">
      <c r="C140" s="777"/>
    </row>
    <row r="141" spans="3:3">
      <c r="C141" s="777"/>
    </row>
    <row r="142" spans="3:3">
      <c r="C142" s="777"/>
    </row>
    <row r="143" spans="3:3">
      <c r="C143" s="777"/>
    </row>
    <row r="144" spans="3:3">
      <c r="C144" s="777"/>
    </row>
    <row r="145" spans="3:3">
      <c r="C145" s="777"/>
    </row>
    <row r="146" spans="3:3">
      <c r="C146" s="777"/>
    </row>
    <row r="147" spans="3:3">
      <c r="C147" s="777"/>
    </row>
    <row r="148" spans="3:3">
      <c r="C148" s="777"/>
    </row>
    <row r="149" spans="3:3">
      <c r="C149" s="777"/>
    </row>
    <row r="150" spans="3:3">
      <c r="C150" s="777"/>
    </row>
    <row r="151" spans="3:3">
      <c r="C151" s="777"/>
    </row>
    <row r="152" spans="3:3">
      <c r="C152" s="777"/>
    </row>
    <row r="153" spans="3:3">
      <c r="C153" s="777"/>
    </row>
    <row r="154" spans="3:3">
      <c r="C154" s="777"/>
    </row>
    <row r="155" spans="3:3">
      <c r="C155" s="777"/>
    </row>
    <row r="156" spans="3:3">
      <c r="C156" s="777"/>
    </row>
    <row r="157" spans="3:3">
      <c r="C157" s="777"/>
    </row>
    <row r="158" spans="3:3">
      <c r="C158" s="777"/>
    </row>
    <row r="159" spans="3:3">
      <c r="C159" s="777"/>
    </row>
    <row r="160" spans="3:3">
      <c r="C160" s="777"/>
    </row>
    <row r="161" spans="3:3">
      <c r="C161" s="777"/>
    </row>
    <row r="162" spans="3:3">
      <c r="C162" s="777"/>
    </row>
    <row r="163" spans="3:3">
      <c r="C163" s="777"/>
    </row>
    <row r="164" spans="3:3">
      <c r="C164" s="777"/>
    </row>
    <row r="165" spans="3:3">
      <c r="C165" s="777"/>
    </row>
    <row r="166" spans="3:3">
      <c r="C166" s="777"/>
    </row>
    <row r="167" spans="3:3">
      <c r="C167" s="777"/>
    </row>
    <row r="168" spans="3:3">
      <c r="C168" s="777"/>
    </row>
    <row r="169" spans="3:3">
      <c r="C169" s="777"/>
    </row>
    <row r="170" spans="3:3">
      <c r="C170" s="777"/>
    </row>
    <row r="171" spans="3:3">
      <c r="C171" s="777"/>
    </row>
    <row r="172" spans="3:3">
      <c r="C172" s="777"/>
    </row>
    <row r="173" spans="3:3">
      <c r="C173" s="777"/>
    </row>
    <row r="174" spans="3:3">
      <c r="C174" s="777"/>
    </row>
    <row r="175" spans="3:3">
      <c r="C175" s="777"/>
    </row>
    <row r="176" spans="3:3">
      <c r="C176" s="777"/>
    </row>
    <row r="177" spans="3:3">
      <c r="C177" s="777"/>
    </row>
    <row r="178" spans="3:3">
      <c r="C178" s="777"/>
    </row>
    <row r="179" spans="3:3">
      <c r="C179" s="777"/>
    </row>
    <row r="180" spans="3:3">
      <c r="C180" s="777"/>
    </row>
    <row r="181" spans="3:3">
      <c r="C181" s="777"/>
    </row>
    <row r="182" spans="3:3">
      <c r="C182" s="777"/>
    </row>
    <row r="183" spans="3:3">
      <c r="C183" s="777"/>
    </row>
    <row r="184" spans="3:3">
      <c r="C184" s="777"/>
    </row>
    <row r="185" spans="3:3">
      <c r="C185" s="777"/>
    </row>
    <row r="186" spans="3:3">
      <c r="C186" s="777"/>
    </row>
    <row r="187" spans="3:3">
      <c r="C187" s="777"/>
    </row>
    <row r="188" spans="3:3">
      <c r="C188" s="777"/>
    </row>
    <row r="189" spans="3:3">
      <c r="C189" s="777"/>
    </row>
    <row r="190" spans="3:3">
      <c r="C190" s="777"/>
    </row>
    <row r="191" spans="3:3">
      <c r="C191" s="777"/>
    </row>
    <row r="192" spans="3:3">
      <c r="C192" s="777"/>
    </row>
    <row r="193" spans="3:3">
      <c r="C193" s="777"/>
    </row>
    <row r="194" spans="3:3">
      <c r="C194" s="777"/>
    </row>
    <row r="195" spans="3:3">
      <c r="C195" s="777"/>
    </row>
    <row r="196" spans="3:3">
      <c r="C196" s="777"/>
    </row>
    <row r="197" spans="3:3">
      <c r="C197" s="777"/>
    </row>
    <row r="198" spans="3:3">
      <c r="C198" s="777"/>
    </row>
    <row r="199" spans="3:3">
      <c r="C199" s="777"/>
    </row>
    <row r="200" spans="3:3">
      <c r="C200" s="777"/>
    </row>
    <row r="201" spans="3:3">
      <c r="C201" s="777"/>
    </row>
    <row r="202" spans="3:3">
      <c r="C202" s="777"/>
    </row>
    <row r="203" spans="3:3">
      <c r="C203" s="777"/>
    </row>
    <row r="204" spans="3:3">
      <c r="C204" s="777"/>
    </row>
    <row r="205" spans="3:3">
      <c r="C205" s="777"/>
    </row>
    <row r="206" spans="3:3">
      <c r="C206" s="777"/>
    </row>
    <row r="207" spans="3:3">
      <c r="C207" s="777"/>
    </row>
    <row r="208" spans="3:3">
      <c r="C208" s="777"/>
    </row>
    <row r="209" spans="3:3">
      <c r="C209" s="777"/>
    </row>
    <row r="210" spans="3:3">
      <c r="C210" s="777"/>
    </row>
    <row r="211" spans="3:3">
      <c r="C211" s="777"/>
    </row>
    <row r="212" spans="3:3">
      <c r="C212" s="777"/>
    </row>
    <row r="213" spans="3:3">
      <c r="C213" s="777"/>
    </row>
    <row r="214" spans="3:3">
      <c r="C214" s="777"/>
    </row>
    <row r="215" spans="3:3">
      <c r="C215" s="777"/>
    </row>
    <row r="216" spans="3:3">
      <c r="C216" s="777"/>
    </row>
    <row r="217" spans="3:3">
      <c r="C217" s="777"/>
    </row>
    <row r="218" spans="3:3">
      <c r="C218" s="777"/>
    </row>
    <row r="219" spans="3:3">
      <c r="C219" s="777"/>
    </row>
    <row r="220" spans="3:3">
      <c r="C220" s="777"/>
    </row>
    <row r="221" spans="3:3">
      <c r="C221" s="777"/>
    </row>
    <row r="222" spans="3:3">
      <c r="C222" s="777"/>
    </row>
    <row r="223" spans="3:3">
      <c r="C223" s="777"/>
    </row>
    <row r="224" spans="3:3">
      <c r="C224" s="777"/>
    </row>
    <row r="225" spans="3:3">
      <c r="C225" s="777"/>
    </row>
    <row r="226" spans="3:3">
      <c r="C226" s="777"/>
    </row>
    <row r="227" spans="3:3">
      <c r="C227" s="777"/>
    </row>
    <row r="228" spans="3:3">
      <c r="C228" s="777"/>
    </row>
    <row r="229" spans="3:3">
      <c r="C229" s="777"/>
    </row>
    <row r="230" spans="3:3">
      <c r="C230" s="777"/>
    </row>
    <row r="231" spans="3:3">
      <c r="C231" s="777"/>
    </row>
    <row r="232" spans="3:3">
      <c r="C232" s="777"/>
    </row>
    <row r="233" spans="3:3">
      <c r="C233" s="777"/>
    </row>
    <row r="234" spans="3:3">
      <c r="C234" s="777"/>
    </row>
    <row r="235" spans="3:3">
      <c r="C235" s="777"/>
    </row>
    <row r="236" spans="3:3">
      <c r="C236" s="777"/>
    </row>
    <row r="237" spans="3:3">
      <c r="C237" s="777"/>
    </row>
    <row r="238" spans="3:3">
      <c r="C238" s="777"/>
    </row>
    <row r="239" spans="3:3">
      <c r="C239" s="777"/>
    </row>
    <row r="240" spans="3:3">
      <c r="C240" s="777"/>
    </row>
    <row r="241" spans="3:3">
      <c r="C241" s="777"/>
    </row>
    <row r="242" spans="3:3">
      <c r="C242" s="777"/>
    </row>
    <row r="243" spans="3:3">
      <c r="C243" s="777"/>
    </row>
    <row r="244" spans="3:3">
      <c r="C244" s="777"/>
    </row>
    <row r="245" spans="3:3">
      <c r="C245" s="777"/>
    </row>
    <row r="246" spans="3:3">
      <c r="C246" s="777"/>
    </row>
    <row r="247" spans="3:3">
      <c r="C247" s="777"/>
    </row>
    <row r="248" spans="3:3">
      <c r="C248" s="777"/>
    </row>
    <row r="249" spans="3:3">
      <c r="C249" s="777"/>
    </row>
    <row r="250" spans="3:3">
      <c r="C250" s="777"/>
    </row>
    <row r="251" spans="3:3">
      <c r="C251" s="777"/>
    </row>
    <row r="252" spans="3:3">
      <c r="C252" s="777"/>
    </row>
    <row r="253" spans="3:3">
      <c r="C253" s="777"/>
    </row>
    <row r="254" spans="3:3">
      <c r="C254" s="777"/>
    </row>
    <row r="255" spans="3:3">
      <c r="C255" s="777"/>
    </row>
    <row r="256" spans="3:3">
      <c r="C256" s="777"/>
    </row>
    <row r="257" spans="3:3">
      <c r="C257" s="777"/>
    </row>
    <row r="258" spans="3:3">
      <c r="C258" s="777"/>
    </row>
    <row r="259" spans="3:3">
      <c r="C259" s="777"/>
    </row>
    <row r="260" spans="3:3">
      <c r="C260" s="777"/>
    </row>
    <row r="261" spans="3:3">
      <c r="C261" s="777"/>
    </row>
    <row r="262" spans="3:3">
      <c r="C262" s="777"/>
    </row>
    <row r="263" spans="3:3">
      <c r="C263" s="777"/>
    </row>
    <row r="264" spans="3:3">
      <c r="C264" s="777"/>
    </row>
    <row r="265" spans="3:3">
      <c r="C265" s="777"/>
    </row>
    <row r="266" spans="3:3">
      <c r="C266" s="777"/>
    </row>
    <row r="267" spans="3:3">
      <c r="C267" s="777"/>
    </row>
    <row r="268" spans="3:3">
      <c r="C268" s="777"/>
    </row>
    <row r="269" spans="3:3">
      <c r="C269" s="777"/>
    </row>
    <row r="270" spans="3:3">
      <c r="C270" s="777"/>
    </row>
    <row r="271" spans="3:3">
      <c r="C271" s="777"/>
    </row>
    <row r="272" spans="3:3">
      <c r="C272" s="777"/>
    </row>
    <row r="273" spans="3:3">
      <c r="C273" s="777"/>
    </row>
    <row r="274" spans="3:3">
      <c r="C274" s="777"/>
    </row>
    <row r="275" spans="3:3">
      <c r="C275" s="777"/>
    </row>
    <row r="276" spans="3:3">
      <c r="C276" s="777"/>
    </row>
    <row r="277" spans="3:3">
      <c r="C277" s="777"/>
    </row>
    <row r="278" spans="3:3">
      <c r="C278" s="777"/>
    </row>
    <row r="279" spans="3:3">
      <c r="C279" s="777"/>
    </row>
    <row r="280" spans="3:3">
      <c r="C280" s="777"/>
    </row>
    <row r="281" spans="3:3">
      <c r="C281" s="777"/>
    </row>
    <row r="282" spans="3:3">
      <c r="C282" s="777"/>
    </row>
    <row r="283" spans="3:3">
      <c r="C283" s="777"/>
    </row>
    <row r="284" spans="3:3">
      <c r="C284" s="777"/>
    </row>
    <row r="285" spans="3:3">
      <c r="C285" s="777"/>
    </row>
    <row r="286" spans="3:3">
      <c r="C286" s="777"/>
    </row>
    <row r="287" spans="3:3">
      <c r="C287" s="777"/>
    </row>
    <row r="288" spans="3:3">
      <c r="C288" s="777"/>
    </row>
    <row r="289" spans="3:3">
      <c r="C289" s="777"/>
    </row>
    <row r="290" spans="3:3">
      <c r="C290" s="777"/>
    </row>
    <row r="291" spans="3:3">
      <c r="C291" s="777"/>
    </row>
    <row r="292" spans="3:3">
      <c r="C292" s="777"/>
    </row>
    <row r="293" spans="3:3">
      <c r="C293" s="777"/>
    </row>
    <row r="294" spans="3:3">
      <c r="C294" s="777"/>
    </row>
    <row r="295" spans="3:3">
      <c r="C295" s="777"/>
    </row>
    <row r="296" spans="3:3">
      <c r="C296" s="777"/>
    </row>
    <row r="297" spans="3:3">
      <c r="C297" s="777"/>
    </row>
    <row r="298" spans="3:3">
      <c r="C298" s="777"/>
    </row>
    <row r="299" spans="3:3">
      <c r="C299" s="777"/>
    </row>
    <row r="300" spans="3:3">
      <c r="C300" s="777"/>
    </row>
    <row r="301" spans="3:3">
      <c r="C301" s="777"/>
    </row>
    <row r="302" spans="3:3">
      <c r="C302" s="777"/>
    </row>
    <row r="303" spans="3:3">
      <c r="C303" s="777"/>
    </row>
    <row r="304" spans="3:3">
      <c r="C304" s="777"/>
    </row>
    <row r="305" spans="3:3">
      <c r="C305" s="777"/>
    </row>
    <row r="306" spans="3:3">
      <c r="C306" s="777"/>
    </row>
    <row r="307" spans="3:3">
      <c r="C307" s="777"/>
    </row>
    <row r="308" spans="3:3">
      <c r="C308" s="777"/>
    </row>
    <row r="309" spans="3:3">
      <c r="C309" s="777"/>
    </row>
    <row r="310" spans="3:3">
      <c r="C310" s="777"/>
    </row>
    <row r="311" spans="3:3">
      <c r="C311" s="777"/>
    </row>
    <row r="312" spans="3:3">
      <c r="C312" s="777"/>
    </row>
    <row r="313" spans="3:3">
      <c r="C313" s="777"/>
    </row>
    <row r="314" spans="3:3">
      <c r="C314" s="777"/>
    </row>
    <row r="315" spans="3:3">
      <c r="C315" s="777"/>
    </row>
    <row r="316" spans="3:3">
      <c r="C316" s="777"/>
    </row>
    <row r="317" spans="3:3">
      <c r="C317" s="777"/>
    </row>
    <row r="318" spans="3:3">
      <c r="C318" s="777"/>
    </row>
    <row r="319" spans="3:3">
      <c r="C319" s="777"/>
    </row>
    <row r="320" spans="3:3">
      <c r="C320" s="777"/>
    </row>
    <row r="321" spans="3:3">
      <c r="C321" s="777"/>
    </row>
    <row r="322" spans="3:3">
      <c r="C322" s="777"/>
    </row>
    <row r="323" spans="3:3">
      <c r="C323" s="777"/>
    </row>
    <row r="324" spans="3:3">
      <c r="C324" s="777"/>
    </row>
    <row r="325" spans="3:3">
      <c r="C325" s="777"/>
    </row>
    <row r="326" spans="3:3">
      <c r="C326" s="777"/>
    </row>
    <row r="327" spans="3:3">
      <c r="C327" s="777"/>
    </row>
    <row r="328" spans="3:3">
      <c r="C328" s="777"/>
    </row>
    <row r="329" spans="3:3">
      <c r="C329" s="777"/>
    </row>
    <row r="330" spans="3:3">
      <c r="C330" s="777"/>
    </row>
    <row r="331" spans="3:3">
      <c r="C331" s="777"/>
    </row>
    <row r="332" spans="3:3">
      <c r="C332" s="777"/>
    </row>
    <row r="333" spans="3:3">
      <c r="C333" s="777"/>
    </row>
    <row r="334" spans="3:3">
      <c r="C334" s="777"/>
    </row>
    <row r="335" spans="3:3">
      <c r="C335" s="777"/>
    </row>
    <row r="336" spans="3:3">
      <c r="C336" s="777"/>
    </row>
    <row r="337" spans="3:3">
      <c r="C337" s="777"/>
    </row>
    <row r="338" spans="3:3">
      <c r="C338" s="777"/>
    </row>
    <row r="339" spans="3:3">
      <c r="C339" s="777"/>
    </row>
    <row r="340" spans="3:3">
      <c r="C340" s="777"/>
    </row>
    <row r="341" spans="3:3">
      <c r="C341" s="777"/>
    </row>
    <row r="342" spans="3:3">
      <c r="C342" s="777"/>
    </row>
    <row r="343" spans="3:3">
      <c r="C343" s="777"/>
    </row>
    <row r="344" spans="3:3">
      <c r="C344" s="777"/>
    </row>
    <row r="345" spans="3:3">
      <c r="C345" s="777"/>
    </row>
    <row r="346" spans="3:3">
      <c r="C346" s="777"/>
    </row>
    <row r="347" spans="3:3">
      <c r="C347" s="777"/>
    </row>
    <row r="348" spans="3:3">
      <c r="C348" s="777"/>
    </row>
    <row r="349" spans="3:3">
      <c r="C349" s="777"/>
    </row>
    <row r="350" spans="3:3">
      <c r="C350" s="777"/>
    </row>
    <row r="351" spans="3:3">
      <c r="C351" s="777"/>
    </row>
    <row r="352" spans="3:3">
      <c r="C352" s="777"/>
    </row>
    <row r="353" spans="3:3">
      <c r="C353" s="777"/>
    </row>
    <row r="354" spans="3:3">
      <c r="C354" s="777"/>
    </row>
    <row r="355" spans="3:3">
      <c r="C355" s="777"/>
    </row>
    <row r="356" spans="3:3">
      <c r="C356" s="777"/>
    </row>
    <row r="357" spans="3:3">
      <c r="C357" s="777"/>
    </row>
    <row r="358" spans="3:3">
      <c r="C358" s="777"/>
    </row>
    <row r="359" spans="3:3">
      <c r="C359" s="777"/>
    </row>
    <row r="360" spans="3:3">
      <c r="C360" s="777"/>
    </row>
    <row r="361" spans="3:3">
      <c r="C361" s="777"/>
    </row>
    <row r="362" spans="3:3">
      <c r="C362" s="777"/>
    </row>
    <row r="363" spans="3:3">
      <c r="C363" s="777"/>
    </row>
    <row r="364" spans="3:3">
      <c r="C364" s="777"/>
    </row>
    <row r="365" spans="3:3">
      <c r="C365" s="777"/>
    </row>
    <row r="366" spans="3:3">
      <c r="C366" s="777"/>
    </row>
    <row r="367" spans="3:3">
      <c r="C367" s="777"/>
    </row>
    <row r="368" spans="3:3">
      <c r="C368" s="777"/>
    </row>
    <row r="369" spans="3:3">
      <c r="C369" s="777"/>
    </row>
    <row r="370" spans="3:3">
      <c r="C370" s="777"/>
    </row>
    <row r="371" spans="3:3">
      <c r="C371" s="777"/>
    </row>
    <row r="372" spans="3:3">
      <c r="C372" s="777"/>
    </row>
    <row r="373" spans="3:3">
      <c r="C373" s="777"/>
    </row>
    <row r="374" spans="3:3">
      <c r="C374" s="777"/>
    </row>
    <row r="375" spans="3:3">
      <c r="C375" s="777"/>
    </row>
    <row r="376" spans="3:3">
      <c r="C376" s="777"/>
    </row>
    <row r="377" spans="3:3">
      <c r="C377" s="777"/>
    </row>
    <row r="378" spans="3:3">
      <c r="C378" s="777"/>
    </row>
    <row r="379" spans="3:3">
      <c r="C379" s="777"/>
    </row>
    <row r="380" spans="3:3">
      <c r="C380" s="777"/>
    </row>
    <row r="381" spans="3:3">
      <c r="C381" s="777"/>
    </row>
    <row r="382" spans="3:3">
      <c r="C382" s="777"/>
    </row>
    <row r="383" spans="3:3">
      <c r="C383" s="777"/>
    </row>
    <row r="384" spans="3:3">
      <c r="C384" s="777"/>
    </row>
    <row r="385" spans="3:3">
      <c r="C385" s="777"/>
    </row>
    <row r="386" spans="3:3">
      <c r="C386" s="777"/>
    </row>
    <row r="387" spans="3:3">
      <c r="C387" s="777"/>
    </row>
    <row r="388" spans="3:3">
      <c r="C388" s="777"/>
    </row>
    <row r="389" spans="3:3">
      <c r="C389" s="777"/>
    </row>
    <row r="390" spans="3:3">
      <c r="C390" s="777"/>
    </row>
    <row r="391" spans="3:3">
      <c r="C391" s="777"/>
    </row>
    <row r="392" spans="3:3">
      <c r="C392" s="777"/>
    </row>
    <row r="393" spans="3:3">
      <c r="C393" s="777"/>
    </row>
    <row r="394" spans="3:3">
      <c r="C394" s="777"/>
    </row>
    <row r="395" spans="3:3">
      <c r="C395" s="777"/>
    </row>
    <row r="396" spans="3:3">
      <c r="C396" s="777"/>
    </row>
    <row r="397" spans="3:3">
      <c r="C397" s="777"/>
    </row>
    <row r="398" spans="3:3">
      <c r="C398" s="777"/>
    </row>
    <row r="399" spans="3:3">
      <c r="C399" s="777"/>
    </row>
    <row r="400" spans="3:3">
      <c r="C400" s="777"/>
    </row>
    <row r="401" spans="3:3">
      <c r="C401" s="777"/>
    </row>
    <row r="402" spans="3:3">
      <c r="C402" s="777"/>
    </row>
    <row r="403" spans="3:3">
      <c r="C403" s="777"/>
    </row>
    <row r="404" spans="3:3">
      <c r="C404" s="777"/>
    </row>
    <row r="405" spans="3:3">
      <c r="C405" s="777"/>
    </row>
    <row r="406" spans="3:3">
      <c r="C406" s="777"/>
    </row>
    <row r="407" spans="3:3">
      <c r="C407" s="777"/>
    </row>
    <row r="408" spans="3:3">
      <c r="C408" s="777"/>
    </row>
    <row r="409" spans="3:3">
      <c r="C409" s="777"/>
    </row>
    <row r="410" spans="3:3">
      <c r="C410" s="777"/>
    </row>
    <row r="411" spans="3:3">
      <c r="C411" s="777"/>
    </row>
    <row r="412" spans="3:3">
      <c r="C412" s="777"/>
    </row>
    <row r="413" spans="3:3">
      <c r="C413" s="777"/>
    </row>
    <row r="414" spans="3:3">
      <c r="C414" s="777"/>
    </row>
    <row r="415" spans="3:3">
      <c r="C415" s="777"/>
    </row>
    <row r="416" spans="3:3">
      <c r="C416" s="777"/>
    </row>
    <row r="417" spans="3:3">
      <c r="C417" s="777"/>
    </row>
    <row r="418" spans="3:3">
      <c r="C418" s="777"/>
    </row>
    <row r="419" spans="3:3">
      <c r="C419" s="777"/>
    </row>
    <row r="420" spans="3:3">
      <c r="C420" s="777"/>
    </row>
    <row r="421" spans="3:3">
      <c r="C421" s="777"/>
    </row>
    <row r="422" spans="3:3">
      <c r="C422" s="777"/>
    </row>
    <row r="423" spans="3:3">
      <c r="C423" s="777"/>
    </row>
    <row r="424" spans="3:3">
      <c r="C424" s="777"/>
    </row>
    <row r="425" spans="3:3">
      <c r="C425" s="777"/>
    </row>
    <row r="426" spans="3:3">
      <c r="C426" s="777"/>
    </row>
    <row r="427" spans="3:3">
      <c r="C427" s="777"/>
    </row>
    <row r="428" spans="3:3">
      <c r="C428" s="777"/>
    </row>
    <row r="429" spans="3:3">
      <c r="C429" s="777"/>
    </row>
    <row r="430" spans="3:3">
      <c r="C430" s="777"/>
    </row>
    <row r="431" spans="3:3">
      <c r="C431" s="777"/>
    </row>
    <row r="432" spans="3:3">
      <c r="C432" s="777"/>
    </row>
    <row r="433" spans="3:3">
      <c r="C433" s="777"/>
    </row>
    <row r="434" spans="3:3">
      <c r="C434" s="777"/>
    </row>
    <row r="435" spans="3:3">
      <c r="C435" s="777"/>
    </row>
    <row r="436" spans="3:3">
      <c r="C436" s="777"/>
    </row>
    <row r="437" spans="3:3">
      <c r="C437" s="777"/>
    </row>
    <row r="438" spans="3:3">
      <c r="C438" s="777"/>
    </row>
    <row r="439" spans="3:3">
      <c r="C439" s="777"/>
    </row>
    <row r="440" spans="3:3">
      <c r="C440" s="777"/>
    </row>
    <row r="441" spans="3:3">
      <c r="C441" s="777"/>
    </row>
    <row r="442" spans="3:3">
      <c r="C442" s="777"/>
    </row>
    <row r="443" spans="3:3">
      <c r="C443" s="777"/>
    </row>
    <row r="444" spans="3:3">
      <c r="C444" s="777"/>
    </row>
    <row r="445" spans="3:3">
      <c r="C445" s="777"/>
    </row>
    <row r="446" spans="3:3">
      <c r="C446" s="777"/>
    </row>
    <row r="447" spans="3:3">
      <c r="C447" s="777"/>
    </row>
    <row r="448" spans="3:3">
      <c r="C448" s="777"/>
    </row>
    <row r="449" spans="3:3">
      <c r="C449" s="777"/>
    </row>
    <row r="450" spans="3:3">
      <c r="C450" s="777"/>
    </row>
    <row r="451" spans="3:3">
      <c r="C451" s="777"/>
    </row>
    <row r="452" spans="3:3">
      <c r="C452" s="777"/>
    </row>
    <row r="453" spans="3:3">
      <c r="C453" s="777"/>
    </row>
    <row r="454" spans="3:3">
      <c r="C454" s="777"/>
    </row>
    <row r="455" spans="3:3">
      <c r="C455" s="777"/>
    </row>
    <row r="456" spans="3:3">
      <c r="C456" s="777"/>
    </row>
    <row r="457" spans="3:3">
      <c r="C457" s="777"/>
    </row>
    <row r="458" spans="3:3">
      <c r="C458" s="777"/>
    </row>
    <row r="459" spans="3:3">
      <c r="C459" s="777"/>
    </row>
  </sheetData>
  <mergeCells count="44">
    <mergeCell ref="C30:G30"/>
    <mergeCell ref="C3:G3"/>
    <mergeCell ref="C57:G57"/>
    <mergeCell ref="C84:G84"/>
    <mergeCell ref="M86:M87"/>
    <mergeCell ref="D86:D87"/>
    <mergeCell ref="E86:E87"/>
    <mergeCell ref="F86:F87"/>
    <mergeCell ref="G86:G87"/>
    <mergeCell ref="H86:H87"/>
    <mergeCell ref="I86:I87"/>
    <mergeCell ref="J86:J87"/>
    <mergeCell ref="K86:K87"/>
    <mergeCell ref="L86:L87"/>
    <mergeCell ref="I59:I60"/>
    <mergeCell ref="J59:J60"/>
    <mergeCell ref="I32:I33"/>
    <mergeCell ref="D59:D60"/>
    <mergeCell ref="E59:E60"/>
    <mergeCell ref="F59:F60"/>
    <mergeCell ref="G59:G60"/>
    <mergeCell ref="H59:H60"/>
    <mergeCell ref="D32:D33"/>
    <mergeCell ref="E32:E33"/>
    <mergeCell ref="F32:F33"/>
    <mergeCell ref="G32:G33"/>
    <mergeCell ref="H32:H33"/>
    <mergeCell ref="L59:L60"/>
    <mergeCell ref="M59:M60"/>
    <mergeCell ref="J5:J6"/>
    <mergeCell ref="K5:K6"/>
    <mergeCell ref="L5:L6"/>
    <mergeCell ref="M5:M6"/>
    <mergeCell ref="L32:L33"/>
    <mergeCell ref="M32:M33"/>
    <mergeCell ref="K59:K60"/>
    <mergeCell ref="J32:J33"/>
    <mergeCell ref="K32:K33"/>
    <mergeCell ref="I5:I6"/>
    <mergeCell ref="D5:D6"/>
    <mergeCell ref="E5:E6"/>
    <mergeCell ref="F5:F6"/>
    <mergeCell ref="G5:G6"/>
    <mergeCell ref="H5:H6"/>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2">
        <x14:dataValidation type="list" allowBlank="1" showInputMessage="1" showErrorMessage="1">
          <x14:formula1>
            <xm:f>'1. Carátula'!$C$282:$C$459</xm:f>
          </x14:formula1>
          <xm:sqref>J34:J53 J7:J26 I61:I80</xm:sqref>
        </x14:dataValidation>
        <x14:dataValidation type="list" allowBlank="1" showInputMessage="1" showErrorMessage="1">
          <x14:formula1>
            <xm:f>'1. Carátula'!$C$32:$C$280</xm:f>
          </x14:formula1>
          <xm:sqref>F61:F80</xm:sqref>
        </x14:dataValidation>
      </x14:dataValidation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heetPr>
  <dimension ref="B1:BR50"/>
  <sheetViews>
    <sheetView showGridLines="0" workbookViewId="0">
      <pane xSplit="6" ySplit="6" topLeftCell="BH7" activePane="bottomRight" state="frozen"/>
      <selection pane="topRight" activeCell="G1" sqref="G1"/>
      <selection pane="bottomLeft" activeCell="A7" sqref="A7"/>
      <selection pane="bottomRight" activeCell="BO50" sqref="BO50"/>
    </sheetView>
  </sheetViews>
  <sheetFormatPr baseColWidth="10" defaultColWidth="9.140625" defaultRowHeight="15" outlineLevelCol="1"/>
  <cols>
    <col min="1" max="5" width="2.42578125" customWidth="1"/>
    <col min="6" max="6" width="34.140625" customWidth="1"/>
    <col min="7" max="21" width="14.7109375" customWidth="1" outlineLevel="1"/>
    <col min="22" max="22" width="14.7109375" customWidth="1"/>
    <col min="23" max="37" width="14.7109375" customWidth="1" outlineLevel="1"/>
    <col min="38" max="38" width="14.7109375" customWidth="1"/>
    <col min="39" max="53" width="14.7109375" customWidth="1" outlineLevel="1"/>
    <col min="54" max="54" width="14.7109375" customWidth="1"/>
    <col min="55" max="65" width="14.7109375" customWidth="1" outlineLevel="1"/>
    <col min="66" max="68" width="14.7109375" customWidth="1"/>
    <col min="69" max="69" width="10.28515625" bestFit="1" customWidth="1"/>
  </cols>
  <sheetData>
    <row r="1" spans="2:70" ht="15" customHeight="1"/>
    <row r="2" spans="2:70" s="246" customFormat="1" ht="15" customHeight="1">
      <c r="B2" s="247"/>
      <c r="BN2" s="1332"/>
    </row>
    <row r="3" spans="2:70" ht="15" customHeight="1">
      <c r="B3" s="1584" t="s">
        <v>2441</v>
      </c>
      <c r="C3" s="1584"/>
      <c r="D3" s="1584"/>
      <c r="E3" s="1584"/>
      <c r="F3" s="1584"/>
    </row>
    <row r="4" spans="2:70" s="315" customFormat="1" ht="12.75" customHeight="1" thickBot="1">
      <c r="B4" s="2"/>
      <c r="C4" s="2"/>
      <c r="D4" s="2"/>
      <c r="E4" s="2"/>
      <c r="F4" s="2"/>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row>
    <row r="5" spans="2:70" s="146" customFormat="1" ht="12.75" customHeight="1" thickBot="1">
      <c r="B5" s="2"/>
      <c r="C5" s="2"/>
      <c r="D5" s="657"/>
      <c r="E5" s="195"/>
      <c r="F5" s="658"/>
      <c r="G5" s="1740" t="s">
        <v>2410</v>
      </c>
      <c r="H5" s="1741"/>
      <c r="I5" s="1741"/>
      <c r="J5" s="1741"/>
      <c r="K5" s="1741"/>
      <c r="L5" s="1741"/>
      <c r="M5" s="1741"/>
      <c r="N5" s="1741"/>
      <c r="O5" s="1741"/>
      <c r="P5" s="1741"/>
      <c r="Q5" s="1741"/>
      <c r="R5" s="1741"/>
      <c r="S5" s="1741"/>
      <c r="T5" s="1741"/>
      <c r="U5" s="1741"/>
      <c r="V5" s="1742"/>
      <c r="W5" s="1743" t="s">
        <v>2412</v>
      </c>
      <c r="X5" s="1743"/>
      <c r="Y5" s="1743"/>
      <c r="Z5" s="1743"/>
      <c r="AA5" s="1743"/>
      <c r="AB5" s="1743"/>
      <c r="AC5" s="1743"/>
      <c r="AD5" s="1743"/>
      <c r="AE5" s="1743"/>
      <c r="AF5" s="1743"/>
      <c r="AG5" s="1743"/>
      <c r="AH5" s="1743"/>
      <c r="AI5" s="1743"/>
      <c r="AJ5" s="1743"/>
      <c r="AK5" s="1743"/>
      <c r="AL5" s="1743"/>
      <c r="AM5" s="1743" t="s">
        <v>2413</v>
      </c>
      <c r="AN5" s="1743"/>
      <c r="AO5" s="1743"/>
      <c r="AP5" s="1743"/>
      <c r="AQ5" s="1743"/>
      <c r="AR5" s="1743"/>
      <c r="AS5" s="1743"/>
      <c r="AT5" s="1743"/>
      <c r="AU5" s="1743"/>
      <c r="AV5" s="1743"/>
      <c r="AW5" s="1743"/>
      <c r="AX5" s="1743"/>
      <c r="AY5" s="1743"/>
      <c r="AZ5" s="1743"/>
      <c r="BA5" s="1743"/>
      <c r="BB5" s="1743"/>
      <c r="BC5" s="1743" t="s">
        <v>2411</v>
      </c>
      <c r="BD5" s="1743"/>
      <c r="BE5" s="1743"/>
      <c r="BF5" s="1743"/>
      <c r="BG5" s="1743"/>
      <c r="BH5" s="1743"/>
      <c r="BI5" s="1743"/>
      <c r="BJ5" s="1743"/>
      <c r="BK5" s="1743"/>
      <c r="BL5" s="1743"/>
      <c r="BM5" s="1743"/>
      <c r="BN5" s="1743"/>
      <c r="BO5" s="1732">
        <v>999</v>
      </c>
    </row>
    <row r="6" spans="2:70" s="183" customFormat="1" ht="54.95" customHeight="1" thickBot="1">
      <c r="B6" s="184"/>
      <c r="C6" s="184"/>
      <c r="D6" s="659"/>
      <c r="E6" s="184"/>
      <c r="F6" s="660"/>
      <c r="G6" s="643">
        <v>101</v>
      </c>
      <c r="H6" s="643" t="s">
        <v>777</v>
      </c>
      <c r="I6" s="642" t="s">
        <v>778</v>
      </c>
      <c r="J6" s="642" t="s">
        <v>779</v>
      </c>
      <c r="K6" s="642" t="s">
        <v>780</v>
      </c>
      <c r="L6" s="642" t="s">
        <v>781</v>
      </c>
      <c r="M6" s="1505" t="s">
        <v>782</v>
      </c>
      <c r="N6" s="642" t="s">
        <v>783</v>
      </c>
      <c r="O6" s="642" t="s">
        <v>784</v>
      </c>
      <c r="P6" s="642" t="s">
        <v>785</v>
      </c>
      <c r="Q6" s="642" t="s">
        <v>786</v>
      </c>
      <c r="R6" s="642" t="s">
        <v>787</v>
      </c>
      <c r="S6" s="642" t="s">
        <v>788</v>
      </c>
      <c r="T6" s="642" t="s">
        <v>789</v>
      </c>
      <c r="U6" s="642" t="s">
        <v>790</v>
      </c>
      <c r="V6" s="1340">
        <v>100</v>
      </c>
      <c r="W6" s="641" t="s">
        <v>791</v>
      </c>
      <c r="X6" s="641" t="s">
        <v>792</v>
      </c>
      <c r="Y6" s="641" t="s">
        <v>793</v>
      </c>
      <c r="Z6" s="641" t="s">
        <v>794</v>
      </c>
      <c r="AA6" s="641" t="s">
        <v>795</v>
      </c>
      <c r="AB6" s="641" t="s">
        <v>796</v>
      </c>
      <c r="AC6" s="641" t="s">
        <v>797</v>
      </c>
      <c r="AD6" s="641" t="s">
        <v>798</v>
      </c>
      <c r="AE6" s="641" t="s">
        <v>799</v>
      </c>
      <c r="AF6" s="641" t="s">
        <v>800</v>
      </c>
      <c r="AG6" s="641" t="s">
        <v>801</v>
      </c>
      <c r="AH6" s="641" t="s">
        <v>802</v>
      </c>
      <c r="AI6" s="641" t="s">
        <v>803</v>
      </c>
      <c r="AJ6" s="641" t="s">
        <v>804</v>
      </c>
      <c r="AK6" s="641" t="s">
        <v>805</v>
      </c>
      <c r="AL6" s="1333">
        <v>200</v>
      </c>
      <c r="AM6" s="641" t="s">
        <v>806</v>
      </c>
      <c r="AN6" s="641" t="s">
        <v>807</v>
      </c>
      <c r="AO6" s="641" t="s">
        <v>808</v>
      </c>
      <c r="AP6" s="641" t="s">
        <v>809</v>
      </c>
      <c r="AQ6" s="641" t="s">
        <v>810</v>
      </c>
      <c r="AR6" s="641" t="s">
        <v>811</v>
      </c>
      <c r="AS6" s="641" t="s">
        <v>812</v>
      </c>
      <c r="AT6" s="641" t="s">
        <v>813</v>
      </c>
      <c r="AU6" s="641" t="s">
        <v>814</v>
      </c>
      <c r="AV6" s="641" t="s">
        <v>815</v>
      </c>
      <c r="AW6" s="641" t="s">
        <v>816</v>
      </c>
      <c r="AX6" s="641" t="s">
        <v>817</v>
      </c>
      <c r="AY6" s="641" t="s">
        <v>818</v>
      </c>
      <c r="AZ6" s="641" t="s">
        <v>819</v>
      </c>
      <c r="BA6" s="641" t="s">
        <v>820</v>
      </c>
      <c r="BB6" s="1333">
        <v>300</v>
      </c>
      <c r="BC6" s="1509" t="s">
        <v>821</v>
      </c>
      <c r="BD6" s="641" t="s">
        <v>822</v>
      </c>
      <c r="BE6" s="641" t="s">
        <v>823</v>
      </c>
      <c r="BF6" s="641" t="s">
        <v>824</v>
      </c>
      <c r="BG6" s="641" t="s">
        <v>825</v>
      </c>
      <c r="BH6" s="641" t="s">
        <v>826</v>
      </c>
      <c r="BI6" s="641" t="s">
        <v>827</v>
      </c>
      <c r="BJ6" s="641" t="s">
        <v>828</v>
      </c>
      <c r="BK6" s="641" t="s">
        <v>829</v>
      </c>
      <c r="BL6" s="641" t="s">
        <v>830</v>
      </c>
      <c r="BM6" s="641" t="s">
        <v>831</v>
      </c>
      <c r="BN6" s="1333">
        <v>400</v>
      </c>
      <c r="BO6" s="1733"/>
    </row>
    <row r="7" spans="2:70" s="30" customFormat="1" ht="15" customHeight="1">
      <c r="B7" s="25"/>
      <c r="C7" s="25"/>
      <c r="D7" s="1731" t="s">
        <v>2414</v>
      </c>
      <c r="E7" s="1564"/>
      <c r="F7" s="1730"/>
      <c r="G7" s="1295">
        <f>G8-G12-G18-G22-G26-G31-G32-G33</f>
        <v>275456</v>
      </c>
      <c r="H7" s="1296">
        <f t="shared" ref="H7:AK7" si="0">H8-H12-H18-H22-H26-H31-H32-H33</f>
        <v>10031</v>
      </c>
      <c r="I7" s="1296">
        <f t="shared" si="0"/>
        <v>11488</v>
      </c>
      <c r="J7" s="1296">
        <f t="shared" si="0"/>
        <v>-60182</v>
      </c>
      <c r="K7" s="1296">
        <f t="shared" si="0"/>
        <v>1568557</v>
      </c>
      <c r="L7" s="1296">
        <f t="shared" si="0"/>
        <v>-321220</v>
      </c>
      <c r="M7" s="1504">
        <f t="shared" si="0"/>
        <v>3993878</v>
      </c>
      <c r="N7" s="1296">
        <f t="shared" si="0"/>
        <v>104849</v>
      </c>
      <c r="O7" s="1296">
        <f t="shared" si="0"/>
        <v>219741</v>
      </c>
      <c r="P7" s="1296">
        <f t="shared" si="0"/>
        <v>566749</v>
      </c>
      <c r="Q7" s="1296">
        <f t="shared" si="0"/>
        <v>0</v>
      </c>
      <c r="R7" s="1296">
        <f t="shared" si="0"/>
        <v>0</v>
      </c>
      <c r="S7" s="1296">
        <f t="shared" si="0"/>
        <v>1240</v>
      </c>
      <c r="T7" s="1296">
        <f t="shared" si="0"/>
        <v>0</v>
      </c>
      <c r="U7" s="1297">
        <f t="shared" si="0"/>
        <v>0</v>
      </c>
      <c r="V7" s="1506">
        <f t="shared" si="0"/>
        <v>6370587</v>
      </c>
      <c r="W7" s="1299">
        <f t="shared" si="0"/>
        <v>0</v>
      </c>
      <c r="X7" s="1296">
        <f t="shared" si="0"/>
        <v>1105611</v>
      </c>
      <c r="Y7" s="1296">
        <f t="shared" si="0"/>
        <v>0</v>
      </c>
      <c r="Z7" s="1296">
        <f t="shared" si="0"/>
        <v>0</v>
      </c>
      <c r="AA7" s="1296">
        <f t="shared" si="0"/>
        <v>0</v>
      </c>
      <c r="AB7" s="1296">
        <f t="shared" si="0"/>
        <v>0</v>
      </c>
      <c r="AC7" s="1296">
        <f t="shared" si="0"/>
        <v>0</v>
      </c>
      <c r="AD7" s="1296">
        <f t="shared" si="0"/>
        <v>-14941</v>
      </c>
      <c r="AE7" s="1296">
        <f t="shared" si="0"/>
        <v>971396</v>
      </c>
      <c r="AF7" s="1296">
        <f t="shared" si="0"/>
        <v>921433</v>
      </c>
      <c r="AG7" s="1296">
        <f t="shared" si="0"/>
        <v>0</v>
      </c>
      <c r="AH7" s="1296">
        <f t="shared" si="0"/>
        <v>0</v>
      </c>
      <c r="AI7" s="1296">
        <f t="shared" si="0"/>
        <v>-1092564</v>
      </c>
      <c r="AJ7" s="1296">
        <f t="shared" si="0"/>
        <v>0</v>
      </c>
      <c r="AK7" s="1297">
        <f t="shared" si="0"/>
        <v>0</v>
      </c>
      <c r="AL7" s="1335">
        <f t="shared" ref="AL7" si="1">AL8-AL12-AL18-AL22-AL26-AL31-AL32-AL33</f>
        <v>1890935</v>
      </c>
      <c r="AM7" s="1299">
        <f t="shared" ref="AM7" si="2">AM8-AM12-AM18-AM22-AM26-AM31-AM32-AM33</f>
        <v>0</v>
      </c>
      <c r="AN7" s="1296">
        <f t="shared" ref="AN7" si="3">AN8-AN12-AN18-AN22-AN26-AN31-AN32-AN33</f>
        <v>5853</v>
      </c>
      <c r="AO7" s="1296">
        <f t="shared" ref="AO7" si="4">AO8-AO12-AO18-AO22-AO26-AO31-AO32-AO33</f>
        <v>-342859</v>
      </c>
      <c r="AP7" s="1296">
        <f t="shared" ref="AP7" si="5">AP8-AP12-AP18-AP22-AP26-AP31-AP32-AP33</f>
        <v>0</v>
      </c>
      <c r="AQ7" s="1296">
        <f t="shared" ref="AQ7" si="6">AQ8-AQ12-AQ18-AQ22-AQ26-AQ31-AQ32-AQ33</f>
        <v>0</v>
      </c>
      <c r="AR7" s="1296">
        <f t="shared" ref="AR7" si="7">AR8-AR12-AR18-AR22-AR26-AR31-AR32-AR33</f>
        <v>0</v>
      </c>
      <c r="AS7" s="1296">
        <f t="shared" ref="AS7" si="8">AS8-AS12-AS18-AS22-AS26-AS31-AS32-AS33</f>
        <v>0</v>
      </c>
      <c r="AT7" s="1296">
        <f t="shared" ref="AT7" si="9">AT8-AT12-AT18-AT22-AT26-AT31-AT32-AT33</f>
        <v>747</v>
      </c>
      <c r="AU7" s="1296">
        <f t="shared" ref="AU7" si="10">AU8-AU12-AU18-AU22-AU26-AU31-AU32-AU33</f>
        <v>-16240</v>
      </c>
      <c r="AV7" s="1296">
        <f t="shared" ref="AV7" si="11">AV8-AV12-AV18-AV22-AV26-AV31-AV32-AV33</f>
        <v>6868</v>
      </c>
      <c r="AW7" s="1296">
        <f t="shared" ref="AW7" si="12">AW8-AW12-AW18-AW22-AW26-AW31-AW32-AW33</f>
        <v>0</v>
      </c>
      <c r="AX7" s="1296">
        <f t="shared" ref="AX7" si="13">AX8-AX12-AX18-AX22-AX26-AX31-AX32-AX33</f>
        <v>0</v>
      </c>
      <c r="AY7" s="1296">
        <f t="shared" ref="AY7" si="14">AY8-AY12-AY18-AY22-AY26-AY31-AY32-AY33</f>
        <v>-1076229</v>
      </c>
      <c r="AZ7" s="1296">
        <f t="shared" ref="AZ7" si="15">AZ8-AZ12-AZ18-AZ22-AZ26-AZ31-AZ32-AZ33</f>
        <v>0</v>
      </c>
      <c r="BA7" s="1297">
        <f t="shared" ref="BA7" si="16">BA8-BA12-BA18-BA22-BA26-BA31-BA32-BA33</f>
        <v>0</v>
      </c>
      <c r="BB7" s="1335">
        <f t="shared" ref="BB7" si="17">BB8-BB12-BB18-BB22-BB26-BB31-BB32-BB33</f>
        <v>-1421860</v>
      </c>
      <c r="BC7" s="1514">
        <f t="shared" ref="BC7" si="18">BC8-BC12-BC18-BC22-BC26-BC31-BC32-BC33</f>
        <v>-579901</v>
      </c>
      <c r="BD7" s="1296">
        <f t="shared" ref="BD7" si="19">BD8-BD12-BD18-BD22-BD26-BD31-BD32-BD33</f>
        <v>-10427179</v>
      </c>
      <c r="BE7" s="1296">
        <f t="shared" ref="BE7" si="20">BE8-BE12-BE18-BE22-BE26-BE31-BE32-BE33</f>
        <v>-9088266</v>
      </c>
      <c r="BF7" s="1296">
        <f t="shared" ref="BF7" si="21">BF8-BF12-BF18-BF22-BF26-BF31-BF32-BF33</f>
        <v>-1338913</v>
      </c>
      <c r="BG7" s="1296">
        <f t="shared" ref="BG7" si="22">BG8-BG12-BG18-BG22-BG26-BG31-BG32-BG33</f>
        <v>1035622</v>
      </c>
      <c r="BH7" s="1296">
        <f t="shared" ref="BH7" si="23">BH8-BH12-BH18-BH22-BH26-BH31-BH32-BH33</f>
        <v>621633</v>
      </c>
      <c r="BI7" s="1296">
        <f t="shared" ref="BI7" si="24">BI8-BI12-BI18-BI22-BI26-BI31-BI32-BI33</f>
        <v>413989</v>
      </c>
      <c r="BJ7" s="1296">
        <f t="shared" ref="BJ7" si="25">BJ8-BJ12-BJ18-BJ22-BJ26-BJ31-BJ32-BJ33</f>
        <v>-3453540</v>
      </c>
      <c r="BK7" s="1296">
        <f t="shared" ref="BK7" si="26">BK8-BK12-BK18-BK22-BK26-BK31-BK32-BK33</f>
        <v>19843</v>
      </c>
      <c r="BL7" s="1296">
        <f t="shared" ref="BL7" si="27">BL8-BL12-BL18-BL22-BL26-BL31-BL32-BL33</f>
        <v>-380985</v>
      </c>
      <c r="BM7" s="1297">
        <f t="shared" ref="BM7" si="28">BM8-BM12-BM18-BM22-BM26-BM31-BM32-BM33</f>
        <v>-107057</v>
      </c>
      <c r="BN7" s="1517">
        <f>BN8-BN12-BN18-BN22-BN26-BN31-BN32-BN33</f>
        <v>-13893197</v>
      </c>
      <c r="BO7" s="1522">
        <f>V7+AL7+BB7+BN7</f>
        <v>-7053535</v>
      </c>
      <c r="BP7" s="1341"/>
      <c r="BQ7" s="1341"/>
      <c r="BR7" s="648"/>
    </row>
    <row r="8" spans="2:70" s="30" customFormat="1" ht="15" customHeight="1">
      <c r="B8" s="25"/>
      <c r="C8" s="25"/>
      <c r="D8" s="661"/>
      <c r="E8" s="1564" t="s">
        <v>2415</v>
      </c>
      <c r="F8" s="1730"/>
      <c r="G8" s="1295">
        <f>G9+G10-G11</f>
        <v>25360</v>
      </c>
      <c r="H8" s="1296">
        <f t="shared" ref="H8:AK8" si="29">H9+H10-H11</f>
        <v>225617</v>
      </c>
      <c r="I8" s="1296">
        <f t="shared" si="29"/>
        <v>6399877</v>
      </c>
      <c r="J8" s="1296">
        <f t="shared" si="29"/>
        <v>33929</v>
      </c>
      <c r="K8" s="1296">
        <f t="shared" si="29"/>
        <v>0</v>
      </c>
      <c r="L8" s="1296">
        <f t="shared" si="29"/>
        <v>143368</v>
      </c>
      <c r="M8" s="1296">
        <f t="shared" si="29"/>
        <v>9240873</v>
      </c>
      <c r="N8" s="1296">
        <f t="shared" si="29"/>
        <v>149551</v>
      </c>
      <c r="O8" s="1296">
        <f t="shared" si="29"/>
        <v>1148386</v>
      </c>
      <c r="P8" s="1296">
        <f t="shared" si="29"/>
        <v>715332</v>
      </c>
      <c r="Q8" s="1296">
        <f t="shared" si="29"/>
        <v>0</v>
      </c>
      <c r="R8" s="1296">
        <f t="shared" si="29"/>
        <v>0</v>
      </c>
      <c r="S8" s="1296">
        <f t="shared" si="29"/>
        <v>1240</v>
      </c>
      <c r="T8" s="1296">
        <f t="shared" si="29"/>
        <v>0</v>
      </c>
      <c r="U8" s="1297">
        <f t="shared" si="29"/>
        <v>0</v>
      </c>
      <c r="V8" s="1335">
        <f t="shared" si="29"/>
        <v>18083533</v>
      </c>
      <c r="W8" s="1299">
        <f t="shared" si="29"/>
        <v>0</v>
      </c>
      <c r="X8" s="1296">
        <f t="shared" si="29"/>
        <v>643346</v>
      </c>
      <c r="Y8" s="1296">
        <f t="shared" si="29"/>
        <v>0</v>
      </c>
      <c r="Z8" s="1296">
        <f t="shared" si="29"/>
        <v>0</v>
      </c>
      <c r="AA8" s="1296">
        <f t="shared" si="29"/>
        <v>0</v>
      </c>
      <c r="AB8" s="1296">
        <f t="shared" si="29"/>
        <v>0</v>
      </c>
      <c r="AC8" s="1296">
        <f t="shared" si="29"/>
        <v>0</v>
      </c>
      <c r="AD8" s="1296">
        <f t="shared" si="29"/>
        <v>180856</v>
      </c>
      <c r="AE8" s="1296">
        <f t="shared" si="29"/>
        <v>14938711</v>
      </c>
      <c r="AF8" s="1296">
        <f t="shared" si="29"/>
        <v>946155</v>
      </c>
      <c r="AG8" s="1296">
        <f t="shared" si="29"/>
        <v>0</v>
      </c>
      <c r="AH8" s="1296">
        <f t="shared" si="29"/>
        <v>0</v>
      </c>
      <c r="AI8" s="1296">
        <f t="shared" si="29"/>
        <v>6443</v>
      </c>
      <c r="AJ8" s="1296">
        <f t="shared" si="29"/>
        <v>0</v>
      </c>
      <c r="AK8" s="1297">
        <f t="shared" si="29"/>
        <v>0</v>
      </c>
      <c r="AL8" s="1335">
        <f t="shared" ref="AL8" si="30">AL9+AL10-AL11</f>
        <v>16715511</v>
      </c>
      <c r="AM8" s="1299">
        <f t="shared" ref="AM8" si="31">AM9+AM10-AM11</f>
        <v>0</v>
      </c>
      <c r="AN8" s="1296">
        <f t="shared" ref="AN8" si="32">AN9+AN10-AN11</f>
        <v>147</v>
      </c>
      <c r="AO8" s="1296">
        <f t="shared" ref="AO8" si="33">AO9+AO10-AO11</f>
        <v>884762</v>
      </c>
      <c r="AP8" s="1296">
        <f t="shared" ref="AP8" si="34">AP9+AP10-AP11</f>
        <v>0</v>
      </c>
      <c r="AQ8" s="1296">
        <f t="shared" ref="AQ8" si="35">AQ9+AQ10-AQ11</f>
        <v>0</v>
      </c>
      <c r="AR8" s="1296">
        <f t="shared" ref="AR8" si="36">AR9+AR10-AR11</f>
        <v>0</v>
      </c>
      <c r="AS8" s="1296">
        <f t="shared" ref="AS8" si="37">AS9+AS10-AS11</f>
        <v>0</v>
      </c>
      <c r="AT8" s="1296">
        <f t="shared" ref="AT8" si="38">AT9+AT10-AT11</f>
        <v>1541</v>
      </c>
      <c r="AU8" s="1296">
        <f t="shared" ref="AU8" si="39">AU9+AU10-AU11</f>
        <v>17925</v>
      </c>
      <c r="AV8" s="1296">
        <f t="shared" ref="AV8" si="40">AV9+AV10-AV11</f>
        <v>41237</v>
      </c>
      <c r="AW8" s="1296">
        <f t="shared" ref="AW8" si="41">AW9+AW10-AW11</f>
        <v>0</v>
      </c>
      <c r="AX8" s="1296">
        <f t="shared" ref="AX8" si="42">AX9+AX10-AX11</f>
        <v>0</v>
      </c>
      <c r="AY8" s="1296">
        <f t="shared" ref="AY8" si="43">AY9+AY10-AY11</f>
        <v>519933</v>
      </c>
      <c r="AZ8" s="1296">
        <f t="shared" ref="AZ8" si="44">AZ9+AZ10-AZ11</f>
        <v>0</v>
      </c>
      <c r="BA8" s="1297">
        <f t="shared" ref="BA8" si="45">BA9+BA10-BA11</f>
        <v>0</v>
      </c>
      <c r="BB8" s="1335">
        <f t="shared" ref="BB8" si="46">BB9+BB10-BB11</f>
        <v>1465545</v>
      </c>
      <c r="BC8" s="1299">
        <f t="shared" ref="BC8" si="47">BC9+BC10-BC11</f>
        <v>28860577</v>
      </c>
      <c r="BD8" s="1296">
        <f t="shared" ref="BD8" si="48">BD9+BD10-BD11</f>
        <v>23224844</v>
      </c>
      <c r="BE8" s="1296">
        <f t="shared" ref="BE8" si="49">BE9+BE10-BE11</f>
        <v>19676603</v>
      </c>
      <c r="BF8" s="1296">
        <f t="shared" ref="BF8" si="50">BF9+BF10-BF11</f>
        <v>3548241</v>
      </c>
      <c r="BG8" s="1296">
        <f t="shared" ref="BG8" si="51">BG9+BG10-BG11</f>
        <v>6128778</v>
      </c>
      <c r="BH8" s="1296">
        <f t="shared" ref="BH8" si="52">BH9+BH10-BH11</f>
        <v>5161076</v>
      </c>
      <c r="BI8" s="1296">
        <f t="shared" ref="BI8" si="53">BI9+BI10-BI11</f>
        <v>967702</v>
      </c>
      <c r="BJ8" s="1296">
        <f t="shared" ref="BJ8" si="54">BJ9+BJ10-BJ11</f>
        <v>0</v>
      </c>
      <c r="BK8" s="1296">
        <f t="shared" ref="BK8" si="55">BK9+BK10-BK11</f>
        <v>0</v>
      </c>
      <c r="BL8" s="1296">
        <f t="shared" ref="BL8" si="56">BL9+BL10-BL11</f>
        <v>3505154</v>
      </c>
      <c r="BM8" s="1297">
        <f t="shared" ref="BM8" si="57">BM9+BM10-BM11</f>
        <v>0</v>
      </c>
      <c r="BN8" s="1335">
        <f t="shared" ref="BN8" si="58">BN9+BN10-BN11</f>
        <v>61719353</v>
      </c>
      <c r="BO8" s="1523">
        <f t="shared" ref="BO8:BO33" si="59">V8+AL8+BB8+BN8</f>
        <v>97983942</v>
      </c>
      <c r="BP8" s="648"/>
      <c r="BQ8" s="1342"/>
      <c r="BR8" s="648"/>
    </row>
    <row r="9" spans="2:70" ht="15" customHeight="1">
      <c r="B9" s="12"/>
      <c r="C9" s="12"/>
      <c r="D9" s="662"/>
      <c r="E9" s="12"/>
      <c r="F9" s="663" t="s">
        <v>2416</v>
      </c>
      <c r="G9" s="1303">
        <v>25360</v>
      </c>
      <c r="H9" s="1304">
        <v>287244</v>
      </c>
      <c r="I9" s="1304">
        <v>6434794</v>
      </c>
      <c r="J9" s="1304">
        <v>33929</v>
      </c>
      <c r="K9" s="1304">
        <v>0</v>
      </c>
      <c r="L9" s="1304">
        <v>143368</v>
      </c>
      <c r="M9" s="1304">
        <v>9266023</v>
      </c>
      <c r="N9" s="1304">
        <v>150979</v>
      </c>
      <c r="O9" s="1304">
        <v>1326457</v>
      </c>
      <c r="P9" s="1304">
        <v>807210</v>
      </c>
      <c r="Q9" s="1304">
        <v>0</v>
      </c>
      <c r="R9" s="1304">
        <v>0</v>
      </c>
      <c r="S9" s="1304">
        <v>1306</v>
      </c>
      <c r="T9" s="1304">
        <v>0</v>
      </c>
      <c r="U9" s="1305">
        <v>0</v>
      </c>
      <c r="V9" s="1336">
        <f>SUM(G9:U9)</f>
        <v>18476670</v>
      </c>
      <c r="W9" s="1307">
        <v>0</v>
      </c>
      <c r="X9" s="1304">
        <v>1156196</v>
      </c>
      <c r="Y9" s="1304">
        <v>0</v>
      </c>
      <c r="Z9" s="1304">
        <v>0</v>
      </c>
      <c r="AA9" s="1304">
        <v>0</v>
      </c>
      <c r="AB9" s="1304">
        <v>0</v>
      </c>
      <c r="AC9" s="1304">
        <v>0</v>
      </c>
      <c r="AD9" s="1304">
        <v>333803</v>
      </c>
      <c r="AE9" s="1304">
        <v>15229237</v>
      </c>
      <c r="AF9" s="1304">
        <v>1073749</v>
      </c>
      <c r="AG9" s="1304">
        <v>0</v>
      </c>
      <c r="AH9" s="1304">
        <v>0</v>
      </c>
      <c r="AI9" s="1304">
        <v>6611</v>
      </c>
      <c r="AJ9" s="1304">
        <v>0</v>
      </c>
      <c r="AK9" s="1305">
        <v>0</v>
      </c>
      <c r="AL9" s="1336">
        <f t="shared" ref="AL9:BB11" si="60">SUM(W9:AK9)</f>
        <v>17799596</v>
      </c>
      <c r="AM9" s="1308">
        <v>0</v>
      </c>
      <c r="AN9" s="1309">
        <v>147</v>
      </c>
      <c r="AO9" s="1309">
        <v>910110</v>
      </c>
      <c r="AP9" s="1309">
        <v>0</v>
      </c>
      <c r="AQ9" s="1309">
        <v>0</v>
      </c>
      <c r="AR9" s="1309">
        <v>0</v>
      </c>
      <c r="AS9" s="1309">
        <v>0</v>
      </c>
      <c r="AT9" s="1309">
        <v>1541</v>
      </c>
      <c r="AU9" s="1309">
        <v>17925</v>
      </c>
      <c r="AV9" s="1309">
        <v>41258</v>
      </c>
      <c r="AW9" s="1309">
        <v>0</v>
      </c>
      <c r="AX9" s="1309">
        <v>0</v>
      </c>
      <c r="AY9" s="1309">
        <v>519933</v>
      </c>
      <c r="AZ9" s="1309">
        <v>0</v>
      </c>
      <c r="BA9" s="1310">
        <v>0</v>
      </c>
      <c r="BB9" s="1336">
        <f t="shared" si="60"/>
        <v>1490914</v>
      </c>
      <c r="BC9" s="1308">
        <v>48061046</v>
      </c>
      <c r="BD9" s="1309">
        <v>23224844</v>
      </c>
      <c r="BE9" s="1309">
        <v>19676603</v>
      </c>
      <c r="BF9" s="1309">
        <v>3548241</v>
      </c>
      <c r="BG9" s="1309">
        <v>6128778</v>
      </c>
      <c r="BH9" s="1309">
        <v>5161076</v>
      </c>
      <c r="BI9" s="1309">
        <v>967702</v>
      </c>
      <c r="BJ9" s="1309">
        <v>0</v>
      </c>
      <c r="BK9" s="1309">
        <v>0</v>
      </c>
      <c r="BL9" s="1309">
        <v>3510826</v>
      </c>
      <c r="BM9" s="1310">
        <v>0</v>
      </c>
      <c r="BN9" s="1336">
        <f>BC9+BD9+BG9+BJ9+BK9+BL9+BM9</f>
        <v>80925494</v>
      </c>
      <c r="BO9" s="1524">
        <f t="shared" si="59"/>
        <v>118692674</v>
      </c>
      <c r="BP9" s="146"/>
      <c r="BQ9" s="1343"/>
      <c r="BR9" s="146"/>
    </row>
    <row r="10" spans="2:70" ht="15" customHeight="1">
      <c r="B10" s="12"/>
      <c r="C10" s="12"/>
      <c r="D10" s="662"/>
      <c r="E10" s="12"/>
      <c r="F10" s="663" t="s">
        <v>2417</v>
      </c>
      <c r="G10" s="1303"/>
      <c r="H10" s="1304"/>
      <c r="I10" s="1304"/>
      <c r="J10" s="1304"/>
      <c r="K10" s="1304"/>
      <c r="L10" s="1304"/>
      <c r="M10" s="1304"/>
      <c r="N10" s="1304"/>
      <c r="O10" s="1304"/>
      <c r="P10" s="1304"/>
      <c r="Q10" s="1304"/>
      <c r="R10" s="1304"/>
      <c r="S10" s="1304"/>
      <c r="T10" s="1304"/>
      <c r="U10" s="1305"/>
      <c r="V10" s="1336">
        <f t="shared" ref="V10:V11" si="61">SUM(G10:U10)</f>
        <v>0</v>
      </c>
      <c r="W10" s="1307"/>
      <c r="X10" s="1304"/>
      <c r="Y10" s="1304"/>
      <c r="Z10" s="1304"/>
      <c r="AA10" s="1304"/>
      <c r="AB10" s="1304"/>
      <c r="AC10" s="1304"/>
      <c r="AD10" s="1304"/>
      <c r="AE10" s="1304"/>
      <c r="AF10" s="1304"/>
      <c r="AG10" s="1304"/>
      <c r="AH10" s="1304"/>
      <c r="AI10" s="1304"/>
      <c r="AJ10" s="1304"/>
      <c r="AK10" s="1305"/>
      <c r="AL10" s="1336">
        <f t="shared" si="60"/>
        <v>0</v>
      </c>
      <c r="AM10" s="1308"/>
      <c r="AN10" s="1309"/>
      <c r="AO10" s="1309"/>
      <c r="AP10" s="1309"/>
      <c r="AQ10" s="1309"/>
      <c r="AR10" s="1309"/>
      <c r="AS10" s="1309"/>
      <c r="AT10" s="1309"/>
      <c r="AU10" s="1309"/>
      <c r="AV10" s="1309"/>
      <c r="AW10" s="1309"/>
      <c r="AX10" s="1309"/>
      <c r="AY10" s="1309"/>
      <c r="AZ10" s="1309"/>
      <c r="BA10" s="1310"/>
      <c r="BB10" s="1336">
        <f t="shared" si="60"/>
        <v>0</v>
      </c>
      <c r="BC10" s="1308"/>
      <c r="BD10" s="1309">
        <f t="shared" ref="BD10" si="62">BE10+BF10</f>
        <v>0</v>
      </c>
      <c r="BE10" s="1309"/>
      <c r="BF10" s="1309"/>
      <c r="BG10" s="1309">
        <f t="shared" ref="BG10" si="63">BH10+BI10</f>
        <v>0</v>
      </c>
      <c r="BH10" s="1309"/>
      <c r="BI10" s="1309"/>
      <c r="BJ10" s="1309"/>
      <c r="BK10" s="1309"/>
      <c r="BL10" s="1309"/>
      <c r="BM10" s="1310"/>
      <c r="BN10" s="1336">
        <f t="shared" ref="BN10:BN11" si="64">BC10+BD10+BG10+BJ10+BK10+BL10+BM10</f>
        <v>0</v>
      </c>
      <c r="BO10" s="1524">
        <f t="shared" si="59"/>
        <v>0</v>
      </c>
      <c r="BP10" s="146"/>
      <c r="BQ10" s="146"/>
      <c r="BR10" s="146"/>
    </row>
    <row r="11" spans="2:70" ht="15" customHeight="1">
      <c r="B11" s="12"/>
      <c r="C11" s="12"/>
      <c r="D11" s="662"/>
      <c r="E11" s="12"/>
      <c r="F11" s="663" t="s">
        <v>2418</v>
      </c>
      <c r="G11" s="1303">
        <v>0</v>
      </c>
      <c r="H11" s="1304">
        <v>61627</v>
      </c>
      <c r="I11" s="1304">
        <v>34917</v>
      </c>
      <c r="J11" s="1304">
        <v>0</v>
      </c>
      <c r="K11" s="1304">
        <v>0</v>
      </c>
      <c r="L11" s="1304">
        <v>0</v>
      </c>
      <c r="M11" s="1304">
        <v>25150</v>
      </c>
      <c r="N11" s="1304">
        <v>1428</v>
      </c>
      <c r="O11" s="1304">
        <v>178071</v>
      </c>
      <c r="P11" s="1304">
        <v>91878</v>
      </c>
      <c r="Q11" s="1304">
        <v>0</v>
      </c>
      <c r="R11" s="1304">
        <v>0</v>
      </c>
      <c r="S11" s="1304">
        <v>66</v>
      </c>
      <c r="T11" s="1304">
        <v>0</v>
      </c>
      <c r="U11" s="1305">
        <v>0</v>
      </c>
      <c r="V11" s="1336">
        <f t="shared" si="61"/>
        <v>393137</v>
      </c>
      <c r="W11" s="1307">
        <v>0</v>
      </c>
      <c r="X11" s="1304">
        <v>512850</v>
      </c>
      <c r="Y11" s="1304">
        <v>0</v>
      </c>
      <c r="Z11" s="1304">
        <v>0</v>
      </c>
      <c r="AA11" s="1304">
        <v>0</v>
      </c>
      <c r="AB11" s="1304">
        <v>0</v>
      </c>
      <c r="AC11" s="1304">
        <v>0</v>
      </c>
      <c r="AD11" s="1304">
        <v>152947</v>
      </c>
      <c r="AE11" s="1304">
        <v>290526</v>
      </c>
      <c r="AF11" s="1304">
        <v>127594</v>
      </c>
      <c r="AG11" s="1304">
        <v>0</v>
      </c>
      <c r="AH11" s="1304">
        <v>0</v>
      </c>
      <c r="AI11" s="1304">
        <v>168</v>
      </c>
      <c r="AJ11" s="1304">
        <v>0</v>
      </c>
      <c r="AK11" s="1305">
        <v>0</v>
      </c>
      <c r="AL11" s="1336">
        <f t="shared" si="60"/>
        <v>1084085</v>
      </c>
      <c r="AM11" s="1308">
        <v>0</v>
      </c>
      <c r="AN11" s="1309">
        <v>0</v>
      </c>
      <c r="AO11" s="1309">
        <v>25348</v>
      </c>
      <c r="AP11" s="1309">
        <v>0</v>
      </c>
      <c r="AQ11" s="1309">
        <v>0</v>
      </c>
      <c r="AR11" s="1309">
        <v>0</v>
      </c>
      <c r="AS11" s="1309">
        <v>0</v>
      </c>
      <c r="AT11" s="1309">
        <v>0</v>
      </c>
      <c r="AU11" s="1309">
        <v>0</v>
      </c>
      <c r="AV11" s="1309">
        <v>21</v>
      </c>
      <c r="AW11" s="1309">
        <v>0</v>
      </c>
      <c r="AX11" s="1309">
        <v>0</v>
      </c>
      <c r="AY11" s="1309">
        <v>0</v>
      </c>
      <c r="AZ11" s="1309">
        <v>0</v>
      </c>
      <c r="BA11" s="1310">
        <v>0</v>
      </c>
      <c r="BB11" s="1336">
        <f t="shared" si="60"/>
        <v>25369</v>
      </c>
      <c r="BC11" s="1308">
        <v>19200469</v>
      </c>
      <c r="BD11" s="1309">
        <v>0</v>
      </c>
      <c r="BE11" s="1309">
        <v>0</v>
      </c>
      <c r="BF11" s="1309">
        <v>0</v>
      </c>
      <c r="BG11" s="1309">
        <v>0</v>
      </c>
      <c r="BH11" s="1309">
        <v>0</v>
      </c>
      <c r="BI11" s="1309">
        <v>0</v>
      </c>
      <c r="BJ11" s="1309">
        <v>0</v>
      </c>
      <c r="BK11" s="1309">
        <v>0</v>
      </c>
      <c r="BL11" s="1309">
        <v>5672</v>
      </c>
      <c r="BM11" s="1310">
        <v>0</v>
      </c>
      <c r="BN11" s="1336">
        <f t="shared" si="64"/>
        <v>19206141</v>
      </c>
      <c r="BO11" s="1524">
        <f t="shared" si="59"/>
        <v>20708732</v>
      </c>
      <c r="BP11" s="146"/>
      <c r="BQ11" s="1343"/>
      <c r="BR11" s="146"/>
    </row>
    <row r="12" spans="2:70" s="30" customFormat="1" ht="15" customHeight="1">
      <c r="B12" s="25"/>
      <c r="C12" s="25"/>
      <c r="D12" s="661"/>
      <c r="E12" s="1564" t="s">
        <v>2419</v>
      </c>
      <c r="F12" s="1730"/>
      <c r="G12" s="1295">
        <f>SUM(G13:G17)</f>
        <v>-137461</v>
      </c>
      <c r="H12" s="1296">
        <f t="shared" ref="H12:AK12" si="65">SUM(H13:H17)</f>
        <v>81912</v>
      </c>
      <c r="I12" s="1296">
        <f t="shared" si="65"/>
        <v>234629</v>
      </c>
      <c r="J12" s="1296">
        <f t="shared" si="65"/>
        <v>-58321</v>
      </c>
      <c r="K12" s="1296">
        <f t="shared" si="65"/>
        <v>-1608182</v>
      </c>
      <c r="L12" s="1296">
        <f t="shared" si="65"/>
        <v>-55672</v>
      </c>
      <c r="M12" s="1296">
        <f t="shared" si="65"/>
        <v>-93366</v>
      </c>
      <c r="N12" s="1296">
        <f t="shared" si="65"/>
        <v>30547</v>
      </c>
      <c r="O12" s="1296">
        <f t="shared" si="65"/>
        <v>312871</v>
      </c>
      <c r="P12" s="1296">
        <f t="shared" si="65"/>
        <v>155061</v>
      </c>
      <c r="Q12" s="1296">
        <f t="shared" si="65"/>
        <v>0</v>
      </c>
      <c r="R12" s="1296">
        <f t="shared" si="65"/>
        <v>0</v>
      </c>
      <c r="S12" s="1296">
        <f t="shared" si="65"/>
        <v>0</v>
      </c>
      <c r="T12" s="1296">
        <f t="shared" si="65"/>
        <v>0</v>
      </c>
      <c r="U12" s="1297">
        <f t="shared" si="65"/>
        <v>0</v>
      </c>
      <c r="V12" s="1335">
        <f t="shared" si="65"/>
        <v>-1137982</v>
      </c>
      <c r="W12" s="1299">
        <f t="shared" si="65"/>
        <v>0</v>
      </c>
      <c r="X12" s="1296">
        <f t="shared" si="65"/>
        <v>-2299600</v>
      </c>
      <c r="Y12" s="1296">
        <f t="shared" si="65"/>
        <v>0</v>
      </c>
      <c r="Z12" s="1296">
        <f t="shared" si="65"/>
        <v>0</v>
      </c>
      <c r="AA12" s="1296">
        <f t="shared" si="65"/>
        <v>0</v>
      </c>
      <c r="AB12" s="1296">
        <f t="shared" si="65"/>
        <v>0</v>
      </c>
      <c r="AC12" s="1296">
        <f t="shared" si="65"/>
        <v>0</v>
      </c>
      <c r="AD12" s="1296">
        <f t="shared" si="65"/>
        <v>173157</v>
      </c>
      <c r="AE12" s="1296">
        <f t="shared" si="65"/>
        <v>2939201</v>
      </c>
      <c r="AF12" s="1296">
        <f t="shared" si="65"/>
        <v>11031</v>
      </c>
      <c r="AG12" s="1296">
        <f t="shared" si="65"/>
        <v>0</v>
      </c>
      <c r="AH12" s="1296">
        <f t="shared" si="65"/>
        <v>0</v>
      </c>
      <c r="AI12" s="1296">
        <f t="shared" si="65"/>
        <v>-26645</v>
      </c>
      <c r="AJ12" s="1296">
        <f t="shared" si="65"/>
        <v>0</v>
      </c>
      <c r="AK12" s="1297">
        <f t="shared" si="65"/>
        <v>0</v>
      </c>
      <c r="AL12" s="1335">
        <f t="shared" ref="AL12" si="66">SUM(AL13:AL17)</f>
        <v>797144</v>
      </c>
      <c r="AM12" s="1299">
        <f t="shared" ref="AM12" si="67">SUM(AM13:AM17)</f>
        <v>0</v>
      </c>
      <c r="AN12" s="1296">
        <f t="shared" ref="AN12" si="68">SUM(AN13:AN17)</f>
        <v>-6394</v>
      </c>
      <c r="AO12" s="1296">
        <f t="shared" ref="AO12" si="69">SUM(AO13:AO17)</f>
        <v>-1910047</v>
      </c>
      <c r="AP12" s="1296">
        <f t="shared" ref="AP12" si="70">SUM(AP13:AP17)</f>
        <v>0</v>
      </c>
      <c r="AQ12" s="1296">
        <f t="shared" ref="AQ12" si="71">SUM(AQ13:AQ17)</f>
        <v>0</v>
      </c>
      <c r="AR12" s="1296">
        <f t="shared" ref="AR12" si="72">SUM(AR13:AR17)</f>
        <v>0</v>
      </c>
      <c r="AS12" s="1296">
        <f t="shared" ref="AS12" si="73">SUM(AS13:AS17)</f>
        <v>0</v>
      </c>
      <c r="AT12" s="1296">
        <f t="shared" ref="AT12" si="74">SUM(AT13:AT17)</f>
        <v>739</v>
      </c>
      <c r="AU12" s="1296">
        <f t="shared" ref="AU12" si="75">SUM(AU13:AU17)</f>
        <v>5530</v>
      </c>
      <c r="AV12" s="1296">
        <f t="shared" ref="AV12" si="76">SUM(AV13:AV17)</f>
        <v>15082</v>
      </c>
      <c r="AW12" s="1296">
        <f t="shared" ref="AW12" si="77">SUM(AW13:AW17)</f>
        <v>0</v>
      </c>
      <c r="AX12" s="1296">
        <f t="shared" ref="AX12" si="78">SUM(AX13:AX17)</f>
        <v>0</v>
      </c>
      <c r="AY12" s="1296">
        <f t="shared" ref="AY12" si="79">SUM(AY13:AY17)</f>
        <v>1560554</v>
      </c>
      <c r="AZ12" s="1296">
        <f t="shared" ref="AZ12" si="80">SUM(AZ13:AZ17)</f>
        <v>0</v>
      </c>
      <c r="BA12" s="1297">
        <f t="shared" ref="BA12" si="81">SUM(BA13:BA17)</f>
        <v>0</v>
      </c>
      <c r="BB12" s="1335">
        <f t="shared" ref="BB12" si="82">SUM(BB13:BB17)</f>
        <v>-334536</v>
      </c>
      <c r="BC12" s="1514">
        <f t="shared" ref="BC12" si="83">SUM(BC13:BC17)</f>
        <v>-545288</v>
      </c>
      <c r="BD12" s="1296">
        <f t="shared" ref="BD12" si="84">SUM(BD13:BD17)</f>
        <v>0</v>
      </c>
      <c r="BE12" s="1296">
        <f t="shared" ref="BE12" si="85">SUM(BE13:BE17)</f>
        <v>0</v>
      </c>
      <c r="BF12" s="1296">
        <f t="shared" ref="BF12" si="86">SUM(BF13:BF17)</f>
        <v>0</v>
      </c>
      <c r="BG12" s="1296">
        <f t="shared" ref="BG12" si="87">SUM(BG13:BG17)</f>
        <v>0</v>
      </c>
      <c r="BH12" s="1296">
        <f t="shared" ref="BH12" si="88">SUM(BH13:BH17)</f>
        <v>0</v>
      </c>
      <c r="BI12" s="1296">
        <f t="shared" ref="BI12" si="89">SUM(BI13:BI17)</f>
        <v>0</v>
      </c>
      <c r="BJ12" s="1296">
        <f t="shared" ref="BJ12" si="90">SUM(BJ13:BJ17)</f>
        <v>0</v>
      </c>
      <c r="BK12" s="1296">
        <f t="shared" ref="BK12" si="91">SUM(BK13:BK17)</f>
        <v>0</v>
      </c>
      <c r="BL12" s="1296">
        <f t="shared" ref="BL12" si="92">SUM(BL13:BL17)</f>
        <v>68675</v>
      </c>
      <c r="BM12" s="1297">
        <f t="shared" ref="BM12" si="93">SUM(BM13:BM17)</f>
        <v>0</v>
      </c>
      <c r="BN12" s="1506">
        <f t="shared" ref="BN12" si="94">SUM(BN13:BN17)</f>
        <v>-476613</v>
      </c>
      <c r="BO12" s="1506">
        <f t="shared" si="59"/>
        <v>-1151987</v>
      </c>
      <c r="BP12" s="648"/>
      <c r="BQ12" s="915"/>
      <c r="BR12"/>
    </row>
    <row r="13" spans="2:70" ht="15" customHeight="1">
      <c r="B13" s="12"/>
      <c r="C13" s="12"/>
      <c r="D13" s="662"/>
      <c r="E13" s="12"/>
      <c r="F13" s="663" t="s">
        <v>2420</v>
      </c>
      <c r="G13" s="1303">
        <v>-107426</v>
      </c>
      <c r="H13" s="1304">
        <v>31573</v>
      </c>
      <c r="I13" s="1304">
        <v>-414042</v>
      </c>
      <c r="J13" s="1304">
        <v>0</v>
      </c>
      <c r="K13" s="1304">
        <v>-649</v>
      </c>
      <c r="L13" s="1304">
        <v>0</v>
      </c>
      <c r="M13" s="1304">
        <v>-93366</v>
      </c>
      <c r="N13" s="1304">
        <v>30547</v>
      </c>
      <c r="O13" s="1304">
        <v>312871</v>
      </c>
      <c r="P13" s="1304">
        <v>155061</v>
      </c>
      <c r="Q13" s="1304">
        <v>0</v>
      </c>
      <c r="R13" s="1304">
        <v>0</v>
      </c>
      <c r="S13" s="1304">
        <v>0</v>
      </c>
      <c r="T13" s="1304">
        <v>0</v>
      </c>
      <c r="U13" s="1305">
        <v>0</v>
      </c>
      <c r="V13" s="1336">
        <f t="shared" ref="V13:V17" si="95">SUM(G13:U13)</f>
        <v>-85431</v>
      </c>
      <c r="W13" s="1307">
        <v>0</v>
      </c>
      <c r="X13" s="1304">
        <v>-2299600</v>
      </c>
      <c r="Y13" s="1304">
        <v>0</v>
      </c>
      <c r="Z13" s="1304">
        <v>0</v>
      </c>
      <c r="AA13" s="1304">
        <v>0</v>
      </c>
      <c r="AB13" s="1304">
        <v>0</v>
      </c>
      <c r="AC13" s="1304">
        <v>0</v>
      </c>
      <c r="AD13" s="1304">
        <v>173157</v>
      </c>
      <c r="AE13" s="1304">
        <v>2939201</v>
      </c>
      <c r="AF13" s="1304">
        <v>11031</v>
      </c>
      <c r="AG13" s="1304">
        <v>0</v>
      </c>
      <c r="AH13" s="1304">
        <v>0</v>
      </c>
      <c r="AI13" s="1304">
        <v>-20091</v>
      </c>
      <c r="AJ13" s="1304">
        <v>0</v>
      </c>
      <c r="AK13" s="1305">
        <v>0</v>
      </c>
      <c r="AL13" s="1336">
        <f t="shared" ref="AL13:AL17" si="96">SUM(W13:AK13)</f>
        <v>803698</v>
      </c>
      <c r="AM13" s="1308">
        <v>0</v>
      </c>
      <c r="AN13" s="1309">
        <v>-6394</v>
      </c>
      <c r="AO13" s="1309">
        <v>5071</v>
      </c>
      <c r="AP13" s="1309">
        <v>0</v>
      </c>
      <c r="AQ13" s="1309">
        <v>0</v>
      </c>
      <c r="AR13" s="1309">
        <v>0</v>
      </c>
      <c r="AS13" s="1309">
        <v>0</v>
      </c>
      <c r="AT13" s="1309">
        <v>739</v>
      </c>
      <c r="AU13" s="1309">
        <v>5530</v>
      </c>
      <c r="AV13" s="1309">
        <v>15082</v>
      </c>
      <c r="AW13" s="1309">
        <v>0</v>
      </c>
      <c r="AX13" s="1309">
        <v>0</v>
      </c>
      <c r="AY13" s="1309">
        <v>-28646</v>
      </c>
      <c r="AZ13" s="1309">
        <v>0</v>
      </c>
      <c r="BA13" s="1310">
        <v>0</v>
      </c>
      <c r="BB13" s="1336">
        <f t="shared" ref="BB13:BB17" si="97">SUM(AM13:BA13)</f>
        <v>-8618</v>
      </c>
      <c r="BC13" s="1308">
        <v>0</v>
      </c>
      <c r="BD13" s="1309">
        <v>0</v>
      </c>
      <c r="BE13" s="1309">
        <v>0</v>
      </c>
      <c r="BF13" s="1309">
        <v>0</v>
      </c>
      <c r="BG13" s="1309">
        <v>0</v>
      </c>
      <c r="BH13" s="1309">
        <v>0</v>
      </c>
      <c r="BI13" s="1309">
        <v>0</v>
      </c>
      <c r="BJ13" s="1309">
        <v>0</v>
      </c>
      <c r="BK13" s="1309">
        <v>0</v>
      </c>
      <c r="BL13" s="1309">
        <v>279</v>
      </c>
      <c r="BM13" s="1310">
        <v>0</v>
      </c>
      <c r="BN13" s="1336">
        <v>279</v>
      </c>
      <c r="BO13" s="1524">
        <f t="shared" si="59"/>
        <v>709928</v>
      </c>
      <c r="BP13" s="146"/>
      <c r="BQ13" s="915"/>
    </row>
    <row r="14" spans="2:70" ht="15" customHeight="1">
      <c r="B14" s="12"/>
      <c r="C14" s="12"/>
      <c r="D14" s="662"/>
      <c r="E14" s="12"/>
      <c r="F14" s="663" t="s">
        <v>2421</v>
      </c>
      <c r="G14" s="1303">
        <v>-30035</v>
      </c>
      <c r="H14" s="1304">
        <v>50339</v>
      </c>
      <c r="I14" s="1304">
        <v>0</v>
      </c>
      <c r="J14" s="1304">
        <v>-58321</v>
      </c>
      <c r="K14" s="1304">
        <v>-1607533</v>
      </c>
      <c r="L14" s="1304">
        <v>-55672</v>
      </c>
      <c r="M14" s="1304">
        <v>0</v>
      </c>
      <c r="N14" s="1304">
        <v>0</v>
      </c>
      <c r="O14" s="1304">
        <v>0</v>
      </c>
      <c r="P14" s="1304">
        <v>0</v>
      </c>
      <c r="Q14" s="1304">
        <v>0</v>
      </c>
      <c r="R14" s="1304">
        <v>0</v>
      </c>
      <c r="S14" s="1304">
        <v>0</v>
      </c>
      <c r="T14" s="1304">
        <v>0</v>
      </c>
      <c r="U14" s="1305">
        <v>0</v>
      </c>
      <c r="V14" s="1336">
        <f t="shared" si="95"/>
        <v>-1701222</v>
      </c>
      <c r="W14" s="1307">
        <v>0</v>
      </c>
      <c r="X14" s="1304">
        <v>0</v>
      </c>
      <c r="Y14" s="1304">
        <v>0</v>
      </c>
      <c r="Z14" s="1304">
        <v>0</v>
      </c>
      <c r="AA14" s="1304">
        <v>0</v>
      </c>
      <c r="AB14" s="1304">
        <v>0</v>
      </c>
      <c r="AC14" s="1304">
        <v>0</v>
      </c>
      <c r="AD14" s="1304">
        <v>0</v>
      </c>
      <c r="AE14" s="1304">
        <v>0</v>
      </c>
      <c r="AF14" s="1304">
        <v>0</v>
      </c>
      <c r="AG14" s="1304">
        <v>0</v>
      </c>
      <c r="AH14" s="1304">
        <v>0</v>
      </c>
      <c r="AI14" s="1304">
        <v>-6554</v>
      </c>
      <c r="AJ14" s="1304">
        <v>0</v>
      </c>
      <c r="AK14" s="1305">
        <v>0</v>
      </c>
      <c r="AL14" s="1336">
        <f t="shared" si="96"/>
        <v>-6554</v>
      </c>
      <c r="AM14" s="1308">
        <v>0</v>
      </c>
      <c r="AN14" s="1309">
        <v>0</v>
      </c>
      <c r="AO14" s="1309">
        <v>0</v>
      </c>
      <c r="AP14" s="1309">
        <v>0</v>
      </c>
      <c r="AQ14" s="1309">
        <v>0</v>
      </c>
      <c r="AR14" s="1309">
        <v>0</v>
      </c>
      <c r="AS14" s="1309">
        <v>0</v>
      </c>
      <c r="AT14" s="1309">
        <v>0</v>
      </c>
      <c r="AU14" s="1309">
        <v>0</v>
      </c>
      <c r="AV14" s="1309">
        <v>0</v>
      </c>
      <c r="AW14" s="1309">
        <v>0</v>
      </c>
      <c r="AX14" s="1309">
        <v>0</v>
      </c>
      <c r="AY14" s="1309">
        <v>1589200</v>
      </c>
      <c r="AZ14" s="1309">
        <v>0</v>
      </c>
      <c r="BA14" s="1310">
        <v>0</v>
      </c>
      <c r="BB14" s="1336">
        <f t="shared" si="97"/>
        <v>1589200</v>
      </c>
      <c r="BC14" s="1308">
        <v>0</v>
      </c>
      <c r="BD14" s="1309">
        <v>0</v>
      </c>
      <c r="BE14" s="1309">
        <v>0</v>
      </c>
      <c r="BF14" s="1309">
        <v>0</v>
      </c>
      <c r="BG14" s="1309">
        <v>0</v>
      </c>
      <c r="BH14" s="1309">
        <v>0</v>
      </c>
      <c r="BI14" s="1309">
        <v>0</v>
      </c>
      <c r="BJ14" s="1309">
        <v>0</v>
      </c>
      <c r="BK14" s="1309">
        <v>0</v>
      </c>
      <c r="BL14" s="1309">
        <v>0</v>
      </c>
      <c r="BM14" s="1310">
        <v>0</v>
      </c>
      <c r="BN14" s="1336">
        <v>0</v>
      </c>
      <c r="BO14" s="1524">
        <f t="shared" si="59"/>
        <v>-118576</v>
      </c>
      <c r="BP14" s="146"/>
      <c r="BQ14" s="915"/>
    </row>
    <row r="15" spans="2:70" ht="15" customHeight="1">
      <c r="B15" s="12"/>
      <c r="C15" s="12"/>
      <c r="D15" s="662"/>
      <c r="E15" s="12"/>
      <c r="F15" s="663" t="s">
        <v>2422</v>
      </c>
      <c r="G15" s="1303">
        <v>0</v>
      </c>
      <c r="H15" s="1304">
        <v>0</v>
      </c>
      <c r="I15" s="1304">
        <v>648671</v>
      </c>
      <c r="J15" s="1304">
        <v>0</v>
      </c>
      <c r="K15" s="1304">
        <v>0</v>
      </c>
      <c r="L15" s="1304">
        <v>0</v>
      </c>
      <c r="M15" s="1304">
        <v>0</v>
      </c>
      <c r="N15" s="1304">
        <v>0</v>
      </c>
      <c r="O15" s="1304">
        <v>0</v>
      </c>
      <c r="P15" s="1304">
        <v>0</v>
      </c>
      <c r="Q15" s="1304">
        <v>0</v>
      </c>
      <c r="R15" s="1304">
        <v>0</v>
      </c>
      <c r="S15" s="1304">
        <v>0</v>
      </c>
      <c r="T15" s="1304">
        <v>0</v>
      </c>
      <c r="U15" s="1305">
        <v>0</v>
      </c>
      <c r="V15" s="1336">
        <f t="shared" si="95"/>
        <v>648671</v>
      </c>
      <c r="W15" s="1307">
        <v>0</v>
      </c>
      <c r="X15" s="1304">
        <v>0</v>
      </c>
      <c r="Y15" s="1304">
        <v>0</v>
      </c>
      <c r="Z15" s="1304">
        <v>0</v>
      </c>
      <c r="AA15" s="1304">
        <v>0</v>
      </c>
      <c r="AB15" s="1304">
        <v>0</v>
      </c>
      <c r="AC15" s="1304">
        <v>0</v>
      </c>
      <c r="AD15" s="1304">
        <v>0</v>
      </c>
      <c r="AE15" s="1304">
        <v>0</v>
      </c>
      <c r="AF15" s="1304">
        <v>0</v>
      </c>
      <c r="AG15" s="1304">
        <v>0</v>
      </c>
      <c r="AH15" s="1304">
        <v>0</v>
      </c>
      <c r="AI15" s="1304">
        <v>0</v>
      </c>
      <c r="AJ15" s="1304">
        <v>0</v>
      </c>
      <c r="AK15" s="1305">
        <v>0</v>
      </c>
      <c r="AL15" s="1336">
        <f t="shared" si="96"/>
        <v>0</v>
      </c>
      <c r="AM15" s="1308">
        <v>0</v>
      </c>
      <c r="AN15" s="1309">
        <v>0</v>
      </c>
      <c r="AO15" s="1309">
        <v>-1915118</v>
      </c>
      <c r="AP15" s="1309">
        <v>0</v>
      </c>
      <c r="AQ15" s="1309">
        <v>0</v>
      </c>
      <c r="AR15" s="1309">
        <v>0</v>
      </c>
      <c r="AS15" s="1309">
        <v>0</v>
      </c>
      <c r="AT15" s="1309">
        <v>0</v>
      </c>
      <c r="AU15" s="1309">
        <v>0</v>
      </c>
      <c r="AV15" s="1309">
        <v>0</v>
      </c>
      <c r="AW15" s="1309">
        <v>0</v>
      </c>
      <c r="AX15" s="1309">
        <v>0</v>
      </c>
      <c r="AY15" s="1309">
        <v>0</v>
      </c>
      <c r="AZ15" s="1309">
        <v>0</v>
      </c>
      <c r="BA15" s="1310">
        <v>0</v>
      </c>
      <c r="BB15" s="1336">
        <f t="shared" si="97"/>
        <v>-1915118</v>
      </c>
      <c r="BC15" s="1308">
        <v>0</v>
      </c>
      <c r="BD15" s="1309">
        <v>0</v>
      </c>
      <c r="BE15" s="1309">
        <v>0</v>
      </c>
      <c r="BF15" s="1309">
        <v>0</v>
      </c>
      <c r="BG15" s="1309">
        <v>0</v>
      </c>
      <c r="BH15" s="1309">
        <v>0</v>
      </c>
      <c r="BI15" s="1309">
        <v>0</v>
      </c>
      <c r="BJ15" s="1309">
        <v>0</v>
      </c>
      <c r="BK15" s="1309">
        <v>0</v>
      </c>
      <c r="BL15" s="1309">
        <v>68396</v>
      </c>
      <c r="BM15" s="1310">
        <v>0</v>
      </c>
      <c r="BN15" s="1336">
        <v>68396</v>
      </c>
      <c r="BO15" s="1524">
        <f t="shared" si="59"/>
        <v>-1198051</v>
      </c>
      <c r="BP15" s="146"/>
      <c r="BQ15" s="915"/>
    </row>
    <row r="16" spans="2:70" ht="15" customHeight="1">
      <c r="B16" s="12"/>
      <c r="C16" s="12"/>
      <c r="D16" s="662"/>
      <c r="E16" s="12"/>
      <c r="F16" s="663" t="s">
        <v>2423</v>
      </c>
      <c r="G16" s="1303">
        <v>0</v>
      </c>
      <c r="H16" s="1304">
        <v>0</v>
      </c>
      <c r="I16" s="1304">
        <v>0</v>
      </c>
      <c r="J16" s="1304">
        <v>0</v>
      </c>
      <c r="K16" s="1304">
        <v>0</v>
      </c>
      <c r="L16" s="1304">
        <v>0</v>
      </c>
      <c r="M16" s="1304">
        <v>0</v>
      </c>
      <c r="N16" s="1304">
        <v>0</v>
      </c>
      <c r="O16" s="1304">
        <v>0</v>
      </c>
      <c r="P16" s="1304">
        <v>0</v>
      </c>
      <c r="Q16" s="1304">
        <v>0</v>
      </c>
      <c r="R16" s="1304">
        <v>0</v>
      </c>
      <c r="S16" s="1304">
        <v>0</v>
      </c>
      <c r="T16" s="1304">
        <v>0</v>
      </c>
      <c r="U16" s="1305">
        <v>0</v>
      </c>
      <c r="V16" s="1336">
        <f t="shared" si="95"/>
        <v>0</v>
      </c>
      <c r="W16" s="1307">
        <v>0</v>
      </c>
      <c r="X16" s="1304">
        <v>0</v>
      </c>
      <c r="Y16" s="1304">
        <v>0</v>
      </c>
      <c r="Z16" s="1304">
        <v>0</v>
      </c>
      <c r="AA16" s="1304">
        <v>0</v>
      </c>
      <c r="AB16" s="1304">
        <v>0</v>
      </c>
      <c r="AC16" s="1304">
        <v>0</v>
      </c>
      <c r="AD16" s="1304">
        <v>0</v>
      </c>
      <c r="AE16" s="1304">
        <v>0</v>
      </c>
      <c r="AF16" s="1304">
        <v>0</v>
      </c>
      <c r="AG16" s="1304">
        <v>0</v>
      </c>
      <c r="AH16" s="1304">
        <v>0</v>
      </c>
      <c r="AI16" s="1304">
        <v>0</v>
      </c>
      <c r="AJ16" s="1304">
        <v>0</v>
      </c>
      <c r="AK16" s="1305">
        <v>0</v>
      </c>
      <c r="AL16" s="1336">
        <f t="shared" si="96"/>
        <v>0</v>
      </c>
      <c r="AM16" s="1308">
        <v>0</v>
      </c>
      <c r="AN16" s="1309">
        <v>0</v>
      </c>
      <c r="AO16" s="1309">
        <v>0</v>
      </c>
      <c r="AP16" s="1309">
        <v>0</v>
      </c>
      <c r="AQ16" s="1309">
        <v>0</v>
      </c>
      <c r="AR16" s="1309">
        <v>0</v>
      </c>
      <c r="AS16" s="1309">
        <v>0</v>
      </c>
      <c r="AT16" s="1309">
        <v>0</v>
      </c>
      <c r="AU16" s="1309">
        <v>0</v>
      </c>
      <c r="AV16" s="1309">
        <v>0</v>
      </c>
      <c r="AW16" s="1309">
        <v>0</v>
      </c>
      <c r="AX16" s="1309">
        <v>0</v>
      </c>
      <c r="AY16" s="1309">
        <v>0</v>
      </c>
      <c r="AZ16" s="1309">
        <v>0</v>
      </c>
      <c r="BA16" s="1310">
        <v>0</v>
      </c>
      <c r="BB16" s="1336">
        <f t="shared" si="97"/>
        <v>0</v>
      </c>
      <c r="BC16" s="1502">
        <v>-545288</v>
      </c>
      <c r="BD16" s="1309">
        <v>0</v>
      </c>
      <c r="BE16" s="1309">
        <v>0</v>
      </c>
      <c r="BF16" s="1309">
        <v>0</v>
      </c>
      <c r="BG16" s="1309">
        <v>0</v>
      </c>
      <c r="BH16" s="1309">
        <v>0</v>
      </c>
      <c r="BI16" s="1309">
        <v>0</v>
      </c>
      <c r="BJ16" s="1309">
        <v>0</v>
      </c>
      <c r="BK16" s="1309">
        <v>0</v>
      </c>
      <c r="BL16" s="1309">
        <v>0</v>
      </c>
      <c r="BM16" s="1310">
        <v>0</v>
      </c>
      <c r="BN16" s="1507">
        <v>-545288</v>
      </c>
      <c r="BO16" s="1507">
        <f t="shared" si="59"/>
        <v>-545288</v>
      </c>
      <c r="BP16" s="146"/>
      <c r="BQ16" s="915"/>
    </row>
    <row r="17" spans="2:69" ht="15" customHeight="1">
      <c r="B17" s="12"/>
      <c r="C17" s="12"/>
      <c r="D17" s="662"/>
      <c r="E17" s="12"/>
      <c r="F17" s="663" t="s">
        <v>2424</v>
      </c>
      <c r="G17" s="1303">
        <v>0</v>
      </c>
      <c r="H17" s="1304">
        <v>0</v>
      </c>
      <c r="I17" s="1304">
        <v>0</v>
      </c>
      <c r="J17" s="1304">
        <v>0</v>
      </c>
      <c r="K17" s="1304">
        <v>0</v>
      </c>
      <c r="L17" s="1304">
        <v>0</v>
      </c>
      <c r="M17" s="1304">
        <v>0</v>
      </c>
      <c r="N17" s="1304">
        <v>0</v>
      </c>
      <c r="O17" s="1304">
        <v>0</v>
      </c>
      <c r="P17" s="1304">
        <v>0</v>
      </c>
      <c r="Q17" s="1304">
        <v>0</v>
      </c>
      <c r="R17" s="1304">
        <v>0</v>
      </c>
      <c r="S17" s="1304">
        <v>0</v>
      </c>
      <c r="T17" s="1304">
        <v>0</v>
      </c>
      <c r="U17" s="1305">
        <v>0</v>
      </c>
      <c r="V17" s="1336">
        <f t="shared" si="95"/>
        <v>0</v>
      </c>
      <c r="W17" s="1307">
        <v>0</v>
      </c>
      <c r="X17" s="1304">
        <v>0</v>
      </c>
      <c r="Y17" s="1304">
        <v>0</v>
      </c>
      <c r="Z17" s="1304">
        <v>0</v>
      </c>
      <c r="AA17" s="1304">
        <v>0</v>
      </c>
      <c r="AB17" s="1304">
        <v>0</v>
      </c>
      <c r="AC17" s="1304">
        <v>0</v>
      </c>
      <c r="AD17" s="1304">
        <v>0</v>
      </c>
      <c r="AE17" s="1304">
        <v>0</v>
      </c>
      <c r="AF17" s="1304">
        <v>0</v>
      </c>
      <c r="AG17" s="1304">
        <v>0</v>
      </c>
      <c r="AH17" s="1304">
        <v>0</v>
      </c>
      <c r="AI17" s="1304">
        <v>0</v>
      </c>
      <c r="AJ17" s="1304">
        <v>0</v>
      </c>
      <c r="AK17" s="1305">
        <v>0</v>
      </c>
      <c r="AL17" s="1336">
        <f t="shared" si="96"/>
        <v>0</v>
      </c>
      <c r="AM17" s="1308">
        <v>0</v>
      </c>
      <c r="AN17" s="1309">
        <v>0</v>
      </c>
      <c r="AO17" s="1309">
        <v>0</v>
      </c>
      <c r="AP17" s="1309">
        <v>0</v>
      </c>
      <c r="AQ17" s="1309">
        <v>0</v>
      </c>
      <c r="AR17" s="1309">
        <v>0</v>
      </c>
      <c r="AS17" s="1309">
        <v>0</v>
      </c>
      <c r="AT17" s="1309">
        <v>0</v>
      </c>
      <c r="AU17" s="1309">
        <v>0</v>
      </c>
      <c r="AV17" s="1309">
        <v>0</v>
      </c>
      <c r="AW17" s="1309">
        <v>0</v>
      </c>
      <c r="AX17" s="1309">
        <v>0</v>
      </c>
      <c r="AY17" s="1309">
        <v>0</v>
      </c>
      <c r="AZ17" s="1309">
        <v>0</v>
      </c>
      <c r="BA17" s="1310">
        <v>0</v>
      </c>
      <c r="BB17" s="1336">
        <f t="shared" si="97"/>
        <v>0</v>
      </c>
      <c r="BC17" s="1308">
        <v>0</v>
      </c>
      <c r="BD17" s="1309"/>
      <c r="BE17" s="1309">
        <v>0</v>
      </c>
      <c r="BF17" s="1309">
        <v>0</v>
      </c>
      <c r="BG17" s="1309">
        <v>0</v>
      </c>
      <c r="BH17" s="1309">
        <v>0</v>
      </c>
      <c r="BI17" s="1309">
        <v>0</v>
      </c>
      <c r="BJ17" s="1309">
        <v>0</v>
      </c>
      <c r="BK17" s="1309">
        <v>0</v>
      </c>
      <c r="BL17" s="1309">
        <v>0</v>
      </c>
      <c r="BM17" s="1310">
        <v>0</v>
      </c>
      <c r="BN17" s="1336">
        <v>0</v>
      </c>
      <c r="BO17" s="1524">
        <f t="shared" si="59"/>
        <v>0</v>
      </c>
      <c r="BP17" s="146"/>
    </row>
    <row r="18" spans="2:69" s="30" customFormat="1" ht="15" customHeight="1">
      <c r="B18" s="25"/>
      <c r="C18" s="25"/>
      <c r="D18" s="661"/>
      <c r="E18" s="1564" t="s">
        <v>2425</v>
      </c>
      <c r="F18" s="1730"/>
      <c r="G18" s="1295">
        <f>G19-G20+G21</f>
        <v>-113221</v>
      </c>
      <c r="H18" s="1296">
        <f t="shared" ref="H18:AK18" si="98">H19-H20+H21</f>
        <v>45794</v>
      </c>
      <c r="I18" s="1296">
        <f t="shared" si="98"/>
        <v>5620166</v>
      </c>
      <c r="J18" s="1296">
        <f t="shared" si="98"/>
        <v>151337</v>
      </c>
      <c r="K18" s="1296">
        <f t="shared" si="98"/>
        <v>0</v>
      </c>
      <c r="L18" s="1296">
        <f t="shared" si="98"/>
        <v>519612</v>
      </c>
      <c r="M18" s="1504">
        <f t="shared" si="98"/>
        <v>1780460</v>
      </c>
      <c r="N18" s="1296">
        <f t="shared" si="98"/>
        <v>2867</v>
      </c>
      <c r="O18" s="1296">
        <f t="shared" si="98"/>
        <v>582458</v>
      </c>
      <c r="P18" s="1296">
        <f t="shared" si="98"/>
        <v>42366</v>
      </c>
      <c r="Q18" s="1296">
        <f t="shared" si="98"/>
        <v>0</v>
      </c>
      <c r="R18" s="1296">
        <f t="shared" si="98"/>
        <v>0</v>
      </c>
      <c r="S18" s="1296">
        <f t="shared" si="98"/>
        <v>0</v>
      </c>
      <c r="T18" s="1296">
        <f t="shared" si="98"/>
        <v>0</v>
      </c>
      <c r="U18" s="1297">
        <f t="shared" si="98"/>
        <v>0</v>
      </c>
      <c r="V18" s="1506">
        <f t="shared" si="98"/>
        <v>8631839</v>
      </c>
      <c r="W18" s="1299">
        <f t="shared" si="98"/>
        <v>0</v>
      </c>
      <c r="X18" s="1296">
        <f t="shared" si="98"/>
        <v>1904154</v>
      </c>
      <c r="Y18" s="1296">
        <f t="shared" si="98"/>
        <v>0</v>
      </c>
      <c r="Z18" s="1296">
        <f t="shared" si="98"/>
        <v>0</v>
      </c>
      <c r="AA18" s="1296">
        <f t="shared" si="98"/>
        <v>0</v>
      </c>
      <c r="AB18" s="1296">
        <f t="shared" si="98"/>
        <v>0</v>
      </c>
      <c r="AC18" s="1296">
        <f t="shared" si="98"/>
        <v>0</v>
      </c>
      <c r="AD18" s="1296">
        <f t="shared" si="98"/>
        <v>27871</v>
      </c>
      <c r="AE18" s="1296">
        <f t="shared" si="98"/>
        <v>10359845</v>
      </c>
      <c r="AF18" s="1296">
        <f t="shared" si="98"/>
        <v>24872</v>
      </c>
      <c r="AG18" s="1296">
        <f t="shared" si="98"/>
        <v>0</v>
      </c>
      <c r="AH18" s="1296">
        <f t="shared" si="98"/>
        <v>0</v>
      </c>
      <c r="AI18" s="1296">
        <f t="shared" si="98"/>
        <v>877243</v>
      </c>
      <c r="AJ18" s="1296">
        <f t="shared" si="98"/>
        <v>0</v>
      </c>
      <c r="AK18" s="1297">
        <f t="shared" si="98"/>
        <v>0</v>
      </c>
      <c r="AL18" s="1335">
        <f t="shared" ref="AL18" si="99">AL19-AL20+AL21</f>
        <v>13193985</v>
      </c>
      <c r="AM18" s="1299">
        <f t="shared" ref="AM18" si="100">AM19-AM20+AM21</f>
        <v>0</v>
      </c>
      <c r="AN18" s="1296">
        <f t="shared" ref="AN18" si="101">AN19-AN20+AN21</f>
        <v>670</v>
      </c>
      <c r="AO18" s="1296">
        <f t="shared" ref="AO18" si="102">AO19-AO20+AO21</f>
        <v>3130598</v>
      </c>
      <c r="AP18" s="1296">
        <f t="shared" ref="AP18" si="103">AP19-AP20+AP21</f>
        <v>0</v>
      </c>
      <c r="AQ18" s="1296">
        <f t="shared" ref="AQ18" si="104">AQ19-AQ20+AQ21</f>
        <v>0</v>
      </c>
      <c r="AR18" s="1296">
        <f t="shared" ref="AR18" si="105">AR19-AR20+AR21</f>
        <v>0</v>
      </c>
      <c r="AS18" s="1296">
        <f t="shared" ref="AS18" si="106">AS19-AS20+AS21</f>
        <v>0</v>
      </c>
      <c r="AT18" s="1296">
        <f t="shared" ref="AT18" si="107">AT19-AT20+AT21</f>
        <v>0</v>
      </c>
      <c r="AU18" s="1296">
        <f t="shared" ref="AU18" si="108">AU19-AU20+AU21</f>
        <v>22397</v>
      </c>
      <c r="AV18" s="1296">
        <f t="shared" ref="AV18" si="109">AV19-AV20+AV21</f>
        <v>11316</v>
      </c>
      <c r="AW18" s="1296">
        <f t="shared" ref="AW18" si="110">AW19-AW20+AW21</f>
        <v>0</v>
      </c>
      <c r="AX18" s="1296">
        <f t="shared" ref="AX18" si="111">AX19-AX20+AX21</f>
        <v>0</v>
      </c>
      <c r="AY18" s="1296">
        <f t="shared" ref="AY18" si="112">AY19-AY20+AY21</f>
        <v>-3962</v>
      </c>
      <c r="AZ18" s="1296">
        <f t="shared" ref="AZ18" si="113">AZ19-AZ20+AZ21</f>
        <v>0</v>
      </c>
      <c r="BA18" s="1297">
        <f t="shared" ref="BA18" si="114">BA19-BA20+BA21</f>
        <v>0</v>
      </c>
      <c r="BB18" s="1335">
        <f t="shared" ref="BB18" si="115">BB19-BB20+BB21</f>
        <v>3161019</v>
      </c>
      <c r="BC18" s="1299">
        <f t="shared" ref="BC18" si="116">BC19-BC20+BC21</f>
        <v>30100948</v>
      </c>
      <c r="BD18" s="1296">
        <f t="shared" ref="BD18" si="117">BD19-BD20+BD21</f>
        <v>0</v>
      </c>
      <c r="BE18" s="1296">
        <f t="shared" ref="BE18" si="118">BE19-BE20+BE21</f>
        <v>0</v>
      </c>
      <c r="BF18" s="1296">
        <f t="shared" ref="BF18" si="119">BF19-BF20+BF21</f>
        <v>0</v>
      </c>
      <c r="BG18" s="1296">
        <f t="shared" ref="BG18" si="120">BG19-BG20+BG21</f>
        <v>0</v>
      </c>
      <c r="BH18" s="1296">
        <f t="shared" ref="BH18" si="121">BH19-BH20+BH21</f>
        <v>0</v>
      </c>
      <c r="BI18" s="1296">
        <f t="shared" ref="BI18" si="122">BI19-BI20+BI21</f>
        <v>0</v>
      </c>
      <c r="BJ18" s="1296">
        <f t="shared" ref="BJ18" si="123">BJ19-BJ20+BJ21</f>
        <v>0</v>
      </c>
      <c r="BK18" s="1296">
        <f t="shared" ref="BK18" si="124">BK19-BK20+BK21</f>
        <v>0</v>
      </c>
      <c r="BL18" s="1296">
        <f t="shared" ref="BL18" si="125">BL19-BL20+BL21</f>
        <v>2583438</v>
      </c>
      <c r="BM18" s="1297">
        <f t="shared" ref="BM18" si="126">BM19-BM20+BM21</f>
        <v>0</v>
      </c>
      <c r="BN18" s="1298">
        <f t="shared" ref="BN18" si="127">BN19-BN20+BN21</f>
        <v>32684386</v>
      </c>
      <c r="BO18" s="1298">
        <f t="shared" si="59"/>
        <v>57671229</v>
      </c>
      <c r="BP18" s="648"/>
      <c r="BQ18" s="1331"/>
    </row>
    <row r="19" spans="2:69" ht="15" customHeight="1">
      <c r="B19" s="12"/>
      <c r="C19" s="12"/>
      <c r="D19" s="662"/>
      <c r="E19" s="12"/>
      <c r="F19" s="663" t="s">
        <v>2426</v>
      </c>
      <c r="G19" s="1303">
        <v>-113221</v>
      </c>
      <c r="H19" s="1304">
        <v>45794</v>
      </c>
      <c r="I19" s="1304">
        <v>5773014</v>
      </c>
      <c r="J19" s="1304">
        <v>151337</v>
      </c>
      <c r="K19" s="1304">
        <v>0</v>
      </c>
      <c r="L19" s="1304">
        <v>519612</v>
      </c>
      <c r="M19" s="1503">
        <v>1780460</v>
      </c>
      <c r="N19" s="1304">
        <v>2867</v>
      </c>
      <c r="O19" s="1304">
        <v>621868</v>
      </c>
      <c r="P19" s="1304">
        <v>42366</v>
      </c>
      <c r="Q19" s="1304">
        <v>0</v>
      </c>
      <c r="R19" s="1304">
        <v>0</v>
      </c>
      <c r="S19" s="1304">
        <v>0</v>
      </c>
      <c r="T19" s="1304">
        <v>0</v>
      </c>
      <c r="U19" s="1305">
        <v>0</v>
      </c>
      <c r="V19" s="1507">
        <f t="shared" ref="V19:V21" si="128">SUM(G19:U19)</f>
        <v>8824097</v>
      </c>
      <c r="W19" s="1307">
        <v>0</v>
      </c>
      <c r="X19" s="1304">
        <v>2270422</v>
      </c>
      <c r="Y19" s="1304">
        <v>0</v>
      </c>
      <c r="Z19" s="1304">
        <v>0</v>
      </c>
      <c r="AA19" s="1304">
        <v>0</v>
      </c>
      <c r="AB19" s="1304">
        <v>0</v>
      </c>
      <c r="AC19" s="1304">
        <v>0</v>
      </c>
      <c r="AD19" s="1304">
        <v>27871</v>
      </c>
      <c r="AE19" s="1304">
        <v>10442008</v>
      </c>
      <c r="AF19" s="1304">
        <v>24872</v>
      </c>
      <c r="AG19" s="1304">
        <v>0</v>
      </c>
      <c r="AH19" s="1304">
        <v>0</v>
      </c>
      <c r="AI19" s="1304">
        <v>877243</v>
      </c>
      <c r="AJ19" s="1304">
        <v>0</v>
      </c>
      <c r="AK19" s="1305">
        <v>0</v>
      </c>
      <c r="AL19" s="1336">
        <f t="shared" ref="AL19:AL21" si="129">SUM(W19:AK19)</f>
        <v>13642416</v>
      </c>
      <c r="AM19" s="1308">
        <v>0</v>
      </c>
      <c r="AN19" s="1309">
        <v>670</v>
      </c>
      <c r="AO19" s="1309">
        <v>3130598</v>
      </c>
      <c r="AP19" s="1309">
        <v>0</v>
      </c>
      <c r="AQ19" s="1309">
        <v>0</v>
      </c>
      <c r="AR19" s="1309">
        <v>0</v>
      </c>
      <c r="AS19" s="1309">
        <v>0</v>
      </c>
      <c r="AT19" s="1309">
        <v>0</v>
      </c>
      <c r="AU19" s="1309">
        <v>22397</v>
      </c>
      <c r="AV19" s="1309">
        <v>11316</v>
      </c>
      <c r="AW19" s="1309">
        <v>0</v>
      </c>
      <c r="AX19" s="1309">
        <v>0</v>
      </c>
      <c r="AY19" s="1309">
        <v>-3962</v>
      </c>
      <c r="AZ19" s="1309">
        <v>0</v>
      </c>
      <c r="BA19" s="1310">
        <v>0</v>
      </c>
      <c r="BB19" s="1336">
        <f t="shared" ref="BB19:BB21" si="130">SUM(AM19:BA19)</f>
        <v>3161019</v>
      </c>
      <c r="BC19" s="1308">
        <v>45670764</v>
      </c>
      <c r="BD19" s="1309">
        <v>0</v>
      </c>
      <c r="BE19" s="1309">
        <v>0</v>
      </c>
      <c r="BF19" s="1309">
        <v>0</v>
      </c>
      <c r="BG19" s="1309">
        <v>0</v>
      </c>
      <c r="BH19" s="1309">
        <v>0</v>
      </c>
      <c r="BI19" s="1309">
        <v>0</v>
      </c>
      <c r="BJ19" s="1309">
        <v>0</v>
      </c>
      <c r="BK19" s="1309">
        <v>0</v>
      </c>
      <c r="BL19" s="1309">
        <v>2583438</v>
      </c>
      <c r="BM19" s="1310">
        <v>0</v>
      </c>
      <c r="BN19" s="1336">
        <f t="shared" ref="BN19:BN21" si="131">BC19+BD19+BG19+BJ19+BK19+BL19+BM19</f>
        <v>48254202</v>
      </c>
      <c r="BO19" s="1524">
        <f t="shared" si="59"/>
        <v>73881734</v>
      </c>
      <c r="BP19" s="146"/>
      <c r="BQ19" s="1331"/>
    </row>
    <row r="20" spans="2:69" ht="15" customHeight="1">
      <c r="B20" s="12"/>
      <c r="C20" s="12"/>
      <c r="D20" s="662"/>
      <c r="E20" s="12"/>
      <c r="F20" s="663" t="s">
        <v>2427</v>
      </c>
      <c r="G20" s="1303">
        <v>0</v>
      </c>
      <c r="H20" s="1304">
        <v>0</v>
      </c>
      <c r="I20" s="1304">
        <v>152848</v>
      </c>
      <c r="J20" s="1304">
        <v>0</v>
      </c>
      <c r="K20" s="1304">
        <v>0</v>
      </c>
      <c r="L20" s="1304">
        <v>0</v>
      </c>
      <c r="M20" s="1304">
        <v>0</v>
      </c>
      <c r="N20" s="1304">
        <v>0</v>
      </c>
      <c r="O20" s="1304">
        <v>39410</v>
      </c>
      <c r="P20" s="1304">
        <v>0</v>
      </c>
      <c r="Q20" s="1304">
        <v>0</v>
      </c>
      <c r="R20" s="1304">
        <v>0</v>
      </c>
      <c r="S20" s="1304">
        <v>0</v>
      </c>
      <c r="T20" s="1304">
        <v>0</v>
      </c>
      <c r="U20" s="1305">
        <v>0</v>
      </c>
      <c r="V20" s="1306">
        <f t="shared" si="128"/>
        <v>192258</v>
      </c>
      <c r="W20" s="1307">
        <v>0</v>
      </c>
      <c r="X20" s="1304">
        <v>366268</v>
      </c>
      <c r="Y20" s="1304">
        <v>0</v>
      </c>
      <c r="Z20" s="1304">
        <v>0</v>
      </c>
      <c r="AA20" s="1304">
        <v>0</v>
      </c>
      <c r="AB20" s="1304">
        <v>0</v>
      </c>
      <c r="AC20" s="1304">
        <v>0</v>
      </c>
      <c r="AD20" s="1304">
        <v>0</v>
      </c>
      <c r="AE20" s="1304">
        <v>82163</v>
      </c>
      <c r="AF20" s="1304">
        <v>0</v>
      </c>
      <c r="AG20" s="1304">
        <v>0</v>
      </c>
      <c r="AH20" s="1304">
        <v>0</v>
      </c>
      <c r="AI20" s="1304">
        <v>0</v>
      </c>
      <c r="AJ20" s="1304">
        <v>0</v>
      </c>
      <c r="AK20" s="1305">
        <v>0</v>
      </c>
      <c r="AL20" s="1336">
        <f t="shared" si="129"/>
        <v>448431</v>
      </c>
      <c r="AM20" s="1308">
        <v>0</v>
      </c>
      <c r="AN20" s="1309">
        <v>0</v>
      </c>
      <c r="AO20" s="1309">
        <v>0</v>
      </c>
      <c r="AP20" s="1309">
        <v>0</v>
      </c>
      <c r="AQ20" s="1309">
        <v>0</v>
      </c>
      <c r="AR20" s="1309">
        <v>0</v>
      </c>
      <c r="AS20" s="1309">
        <v>0</v>
      </c>
      <c r="AT20" s="1309">
        <v>0</v>
      </c>
      <c r="AU20" s="1309">
        <v>0</v>
      </c>
      <c r="AV20" s="1309">
        <v>0</v>
      </c>
      <c r="AW20" s="1309">
        <v>0</v>
      </c>
      <c r="AX20" s="1309">
        <v>0</v>
      </c>
      <c r="AY20" s="1309">
        <v>0</v>
      </c>
      <c r="AZ20" s="1309">
        <v>0</v>
      </c>
      <c r="BA20" s="1310">
        <v>0</v>
      </c>
      <c r="BB20" s="1336">
        <f t="shared" si="130"/>
        <v>0</v>
      </c>
      <c r="BC20" s="1308">
        <v>15569816</v>
      </c>
      <c r="BD20" s="1309">
        <v>0</v>
      </c>
      <c r="BE20" s="1309">
        <v>0</v>
      </c>
      <c r="BF20" s="1309">
        <v>0</v>
      </c>
      <c r="BG20" s="1309">
        <v>0</v>
      </c>
      <c r="BH20" s="1309">
        <v>0</v>
      </c>
      <c r="BI20" s="1309">
        <v>0</v>
      </c>
      <c r="BJ20" s="1309">
        <v>0</v>
      </c>
      <c r="BK20" s="1309">
        <v>0</v>
      </c>
      <c r="BL20" s="1309">
        <v>0</v>
      </c>
      <c r="BM20" s="1310">
        <v>0</v>
      </c>
      <c r="BN20" s="1306">
        <f>BC20+BD20+BG20+BJ20+BK20+BL20+BM20</f>
        <v>15569816</v>
      </c>
      <c r="BO20" s="1306">
        <f t="shared" si="59"/>
        <v>16210505</v>
      </c>
      <c r="BP20" s="146"/>
      <c r="BQ20" s="1331"/>
    </row>
    <row r="21" spans="2:69" ht="15" customHeight="1">
      <c r="B21" s="12"/>
      <c r="C21" s="12"/>
      <c r="D21" s="662"/>
      <c r="E21" s="12"/>
      <c r="F21" s="663" t="s">
        <v>2428</v>
      </c>
      <c r="G21" s="1303">
        <v>0</v>
      </c>
      <c r="H21" s="1304">
        <v>0</v>
      </c>
      <c r="I21" s="1304">
        <v>0</v>
      </c>
      <c r="J21" s="1304">
        <v>0</v>
      </c>
      <c r="K21" s="1304">
        <v>0</v>
      </c>
      <c r="L21" s="1304">
        <v>0</v>
      </c>
      <c r="M21" s="1304">
        <v>0</v>
      </c>
      <c r="N21" s="1304">
        <v>0</v>
      </c>
      <c r="O21" s="1304">
        <v>0</v>
      </c>
      <c r="P21" s="1304">
        <v>0</v>
      </c>
      <c r="Q21" s="1304">
        <v>0</v>
      </c>
      <c r="R21" s="1304">
        <v>0</v>
      </c>
      <c r="S21" s="1304">
        <v>0</v>
      </c>
      <c r="T21" s="1304">
        <v>0</v>
      </c>
      <c r="U21" s="1305">
        <v>0</v>
      </c>
      <c r="V21" s="1336">
        <f t="shared" si="128"/>
        <v>0</v>
      </c>
      <c r="W21" s="1307">
        <v>0</v>
      </c>
      <c r="X21" s="1304">
        <v>0</v>
      </c>
      <c r="Y21" s="1304">
        <v>0</v>
      </c>
      <c r="Z21" s="1304">
        <v>0</v>
      </c>
      <c r="AA21" s="1304">
        <v>0</v>
      </c>
      <c r="AB21" s="1304">
        <v>0</v>
      </c>
      <c r="AC21" s="1304">
        <v>0</v>
      </c>
      <c r="AD21" s="1304">
        <v>0</v>
      </c>
      <c r="AE21" s="1304">
        <v>0</v>
      </c>
      <c r="AF21" s="1304">
        <v>0</v>
      </c>
      <c r="AG21" s="1304">
        <v>0</v>
      </c>
      <c r="AH21" s="1304">
        <v>0</v>
      </c>
      <c r="AI21" s="1304">
        <v>0</v>
      </c>
      <c r="AJ21" s="1304">
        <v>0</v>
      </c>
      <c r="AK21" s="1305">
        <v>0</v>
      </c>
      <c r="AL21" s="1336">
        <f t="shared" si="129"/>
        <v>0</v>
      </c>
      <c r="AM21" s="1308">
        <v>0</v>
      </c>
      <c r="AN21" s="1309">
        <v>0</v>
      </c>
      <c r="AO21" s="1309">
        <v>0</v>
      </c>
      <c r="AP21" s="1309">
        <v>0</v>
      </c>
      <c r="AQ21" s="1309">
        <v>0</v>
      </c>
      <c r="AR21" s="1309">
        <v>0</v>
      </c>
      <c r="AS21" s="1309">
        <v>0</v>
      </c>
      <c r="AT21" s="1309">
        <v>0</v>
      </c>
      <c r="AU21" s="1309">
        <v>0</v>
      </c>
      <c r="AV21" s="1309">
        <v>0</v>
      </c>
      <c r="AW21" s="1309">
        <v>0</v>
      </c>
      <c r="AX21" s="1309">
        <v>0</v>
      </c>
      <c r="AY21" s="1309">
        <v>0</v>
      </c>
      <c r="AZ21" s="1309">
        <v>0</v>
      </c>
      <c r="BA21" s="1310">
        <v>0</v>
      </c>
      <c r="BB21" s="1336">
        <f t="shared" si="130"/>
        <v>0</v>
      </c>
      <c r="BC21" s="1308">
        <v>0</v>
      </c>
      <c r="BD21" s="1309">
        <v>0</v>
      </c>
      <c r="BE21" s="1309">
        <v>0</v>
      </c>
      <c r="BF21" s="1309">
        <v>0</v>
      </c>
      <c r="BG21" s="1309">
        <v>0</v>
      </c>
      <c r="BH21" s="1309">
        <v>0</v>
      </c>
      <c r="BI21" s="1309">
        <v>0</v>
      </c>
      <c r="BJ21" s="1309">
        <v>0</v>
      </c>
      <c r="BK21" s="1309">
        <v>0</v>
      </c>
      <c r="BL21" s="1309">
        <v>0</v>
      </c>
      <c r="BM21" s="1310">
        <v>0</v>
      </c>
      <c r="BN21" s="1336">
        <f t="shared" si="131"/>
        <v>0</v>
      </c>
      <c r="BO21" s="1524">
        <f t="shared" si="59"/>
        <v>0</v>
      </c>
      <c r="BP21" s="648"/>
    </row>
    <row r="22" spans="2:69" s="30" customFormat="1" ht="15" customHeight="1">
      <c r="B22" s="25"/>
      <c r="C22" s="25"/>
      <c r="D22" s="661"/>
      <c r="E22" s="1564" t="s">
        <v>2429</v>
      </c>
      <c r="F22" s="1730"/>
      <c r="G22" s="1295">
        <f>G23-G24+G25</f>
        <v>0</v>
      </c>
      <c r="H22" s="1296">
        <f t="shared" ref="H22:AK22" si="132">H23-H24+H25</f>
        <v>0</v>
      </c>
      <c r="I22" s="1296">
        <f t="shared" si="132"/>
        <v>0</v>
      </c>
      <c r="J22" s="1296">
        <f t="shared" si="132"/>
        <v>0</v>
      </c>
      <c r="K22" s="1296">
        <f t="shared" si="132"/>
        <v>39625</v>
      </c>
      <c r="L22" s="1296">
        <f t="shared" si="132"/>
        <v>0</v>
      </c>
      <c r="M22" s="1296">
        <f t="shared" si="132"/>
        <v>0</v>
      </c>
      <c r="N22" s="1296">
        <f t="shared" si="132"/>
        <v>0</v>
      </c>
      <c r="O22" s="1296">
        <f t="shared" si="132"/>
        <v>0</v>
      </c>
      <c r="P22" s="1296">
        <f t="shared" si="132"/>
        <v>0</v>
      </c>
      <c r="Q22" s="1296">
        <f t="shared" si="132"/>
        <v>0</v>
      </c>
      <c r="R22" s="1296">
        <f t="shared" si="132"/>
        <v>0</v>
      </c>
      <c r="S22" s="1296">
        <f t="shared" si="132"/>
        <v>0</v>
      </c>
      <c r="T22" s="1296">
        <f t="shared" si="132"/>
        <v>0</v>
      </c>
      <c r="U22" s="1297">
        <f t="shared" si="132"/>
        <v>0</v>
      </c>
      <c r="V22" s="1335">
        <f t="shared" si="132"/>
        <v>39625</v>
      </c>
      <c r="W22" s="1299">
        <f t="shared" si="132"/>
        <v>0</v>
      </c>
      <c r="X22" s="1296">
        <f t="shared" si="132"/>
        <v>0</v>
      </c>
      <c r="Y22" s="1296">
        <f t="shared" si="132"/>
        <v>0</v>
      </c>
      <c r="Z22" s="1296">
        <f t="shared" si="132"/>
        <v>0</v>
      </c>
      <c r="AA22" s="1296">
        <f t="shared" si="132"/>
        <v>0</v>
      </c>
      <c r="AB22" s="1296">
        <f t="shared" si="132"/>
        <v>0</v>
      </c>
      <c r="AC22" s="1296">
        <f t="shared" si="132"/>
        <v>0</v>
      </c>
      <c r="AD22" s="1296">
        <f t="shared" si="132"/>
        <v>0</v>
      </c>
      <c r="AE22" s="1296">
        <f t="shared" si="132"/>
        <v>0</v>
      </c>
      <c r="AF22" s="1296">
        <f t="shared" si="132"/>
        <v>0</v>
      </c>
      <c r="AG22" s="1296">
        <f t="shared" si="132"/>
        <v>0</v>
      </c>
      <c r="AH22" s="1296">
        <f t="shared" si="132"/>
        <v>0</v>
      </c>
      <c r="AI22" s="1296">
        <f t="shared" si="132"/>
        <v>0</v>
      </c>
      <c r="AJ22" s="1296">
        <f t="shared" si="132"/>
        <v>0</v>
      </c>
      <c r="AK22" s="1297">
        <f t="shared" si="132"/>
        <v>0</v>
      </c>
      <c r="AL22" s="1335">
        <f t="shared" ref="AL22" si="133">AL23-AL24+AL25</f>
        <v>0</v>
      </c>
      <c r="AM22" s="1299">
        <f t="shared" ref="AM22" si="134">AM23-AM24+AM25</f>
        <v>0</v>
      </c>
      <c r="AN22" s="1296">
        <f t="shared" ref="AN22" si="135">AN23-AN24+AN25</f>
        <v>0</v>
      </c>
      <c r="AO22" s="1296">
        <f t="shared" ref="AO22" si="136">AO23-AO24+AO25</f>
        <v>0</v>
      </c>
      <c r="AP22" s="1296">
        <f t="shared" ref="AP22" si="137">AP23-AP24+AP25</f>
        <v>0</v>
      </c>
      <c r="AQ22" s="1296">
        <f t="shared" ref="AQ22" si="138">AQ23-AQ24+AQ25</f>
        <v>0</v>
      </c>
      <c r="AR22" s="1296">
        <f t="shared" ref="AR22" si="139">AR23-AR24+AR25</f>
        <v>0</v>
      </c>
      <c r="AS22" s="1296">
        <f t="shared" ref="AS22" si="140">AS23-AS24+AS25</f>
        <v>0</v>
      </c>
      <c r="AT22" s="1296">
        <f t="shared" ref="AT22" si="141">AT23-AT24+AT25</f>
        <v>0</v>
      </c>
      <c r="AU22" s="1296">
        <f t="shared" ref="AU22" si="142">AU23-AU24+AU25</f>
        <v>0</v>
      </c>
      <c r="AV22" s="1296">
        <f t="shared" ref="AV22" si="143">AV23-AV24+AV25</f>
        <v>0</v>
      </c>
      <c r="AW22" s="1296">
        <f t="shared" ref="AW22" si="144">AW23-AW24+AW25</f>
        <v>0</v>
      </c>
      <c r="AX22" s="1296">
        <f t="shared" ref="AX22" si="145">AX23-AX24+AX25</f>
        <v>0</v>
      </c>
      <c r="AY22" s="1296">
        <f t="shared" ref="AY22" si="146">AY23-AY24+AY25</f>
        <v>0</v>
      </c>
      <c r="AZ22" s="1296">
        <f t="shared" ref="AZ22" si="147">AZ23-AZ24+AZ25</f>
        <v>0</v>
      </c>
      <c r="BA22" s="1297">
        <f t="shared" ref="BA22" si="148">BA23-BA24+BA25</f>
        <v>0</v>
      </c>
      <c r="BB22" s="1335">
        <f t="shared" ref="BB22" si="149">BB23-BB24+BB25</f>
        <v>0</v>
      </c>
      <c r="BC22" s="1299">
        <f t="shared" ref="BC22" si="150">BC23-BC24+BC25</f>
        <v>0</v>
      </c>
      <c r="BD22" s="1296">
        <f t="shared" ref="BD22" si="151">BD23-BD24+BD25</f>
        <v>33071961</v>
      </c>
      <c r="BE22" s="1296">
        <f t="shared" ref="BE22" si="152">BE23-BE24+BE25</f>
        <v>28252256</v>
      </c>
      <c r="BF22" s="1296">
        <f t="shared" ref="BF22" si="153">BF23-BF24+BF25</f>
        <v>4819705</v>
      </c>
      <c r="BG22" s="1296">
        <f t="shared" ref="BG22" si="154">BG23-BG24+BG25</f>
        <v>4998727</v>
      </c>
      <c r="BH22" s="1296">
        <f t="shared" ref="BH22" si="155">BH23-BH24+BH25</f>
        <v>4458504</v>
      </c>
      <c r="BI22" s="1296">
        <f t="shared" ref="BI22" si="156">BI23-BI24+BI25</f>
        <v>540223</v>
      </c>
      <c r="BJ22" s="1296">
        <f t="shared" ref="BJ22" si="157">BJ23-BJ24+BJ25</f>
        <v>3453540</v>
      </c>
      <c r="BK22" s="1296">
        <f t="shared" ref="BK22" si="158">BK23-BK24+BK25</f>
        <v>-19843</v>
      </c>
      <c r="BL22" s="1296">
        <f t="shared" ref="BL22" si="159">BL23-BL24+BL25</f>
        <v>251802</v>
      </c>
      <c r="BM22" s="1297">
        <f t="shared" ref="BM22" si="160">BM23-BM24+BM25</f>
        <v>107057</v>
      </c>
      <c r="BN22" s="1335">
        <f t="shared" ref="BN22" si="161">BN23-BN24+BN25</f>
        <v>41863244</v>
      </c>
      <c r="BO22" s="1523">
        <f t="shared" si="59"/>
        <v>41902869</v>
      </c>
      <c r="BP22" s="648"/>
      <c r="BQ22" s="1331"/>
    </row>
    <row r="23" spans="2:69" ht="15" customHeight="1">
      <c r="B23" s="12"/>
      <c r="C23" s="12"/>
      <c r="D23" s="662"/>
      <c r="E23" s="12"/>
      <c r="F23" s="663" t="s">
        <v>2430</v>
      </c>
      <c r="G23" s="1303">
        <v>0</v>
      </c>
      <c r="H23" s="1304">
        <v>0</v>
      </c>
      <c r="I23" s="1304">
        <v>0</v>
      </c>
      <c r="J23" s="1304">
        <v>0</v>
      </c>
      <c r="K23" s="1304">
        <v>39625</v>
      </c>
      <c r="L23" s="1304">
        <v>0</v>
      </c>
      <c r="M23" s="1304">
        <v>0</v>
      </c>
      <c r="N23" s="1304">
        <v>0</v>
      </c>
      <c r="O23" s="1304">
        <v>0</v>
      </c>
      <c r="P23" s="1304">
        <v>0</v>
      </c>
      <c r="Q23" s="1304">
        <v>0</v>
      </c>
      <c r="R23" s="1304">
        <v>0</v>
      </c>
      <c r="S23" s="1304">
        <v>0</v>
      </c>
      <c r="T23" s="1304">
        <v>0</v>
      </c>
      <c r="U23" s="1305">
        <v>0</v>
      </c>
      <c r="V23" s="1336">
        <f t="shared" ref="V23:V25" si="162">SUM(G23:U23)</f>
        <v>39625</v>
      </c>
      <c r="W23" s="1307">
        <v>0</v>
      </c>
      <c r="X23" s="1304">
        <v>0</v>
      </c>
      <c r="Y23" s="1304">
        <v>0</v>
      </c>
      <c r="Z23" s="1304">
        <v>0</v>
      </c>
      <c r="AA23" s="1304">
        <v>0</v>
      </c>
      <c r="AB23" s="1304">
        <v>0</v>
      </c>
      <c r="AC23" s="1304">
        <v>0</v>
      </c>
      <c r="AD23" s="1304">
        <v>0</v>
      </c>
      <c r="AE23" s="1304">
        <v>0</v>
      </c>
      <c r="AF23" s="1304">
        <v>0</v>
      </c>
      <c r="AG23" s="1304">
        <v>0</v>
      </c>
      <c r="AH23" s="1304">
        <v>0</v>
      </c>
      <c r="AI23" s="1304">
        <v>0</v>
      </c>
      <c r="AJ23" s="1304">
        <v>0</v>
      </c>
      <c r="AK23" s="1305">
        <v>0</v>
      </c>
      <c r="AL23" s="1336">
        <f t="shared" ref="AL23:AL25" si="163">SUM(W23:AK23)</f>
        <v>0</v>
      </c>
      <c r="AM23" s="1308">
        <v>0</v>
      </c>
      <c r="AN23" s="1309">
        <v>0</v>
      </c>
      <c r="AO23" s="1309">
        <v>0</v>
      </c>
      <c r="AP23" s="1309">
        <v>0</v>
      </c>
      <c r="AQ23" s="1309">
        <v>0</v>
      </c>
      <c r="AR23" s="1309">
        <v>0</v>
      </c>
      <c r="AS23" s="1309">
        <v>0</v>
      </c>
      <c r="AT23" s="1309">
        <v>0</v>
      </c>
      <c r="AU23" s="1309">
        <v>0</v>
      </c>
      <c r="AV23" s="1309">
        <v>0</v>
      </c>
      <c r="AW23" s="1309">
        <v>0</v>
      </c>
      <c r="AX23" s="1309">
        <v>0</v>
      </c>
      <c r="AY23" s="1309">
        <v>0</v>
      </c>
      <c r="AZ23" s="1309">
        <v>0</v>
      </c>
      <c r="BA23" s="1310">
        <v>0</v>
      </c>
      <c r="BB23" s="1336">
        <f t="shared" ref="BB23:BB25" si="164">SUM(AM23:BA23)</f>
        <v>0</v>
      </c>
      <c r="BC23" s="1308">
        <v>0</v>
      </c>
      <c r="BD23" s="1309">
        <v>33127724</v>
      </c>
      <c r="BE23" s="1309">
        <v>28252256</v>
      </c>
      <c r="BF23" s="1309">
        <v>4875468</v>
      </c>
      <c r="BG23" s="1309">
        <v>4998727</v>
      </c>
      <c r="BH23" s="1309">
        <v>4458504</v>
      </c>
      <c r="BI23" s="1309">
        <v>540223</v>
      </c>
      <c r="BJ23" s="1309">
        <v>3453540</v>
      </c>
      <c r="BK23" s="1309">
        <v>-19843</v>
      </c>
      <c r="BL23" s="1309">
        <v>251802</v>
      </c>
      <c r="BM23" s="1310">
        <v>107057</v>
      </c>
      <c r="BN23" s="1336">
        <f>BC23+BD23+BG23+BJ23+BK23+BL23+BM23</f>
        <v>41919007</v>
      </c>
      <c r="BO23" s="1524">
        <f t="shared" si="59"/>
        <v>41958632</v>
      </c>
      <c r="BP23" s="648"/>
      <c r="BQ23" s="1331"/>
    </row>
    <row r="24" spans="2:69" ht="15" customHeight="1">
      <c r="B24" s="12"/>
      <c r="C24" s="12"/>
      <c r="D24" s="662"/>
      <c r="E24" s="12"/>
      <c r="F24" s="663" t="s">
        <v>2431</v>
      </c>
      <c r="G24" s="1303">
        <v>0</v>
      </c>
      <c r="H24" s="1304">
        <v>0</v>
      </c>
      <c r="I24" s="1304">
        <v>0</v>
      </c>
      <c r="J24" s="1304">
        <v>0</v>
      </c>
      <c r="K24" s="1304">
        <v>0</v>
      </c>
      <c r="L24" s="1304">
        <v>0</v>
      </c>
      <c r="M24" s="1304">
        <v>0</v>
      </c>
      <c r="N24" s="1304">
        <v>0</v>
      </c>
      <c r="O24" s="1304">
        <v>0</v>
      </c>
      <c r="P24" s="1304">
        <v>0</v>
      </c>
      <c r="Q24" s="1304">
        <v>0</v>
      </c>
      <c r="R24" s="1304">
        <v>0</v>
      </c>
      <c r="S24" s="1304">
        <v>0</v>
      </c>
      <c r="T24" s="1304">
        <v>0</v>
      </c>
      <c r="U24" s="1305">
        <v>0</v>
      </c>
      <c r="V24" s="1336">
        <f t="shared" si="162"/>
        <v>0</v>
      </c>
      <c r="W24" s="1307">
        <v>0</v>
      </c>
      <c r="X24" s="1304">
        <v>0</v>
      </c>
      <c r="Y24" s="1304">
        <v>0</v>
      </c>
      <c r="Z24" s="1304">
        <v>0</v>
      </c>
      <c r="AA24" s="1304">
        <v>0</v>
      </c>
      <c r="AB24" s="1304">
        <v>0</v>
      </c>
      <c r="AC24" s="1304">
        <v>0</v>
      </c>
      <c r="AD24" s="1304">
        <v>0</v>
      </c>
      <c r="AE24" s="1304">
        <v>0</v>
      </c>
      <c r="AF24" s="1304">
        <v>0</v>
      </c>
      <c r="AG24" s="1304">
        <v>0</v>
      </c>
      <c r="AH24" s="1304">
        <v>0</v>
      </c>
      <c r="AI24" s="1304">
        <v>0</v>
      </c>
      <c r="AJ24" s="1304">
        <v>0</v>
      </c>
      <c r="AK24" s="1305">
        <v>0</v>
      </c>
      <c r="AL24" s="1336">
        <f t="shared" si="163"/>
        <v>0</v>
      </c>
      <c r="AM24" s="1308">
        <v>0</v>
      </c>
      <c r="AN24" s="1309">
        <v>0</v>
      </c>
      <c r="AO24" s="1309">
        <v>0</v>
      </c>
      <c r="AP24" s="1309">
        <v>0</v>
      </c>
      <c r="AQ24" s="1309">
        <v>0</v>
      </c>
      <c r="AR24" s="1309">
        <v>0</v>
      </c>
      <c r="AS24" s="1309">
        <v>0</v>
      </c>
      <c r="AT24" s="1309">
        <v>0</v>
      </c>
      <c r="AU24" s="1309">
        <v>0</v>
      </c>
      <c r="AV24" s="1309">
        <v>0</v>
      </c>
      <c r="AW24" s="1309">
        <v>0</v>
      </c>
      <c r="AX24" s="1309">
        <v>0</v>
      </c>
      <c r="AY24" s="1309">
        <v>0</v>
      </c>
      <c r="AZ24" s="1309">
        <v>0</v>
      </c>
      <c r="BA24" s="1310">
        <v>0</v>
      </c>
      <c r="BB24" s="1336">
        <f t="shared" si="164"/>
        <v>0</v>
      </c>
      <c r="BC24" s="1308">
        <v>0</v>
      </c>
      <c r="BD24" s="1309">
        <v>55763</v>
      </c>
      <c r="BE24" s="1309">
        <v>0</v>
      </c>
      <c r="BF24" s="1309">
        <v>55763</v>
      </c>
      <c r="BG24" s="1309">
        <v>0</v>
      </c>
      <c r="BH24" s="1309">
        <v>0</v>
      </c>
      <c r="BI24" s="1309">
        <v>0</v>
      </c>
      <c r="BJ24" s="1309">
        <v>0</v>
      </c>
      <c r="BK24" s="1309">
        <v>0</v>
      </c>
      <c r="BL24" s="1309">
        <v>0</v>
      </c>
      <c r="BM24" s="1310">
        <v>0</v>
      </c>
      <c r="BN24" s="1336">
        <f t="shared" ref="BN24:BN25" si="165">BC24+BD24+BG24+BJ24+BK24+BL24+BM24</f>
        <v>55763</v>
      </c>
      <c r="BO24" s="1524">
        <f t="shared" si="59"/>
        <v>55763</v>
      </c>
      <c r="BP24" s="648"/>
      <c r="BQ24" s="1331"/>
    </row>
    <row r="25" spans="2:69" ht="15" customHeight="1">
      <c r="B25" s="12"/>
      <c r="C25" s="12"/>
      <c r="D25" s="662"/>
      <c r="E25" s="12"/>
      <c r="F25" s="663" t="s">
        <v>2432</v>
      </c>
      <c r="G25" s="1303">
        <v>0</v>
      </c>
      <c r="H25" s="1304">
        <v>0</v>
      </c>
      <c r="I25" s="1304">
        <v>0</v>
      </c>
      <c r="J25" s="1304">
        <v>0</v>
      </c>
      <c r="K25" s="1304">
        <v>0</v>
      </c>
      <c r="L25" s="1304">
        <v>0</v>
      </c>
      <c r="M25" s="1304">
        <v>0</v>
      </c>
      <c r="N25" s="1304">
        <v>0</v>
      </c>
      <c r="O25" s="1304">
        <v>0</v>
      </c>
      <c r="P25" s="1304">
        <v>0</v>
      </c>
      <c r="Q25" s="1304">
        <v>0</v>
      </c>
      <c r="R25" s="1304">
        <v>0</v>
      </c>
      <c r="S25" s="1304">
        <v>0</v>
      </c>
      <c r="T25" s="1304">
        <v>0</v>
      </c>
      <c r="U25" s="1305">
        <v>0</v>
      </c>
      <c r="V25" s="1336">
        <f t="shared" si="162"/>
        <v>0</v>
      </c>
      <c r="W25" s="1307">
        <v>0</v>
      </c>
      <c r="X25" s="1304">
        <v>0</v>
      </c>
      <c r="Y25" s="1304">
        <v>0</v>
      </c>
      <c r="Z25" s="1304">
        <v>0</v>
      </c>
      <c r="AA25" s="1304">
        <v>0</v>
      </c>
      <c r="AB25" s="1304">
        <v>0</v>
      </c>
      <c r="AC25" s="1304">
        <v>0</v>
      </c>
      <c r="AD25" s="1304">
        <v>0</v>
      </c>
      <c r="AE25" s="1304">
        <v>0</v>
      </c>
      <c r="AF25" s="1304">
        <v>0</v>
      </c>
      <c r="AG25" s="1304">
        <v>0</v>
      </c>
      <c r="AH25" s="1304">
        <v>0</v>
      </c>
      <c r="AI25" s="1304">
        <v>0</v>
      </c>
      <c r="AJ25" s="1304">
        <v>0</v>
      </c>
      <c r="AK25" s="1305">
        <v>0</v>
      </c>
      <c r="AL25" s="1336">
        <f t="shared" si="163"/>
        <v>0</v>
      </c>
      <c r="AM25" s="1308">
        <v>0</v>
      </c>
      <c r="AN25" s="1309">
        <v>0</v>
      </c>
      <c r="AO25" s="1309">
        <v>0</v>
      </c>
      <c r="AP25" s="1309">
        <v>0</v>
      </c>
      <c r="AQ25" s="1309">
        <v>0</v>
      </c>
      <c r="AR25" s="1309">
        <v>0</v>
      </c>
      <c r="AS25" s="1309">
        <v>0</v>
      </c>
      <c r="AT25" s="1309">
        <v>0</v>
      </c>
      <c r="AU25" s="1309">
        <v>0</v>
      </c>
      <c r="AV25" s="1309">
        <v>0</v>
      </c>
      <c r="AW25" s="1309">
        <v>0</v>
      </c>
      <c r="AX25" s="1309">
        <v>0</v>
      </c>
      <c r="AY25" s="1309">
        <v>0</v>
      </c>
      <c r="AZ25" s="1309">
        <v>0</v>
      </c>
      <c r="BA25" s="1310">
        <v>0</v>
      </c>
      <c r="BB25" s="1336">
        <f t="shared" si="164"/>
        <v>0</v>
      </c>
      <c r="BC25" s="1308">
        <v>0</v>
      </c>
      <c r="BD25" s="1309">
        <v>0</v>
      </c>
      <c r="BE25" s="1309">
        <v>0</v>
      </c>
      <c r="BF25" s="1309">
        <v>0</v>
      </c>
      <c r="BG25" s="1309">
        <v>0</v>
      </c>
      <c r="BH25" s="1309">
        <v>0</v>
      </c>
      <c r="BI25" s="1309">
        <v>0</v>
      </c>
      <c r="BJ25" s="1309">
        <v>0</v>
      </c>
      <c r="BK25" s="1309">
        <v>0</v>
      </c>
      <c r="BL25" s="1309">
        <v>0</v>
      </c>
      <c r="BM25" s="1310">
        <v>0</v>
      </c>
      <c r="BN25" s="1336">
        <f t="shared" si="165"/>
        <v>0</v>
      </c>
      <c r="BO25" s="1524">
        <f t="shared" si="59"/>
        <v>0</v>
      </c>
      <c r="BP25" s="648"/>
    </row>
    <row r="26" spans="2:69" s="30" customFormat="1" ht="15" customHeight="1">
      <c r="B26" s="25"/>
      <c r="C26" s="25"/>
      <c r="D26" s="661"/>
      <c r="E26" s="1564" t="s">
        <v>2433</v>
      </c>
      <c r="F26" s="1730"/>
      <c r="G26" s="1295">
        <f>G27+G28+G29-G30</f>
        <v>407</v>
      </c>
      <c r="H26" s="1296">
        <f t="shared" ref="H26:AK26" si="166">H27+H28+H29-H30</f>
        <v>88028</v>
      </c>
      <c r="I26" s="1296">
        <f t="shared" si="166"/>
        <v>387043</v>
      </c>
      <c r="J26" s="1296">
        <f t="shared" si="166"/>
        <v>614</v>
      </c>
      <c r="K26" s="1296">
        <f t="shared" si="166"/>
        <v>0</v>
      </c>
      <c r="L26" s="1296">
        <f t="shared" si="166"/>
        <v>117</v>
      </c>
      <c r="M26" s="1296">
        <f t="shared" si="166"/>
        <v>3546637</v>
      </c>
      <c r="N26" s="1296">
        <f t="shared" si="166"/>
        <v>9430</v>
      </c>
      <c r="O26" s="1296">
        <f t="shared" si="166"/>
        <v>22363</v>
      </c>
      <c r="P26" s="1296">
        <f t="shared" si="166"/>
        <v>-49942</v>
      </c>
      <c r="Q26" s="1296">
        <f t="shared" si="166"/>
        <v>0</v>
      </c>
      <c r="R26" s="1296">
        <f t="shared" si="166"/>
        <v>0</v>
      </c>
      <c r="S26" s="1296">
        <f t="shared" si="166"/>
        <v>0</v>
      </c>
      <c r="T26" s="1296">
        <f t="shared" si="166"/>
        <v>0</v>
      </c>
      <c r="U26" s="1297">
        <f t="shared" si="166"/>
        <v>0</v>
      </c>
      <c r="V26" s="1335">
        <f t="shared" si="166"/>
        <v>4004697</v>
      </c>
      <c r="W26" s="1299">
        <f t="shared" si="166"/>
        <v>0</v>
      </c>
      <c r="X26" s="1296">
        <f t="shared" si="166"/>
        <v>79145</v>
      </c>
      <c r="Y26" s="1296">
        <f t="shared" si="166"/>
        <v>0</v>
      </c>
      <c r="Z26" s="1296">
        <f t="shared" si="166"/>
        <v>0</v>
      </c>
      <c r="AA26" s="1296">
        <f t="shared" si="166"/>
        <v>0</v>
      </c>
      <c r="AB26" s="1296">
        <f t="shared" si="166"/>
        <v>0</v>
      </c>
      <c r="AC26" s="1296">
        <f t="shared" si="166"/>
        <v>0</v>
      </c>
      <c r="AD26" s="1296">
        <f t="shared" si="166"/>
        <v>-6860</v>
      </c>
      <c r="AE26" s="1296">
        <f t="shared" si="166"/>
        <v>785926</v>
      </c>
      <c r="AF26" s="1296">
        <f t="shared" si="166"/>
        <v>-17972</v>
      </c>
      <c r="AG26" s="1296">
        <f t="shared" si="166"/>
        <v>0</v>
      </c>
      <c r="AH26" s="1296">
        <f t="shared" si="166"/>
        <v>0</v>
      </c>
      <c r="AI26" s="1296">
        <f t="shared" si="166"/>
        <v>248409</v>
      </c>
      <c r="AJ26" s="1296">
        <f t="shared" si="166"/>
        <v>0</v>
      </c>
      <c r="AK26" s="1297">
        <f t="shared" si="166"/>
        <v>0</v>
      </c>
      <c r="AL26" s="1335">
        <f t="shared" ref="AL26" si="167">AL27+AL28+AL29-AL30</f>
        <v>1088648</v>
      </c>
      <c r="AM26" s="1299">
        <f t="shared" ref="AM26" si="168">AM27+AM28+AM29-AM30</f>
        <v>0</v>
      </c>
      <c r="AN26" s="1296">
        <f t="shared" ref="AN26" si="169">AN27+AN28+AN29-AN30</f>
        <v>18</v>
      </c>
      <c r="AO26" s="1296">
        <f t="shared" ref="AO26" si="170">AO27+AO28+AO29-AO30</f>
        <v>7070</v>
      </c>
      <c r="AP26" s="1296">
        <f t="shared" ref="AP26" si="171">AP27+AP28+AP29-AP30</f>
        <v>0</v>
      </c>
      <c r="AQ26" s="1296">
        <f t="shared" ref="AQ26" si="172">AQ27+AQ28+AQ29-AQ30</f>
        <v>0</v>
      </c>
      <c r="AR26" s="1296">
        <f t="shared" ref="AR26" si="173">AR27+AR28+AR29-AR30</f>
        <v>0</v>
      </c>
      <c r="AS26" s="1296">
        <f t="shared" ref="AS26" si="174">AS27+AS28+AS29-AS30</f>
        <v>0</v>
      </c>
      <c r="AT26" s="1296">
        <f t="shared" ref="AT26" si="175">AT27+AT28+AT29-AT30</f>
        <v>55</v>
      </c>
      <c r="AU26" s="1296">
        <f t="shared" ref="AU26" si="176">AU27+AU28+AU29-AU30</f>
        <v>5749</v>
      </c>
      <c r="AV26" s="1296">
        <f t="shared" ref="AV26" si="177">AV27+AV28+AV29-AV30</f>
        <v>1108</v>
      </c>
      <c r="AW26" s="1296">
        <f t="shared" ref="AW26" si="178">AW27+AW28+AW29-AW30</f>
        <v>0</v>
      </c>
      <c r="AX26" s="1296">
        <f t="shared" ref="AX26" si="179">AX27+AX28+AX29-AX30</f>
        <v>0</v>
      </c>
      <c r="AY26" s="1296">
        <f t="shared" ref="AY26" si="180">AY27+AY28+AY29-AY30</f>
        <v>39570</v>
      </c>
      <c r="AZ26" s="1296">
        <f t="shared" ref="AZ26" si="181">AZ27+AZ28+AZ29-AZ30</f>
        <v>0</v>
      </c>
      <c r="BA26" s="1297">
        <f t="shared" ref="BA26" si="182">BA27+BA28+BA29-BA30</f>
        <v>0</v>
      </c>
      <c r="BB26" s="1335">
        <f t="shared" ref="BB26" si="183">BB27+BB28+BB29-BB30</f>
        <v>53570</v>
      </c>
      <c r="BC26" s="1299">
        <f t="shared" ref="BC26" si="184">BC27+BC28+BC29-BC30</f>
        <v>-403137</v>
      </c>
      <c r="BD26" s="1296">
        <f t="shared" ref="BD26" si="185">BD27+BD28+BD29-BD30</f>
        <v>580062</v>
      </c>
      <c r="BE26" s="1296">
        <f t="shared" ref="BE26" si="186">BE27+BE28+BE29-BE30</f>
        <v>512613</v>
      </c>
      <c r="BF26" s="1296">
        <f t="shared" ref="BF26" si="187">BF27+BF28+BF29-BF30</f>
        <v>67449</v>
      </c>
      <c r="BG26" s="1296">
        <f t="shared" ref="BG26" si="188">BG27+BG28+BG29-BG30</f>
        <v>94429</v>
      </c>
      <c r="BH26" s="1296">
        <f t="shared" ref="BH26" si="189">BH27+BH28+BH29-BH30</f>
        <v>80939</v>
      </c>
      <c r="BI26" s="1296">
        <f t="shared" ref="BI26" si="190">BI27+BI28+BI29-BI30</f>
        <v>13490</v>
      </c>
      <c r="BJ26" s="1296">
        <f t="shared" ref="BJ26" si="191">BJ27+BJ28+BJ29-BJ30</f>
        <v>0</v>
      </c>
      <c r="BK26" s="1296">
        <f t="shared" ref="BK26" si="192">BK27+BK28+BK29-BK30</f>
        <v>0</v>
      </c>
      <c r="BL26" s="1296">
        <f t="shared" ref="BL26" si="193">BL27+BL28+BL29-BL30</f>
        <v>754058</v>
      </c>
      <c r="BM26" s="1297">
        <f t="shared" ref="BM26" si="194">BM27+BM28+BM29-BM30</f>
        <v>0</v>
      </c>
      <c r="BN26" s="1335">
        <f t="shared" ref="BN26" si="195">BN27+BN28+BN29-BN30</f>
        <v>1025412</v>
      </c>
      <c r="BO26" s="1523">
        <f t="shared" si="59"/>
        <v>6172327</v>
      </c>
      <c r="BP26" s="648"/>
      <c r="BQ26" s="1331"/>
    </row>
    <row r="27" spans="2:69" ht="15" customHeight="1">
      <c r="B27" s="12"/>
      <c r="C27" s="12"/>
      <c r="D27" s="662"/>
      <c r="E27" s="12"/>
      <c r="F27" s="663" t="s">
        <v>2434</v>
      </c>
      <c r="G27" s="1303">
        <v>405</v>
      </c>
      <c r="H27" s="1304">
        <v>88854</v>
      </c>
      <c r="I27" s="1304">
        <v>360548</v>
      </c>
      <c r="J27" s="1304">
        <v>607</v>
      </c>
      <c r="K27" s="1304">
        <v>0</v>
      </c>
      <c r="L27" s="1304"/>
      <c r="M27" s="1304">
        <v>3512457</v>
      </c>
      <c r="N27" s="1304">
        <v>9120</v>
      </c>
      <c r="O27" s="1304">
        <v>21251</v>
      </c>
      <c r="P27" s="1304">
        <v>-49646</v>
      </c>
      <c r="Q27" s="1304">
        <v>0</v>
      </c>
      <c r="R27" s="1304">
        <v>0</v>
      </c>
      <c r="S27" s="1304">
        <v>0</v>
      </c>
      <c r="T27" s="1304">
        <v>0</v>
      </c>
      <c r="U27" s="1305">
        <v>0</v>
      </c>
      <c r="V27" s="1336">
        <f t="shared" ref="V27:V33" si="196">SUM(G27:U27)</f>
        <v>3943596</v>
      </c>
      <c r="W27" s="1307">
        <v>0</v>
      </c>
      <c r="X27" s="1304">
        <v>77374</v>
      </c>
      <c r="Y27" s="1304">
        <v>0</v>
      </c>
      <c r="Z27" s="1304">
        <v>0</v>
      </c>
      <c r="AA27" s="1304">
        <v>0</v>
      </c>
      <c r="AB27" s="1304">
        <v>0</v>
      </c>
      <c r="AC27" s="1304">
        <v>0</v>
      </c>
      <c r="AD27" s="1304">
        <v>339</v>
      </c>
      <c r="AE27" s="1304">
        <v>222907</v>
      </c>
      <c r="AF27" s="1304">
        <v>10862</v>
      </c>
      <c r="AG27" s="1304">
        <v>0</v>
      </c>
      <c r="AH27" s="1304">
        <v>0</v>
      </c>
      <c r="AI27" s="1304">
        <v>245806</v>
      </c>
      <c r="AJ27" s="1304">
        <v>0</v>
      </c>
      <c r="AK27" s="1305">
        <v>0</v>
      </c>
      <c r="AL27" s="1336">
        <f t="shared" ref="AL27:AL33" si="197">SUM(W27:AK27)</f>
        <v>557288</v>
      </c>
      <c r="AM27" s="1308">
        <v>0</v>
      </c>
      <c r="AN27" s="1309">
        <v>0</v>
      </c>
      <c r="AO27" s="1309">
        <v>0</v>
      </c>
      <c r="AP27" s="1309">
        <v>0</v>
      </c>
      <c r="AQ27" s="1309">
        <v>0</v>
      </c>
      <c r="AR27" s="1309">
        <v>0</v>
      </c>
      <c r="AS27" s="1309">
        <v>0</v>
      </c>
      <c r="AT27" s="1309">
        <v>0</v>
      </c>
      <c r="AU27" s="1309">
        <v>0</v>
      </c>
      <c r="AV27" s="1309">
        <v>282</v>
      </c>
      <c r="AW27" s="1309">
        <v>0</v>
      </c>
      <c r="AX27" s="1309">
        <v>0</v>
      </c>
      <c r="AY27" s="1309">
        <v>28628</v>
      </c>
      <c r="AZ27" s="1309">
        <v>0</v>
      </c>
      <c r="BA27" s="1310">
        <v>0</v>
      </c>
      <c r="BB27" s="1336">
        <f t="shared" ref="BB27:BB33" si="198">SUM(AM27:BA27)</f>
        <v>28910</v>
      </c>
      <c r="BC27" s="1308">
        <v>0</v>
      </c>
      <c r="BD27" s="1309">
        <v>500642</v>
      </c>
      <c r="BE27" s="1309">
        <v>442428</v>
      </c>
      <c r="BF27" s="1309">
        <v>58214</v>
      </c>
      <c r="BG27" s="1309">
        <v>81500</v>
      </c>
      <c r="BH27" s="1309">
        <v>69857</v>
      </c>
      <c r="BI27" s="1309">
        <v>11643</v>
      </c>
      <c r="BJ27" s="1309">
        <v>0</v>
      </c>
      <c r="BK27" s="1309">
        <v>0</v>
      </c>
      <c r="BL27" s="1309">
        <v>752736</v>
      </c>
      <c r="BM27" s="1310">
        <v>0</v>
      </c>
      <c r="BN27" s="1336">
        <f t="shared" ref="BN27:BN33" si="199">BC27+BD27+BG27+BJ27+BK27+BL27+BM27</f>
        <v>1334878</v>
      </c>
      <c r="BO27" s="1524">
        <f t="shared" si="59"/>
        <v>5864672</v>
      </c>
      <c r="BP27" s="648"/>
      <c r="BQ27" s="1331"/>
    </row>
    <row r="28" spans="2:69" ht="15" customHeight="1">
      <c r="B28" s="12"/>
      <c r="C28" s="12"/>
      <c r="D28" s="662"/>
      <c r="E28" s="12"/>
      <c r="F28" s="663" t="s">
        <v>2435</v>
      </c>
      <c r="G28" s="1303">
        <v>2</v>
      </c>
      <c r="H28" s="1304">
        <v>811</v>
      </c>
      <c r="I28" s="1304">
        <v>26495</v>
      </c>
      <c r="J28" s="1304">
        <v>7</v>
      </c>
      <c r="K28" s="1304">
        <v>0</v>
      </c>
      <c r="L28" s="1304">
        <v>117</v>
      </c>
      <c r="M28" s="1304">
        <v>34180</v>
      </c>
      <c r="N28" s="1304">
        <v>310</v>
      </c>
      <c r="O28" s="1304">
        <v>1112</v>
      </c>
      <c r="P28" s="1304">
        <v>773</v>
      </c>
      <c r="Q28" s="1304">
        <v>0</v>
      </c>
      <c r="R28" s="1304">
        <v>0</v>
      </c>
      <c r="S28" s="1304">
        <v>0</v>
      </c>
      <c r="T28" s="1304">
        <v>0</v>
      </c>
      <c r="U28" s="1305">
        <v>0</v>
      </c>
      <c r="V28" s="1336">
        <f t="shared" si="196"/>
        <v>63807</v>
      </c>
      <c r="W28" s="1307">
        <v>0</v>
      </c>
      <c r="X28" s="1304">
        <v>91569</v>
      </c>
      <c r="Y28" s="1304">
        <v>0</v>
      </c>
      <c r="Z28" s="1304">
        <v>0</v>
      </c>
      <c r="AA28" s="1304">
        <v>0</v>
      </c>
      <c r="AB28" s="1304">
        <v>0</v>
      </c>
      <c r="AC28" s="1304">
        <v>0</v>
      </c>
      <c r="AD28" s="1304">
        <v>28766</v>
      </c>
      <c r="AE28" s="1304">
        <v>604568</v>
      </c>
      <c r="AF28" s="1304">
        <v>0</v>
      </c>
      <c r="AG28" s="1304">
        <v>0</v>
      </c>
      <c r="AH28" s="1304">
        <v>0</v>
      </c>
      <c r="AI28" s="1304">
        <v>2603</v>
      </c>
      <c r="AJ28" s="1304">
        <v>0</v>
      </c>
      <c r="AK28" s="1305">
        <v>0</v>
      </c>
      <c r="AL28" s="1336">
        <f t="shared" si="197"/>
        <v>727506</v>
      </c>
      <c r="AM28" s="1308">
        <v>0</v>
      </c>
      <c r="AN28" s="1309">
        <v>18</v>
      </c>
      <c r="AO28" s="1309">
        <v>7070</v>
      </c>
      <c r="AP28" s="1309">
        <v>0</v>
      </c>
      <c r="AQ28" s="1309">
        <v>0</v>
      </c>
      <c r="AR28" s="1309">
        <v>0</v>
      </c>
      <c r="AS28" s="1309">
        <v>0</v>
      </c>
      <c r="AT28" s="1309">
        <v>55</v>
      </c>
      <c r="AU28" s="1309">
        <v>5749</v>
      </c>
      <c r="AV28" s="1309">
        <v>826</v>
      </c>
      <c r="AW28" s="1309">
        <v>0</v>
      </c>
      <c r="AX28" s="1309">
        <v>0</v>
      </c>
      <c r="AY28" s="1309">
        <v>10942</v>
      </c>
      <c r="AZ28" s="1309">
        <v>0</v>
      </c>
      <c r="BA28" s="1310">
        <v>0</v>
      </c>
      <c r="BB28" s="1336">
        <f t="shared" si="198"/>
        <v>24660</v>
      </c>
      <c r="BC28" s="1308">
        <v>0</v>
      </c>
      <c r="BD28" s="1309">
        <v>79420</v>
      </c>
      <c r="BE28" s="1309">
        <v>70185</v>
      </c>
      <c r="BF28" s="1309">
        <v>9235</v>
      </c>
      <c r="BG28" s="1309">
        <v>12929</v>
      </c>
      <c r="BH28" s="1309">
        <v>11082</v>
      </c>
      <c r="BI28" s="1309">
        <v>1847</v>
      </c>
      <c r="BJ28" s="1309">
        <v>0</v>
      </c>
      <c r="BK28" s="1309">
        <v>0</v>
      </c>
      <c r="BL28" s="1309">
        <v>1322</v>
      </c>
      <c r="BM28" s="1310"/>
      <c r="BN28" s="1336">
        <f t="shared" si="199"/>
        <v>93671</v>
      </c>
      <c r="BO28" s="1524">
        <f t="shared" si="59"/>
        <v>909644</v>
      </c>
      <c r="BP28" s="146"/>
      <c r="BQ28" s="1331"/>
    </row>
    <row r="29" spans="2:69" ht="15" customHeight="1">
      <c r="B29" s="12"/>
      <c r="C29" s="12"/>
      <c r="D29" s="662"/>
      <c r="E29" s="12"/>
      <c r="F29" s="663" t="s">
        <v>2436</v>
      </c>
      <c r="G29" s="1303">
        <v>0</v>
      </c>
      <c r="H29" s="1304">
        <v>0</v>
      </c>
      <c r="I29" s="1304">
        <v>0</v>
      </c>
      <c r="J29" s="1304">
        <v>0</v>
      </c>
      <c r="K29" s="1304">
        <v>0</v>
      </c>
      <c r="L29" s="1304">
        <v>0</v>
      </c>
      <c r="M29" s="1304">
        <v>0</v>
      </c>
      <c r="N29" s="1304">
        <v>0</v>
      </c>
      <c r="O29" s="1304">
        <v>0</v>
      </c>
      <c r="P29" s="1304">
        <v>0</v>
      </c>
      <c r="Q29" s="1304">
        <v>0</v>
      </c>
      <c r="R29" s="1304">
        <v>0</v>
      </c>
      <c r="S29" s="1304">
        <v>0</v>
      </c>
      <c r="T29" s="1304">
        <v>0</v>
      </c>
      <c r="U29" s="1305">
        <v>0</v>
      </c>
      <c r="V29" s="1336">
        <f t="shared" si="196"/>
        <v>0</v>
      </c>
      <c r="W29" s="1307"/>
      <c r="X29" s="1304"/>
      <c r="Y29" s="1304"/>
      <c r="Z29" s="1304"/>
      <c r="AA29" s="1304"/>
      <c r="AB29" s="1304"/>
      <c r="AC29" s="1304"/>
      <c r="AD29" s="1304"/>
      <c r="AE29" s="1304"/>
      <c r="AF29" s="1304"/>
      <c r="AG29" s="1304"/>
      <c r="AH29" s="1304"/>
      <c r="AI29" s="1304"/>
      <c r="AJ29" s="1304"/>
      <c r="AK29" s="1305"/>
      <c r="AL29" s="1336">
        <f t="shared" si="197"/>
        <v>0</v>
      </c>
      <c r="AM29" s="1308"/>
      <c r="AN29" s="1309"/>
      <c r="AO29" s="1309"/>
      <c r="AP29" s="1309"/>
      <c r="AQ29" s="1309"/>
      <c r="AR29" s="1309"/>
      <c r="AS29" s="1309"/>
      <c r="AT29" s="1309"/>
      <c r="AU29" s="1309"/>
      <c r="AV29" s="1309"/>
      <c r="AW29" s="1309"/>
      <c r="AX29" s="1309"/>
      <c r="AY29" s="1309"/>
      <c r="AZ29" s="1309"/>
      <c r="BA29" s="1310"/>
      <c r="BB29" s="1336">
        <f t="shared" si="198"/>
        <v>0</v>
      </c>
      <c r="BC29" s="1308"/>
      <c r="BD29" s="1309">
        <v>0</v>
      </c>
      <c r="BE29" s="1309"/>
      <c r="BF29" s="1309"/>
      <c r="BG29" s="1309">
        <v>0</v>
      </c>
      <c r="BH29" s="1309"/>
      <c r="BI29" s="1309"/>
      <c r="BJ29" s="1309">
        <v>0</v>
      </c>
      <c r="BK29" s="1309">
        <v>0</v>
      </c>
      <c r="BL29" s="1309">
        <v>0</v>
      </c>
      <c r="BM29" s="1310">
        <v>0</v>
      </c>
      <c r="BN29" s="1336">
        <f t="shared" si="199"/>
        <v>0</v>
      </c>
      <c r="BO29" s="1524">
        <f t="shared" si="59"/>
        <v>0</v>
      </c>
      <c r="BP29" s="146"/>
    </row>
    <row r="30" spans="2:69" ht="15" customHeight="1">
      <c r="B30" s="12"/>
      <c r="C30" s="12"/>
      <c r="D30" s="662"/>
      <c r="E30" s="12"/>
      <c r="F30" s="663" t="s">
        <v>2437</v>
      </c>
      <c r="G30" s="1303">
        <v>0</v>
      </c>
      <c r="H30" s="1304">
        <v>1637</v>
      </c>
      <c r="I30" s="1304">
        <v>0</v>
      </c>
      <c r="J30" s="1304">
        <v>0</v>
      </c>
      <c r="K30" s="1304">
        <v>0</v>
      </c>
      <c r="L30" s="1304">
        <v>0</v>
      </c>
      <c r="M30" s="1304">
        <v>0</v>
      </c>
      <c r="N30" s="1304">
        <v>0</v>
      </c>
      <c r="O30" s="1304">
        <v>0</v>
      </c>
      <c r="P30" s="1304">
        <v>1069</v>
      </c>
      <c r="Q30" s="1304">
        <v>0</v>
      </c>
      <c r="R30" s="1304">
        <v>0</v>
      </c>
      <c r="S30" s="1304">
        <v>0</v>
      </c>
      <c r="T30" s="1304">
        <v>0</v>
      </c>
      <c r="U30" s="1305">
        <v>0</v>
      </c>
      <c r="V30" s="1336">
        <f t="shared" si="196"/>
        <v>2706</v>
      </c>
      <c r="W30" s="1307">
        <v>0</v>
      </c>
      <c r="X30" s="1304">
        <v>89798</v>
      </c>
      <c r="Y30" s="1304">
        <v>0</v>
      </c>
      <c r="Z30" s="1304">
        <v>0</v>
      </c>
      <c r="AA30" s="1304">
        <v>0</v>
      </c>
      <c r="AB30" s="1304">
        <v>0</v>
      </c>
      <c r="AC30" s="1304">
        <v>0</v>
      </c>
      <c r="AD30" s="1304">
        <v>35965</v>
      </c>
      <c r="AE30" s="1304">
        <v>41549</v>
      </c>
      <c r="AF30" s="1304">
        <v>28834</v>
      </c>
      <c r="AG30" s="1304">
        <v>0</v>
      </c>
      <c r="AH30" s="1304">
        <v>0</v>
      </c>
      <c r="AI30" s="1304">
        <v>0</v>
      </c>
      <c r="AJ30" s="1304">
        <v>0</v>
      </c>
      <c r="AK30" s="1305">
        <v>0</v>
      </c>
      <c r="AL30" s="1336">
        <f t="shared" si="197"/>
        <v>196146</v>
      </c>
      <c r="AM30" s="1308">
        <v>0</v>
      </c>
      <c r="AN30" s="1309">
        <v>0</v>
      </c>
      <c r="AO30" s="1309">
        <v>0</v>
      </c>
      <c r="AP30" s="1309">
        <v>0</v>
      </c>
      <c r="AQ30" s="1309">
        <v>0</v>
      </c>
      <c r="AR30" s="1309">
        <v>0</v>
      </c>
      <c r="AS30" s="1309">
        <v>0</v>
      </c>
      <c r="AT30" s="1309">
        <v>0</v>
      </c>
      <c r="AU30" s="1309">
        <v>0</v>
      </c>
      <c r="AV30" s="1309">
        <v>0</v>
      </c>
      <c r="AW30" s="1309">
        <v>0</v>
      </c>
      <c r="AX30" s="1309">
        <v>0</v>
      </c>
      <c r="AY30" s="1309">
        <v>0</v>
      </c>
      <c r="AZ30" s="1309">
        <v>0</v>
      </c>
      <c r="BA30" s="1310">
        <v>0</v>
      </c>
      <c r="BB30" s="1336">
        <f t="shared" si="198"/>
        <v>0</v>
      </c>
      <c r="BC30" s="1308">
        <v>403137</v>
      </c>
      <c r="BD30" s="1309">
        <v>0</v>
      </c>
      <c r="BE30" s="1309">
        <v>0</v>
      </c>
      <c r="BF30" s="1309">
        <v>0</v>
      </c>
      <c r="BG30" s="1309">
        <v>0</v>
      </c>
      <c r="BH30" s="1309">
        <v>0</v>
      </c>
      <c r="BI30" s="1309">
        <v>0</v>
      </c>
      <c r="BJ30" s="1309">
        <v>0</v>
      </c>
      <c r="BK30" s="1309">
        <v>0</v>
      </c>
      <c r="BL30" s="1309">
        <v>0</v>
      </c>
      <c r="BM30" s="1310">
        <v>0</v>
      </c>
      <c r="BN30" s="1336">
        <f t="shared" si="199"/>
        <v>403137</v>
      </c>
      <c r="BO30" s="1524">
        <f t="shared" si="59"/>
        <v>601989</v>
      </c>
      <c r="BP30" s="146"/>
    </row>
    <row r="31" spans="2:69" ht="15" customHeight="1">
      <c r="B31" s="12"/>
      <c r="C31" s="12"/>
      <c r="D31" s="662"/>
      <c r="E31" s="1555" t="s">
        <v>2438</v>
      </c>
      <c r="F31" s="1572"/>
      <c r="G31" s="1303"/>
      <c r="H31" s="1304"/>
      <c r="I31" s="1304"/>
      <c r="J31" s="1304"/>
      <c r="K31" s="1304"/>
      <c r="L31" s="1304"/>
      <c r="M31" s="1304"/>
      <c r="N31" s="1304"/>
      <c r="O31" s="1304"/>
      <c r="P31" s="1304"/>
      <c r="Q31" s="1304"/>
      <c r="R31" s="1304"/>
      <c r="S31" s="1304"/>
      <c r="T31" s="1304"/>
      <c r="U31" s="1305"/>
      <c r="V31" s="1336">
        <f t="shared" si="196"/>
        <v>0</v>
      </c>
      <c r="W31" s="1307"/>
      <c r="X31" s="1304"/>
      <c r="Y31" s="1304"/>
      <c r="Z31" s="1304"/>
      <c r="AA31" s="1304"/>
      <c r="AB31" s="1304"/>
      <c r="AC31" s="1304"/>
      <c r="AD31" s="1304"/>
      <c r="AE31" s="1304"/>
      <c r="AF31" s="1304"/>
      <c r="AG31" s="1304"/>
      <c r="AH31" s="1304"/>
      <c r="AI31" s="1304"/>
      <c r="AJ31" s="1304"/>
      <c r="AK31" s="1305"/>
      <c r="AL31" s="1336">
        <f t="shared" si="197"/>
        <v>0</v>
      </c>
      <c r="AM31" s="1308"/>
      <c r="AN31" s="1309"/>
      <c r="AO31" s="1309"/>
      <c r="AP31" s="1309"/>
      <c r="AQ31" s="1309"/>
      <c r="AR31" s="1309"/>
      <c r="AS31" s="1309"/>
      <c r="AT31" s="1309"/>
      <c r="AU31" s="1309"/>
      <c r="AV31" s="1309"/>
      <c r="AW31" s="1309"/>
      <c r="AX31" s="1309"/>
      <c r="AY31" s="1309"/>
      <c r="AZ31" s="1309"/>
      <c r="BA31" s="1310"/>
      <c r="BB31" s="1336">
        <f t="shared" si="198"/>
        <v>0</v>
      </c>
      <c r="BC31" s="1308">
        <v>287955</v>
      </c>
      <c r="BD31" s="1309">
        <v>0</v>
      </c>
      <c r="BE31" s="1309"/>
      <c r="BF31" s="1309"/>
      <c r="BG31" s="1309">
        <v>0</v>
      </c>
      <c r="BH31" s="1309"/>
      <c r="BI31" s="1309"/>
      <c r="BJ31" s="1309"/>
      <c r="BK31" s="1309"/>
      <c r="BL31" s="1309"/>
      <c r="BM31" s="1310"/>
      <c r="BN31" s="1336">
        <f t="shared" si="199"/>
        <v>287955</v>
      </c>
      <c r="BO31" s="1524">
        <f t="shared" si="59"/>
        <v>287955</v>
      </c>
      <c r="BP31" s="146"/>
    </row>
    <row r="32" spans="2:69" ht="15" customHeight="1">
      <c r="B32" s="12"/>
      <c r="C32" s="12"/>
      <c r="D32" s="662"/>
      <c r="E32" s="1555" t="s">
        <v>2439</v>
      </c>
      <c r="F32" s="1572"/>
      <c r="G32" s="1303">
        <v>0</v>
      </c>
      <c r="H32" s="1304">
        <v>0</v>
      </c>
      <c r="I32" s="1304">
        <v>170820</v>
      </c>
      <c r="J32" s="1304">
        <v>0</v>
      </c>
      <c r="K32" s="1304">
        <v>0</v>
      </c>
      <c r="L32" s="1304">
        <v>0</v>
      </c>
      <c r="M32" s="1304">
        <v>0</v>
      </c>
      <c r="N32" s="1304">
        <v>0</v>
      </c>
      <c r="O32" s="1304">
        <v>0</v>
      </c>
      <c r="P32" s="1304">
        <v>0</v>
      </c>
      <c r="Q32" s="1304">
        <v>0</v>
      </c>
      <c r="R32" s="1304">
        <v>0</v>
      </c>
      <c r="S32" s="1304">
        <v>0</v>
      </c>
      <c r="T32" s="1304">
        <v>0</v>
      </c>
      <c r="U32" s="1305">
        <v>0</v>
      </c>
      <c r="V32" s="1336">
        <f t="shared" si="196"/>
        <v>170820</v>
      </c>
      <c r="W32" s="1307">
        <v>0</v>
      </c>
      <c r="X32" s="1304">
        <v>0</v>
      </c>
      <c r="Y32" s="1304">
        <v>0</v>
      </c>
      <c r="Z32" s="1304">
        <v>0</v>
      </c>
      <c r="AA32" s="1304">
        <v>0</v>
      </c>
      <c r="AB32" s="1304">
        <v>0</v>
      </c>
      <c r="AC32" s="1304">
        <v>0</v>
      </c>
      <c r="AD32" s="1304">
        <v>0</v>
      </c>
      <c r="AE32" s="1304">
        <v>0</v>
      </c>
      <c r="AF32" s="1304">
        <v>0</v>
      </c>
      <c r="AG32" s="1304">
        <v>0</v>
      </c>
      <c r="AH32" s="1304">
        <v>0</v>
      </c>
      <c r="AI32" s="1304">
        <v>0</v>
      </c>
      <c r="AJ32" s="1304">
        <v>0</v>
      </c>
      <c r="AK32" s="1305">
        <v>0</v>
      </c>
      <c r="AL32" s="1336">
        <f t="shared" si="197"/>
        <v>0</v>
      </c>
      <c r="AM32" s="1308">
        <v>0</v>
      </c>
      <c r="AN32" s="1309">
        <v>0</v>
      </c>
      <c r="AO32" s="1309">
        <v>0</v>
      </c>
      <c r="AP32" s="1309">
        <v>0</v>
      </c>
      <c r="AQ32" s="1309">
        <v>0</v>
      </c>
      <c r="AR32" s="1309">
        <v>0</v>
      </c>
      <c r="AS32" s="1309">
        <v>0</v>
      </c>
      <c r="AT32" s="1309">
        <v>0</v>
      </c>
      <c r="AU32" s="1309">
        <v>0</v>
      </c>
      <c r="AV32" s="1309">
        <v>0</v>
      </c>
      <c r="AW32" s="1309">
        <v>0</v>
      </c>
      <c r="AX32" s="1309">
        <v>0</v>
      </c>
      <c r="AY32" s="1309">
        <v>0</v>
      </c>
      <c r="AZ32" s="1309">
        <v>0</v>
      </c>
      <c r="BA32" s="1310">
        <v>0</v>
      </c>
      <c r="BB32" s="1336">
        <f t="shared" si="198"/>
        <v>0</v>
      </c>
      <c r="BC32" s="1308">
        <v>0</v>
      </c>
      <c r="BD32" s="1309">
        <v>0</v>
      </c>
      <c r="BE32" s="1309">
        <v>0</v>
      </c>
      <c r="BF32" s="1309">
        <v>0</v>
      </c>
      <c r="BG32" s="1309">
        <v>0</v>
      </c>
      <c r="BH32" s="1309">
        <v>0</v>
      </c>
      <c r="BI32" s="1309">
        <v>0</v>
      </c>
      <c r="BJ32" s="1309">
        <v>0</v>
      </c>
      <c r="BK32" s="1309">
        <v>0</v>
      </c>
      <c r="BL32" s="1309">
        <v>0</v>
      </c>
      <c r="BM32" s="1310">
        <v>0</v>
      </c>
      <c r="BN32" s="1336">
        <f t="shared" si="199"/>
        <v>0</v>
      </c>
      <c r="BO32" s="1524">
        <f t="shared" si="59"/>
        <v>170820</v>
      </c>
      <c r="BP32" s="146"/>
    </row>
    <row r="33" spans="2:68" ht="15" customHeight="1" thickBot="1">
      <c r="B33" s="12"/>
      <c r="C33" s="12"/>
      <c r="D33" s="664"/>
      <c r="E33" s="1618" t="s">
        <v>2440</v>
      </c>
      <c r="F33" s="1744"/>
      <c r="G33" s="1312">
        <v>179</v>
      </c>
      <c r="H33" s="1313">
        <v>-148</v>
      </c>
      <c r="I33" s="1313">
        <v>-24269</v>
      </c>
      <c r="J33" s="1313">
        <v>481</v>
      </c>
      <c r="K33" s="1313">
        <v>0</v>
      </c>
      <c r="L33" s="1313">
        <v>531</v>
      </c>
      <c r="M33" s="1313">
        <v>13264</v>
      </c>
      <c r="N33" s="1313">
        <v>1858</v>
      </c>
      <c r="O33" s="1313">
        <v>10953</v>
      </c>
      <c r="P33" s="1313">
        <v>1098</v>
      </c>
      <c r="Q33" s="1313">
        <v>0</v>
      </c>
      <c r="R33" s="1313">
        <v>0</v>
      </c>
      <c r="S33" s="1313">
        <v>0</v>
      </c>
      <c r="T33" s="1313">
        <v>0</v>
      </c>
      <c r="U33" s="1314">
        <v>0</v>
      </c>
      <c r="V33" s="1337">
        <f t="shared" si="196"/>
        <v>3947</v>
      </c>
      <c r="W33" s="1316">
        <v>0</v>
      </c>
      <c r="X33" s="1313">
        <v>-145964</v>
      </c>
      <c r="Y33" s="1313">
        <v>0</v>
      </c>
      <c r="Z33" s="1313">
        <v>0</v>
      </c>
      <c r="AA33" s="1313">
        <v>0</v>
      </c>
      <c r="AB33" s="1313">
        <v>0</v>
      </c>
      <c r="AC33" s="1313">
        <v>0</v>
      </c>
      <c r="AD33" s="1313">
        <v>1629</v>
      </c>
      <c r="AE33" s="1313">
        <v>-117657</v>
      </c>
      <c r="AF33" s="1313">
        <v>6791</v>
      </c>
      <c r="AG33" s="1313">
        <v>0</v>
      </c>
      <c r="AH33" s="1313">
        <v>0</v>
      </c>
      <c r="AI33" s="1313">
        <v>0</v>
      </c>
      <c r="AJ33" s="1313">
        <v>0</v>
      </c>
      <c r="AK33" s="1314">
        <v>0</v>
      </c>
      <c r="AL33" s="1337">
        <f t="shared" si="197"/>
        <v>-255201</v>
      </c>
      <c r="AM33" s="1317">
        <v>0</v>
      </c>
      <c r="AN33" s="1318">
        <v>0</v>
      </c>
      <c r="AO33" s="1318">
        <v>0</v>
      </c>
      <c r="AP33" s="1318">
        <v>0</v>
      </c>
      <c r="AQ33" s="1318">
        <v>0</v>
      </c>
      <c r="AR33" s="1318">
        <v>0</v>
      </c>
      <c r="AS33" s="1318">
        <v>0</v>
      </c>
      <c r="AT33" s="1318">
        <v>0</v>
      </c>
      <c r="AU33" s="1318">
        <v>489</v>
      </c>
      <c r="AV33" s="1318">
        <v>6863</v>
      </c>
      <c r="AW33" s="1318">
        <v>0</v>
      </c>
      <c r="AX33" s="1318">
        <v>0</v>
      </c>
      <c r="AY33" s="1318">
        <v>0</v>
      </c>
      <c r="AZ33" s="1318">
        <v>0</v>
      </c>
      <c r="BA33" s="1319">
        <v>0</v>
      </c>
      <c r="BB33" s="1337">
        <f t="shared" si="198"/>
        <v>7352</v>
      </c>
      <c r="BC33" s="1317">
        <v>0</v>
      </c>
      <c r="BD33" s="1318">
        <v>0</v>
      </c>
      <c r="BE33" s="1318">
        <v>0</v>
      </c>
      <c r="BF33" s="1318">
        <v>0</v>
      </c>
      <c r="BG33" s="1318">
        <v>0</v>
      </c>
      <c r="BH33" s="1318">
        <v>0</v>
      </c>
      <c r="BI33" s="1318">
        <v>0</v>
      </c>
      <c r="BJ33" s="1318">
        <v>0</v>
      </c>
      <c r="BK33" s="1318">
        <v>0</v>
      </c>
      <c r="BL33" s="1318">
        <v>228166</v>
      </c>
      <c r="BM33" s="1319">
        <v>0</v>
      </c>
      <c r="BN33" s="1337">
        <f t="shared" si="199"/>
        <v>228166</v>
      </c>
      <c r="BO33" s="1525">
        <f t="shared" si="59"/>
        <v>-15736</v>
      </c>
      <c r="BP33" s="146"/>
    </row>
    <row r="34" spans="2:68">
      <c r="G34" s="915"/>
      <c r="H34" s="915"/>
      <c r="I34" s="915"/>
      <c r="J34" s="915"/>
      <c r="K34" s="915"/>
      <c r="L34" s="915"/>
      <c r="M34" s="915"/>
      <c r="N34" s="915"/>
      <c r="O34" s="915"/>
      <c r="P34" s="915"/>
      <c r="Q34" s="915"/>
      <c r="R34" s="915"/>
      <c r="S34" s="915"/>
      <c r="T34" s="915"/>
      <c r="U34" s="915"/>
      <c r="V34" s="915"/>
      <c r="W34" s="915"/>
      <c r="X34" s="915"/>
      <c r="Y34" s="915"/>
      <c r="Z34" s="915"/>
      <c r="AA34" s="915"/>
      <c r="AB34" s="915"/>
      <c r="AC34" s="915"/>
      <c r="AD34" s="915"/>
      <c r="AE34" s="915"/>
      <c r="AF34" s="915"/>
      <c r="AG34" s="915"/>
      <c r="AH34" s="915"/>
      <c r="AI34" s="915"/>
      <c r="AJ34" s="915"/>
      <c r="AK34" s="915"/>
      <c r="AL34" s="915"/>
      <c r="AM34" s="915"/>
      <c r="AN34" s="915"/>
      <c r="AO34" s="915"/>
      <c r="AP34" s="915"/>
      <c r="AQ34" s="915"/>
      <c r="AR34" s="915"/>
      <c r="AS34" s="915"/>
      <c r="AT34" s="915"/>
      <c r="AU34" s="915"/>
      <c r="AV34" s="915"/>
      <c r="AW34" s="915"/>
      <c r="AX34" s="915"/>
      <c r="AY34" s="915"/>
      <c r="AZ34" s="915"/>
      <c r="BA34" s="915"/>
      <c r="BB34" s="915"/>
      <c r="BC34" s="915"/>
      <c r="BD34" s="915"/>
      <c r="BE34" s="915"/>
      <c r="BF34" s="915"/>
      <c r="BG34" s="915"/>
      <c r="BH34" s="915"/>
      <c r="BI34" s="915"/>
      <c r="BJ34" s="915"/>
      <c r="BK34" s="915"/>
      <c r="BL34" s="915"/>
      <c r="BM34" s="915"/>
      <c r="BN34" s="915"/>
      <c r="BO34" s="915"/>
    </row>
    <row r="35" spans="2:68">
      <c r="G35" s="915"/>
      <c r="H35" s="915"/>
      <c r="I35" s="915"/>
      <c r="J35" s="915"/>
      <c r="K35" s="915"/>
      <c r="L35" s="915"/>
      <c r="M35" s="915"/>
      <c r="N35" s="915"/>
      <c r="O35" s="915"/>
      <c r="P35" s="915"/>
      <c r="Q35" s="915"/>
      <c r="R35" s="915"/>
      <c r="S35" s="915"/>
      <c r="T35" s="915"/>
      <c r="U35" s="915"/>
      <c r="V35" s="915"/>
      <c r="W35" s="915"/>
      <c r="X35" s="915"/>
      <c r="Y35" s="915"/>
      <c r="Z35" s="915"/>
      <c r="AA35" s="915"/>
      <c r="AB35" s="915"/>
      <c r="AC35" s="915"/>
      <c r="AD35" s="915"/>
      <c r="AE35" s="915"/>
      <c r="AF35" s="915"/>
      <c r="AG35" s="915"/>
      <c r="AH35" s="915"/>
      <c r="AI35" s="915"/>
      <c r="AJ35" s="915"/>
      <c r="AK35" s="915"/>
      <c r="AL35" s="915"/>
      <c r="AM35" s="915"/>
      <c r="AN35" s="915"/>
      <c r="AO35" s="915"/>
      <c r="AP35" s="915"/>
      <c r="AQ35" s="915"/>
      <c r="AR35" s="915"/>
      <c r="AS35" s="915"/>
      <c r="AT35" s="915"/>
      <c r="AU35" s="915"/>
      <c r="AV35" s="915"/>
      <c r="AW35" s="915"/>
      <c r="AX35" s="915"/>
      <c r="AY35" s="915"/>
      <c r="AZ35" s="915"/>
      <c r="BA35" s="915"/>
      <c r="BB35" s="915"/>
      <c r="BC35" s="915"/>
      <c r="BD35" s="915"/>
      <c r="BE35" s="915"/>
      <c r="BF35" s="915"/>
      <c r="BG35" s="915"/>
      <c r="BH35" s="915"/>
      <c r="BI35" s="915"/>
      <c r="BJ35" s="915"/>
      <c r="BK35" s="915"/>
      <c r="BL35" s="915"/>
      <c r="BM35" s="915"/>
      <c r="BN35" s="915"/>
      <c r="BO35" s="915"/>
    </row>
    <row r="36" spans="2:68">
      <c r="G36" s="915"/>
      <c r="H36" s="915"/>
      <c r="I36" s="915"/>
      <c r="J36" s="915"/>
      <c r="K36" s="915"/>
      <c r="L36" s="915"/>
      <c r="M36" s="915"/>
      <c r="N36" s="915"/>
      <c r="O36" s="915"/>
      <c r="P36" s="915"/>
      <c r="Q36" s="915"/>
      <c r="R36" s="915"/>
      <c r="S36" s="915"/>
      <c r="T36" s="915"/>
      <c r="U36" s="915"/>
      <c r="V36" s="915"/>
      <c r="W36" s="915"/>
      <c r="X36" s="915"/>
      <c r="Y36" s="915"/>
      <c r="Z36" s="915"/>
      <c r="AA36" s="915"/>
      <c r="AB36" s="915"/>
      <c r="AC36" s="915"/>
      <c r="AD36" s="915"/>
      <c r="AE36" s="915"/>
      <c r="AF36" s="915"/>
      <c r="AG36" s="915"/>
      <c r="AH36" s="915"/>
      <c r="AI36" s="915"/>
      <c r="AJ36" s="915"/>
      <c r="AK36" s="915"/>
      <c r="AL36" s="915"/>
      <c r="AM36" s="915"/>
      <c r="AN36" s="915"/>
      <c r="AO36" s="915"/>
      <c r="AP36" s="915"/>
      <c r="AQ36" s="915"/>
      <c r="AR36" s="915"/>
      <c r="AS36" s="915"/>
      <c r="AT36" s="915"/>
      <c r="AU36" s="915"/>
      <c r="AV36" s="915"/>
      <c r="AW36" s="915"/>
      <c r="AX36" s="915"/>
      <c r="AY36" s="915"/>
      <c r="AZ36" s="915"/>
      <c r="BA36" s="915"/>
      <c r="BB36" s="915"/>
      <c r="BC36" s="915"/>
      <c r="BD36" s="915"/>
      <c r="BE36" s="915"/>
      <c r="BF36" s="915"/>
      <c r="BG36" s="915"/>
      <c r="BH36" s="915"/>
      <c r="BI36" s="915"/>
      <c r="BJ36" s="915"/>
      <c r="BK36" s="915"/>
      <c r="BL36" s="915"/>
      <c r="BM36" s="915"/>
      <c r="BN36" s="915"/>
      <c r="BO36" s="915"/>
    </row>
    <row r="37" spans="2:68">
      <c r="G37" s="915"/>
      <c r="H37" s="915"/>
      <c r="I37" s="915"/>
      <c r="J37" s="915"/>
      <c r="K37" s="915"/>
      <c r="L37" s="915"/>
      <c r="M37" s="915"/>
      <c r="N37" s="915"/>
      <c r="O37" s="915"/>
      <c r="P37" s="915"/>
      <c r="Q37" s="915"/>
      <c r="R37" s="915"/>
      <c r="S37" s="915"/>
      <c r="T37" s="915"/>
      <c r="U37" s="915"/>
      <c r="V37" s="915"/>
      <c r="W37" s="915"/>
      <c r="X37" s="915"/>
      <c r="Y37" s="915"/>
      <c r="Z37" s="915"/>
      <c r="AA37" s="915"/>
      <c r="AB37" s="915"/>
      <c r="AC37" s="915"/>
      <c r="AD37" s="915"/>
      <c r="AE37" s="915"/>
      <c r="AF37" s="915"/>
      <c r="AG37" s="915"/>
      <c r="AH37" s="915"/>
      <c r="AI37" s="915"/>
      <c r="AJ37" s="915"/>
      <c r="AK37" s="915"/>
      <c r="AL37" s="915"/>
      <c r="AM37" s="915"/>
      <c r="AN37" s="915"/>
      <c r="AO37" s="915"/>
      <c r="AP37" s="915"/>
      <c r="AQ37" s="915"/>
      <c r="AR37" s="915"/>
      <c r="AS37" s="915"/>
      <c r="AT37" s="915"/>
      <c r="AU37" s="915"/>
      <c r="AV37" s="915"/>
      <c r="AW37" s="915"/>
      <c r="AX37" s="915"/>
      <c r="AY37" s="915"/>
      <c r="AZ37" s="915"/>
      <c r="BA37" s="915"/>
      <c r="BB37" s="915"/>
      <c r="BC37" s="915"/>
      <c r="BD37" s="915"/>
      <c r="BE37" s="915"/>
      <c r="BF37" s="915"/>
      <c r="BG37" s="915"/>
      <c r="BH37" s="915"/>
      <c r="BI37" s="915"/>
      <c r="BJ37" s="915"/>
      <c r="BK37" s="915"/>
      <c r="BL37" s="915"/>
      <c r="BM37" s="915"/>
      <c r="BN37" s="915"/>
      <c r="BO37" s="915"/>
    </row>
    <row r="38" spans="2:68">
      <c r="B38" s="1584" t="s">
        <v>2442</v>
      </c>
      <c r="C38" s="1584"/>
      <c r="D38" s="1584"/>
      <c r="E38" s="1584"/>
      <c r="F38" s="1584"/>
      <c r="G38" s="915"/>
      <c r="H38" s="915"/>
      <c r="I38" s="915"/>
      <c r="J38" s="915"/>
      <c r="K38" s="915"/>
      <c r="L38" s="915"/>
      <c r="M38" s="915"/>
      <c r="N38" s="915"/>
      <c r="O38" s="915"/>
      <c r="P38" s="915"/>
      <c r="Q38" s="915"/>
      <c r="R38" s="915"/>
      <c r="S38" s="915"/>
      <c r="T38" s="915"/>
      <c r="U38" s="915"/>
      <c r="V38" s="915"/>
      <c r="W38" s="915"/>
      <c r="X38" s="915"/>
      <c r="Y38" s="915"/>
      <c r="Z38" s="915"/>
      <c r="AA38" s="915"/>
      <c r="AB38" s="915"/>
      <c r="AC38" s="915"/>
      <c r="AD38" s="915"/>
      <c r="AE38" s="915"/>
      <c r="AF38" s="915"/>
      <c r="AG38" s="915"/>
      <c r="AH38" s="915"/>
      <c r="AI38" s="915"/>
      <c r="AJ38" s="915"/>
      <c r="AK38" s="915"/>
      <c r="AL38" s="915"/>
      <c r="AM38" s="915"/>
      <c r="AN38" s="915"/>
      <c r="AO38" s="915"/>
      <c r="AP38" s="915"/>
      <c r="AQ38" s="915"/>
      <c r="AR38" s="915"/>
      <c r="AS38" s="915"/>
      <c r="AT38" s="915"/>
      <c r="AU38" s="915"/>
      <c r="AV38" s="915"/>
      <c r="AW38" s="915"/>
      <c r="AX38" s="915"/>
      <c r="AY38" s="915"/>
      <c r="AZ38" s="915"/>
      <c r="BA38" s="915"/>
      <c r="BB38" s="915"/>
      <c r="BC38" s="915"/>
      <c r="BD38" s="915"/>
      <c r="BE38" s="915"/>
      <c r="BF38" s="915"/>
      <c r="BG38" s="915"/>
      <c r="BH38" s="915"/>
      <c r="BI38" s="915"/>
      <c r="BJ38" s="915"/>
      <c r="BK38" s="915"/>
      <c r="BL38" s="915"/>
      <c r="BM38" s="915"/>
      <c r="BN38" s="915"/>
      <c r="BO38" s="915"/>
    </row>
    <row r="39" spans="2:68" ht="15.75" thickBot="1">
      <c r="G39" s="915"/>
      <c r="H39" s="915"/>
      <c r="I39" s="915"/>
      <c r="J39" s="915"/>
      <c r="K39" s="915"/>
      <c r="L39" s="915"/>
      <c r="M39" s="915"/>
      <c r="N39" s="915"/>
      <c r="O39" s="915"/>
      <c r="P39" s="915"/>
      <c r="Q39" s="915"/>
      <c r="R39" s="915"/>
      <c r="S39" s="915"/>
      <c r="T39" s="915"/>
      <c r="U39" s="915"/>
      <c r="V39" s="915"/>
      <c r="W39" s="915"/>
      <c r="X39" s="915"/>
      <c r="Y39" s="915"/>
      <c r="Z39" s="915"/>
      <c r="AA39" s="915"/>
      <c r="AB39" s="915"/>
      <c r="AC39" s="915"/>
      <c r="AD39" s="915"/>
      <c r="AE39" s="915"/>
      <c r="AF39" s="915"/>
      <c r="AG39" s="915"/>
      <c r="AH39" s="915"/>
      <c r="AI39" s="915"/>
      <c r="AJ39" s="915"/>
      <c r="AK39" s="915"/>
      <c r="AL39" s="915"/>
      <c r="AM39" s="915"/>
      <c r="AN39" s="915"/>
      <c r="AO39" s="915"/>
      <c r="AP39" s="915"/>
      <c r="AQ39" s="915"/>
      <c r="AR39" s="915"/>
      <c r="AS39" s="915"/>
      <c r="AT39" s="915"/>
      <c r="AU39" s="915"/>
      <c r="AV39" s="915"/>
      <c r="AW39" s="915"/>
      <c r="AX39" s="915"/>
      <c r="AY39" s="915"/>
      <c r="AZ39" s="915"/>
      <c r="BA39" s="915"/>
      <c r="BB39" s="915"/>
      <c r="BC39" s="915"/>
      <c r="BD39" s="915"/>
      <c r="BE39" s="915"/>
      <c r="BF39" s="915"/>
      <c r="BG39" s="915"/>
      <c r="BH39" s="915"/>
      <c r="BI39" s="915"/>
      <c r="BJ39" s="915"/>
      <c r="BK39" s="915"/>
      <c r="BL39" s="915"/>
      <c r="BM39" s="915"/>
      <c r="BN39" s="915"/>
      <c r="BO39" s="915"/>
    </row>
    <row r="40" spans="2:68" s="146" customFormat="1" ht="12.75" customHeight="1" thickBot="1">
      <c r="B40" s="2"/>
      <c r="C40" s="2"/>
      <c r="D40" s="657"/>
      <c r="E40" s="195"/>
      <c r="F40" s="658"/>
      <c r="G40" s="1734" t="s">
        <v>2410</v>
      </c>
      <c r="H40" s="1735"/>
      <c r="I40" s="1735"/>
      <c r="J40" s="1735"/>
      <c r="K40" s="1735"/>
      <c r="L40" s="1735"/>
      <c r="M40" s="1735"/>
      <c r="N40" s="1735"/>
      <c r="O40" s="1735"/>
      <c r="P40" s="1735"/>
      <c r="Q40" s="1735"/>
      <c r="R40" s="1735"/>
      <c r="S40" s="1735"/>
      <c r="T40" s="1735"/>
      <c r="U40" s="1735"/>
      <c r="V40" s="1736"/>
      <c r="W40" s="1737" t="s">
        <v>2412</v>
      </c>
      <c r="X40" s="1737"/>
      <c r="Y40" s="1737"/>
      <c r="Z40" s="1737"/>
      <c r="AA40" s="1737"/>
      <c r="AB40" s="1737"/>
      <c r="AC40" s="1737"/>
      <c r="AD40" s="1737"/>
      <c r="AE40" s="1737"/>
      <c r="AF40" s="1737"/>
      <c r="AG40" s="1737"/>
      <c r="AH40" s="1737"/>
      <c r="AI40" s="1737"/>
      <c r="AJ40" s="1737"/>
      <c r="AK40" s="1737"/>
      <c r="AL40" s="1737"/>
      <c r="AM40" s="1737" t="s">
        <v>2413</v>
      </c>
      <c r="AN40" s="1737"/>
      <c r="AO40" s="1737"/>
      <c r="AP40" s="1737"/>
      <c r="AQ40" s="1737"/>
      <c r="AR40" s="1737"/>
      <c r="AS40" s="1737"/>
      <c r="AT40" s="1737"/>
      <c r="AU40" s="1737"/>
      <c r="AV40" s="1737"/>
      <c r="AW40" s="1737"/>
      <c r="AX40" s="1737"/>
      <c r="AY40" s="1737"/>
      <c r="AZ40" s="1737"/>
      <c r="BA40" s="1737"/>
      <c r="BB40" s="1737"/>
      <c r="BC40" s="1737" t="s">
        <v>2411</v>
      </c>
      <c r="BD40" s="1737"/>
      <c r="BE40" s="1737"/>
      <c r="BF40" s="1737"/>
      <c r="BG40" s="1737"/>
      <c r="BH40" s="1737"/>
      <c r="BI40" s="1737"/>
      <c r="BJ40" s="1737"/>
      <c r="BK40" s="1737"/>
      <c r="BL40" s="1737"/>
      <c r="BM40" s="1737"/>
      <c r="BN40" s="1737"/>
      <c r="BO40" s="1738">
        <v>999</v>
      </c>
    </row>
    <row r="41" spans="2:68" s="183" customFormat="1" ht="54.95" customHeight="1" thickBot="1">
      <c r="B41" s="184"/>
      <c r="C41" s="184"/>
      <c r="D41" s="659"/>
      <c r="E41" s="184"/>
      <c r="F41" s="660"/>
      <c r="G41" s="1321">
        <v>101</v>
      </c>
      <c r="H41" s="1321" t="s">
        <v>777</v>
      </c>
      <c r="I41" s="1321" t="s">
        <v>778</v>
      </c>
      <c r="J41" s="1321" t="s">
        <v>779</v>
      </c>
      <c r="K41" s="1321" t="s">
        <v>780</v>
      </c>
      <c r="L41" s="1321" t="s">
        <v>781</v>
      </c>
      <c r="M41" s="1321" t="s">
        <v>782</v>
      </c>
      <c r="N41" s="1321" t="s">
        <v>783</v>
      </c>
      <c r="O41" s="1321" t="s">
        <v>784</v>
      </c>
      <c r="P41" s="1321" t="s">
        <v>785</v>
      </c>
      <c r="Q41" s="1321" t="s">
        <v>786</v>
      </c>
      <c r="R41" s="1321" t="s">
        <v>787</v>
      </c>
      <c r="S41" s="1321" t="s">
        <v>788</v>
      </c>
      <c r="T41" s="1321" t="s">
        <v>789</v>
      </c>
      <c r="U41" s="1321" t="s">
        <v>790</v>
      </c>
      <c r="V41" s="1322">
        <v>100</v>
      </c>
      <c r="W41" s="1323" t="s">
        <v>791</v>
      </c>
      <c r="X41" s="1323" t="s">
        <v>792</v>
      </c>
      <c r="Y41" s="1323" t="s">
        <v>793</v>
      </c>
      <c r="Z41" s="1323" t="s">
        <v>794</v>
      </c>
      <c r="AA41" s="1323" t="s">
        <v>795</v>
      </c>
      <c r="AB41" s="1323" t="s">
        <v>796</v>
      </c>
      <c r="AC41" s="1323" t="s">
        <v>797</v>
      </c>
      <c r="AD41" s="1323" t="s">
        <v>798</v>
      </c>
      <c r="AE41" s="1323" t="s">
        <v>799</v>
      </c>
      <c r="AF41" s="1323" t="s">
        <v>800</v>
      </c>
      <c r="AG41" s="1323" t="s">
        <v>801</v>
      </c>
      <c r="AH41" s="1323" t="s">
        <v>802</v>
      </c>
      <c r="AI41" s="1323" t="s">
        <v>803</v>
      </c>
      <c r="AJ41" s="1323" t="s">
        <v>804</v>
      </c>
      <c r="AK41" s="1323" t="s">
        <v>805</v>
      </c>
      <c r="AL41" s="1324">
        <v>200</v>
      </c>
      <c r="AM41" s="1323" t="s">
        <v>806</v>
      </c>
      <c r="AN41" s="1323" t="s">
        <v>807</v>
      </c>
      <c r="AO41" s="1323" t="s">
        <v>808</v>
      </c>
      <c r="AP41" s="1323" t="s">
        <v>809</v>
      </c>
      <c r="AQ41" s="1323" t="s">
        <v>810</v>
      </c>
      <c r="AR41" s="1323" t="s">
        <v>811</v>
      </c>
      <c r="AS41" s="1323" t="s">
        <v>812</v>
      </c>
      <c r="AT41" s="1323" t="s">
        <v>813</v>
      </c>
      <c r="AU41" s="1323" t="s">
        <v>814</v>
      </c>
      <c r="AV41" s="1323" t="s">
        <v>815</v>
      </c>
      <c r="AW41" s="1323" t="s">
        <v>816</v>
      </c>
      <c r="AX41" s="1323" t="s">
        <v>817</v>
      </c>
      <c r="AY41" s="1323" t="s">
        <v>818</v>
      </c>
      <c r="AZ41" s="1323" t="s">
        <v>819</v>
      </c>
      <c r="BA41" s="1323" t="s">
        <v>820</v>
      </c>
      <c r="BB41" s="1324">
        <v>300</v>
      </c>
      <c r="BC41" s="1323" t="s">
        <v>821</v>
      </c>
      <c r="BD41" s="1323" t="s">
        <v>822</v>
      </c>
      <c r="BE41" s="1323" t="s">
        <v>823</v>
      </c>
      <c r="BF41" s="1323" t="s">
        <v>824</v>
      </c>
      <c r="BG41" s="1323" t="s">
        <v>825</v>
      </c>
      <c r="BH41" s="1323" t="s">
        <v>826</v>
      </c>
      <c r="BI41" s="1323" t="s">
        <v>827</v>
      </c>
      <c r="BJ41" s="1323" t="s">
        <v>828</v>
      </c>
      <c r="BK41" s="1323" t="s">
        <v>829</v>
      </c>
      <c r="BL41" s="1323" t="s">
        <v>830</v>
      </c>
      <c r="BM41" s="1323" t="s">
        <v>831</v>
      </c>
      <c r="BN41" s="1324">
        <v>400</v>
      </c>
      <c r="BO41" s="1739"/>
    </row>
    <row r="42" spans="2:68" s="30" customFormat="1" ht="15" customHeight="1">
      <c r="B42" s="25"/>
      <c r="C42" s="25"/>
      <c r="D42" s="1731" t="s">
        <v>2443</v>
      </c>
      <c r="E42" s="1564"/>
      <c r="F42" s="1730"/>
      <c r="G42" s="1325">
        <f>G43+G47</f>
        <v>1957</v>
      </c>
      <c r="H42" s="1326">
        <f t="shared" ref="H42:BO42" si="200">H43+H47</f>
        <v>17464</v>
      </c>
      <c r="I42" s="1326">
        <f t="shared" si="200"/>
        <v>500321</v>
      </c>
      <c r="J42" s="1326">
        <f t="shared" si="200"/>
        <v>2627</v>
      </c>
      <c r="K42" s="1326">
        <f t="shared" si="200"/>
        <v>0</v>
      </c>
      <c r="L42" s="1326">
        <f t="shared" si="200"/>
        <v>11097</v>
      </c>
      <c r="M42" s="1326">
        <f t="shared" si="200"/>
        <v>715266</v>
      </c>
      <c r="N42" s="1326">
        <f t="shared" si="200"/>
        <v>11575</v>
      </c>
      <c r="O42" s="1326">
        <f t="shared" si="200"/>
        <v>88887</v>
      </c>
      <c r="P42" s="1326">
        <f t="shared" si="200"/>
        <v>55369</v>
      </c>
      <c r="Q42" s="1326">
        <f t="shared" si="200"/>
        <v>0</v>
      </c>
      <c r="R42" s="1326">
        <f t="shared" si="200"/>
        <v>0</v>
      </c>
      <c r="S42" s="1326">
        <f t="shared" si="200"/>
        <v>96</v>
      </c>
      <c r="T42" s="1326">
        <f t="shared" si="200"/>
        <v>0</v>
      </c>
      <c r="U42" s="1327">
        <f t="shared" si="200"/>
        <v>0</v>
      </c>
      <c r="V42" s="1522">
        <f t="shared" si="200"/>
        <v>1404659</v>
      </c>
      <c r="W42" s="1329">
        <f t="shared" si="200"/>
        <v>0</v>
      </c>
      <c r="X42" s="1326">
        <f t="shared" si="200"/>
        <v>49798</v>
      </c>
      <c r="Y42" s="1326">
        <f t="shared" si="200"/>
        <v>0</v>
      </c>
      <c r="Z42" s="1326">
        <f t="shared" si="200"/>
        <v>0</v>
      </c>
      <c r="AA42" s="1326">
        <f t="shared" si="200"/>
        <v>0</v>
      </c>
      <c r="AB42" s="1326">
        <f t="shared" si="200"/>
        <v>0</v>
      </c>
      <c r="AC42" s="1326">
        <f t="shared" si="200"/>
        <v>0</v>
      </c>
      <c r="AD42" s="1326">
        <f t="shared" si="200"/>
        <v>13999</v>
      </c>
      <c r="AE42" s="1326">
        <f t="shared" si="200"/>
        <v>1041477</v>
      </c>
      <c r="AF42" s="1326">
        <f t="shared" si="200"/>
        <v>73235</v>
      </c>
      <c r="AG42" s="1326">
        <f t="shared" si="200"/>
        <v>0</v>
      </c>
      <c r="AH42" s="1326">
        <f t="shared" si="200"/>
        <v>0</v>
      </c>
      <c r="AI42" s="1326">
        <f t="shared" si="200"/>
        <v>499</v>
      </c>
      <c r="AJ42" s="1326">
        <f t="shared" si="200"/>
        <v>0</v>
      </c>
      <c r="AK42" s="1327">
        <f t="shared" si="200"/>
        <v>0</v>
      </c>
      <c r="AL42" s="1328">
        <f t="shared" si="200"/>
        <v>1179008</v>
      </c>
      <c r="AM42" s="1329">
        <f t="shared" si="200"/>
        <v>0</v>
      </c>
      <c r="AN42" s="1326">
        <f t="shared" si="200"/>
        <v>11</v>
      </c>
      <c r="AO42" s="1326">
        <f t="shared" si="200"/>
        <v>68483</v>
      </c>
      <c r="AP42" s="1326">
        <f t="shared" si="200"/>
        <v>0</v>
      </c>
      <c r="AQ42" s="1326">
        <f t="shared" si="200"/>
        <v>0</v>
      </c>
      <c r="AR42" s="1326">
        <f t="shared" si="200"/>
        <v>0</v>
      </c>
      <c r="AS42" s="1326">
        <f t="shared" si="200"/>
        <v>0</v>
      </c>
      <c r="AT42" s="1326">
        <f t="shared" si="200"/>
        <v>120</v>
      </c>
      <c r="AU42" s="1326">
        <f t="shared" si="200"/>
        <v>1387</v>
      </c>
      <c r="AV42" s="1326">
        <f t="shared" si="200"/>
        <v>3191</v>
      </c>
      <c r="AW42" s="1326">
        <f t="shared" si="200"/>
        <v>0</v>
      </c>
      <c r="AX42" s="1326">
        <f t="shared" si="200"/>
        <v>0</v>
      </c>
      <c r="AY42" s="1326">
        <f t="shared" si="200"/>
        <v>40244</v>
      </c>
      <c r="AZ42" s="1326">
        <f t="shared" si="200"/>
        <v>0</v>
      </c>
      <c r="BA42" s="1327">
        <f t="shared" si="200"/>
        <v>0</v>
      </c>
      <c r="BB42" s="1328">
        <f t="shared" si="200"/>
        <v>113436</v>
      </c>
      <c r="BC42" s="1329">
        <f t="shared" si="200"/>
        <v>2233878</v>
      </c>
      <c r="BD42" s="1326">
        <f t="shared" si="200"/>
        <v>1797658</v>
      </c>
      <c r="BE42" s="1326">
        <f t="shared" si="200"/>
        <v>1523016</v>
      </c>
      <c r="BF42" s="1326">
        <f t="shared" si="200"/>
        <v>274642</v>
      </c>
      <c r="BG42" s="1326">
        <f t="shared" si="200"/>
        <v>474382</v>
      </c>
      <c r="BH42" s="1326">
        <f t="shared" si="200"/>
        <v>399480</v>
      </c>
      <c r="BI42" s="1326">
        <f t="shared" si="200"/>
        <v>74902</v>
      </c>
      <c r="BJ42" s="1326">
        <f t="shared" si="200"/>
        <v>0</v>
      </c>
      <c r="BK42" s="1326">
        <f t="shared" si="200"/>
        <v>0</v>
      </c>
      <c r="BL42" s="1326">
        <f t="shared" si="200"/>
        <v>271308</v>
      </c>
      <c r="BM42" s="1327">
        <f t="shared" si="200"/>
        <v>0</v>
      </c>
      <c r="BN42" s="1328">
        <f t="shared" si="200"/>
        <v>4777226</v>
      </c>
      <c r="BO42" s="1529">
        <f t="shared" si="200"/>
        <v>7474329</v>
      </c>
      <c r="BP42" s="648"/>
    </row>
    <row r="43" spans="2:68" s="30" customFormat="1" ht="15" customHeight="1">
      <c r="B43" s="25"/>
      <c r="C43" s="25"/>
      <c r="D43" s="661"/>
      <c r="E43" s="1564" t="s">
        <v>2444</v>
      </c>
      <c r="F43" s="1730"/>
      <c r="G43" s="1295">
        <f>SUM(G44:G46)</f>
        <v>0</v>
      </c>
      <c r="H43" s="1296">
        <f t="shared" ref="H43:BO43" si="201">SUM(H44:H46)</f>
        <v>0</v>
      </c>
      <c r="I43" s="1296">
        <f t="shared" si="201"/>
        <v>0</v>
      </c>
      <c r="J43" s="1296">
        <f t="shared" si="201"/>
        <v>0</v>
      </c>
      <c r="K43" s="1296">
        <f t="shared" si="201"/>
        <v>0</v>
      </c>
      <c r="L43" s="1296">
        <f t="shared" si="201"/>
        <v>0</v>
      </c>
      <c r="M43" s="1296">
        <f t="shared" si="201"/>
        <v>0</v>
      </c>
      <c r="N43" s="1296">
        <f t="shared" si="201"/>
        <v>0</v>
      </c>
      <c r="O43" s="1296">
        <f t="shared" si="201"/>
        <v>0</v>
      </c>
      <c r="P43" s="1296">
        <f t="shared" si="201"/>
        <v>0</v>
      </c>
      <c r="Q43" s="1296">
        <f t="shared" si="201"/>
        <v>0</v>
      </c>
      <c r="R43" s="1296">
        <f t="shared" si="201"/>
        <v>0</v>
      </c>
      <c r="S43" s="1296">
        <f t="shared" si="201"/>
        <v>0</v>
      </c>
      <c r="T43" s="1296">
        <f t="shared" si="201"/>
        <v>0</v>
      </c>
      <c r="U43" s="1297">
        <f t="shared" si="201"/>
        <v>0</v>
      </c>
      <c r="V43" s="1298">
        <f t="shared" si="201"/>
        <v>0</v>
      </c>
      <c r="W43" s="1299">
        <f t="shared" si="201"/>
        <v>0</v>
      </c>
      <c r="X43" s="1296">
        <f t="shared" si="201"/>
        <v>0</v>
      </c>
      <c r="Y43" s="1296">
        <f t="shared" si="201"/>
        <v>0</v>
      </c>
      <c r="Z43" s="1296">
        <f t="shared" si="201"/>
        <v>0</v>
      </c>
      <c r="AA43" s="1296">
        <f t="shared" si="201"/>
        <v>0</v>
      </c>
      <c r="AB43" s="1296">
        <f t="shared" si="201"/>
        <v>0</v>
      </c>
      <c r="AC43" s="1296">
        <f t="shared" si="201"/>
        <v>0</v>
      </c>
      <c r="AD43" s="1296">
        <f t="shared" si="201"/>
        <v>0</v>
      </c>
      <c r="AE43" s="1296">
        <f t="shared" si="201"/>
        <v>0</v>
      </c>
      <c r="AF43" s="1296">
        <f t="shared" si="201"/>
        <v>0</v>
      </c>
      <c r="AG43" s="1296">
        <f t="shared" si="201"/>
        <v>0</v>
      </c>
      <c r="AH43" s="1296">
        <f t="shared" si="201"/>
        <v>0</v>
      </c>
      <c r="AI43" s="1296">
        <f t="shared" si="201"/>
        <v>0</v>
      </c>
      <c r="AJ43" s="1296">
        <f t="shared" si="201"/>
        <v>0</v>
      </c>
      <c r="AK43" s="1297">
        <f t="shared" si="201"/>
        <v>0</v>
      </c>
      <c r="AL43" s="1298">
        <f t="shared" si="201"/>
        <v>0</v>
      </c>
      <c r="AM43" s="1299">
        <f t="shared" si="201"/>
        <v>0</v>
      </c>
      <c r="AN43" s="1296">
        <f t="shared" si="201"/>
        <v>0</v>
      </c>
      <c r="AO43" s="1296">
        <f t="shared" si="201"/>
        <v>0</v>
      </c>
      <c r="AP43" s="1296">
        <f t="shared" si="201"/>
        <v>0</v>
      </c>
      <c r="AQ43" s="1296">
        <f t="shared" si="201"/>
        <v>0</v>
      </c>
      <c r="AR43" s="1296">
        <f t="shared" si="201"/>
        <v>0</v>
      </c>
      <c r="AS43" s="1296">
        <f t="shared" si="201"/>
        <v>0</v>
      </c>
      <c r="AT43" s="1296">
        <f t="shared" si="201"/>
        <v>0</v>
      </c>
      <c r="AU43" s="1296">
        <f t="shared" si="201"/>
        <v>0</v>
      </c>
      <c r="AV43" s="1296">
        <f t="shared" si="201"/>
        <v>0</v>
      </c>
      <c r="AW43" s="1296">
        <f t="shared" si="201"/>
        <v>0</v>
      </c>
      <c r="AX43" s="1296">
        <f t="shared" si="201"/>
        <v>0</v>
      </c>
      <c r="AY43" s="1296">
        <f t="shared" si="201"/>
        <v>0</v>
      </c>
      <c r="AZ43" s="1296">
        <f t="shared" si="201"/>
        <v>0</v>
      </c>
      <c r="BA43" s="1297">
        <f t="shared" si="201"/>
        <v>0</v>
      </c>
      <c r="BB43" s="1298">
        <f t="shared" si="201"/>
        <v>0</v>
      </c>
      <c r="BC43" s="1299">
        <f t="shared" si="201"/>
        <v>0</v>
      </c>
      <c r="BD43" s="1296">
        <f t="shared" si="201"/>
        <v>0</v>
      </c>
      <c r="BE43" s="1296">
        <f t="shared" si="201"/>
        <v>0</v>
      </c>
      <c r="BF43" s="1296">
        <f t="shared" si="201"/>
        <v>0</v>
      </c>
      <c r="BG43" s="1296">
        <f t="shared" si="201"/>
        <v>0</v>
      </c>
      <c r="BH43" s="1296">
        <f t="shared" si="201"/>
        <v>0</v>
      </c>
      <c r="BI43" s="1296">
        <f t="shared" si="201"/>
        <v>0</v>
      </c>
      <c r="BJ43" s="1296">
        <f t="shared" si="201"/>
        <v>0</v>
      </c>
      <c r="BK43" s="1296">
        <f t="shared" si="201"/>
        <v>0</v>
      </c>
      <c r="BL43" s="1296">
        <f t="shared" si="201"/>
        <v>0</v>
      </c>
      <c r="BM43" s="1297">
        <f t="shared" si="201"/>
        <v>0</v>
      </c>
      <c r="BN43" s="1298">
        <f t="shared" si="201"/>
        <v>0</v>
      </c>
      <c r="BO43" s="1302">
        <f t="shared" si="201"/>
        <v>0</v>
      </c>
      <c r="BP43" s="648"/>
    </row>
    <row r="44" spans="2:68" ht="15" customHeight="1">
      <c r="B44" s="12"/>
      <c r="C44" s="12"/>
      <c r="D44" s="662"/>
      <c r="E44" s="12"/>
      <c r="F44" s="663" t="s">
        <v>2445</v>
      </c>
      <c r="G44" s="1303"/>
      <c r="H44" s="1304"/>
      <c r="I44" s="1304"/>
      <c r="J44" s="1304"/>
      <c r="K44" s="1304"/>
      <c r="L44" s="1304"/>
      <c r="M44" s="1304"/>
      <c r="N44" s="1304"/>
      <c r="O44" s="1304"/>
      <c r="P44" s="1304"/>
      <c r="Q44" s="1304"/>
      <c r="R44" s="1304"/>
      <c r="S44" s="1304"/>
      <c r="T44" s="1304"/>
      <c r="U44" s="1305"/>
      <c r="V44" s="1306">
        <f t="shared" ref="V44:V46" si="202">SUM(G44:U44)</f>
        <v>0</v>
      </c>
      <c r="W44" s="1307"/>
      <c r="X44" s="1304"/>
      <c r="Y44" s="1304"/>
      <c r="Z44" s="1304"/>
      <c r="AA44" s="1304"/>
      <c r="AB44" s="1304"/>
      <c r="AC44" s="1304"/>
      <c r="AD44" s="1304"/>
      <c r="AE44" s="1304"/>
      <c r="AF44" s="1304"/>
      <c r="AG44" s="1304"/>
      <c r="AH44" s="1304"/>
      <c r="AI44" s="1304"/>
      <c r="AJ44" s="1304"/>
      <c r="AK44" s="1305"/>
      <c r="AL44" s="1306">
        <f>0+(SUM(W44:AK44))</f>
        <v>0</v>
      </c>
      <c r="AM44" s="1308"/>
      <c r="AN44" s="1309"/>
      <c r="AO44" s="1309"/>
      <c r="AP44" s="1309"/>
      <c r="AQ44" s="1309"/>
      <c r="AR44" s="1309"/>
      <c r="AS44" s="1309"/>
      <c r="AT44" s="1309"/>
      <c r="AU44" s="1309"/>
      <c r="AV44" s="1309"/>
      <c r="AW44" s="1309"/>
      <c r="AX44" s="1309"/>
      <c r="AY44" s="1309"/>
      <c r="AZ44" s="1309"/>
      <c r="BA44" s="1310"/>
      <c r="BB44" s="1306">
        <f>0+(SUM(AM44:BA44))</f>
        <v>0</v>
      </c>
      <c r="BC44" s="1308"/>
      <c r="BD44" s="1309">
        <f>BE44+BF44</f>
        <v>0</v>
      </c>
      <c r="BE44" s="1309"/>
      <c r="BF44" s="1309"/>
      <c r="BG44" s="1309">
        <f>BH44+BI44</f>
        <v>0</v>
      </c>
      <c r="BH44" s="1309"/>
      <c r="BI44" s="1309"/>
      <c r="BJ44" s="1309"/>
      <c r="BK44" s="1309"/>
      <c r="BL44" s="1309"/>
      <c r="BM44" s="1310"/>
      <c r="BN44" s="1306">
        <f t="shared" ref="BN44:BN46" si="203">BC44+BD44+BG44+BJ44+BK44+BL44+BM44</f>
        <v>0</v>
      </c>
      <c r="BO44" s="1311">
        <f t="shared" ref="BO44:BO46" si="204">V44+AL44+BB44+BN44</f>
        <v>0</v>
      </c>
      <c r="BP44" s="146"/>
    </row>
    <row r="45" spans="2:68" ht="15" customHeight="1">
      <c r="B45" s="12"/>
      <c r="C45" s="12"/>
      <c r="D45" s="662"/>
      <c r="E45" s="12"/>
      <c r="F45" s="663" t="s">
        <v>2446</v>
      </c>
      <c r="G45" s="1303"/>
      <c r="H45" s="1304"/>
      <c r="I45" s="1304"/>
      <c r="J45" s="1304"/>
      <c r="K45" s="1304"/>
      <c r="L45" s="1304"/>
      <c r="M45" s="1304"/>
      <c r="N45" s="1304"/>
      <c r="O45" s="1304"/>
      <c r="P45" s="1304"/>
      <c r="Q45" s="1304"/>
      <c r="R45" s="1304"/>
      <c r="S45" s="1304"/>
      <c r="T45" s="1304"/>
      <c r="U45" s="1305"/>
      <c r="V45" s="1306">
        <f t="shared" si="202"/>
        <v>0</v>
      </c>
      <c r="W45" s="1307"/>
      <c r="X45" s="1304"/>
      <c r="Y45" s="1304"/>
      <c r="Z45" s="1304"/>
      <c r="AA45" s="1304"/>
      <c r="AB45" s="1304"/>
      <c r="AC45" s="1304"/>
      <c r="AD45" s="1304"/>
      <c r="AE45" s="1304"/>
      <c r="AF45" s="1304"/>
      <c r="AG45" s="1304"/>
      <c r="AH45" s="1304"/>
      <c r="AI45" s="1304"/>
      <c r="AJ45" s="1304"/>
      <c r="AK45" s="1305"/>
      <c r="AL45" s="1306">
        <f>0+(SUM(W45:AK45))</f>
        <v>0</v>
      </c>
      <c r="AM45" s="1308"/>
      <c r="AN45" s="1309"/>
      <c r="AO45" s="1309"/>
      <c r="AP45" s="1309"/>
      <c r="AQ45" s="1309"/>
      <c r="AR45" s="1309"/>
      <c r="AS45" s="1309"/>
      <c r="AT45" s="1309"/>
      <c r="AU45" s="1309"/>
      <c r="AV45" s="1309"/>
      <c r="AW45" s="1309"/>
      <c r="AX45" s="1309"/>
      <c r="AY45" s="1309"/>
      <c r="AZ45" s="1309"/>
      <c r="BA45" s="1310"/>
      <c r="BB45" s="1306">
        <f>0+(SUM(AM45:BA45))</f>
        <v>0</v>
      </c>
      <c r="BC45" s="1308"/>
      <c r="BD45" s="1309">
        <f>BE45+BF45</f>
        <v>0</v>
      </c>
      <c r="BE45" s="1309"/>
      <c r="BF45" s="1309"/>
      <c r="BG45" s="1309">
        <f>BH45+BI45</f>
        <v>0</v>
      </c>
      <c r="BH45" s="1309"/>
      <c r="BI45" s="1309"/>
      <c r="BJ45" s="1309"/>
      <c r="BK45" s="1309"/>
      <c r="BL45" s="1309"/>
      <c r="BM45" s="1310"/>
      <c r="BN45" s="1306">
        <f t="shared" si="203"/>
        <v>0</v>
      </c>
      <c r="BO45" s="1311">
        <f t="shared" si="204"/>
        <v>0</v>
      </c>
      <c r="BP45" s="146"/>
    </row>
    <row r="46" spans="2:68" ht="15" customHeight="1">
      <c r="B46" s="12"/>
      <c r="C46" s="12"/>
      <c r="D46" s="662"/>
      <c r="E46" s="12"/>
      <c r="F46" s="663" t="s">
        <v>2447</v>
      </c>
      <c r="G46" s="1303"/>
      <c r="H46" s="1304"/>
      <c r="I46" s="1304"/>
      <c r="J46" s="1304"/>
      <c r="K46" s="1304"/>
      <c r="L46" s="1304"/>
      <c r="M46" s="1304"/>
      <c r="N46" s="1304"/>
      <c r="O46" s="1304"/>
      <c r="P46" s="1304"/>
      <c r="Q46" s="1304"/>
      <c r="R46" s="1304"/>
      <c r="S46" s="1304"/>
      <c r="T46" s="1304"/>
      <c r="U46" s="1305"/>
      <c r="V46" s="1306">
        <f t="shared" si="202"/>
        <v>0</v>
      </c>
      <c r="W46" s="1307"/>
      <c r="X46" s="1304"/>
      <c r="Y46" s="1304"/>
      <c r="Z46" s="1304"/>
      <c r="AA46" s="1304"/>
      <c r="AB46" s="1304"/>
      <c r="AC46" s="1304"/>
      <c r="AD46" s="1304"/>
      <c r="AE46" s="1304"/>
      <c r="AF46" s="1304"/>
      <c r="AG46" s="1304"/>
      <c r="AH46" s="1304"/>
      <c r="AI46" s="1304"/>
      <c r="AJ46" s="1304"/>
      <c r="AK46" s="1305"/>
      <c r="AL46" s="1306">
        <f>0+(SUM(W46:AK46))</f>
        <v>0</v>
      </c>
      <c r="AM46" s="1308"/>
      <c r="AN46" s="1309"/>
      <c r="AO46" s="1309"/>
      <c r="AP46" s="1309"/>
      <c r="AQ46" s="1309"/>
      <c r="AR46" s="1309"/>
      <c r="AS46" s="1309"/>
      <c r="AT46" s="1309"/>
      <c r="AU46" s="1309"/>
      <c r="AV46" s="1309"/>
      <c r="AW46" s="1309"/>
      <c r="AX46" s="1309"/>
      <c r="AY46" s="1309"/>
      <c r="AZ46" s="1309"/>
      <c r="BA46" s="1310"/>
      <c r="BB46" s="1306">
        <f>0+(SUM(AM46:BA46))</f>
        <v>0</v>
      </c>
      <c r="BC46" s="1308"/>
      <c r="BD46" s="1309">
        <f>BE46+BF46</f>
        <v>0</v>
      </c>
      <c r="BE46" s="1309"/>
      <c r="BF46" s="1309"/>
      <c r="BG46" s="1309">
        <f>BH46+BI46</f>
        <v>0</v>
      </c>
      <c r="BH46" s="1309"/>
      <c r="BI46" s="1309"/>
      <c r="BJ46" s="1309"/>
      <c r="BK46" s="1309"/>
      <c r="BL46" s="1309"/>
      <c r="BM46" s="1310"/>
      <c r="BN46" s="1306">
        <f t="shared" si="203"/>
        <v>0</v>
      </c>
      <c r="BO46" s="1311">
        <f t="shared" si="204"/>
        <v>0</v>
      </c>
      <c r="BP46" s="146"/>
    </row>
    <row r="47" spans="2:68" s="30" customFormat="1" ht="15" customHeight="1">
      <c r="B47" s="25"/>
      <c r="C47" s="25"/>
      <c r="D47" s="661"/>
      <c r="E47" s="1564" t="s">
        <v>2448</v>
      </c>
      <c r="F47" s="1730"/>
      <c r="G47" s="1528">
        <f>SUM(G48:G50)</f>
        <v>1957</v>
      </c>
      <c r="H47" s="1296">
        <f t="shared" ref="H47:BO47" si="205">SUM(H48:H50)</f>
        <v>17464</v>
      </c>
      <c r="I47" s="1296">
        <f t="shared" si="205"/>
        <v>500321</v>
      </c>
      <c r="J47" s="1296">
        <f t="shared" si="205"/>
        <v>2627</v>
      </c>
      <c r="K47" s="1296">
        <f t="shared" si="205"/>
        <v>0</v>
      </c>
      <c r="L47" s="1296">
        <f t="shared" si="205"/>
        <v>11097</v>
      </c>
      <c r="M47" s="1296">
        <f t="shared" si="205"/>
        <v>715266</v>
      </c>
      <c r="N47" s="1296">
        <f t="shared" si="205"/>
        <v>11575</v>
      </c>
      <c r="O47" s="1296">
        <f t="shared" si="205"/>
        <v>88887</v>
      </c>
      <c r="P47" s="1296">
        <f t="shared" si="205"/>
        <v>55369</v>
      </c>
      <c r="Q47" s="1296">
        <f t="shared" si="205"/>
        <v>0</v>
      </c>
      <c r="R47" s="1296">
        <f t="shared" si="205"/>
        <v>0</v>
      </c>
      <c r="S47" s="1296">
        <f t="shared" si="205"/>
        <v>96</v>
      </c>
      <c r="T47" s="1296">
        <f t="shared" si="205"/>
        <v>0</v>
      </c>
      <c r="U47" s="1297">
        <f t="shared" si="205"/>
        <v>0</v>
      </c>
      <c r="V47" s="1506">
        <f t="shared" si="205"/>
        <v>1404659</v>
      </c>
      <c r="W47" s="1299">
        <f t="shared" si="205"/>
        <v>0</v>
      </c>
      <c r="X47" s="1296">
        <f t="shared" si="205"/>
        <v>49798</v>
      </c>
      <c r="Y47" s="1296">
        <f t="shared" si="205"/>
        <v>0</v>
      </c>
      <c r="Z47" s="1296">
        <f t="shared" si="205"/>
        <v>0</v>
      </c>
      <c r="AA47" s="1296">
        <f t="shared" si="205"/>
        <v>0</v>
      </c>
      <c r="AB47" s="1296">
        <f t="shared" si="205"/>
        <v>0</v>
      </c>
      <c r="AC47" s="1296">
        <f t="shared" si="205"/>
        <v>0</v>
      </c>
      <c r="AD47" s="1296">
        <f t="shared" si="205"/>
        <v>13999</v>
      </c>
      <c r="AE47" s="1296">
        <f t="shared" si="205"/>
        <v>1041477</v>
      </c>
      <c r="AF47" s="1296">
        <f t="shared" si="205"/>
        <v>73235</v>
      </c>
      <c r="AG47" s="1296">
        <f t="shared" si="205"/>
        <v>0</v>
      </c>
      <c r="AH47" s="1296">
        <f t="shared" si="205"/>
        <v>0</v>
      </c>
      <c r="AI47" s="1296">
        <f t="shared" si="205"/>
        <v>499</v>
      </c>
      <c r="AJ47" s="1296">
        <f t="shared" si="205"/>
        <v>0</v>
      </c>
      <c r="AK47" s="1297">
        <f t="shared" si="205"/>
        <v>0</v>
      </c>
      <c r="AL47" s="1298">
        <f t="shared" si="205"/>
        <v>1179008</v>
      </c>
      <c r="AM47" s="1299">
        <f t="shared" si="205"/>
        <v>0</v>
      </c>
      <c r="AN47" s="1296">
        <f t="shared" si="205"/>
        <v>11</v>
      </c>
      <c r="AO47" s="1296">
        <f t="shared" si="205"/>
        <v>68483</v>
      </c>
      <c r="AP47" s="1296">
        <f t="shared" si="205"/>
        <v>0</v>
      </c>
      <c r="AQ47" s="1296">
        <f t="shared" si="205"/>
        <v>0</v>
      </c>
      <c r="AR47" s="1296">
        <f t="shared" si="205"/>
        <v>0</v>
      </c>
      <c r="AS47" s="1296">
        <f t="shared" si="205"/>
        <v>0</v>
      </c>
      <c r="AT47" s="1296">
        <f t="shared" si="205"/>
        <v>120</v>
      </c>
      <c r="AU47" s="1296">
        <f t="shared" si="205"/>
        <v>1387</v>
      </c>
      <c r="AV47" s="1296">
        <f t="shared" si="205"/>
        <v>3191</v>
      </c>
      <c r="AW47" s="1296">
        <f t="shared" si="205"/>
        <v>0</v>
      </c>
      <c r="AX47" s="1296">
        <f t="shared" si="205"/>
        <v>0</v>
      </c>
      <c r="AY47" s="1296">
        <f t="shared" si="205"/>
        <v>40244</v>
      </c>
      <c r="AZ47" s="1296">
        <f t="shared" si="205"/>
        <v>0</v>
      </c>
      <c r="BA47" s="1297">
        <f t="shared" si="205"/>
        <v>0</v>
      </c>
      <c r="BB47" s="1298">
        <f t="shared" si="205"/>
        <v>113436</v>
      </c>
      <c r="BC47" s="1299">
        <f t="shared" si="205"/>
        <v>2233878</v>
      </c>
      <c r="BD47" s="1296">
        <f t="shared" si="205"/>
        <v>1797658</v>
      </c>
      <c r="BE47" s="1296">
        <f t="shared" si="205"/>
        <v>1523016</v>
      </c>
      <c r="BF47" s="1296">
        <f t="shared" si="205"/>
        <v>274642</v>
      </c>
      <c r="BG47" s="1296">
        <f t="shared" si="205"/>
        <v>474382</v>
      </c>
      <c r="BH47" s="1296">
        <f t="shared" si="205"/>
        <v>399480</v>
      </c>
      <c r="BI47" s="1296">
        <f t="shared" si="205"/>
        <v>74902</v>
      </c>
      <c r="BJ47" s="1296">
        <f t="shared" si="205"/>
        <v>0</v>
      </c>
      <c r="BK47" s="1296">
        <f t="shared" si="205"/>
        <v>0</v>
      </c>
      <c r="BL47" s="1296">
        <f t="shared" si="205"/>
        <v>271308</v>
      </c>
      <c r="BM47" s="1297">
        <f t="shared" si="205"/>
        <v>0</v>
      </c>
      <c r="BN47" s="1298">
        <f t="shared" si="205"/>
        <v>4777226</v>
      </c>
      <c r="BO47" s="1508">
        <f t="shared" si="205"/>
        <v>7474329</v>
      </c>
      <c r="BP47" s="648"/>
    </row>
    <row r="48" spans="2:68" ht="15" customHeight="1">
      <c r="B48" s="12"/>
      <c r="C48" s="12"/>
      <c r="D48" s="662"/>
      <c r="E48" s="12"/>
      <c r="F48" s="663" t="s">
        <v>2449</v>
      </c>
      <c r="G48" s="1303">
        <v>685</v>
      </c>
      <c r="H48" s="1304">
        <v>6109</v>
      </c>
      <c r="I48" s="1304">
        <f>173276+4955</f>
        <v>178231</v>
      </c>
      <c r="J48" s="1304">
        <v>919</v>
      </c>
      <c r="K48" s="1304">
        <v>0</v>
      </c>
      <c r="L48" s="1304">
        <v>3882</v>
      </c>
      <c r="M48" s="1304">
        <v>250196</v>
      </c>
      <c r="N48" s="1304">
        <v>4049</v>
      </c>
      <c r="O48" s="1304">
        <v>31092</v>
      </c>
      <c r="P48" s="1304">
        <v>19368</v>
      </c>
      <c r="Q48" s="1304">
        <v>0</v>
      </c>
      <c r="R48" s="1304">
        <v>0</v>
      </c>
      <c r="S48" s="1304">
        <v>34</v>
      </c>
      <c r="T48" s="1304">
        <v>0</v>
      </c>
      <c r="U48" s="1305">
        <v>0</v>
      </c>
      <c r="V48" s="1306">
        <f t="shared" ref="V48:V50" si="206">SUM(G48:U48)</f>
        <v>494565</v>
      </c>
      <c r="W48" s="1307">
        <v>0</v>
      </c>
      <c r="X48" s="1304">
        <v>17419</v>
      </c>
      <c r="Y48" s="1304">
        <v>0</v>
      </c>
      <c r="Z48" s="1304">
        <v>0</v>
      </c>
      <c r="AA48" s="1304">
        <v>0</v>
      </c>
      <c r="AB48" s="1304">
        <v>0</v>
      </c>
      <c r="AC48" s="1304">
        <v>0</v>
      </c>
      <c r="AD48" s="1304">
        <v>4897</v>
      </c>
      <c r="AE48" s="1304">
        <v>404464</v>
      </c>
      <c r="AF48" s="1304">
        <v>25617</v>
      </c>
      <c r="AG48" s="1304">
        <v>0</v>
      </c>
      <c r="AH48" s="1304">
        <v>0</v>
      </c>
      <c r="AI48" s="1304">
        <v>174</v>
      </c>
      <c r="AJ48" s="1304">
        <v>0</v>
      </c>
      <c r="AK48" s="1305">
        <v>0</v>
      </c>
      <c r="AL48" s="1306">
        <f>0+(SUM(W48:AK48))</f>
        <v>452571</v>
      </c>
      <c r="AM48" s="1308">
        <v>0</v>
      </c>
      <c r="AN48" s="1309">
        <v>4</v>
      </c>
      <c r="AO48" s="1309">
        <v>23955</v>
      </c>
      <c r="AP48" s="1309">
        <v>0</v>
      </c>
      <c r="AQ48" s="1309">
        <v>0</v>
      </c>
      <c r="AR48" s="1309">
        <v>0</v>
      </c>
      <c r="AS48" s="1309">
        <v>0</v>
      </c>
      <c r="AT48" s="1309">
        <v>42</v>
      </c>
      <c r="AU48" s="1309">
        <v>485</v>
      </c>
      <c r="AV48" s="1309">
        <v>1116</v>
      </c>
      <c r="AW48" s="1309">
        <v>0</v>
      </c>
      <c r="AX48" s="1309">
        <v>0</v>
      </c>
      <c r="AY48" s="1309">
        <v>14077</v>
      </c>
      <c r="AZ48" s="1309">
        <v>0</v>
      </c>
      <c r="BA48" s="1310">
        <v>0</v>
      </c>
      <c r="BB48" s="1306">
        <f>0+(SUM(AM48:BA48))</f>
        <v>39679</v>
      </c>
      <c r="BC48" s="1308">
        <v>781397</v>
      </c>
      <c r="BD48" s="1309">
        <v>628810</v>
      </c>
      <c r="BE48" s="1309">
        <v>532742</v>
      </c>
      <c r="BF48" s="1309">
        <v>96068</v>
      </c>
      <c r="BG48" s="1309">
        <v>165936</v>
      </c>
      <c r="BH48" s="1309">
        <v>139736</v>
      </c>
      <c r="BI48" s="1309">
        <v>26200</v>
      </c>
      <c r="BJ48" s="1309">
        <v>0</v>
      </c>
      <c r="BK48" s="1309">
        <v>0</v>
      </c>
      <c r="BL48" s="1309">
        <v>94902</v>
      </c>
      <c r="BM48" s="1310">
        <v>0</v>
      </c>
      <c r="BN48" s="1306">
        <f t="shared" ref="BN48:BN50" si="207">BC48+BD48+BG48+BJ48+BK48+BL48+BM48</f>
        <v>1671045</v>
      </c>
      <c r="BO48" s="1311">
        <f t="shared" ref="BO48:BO50" si="208">V48+AL48+BB48+BN48</f>
        <v>2657860</v>
      </c>
      <c r="BP48" s="146"/>
    </row>
    <row r="49" spans="2:68" ht="15" customHeight="1">
      <c r="B49" s="12"/>
      <c r="C49" s="12"/>
      <c r="D49" s="662"/>
      <c r="E49" s="12"/>
      <c r="F49" s="663" t="s">
        <v>2450</v>
      </c>
      <c r="G49" s="1303">
        <v>215</v>
      </c>
      <c r="H49" s="1304">
        <v>1909</v>
      </c>
      <c r="I49" s="1304">
        <v>54143</v>
      </c>
      <c r="J49" s="1304">
        <v>287</v>
      </c>
      <c r="K49" s="1304">
        <v>0</v>
      </c>
      <c r="L49" s="1304">
        <v>1213</v>
      </c>
      <c r="M49" s="1304">
        <v>78178</v>
      </c>
      <c r="N49" s="1304">
        <v>1265</v>
      </c>
      <c r="O49" s="1304">
        <v>9715</v>
      </c>
      <c r="P49" s="1304">
        <v>6052</v>
      </c>
      <c r="Q49" s="1304">
        <v>0</v>
      </c>
      <c r="R49" s="1304">
        <v>0</v>
      </c>
      <c r="S49" s="1304">
        <v>10</v>
      </c>
      <c r="T49" s="1304">
        <v>0</v>
      </c>
      <c r="U49" s="1305">
        <v>0</v>
      </c>
      <c r="V49" s="1306">
        <f t="shared" si="206"/>
        <v>152987</v>
      </c>
      <c r="W49" s="1307">
        <v>0</v>
      </c>
      <c r="X49" s="1304">
        <v>5444</v>
      </c>
      <c r="Y49" s="1304">
        <v>0</v>
      </c>
      <c r="Z49" s="1304">
        <v>0</v>
      </c>
      <c r="AA49" s="1304">
        <v>0</v>
      </c>
      <c r="AB49" s="1304">
        <v>0</v>
      </c>
      <c r="AC49" s="1304">
        <v>0</v>
      </c>
      <c r="AD49" s="1304">
        <v>1530</v>
      </c>
      <c r="AE49" s="1304">
        <v>126382</v>
      </c>
      <c r="AF49" s="1304">
        <v>8005</v>
      </c>
      <c r="AG49" s="1304">
        <v>0</v>
      </c>
      <c r="AH49" s="1304">
        <v>0</v>
      </c>
      <c r="AI49" s="1304">
        <v>55</v>
      </c>
      <c r="AJ49" s="1304">
        <v>0</v>
      </c>
      <c r="AK49" s="1305">
        <v>0</v>
      </c>
      <c r="AL49" s="1306">
        <f>0+(SUM(W49:AK49))</f>
        <v>141416</v>
      </c>
      <c r="AM49" s="1308">
        <v>0</v>
      </c>
      <c r="AN49" s="1309">
        <v>1</v>
      </c>
      <c r="AO49" s="1309">
        <v>7485</v>
      </c>
      <c r="AP49" s="1309">
        <v>0</v>
      </c>
      <c r="AQ49" s="1309">
        <v>0</v>
      </c>
      <c r="AR49" s="1309">
        <v>0</v>
      </c>
      <c r="AS49" s="1309">
        <v>0</v>
      </c>
      <c r="AT49" s="1309">
        <v>13</v>
      </c>
      <c r="AU49" s="1309">
        <v>152</v>
      </c>
      <c r="AV49" s="1309">
        <v>349</v>
      </c>
      <c r="AW49" s="1309">
        <v>0</v>
      </c>
      <c r="AX49" s="1309">
        <v>0</v>
      </c>
      <c r="AY49" s="1309">
        <v>4399</v>
      </c>
      <c r="AZ49" s="1309">
        <v>0</v>
      </c>
      <c r="BA49" s="1310">
        <v>0</v>
      </c>
      <c r="BB49" s="1306">
        <f>0+(SUM(AM49:BA49))</f>
        <v>12399</v>
      </c>
      <c r="BC49" s="1308">
        <v>244162</v>
      </c>
      <c r="BD49" s="1309">
        <v>196483</v>
      </c>
      <c r="BE49" s="1309">
        <v>166465</v>
      </c>
      <c r="BF49" s="1309">
        <v>30018</v>
      </c>
      <c r="BG49" s="1309">
        <v>51850</v>
      </c>
      <c r="BH49" s="1309">
        <v>43663</v>
      </c>
      <c r="BI49" s="1309">
        <v>8187</v>
      </c>
      <c r="BJ49" s="1309">
        <v>0</v>
      </c>
      <c r="BK49" s="1309">
        <v>0</v>
      </c>
      <c r="BL49" s="1309">
        <v>29654</v>
      </c>
      <c r="BM49" s="1310">
        <v>0</v>
      </c>
      <c r="BN49" s="1306">
        <f t="shared" si="207"/>
        <v>522149</v>
      </c>
      <c r="BO49" s="1311">
        <f t="shared" si="208"/>
        <v>828951</v>
      </c>
      <c r="BP49" s="146"/>
    </row>
    <row r="50" spans="2:68" ht="15" customHeight="1" thickBot="1">
      <c r="B50" s="12"/>
      <c r="C50" s="12"/>
      <c r="D50" s="664"/>
      <c r="E50" s="52"/>
      <c r="F50" s="1527" t="s">
        <v>2451</v>
      </c>
      <c r="G50" s="1526">
        <f>1058-1</f>
        <v>1057</v>
      </c>
      <c r="H50" s="1313">
        <v>9446</v>
      </c>
      <c r="I50" s="1313">
        <v>267947</v>
      </c>
      <c r="J50" s="1313">
        <v>1421</v>
      </c>
      <c r="K50" s="1313">
        <v>0</v>
      </c>
      <c r="L50" s="1313">
        <v>6002</v>
      </c>
      <c r="M50" s="1313">
        <v>386892</v>
      </c>
      <c r="N50" s="1313">
        <v>6261</v>
      </c>
      <c r="O50" s="1313">
        <v>48080</v>
      </c>
      <c r="P50" s="1313">
        <v>29949</v>
      </c>
      <c r="Q50" s="1313">
        <v>0</v>
      </c>
      <c r="R50" s="1313">
        <v>0</v>
      </c>
      <c r="S50" s="1313">
        <v>52</v>
      </c>
      <c r="T50" s="1313">
        <v>0</v>
      </c>
      <c r="U50" s="1314">
        <v>0</v>
      </c>
      <c r="V50" s="1530">
        <f t="shared" si="206"/>
        <v>757107</v>
      </c>
      <c r="W50" s="1316">
        <v>0</v>
      </c>
      <c r="X50" s="1313">
        <v>26935</v>
      </c>
      <c r="Y50" s="1313">
        <v>0</v>
      </c>
      <c r="Z50" s="1313">
        <v>0</v>
      </c>
      <c r="AA50" s="1313">
        <v>0</v>
      </c>
      <c r="AB50" s="1313">
        <v>0</v>
      </c>
      <c r="AC50" s="1313">
        <v>0</v>
      </c>
      <c r="AD50" s="1313">
        <v>7572</v>
      </c>
      <c r="AE50" s="1313">
        <f>625446-114965+150</f>
        <v>510631</v>
      </c>
      <c r="AF50" s="1313">
        <v>39613</v>
      </c>
      <c r="AG50" s="1313">
        <v>0</v>
      </c>
      <c r="AH50" s="1313">
        <v>0</v>
      </c>
      <c r="AI50" s="1313">
        <v>270</v>
      </c>
      <c r="AJ50" s="1313">
        <v>0</v>
      </c>
      <c r="AK50" s="1314">
        <v>0</v>
      </c>
      <c r="AL50" s="1315">
        <f>0+(SUM(W50:AK50))</f>
        <v>585021</v>
      </c>
      <c r="AM50" s="1317">
        <v>0</v>
      </c>
      <c r="AN50" s="1318">
        <v>6</v>
      </c>
      <c r="AO50" s="1318">
        <v>37043</v>
      </c>
      <c r="AP50" s="1318">
        <v>0</v>
      </c>
      <c r="AQ50" s="1318">
        <v>0</v>
      </c>
      <c r="AR50" s="1318">
        <v>0</v>
      </c>
      <c r="AS50" s="1318">
        <v>0</v>
      </c>
      <c r="AT50" s="1318">
        <v>65</v>
      </c>
      <c r="AU50" s="1318">
        <v>750</v>
      </c>
      <c r="AV50" s="1318">
        <v>1726</v>
      </c>
      <c r="AW50" s="1318">
        <v>0</v>
      </c>
      <c r="AX50" s="1318">
        <v>0</v>
      </c>
      <c r="AY50" s="1318">
        <v>21768</v>
      </c>
      <c r="AZ50" s="1318">
        <v>0</v>
      </c>
      <c r="BA50" s="1319">
        <v>0</v>
      </c>
      <c r="BB50" s="1315">
        <f>0+(SUM(AM50:BA50))</f>
        <v>61358</v>
      </c>
      <c r="BC50" s="1317">
        <v>1208319</v>
      </c>
      <c r="BD50" s="1318">
        <v>972365</v>
      </c>
      <c r="BE50" s="1318">
        <v>823809</v>
      </c>
      <c r="BF50" s="1318">
        <v>148556</v>
      </c>
      <c r="BG50" s="1318">
        <v>256596</v>
      </c>
      <c r="BH50" s="1318">
        <v>216081</v>
      </c>
      <c r="BI50" s="1318">
        <v>40515</v>
      </c>
      <c r="BJ50" s="1318">
        <v>0</v>
      </c>
      <c r="BK50" s="1318">
        <v>0</v>
      </c>
      <c r="BL50" s="1318">
        <v>146752</v>
      </c>
      <c r="BM50" s="1319">
        <v>0</v>
      </c>
      <c r="BN50" s="1315">
        <f t="shared" si="207"/>
        <v>2584032</v>
      </c>
      <c r="BO50" s="1512">
        <f t="shared" si="208"/>
        <v>3987518</v>
      </c>
      <c r="BP50" s="146"/>
    </row>
  </sheetData>
  <mergeCells count="24">
    <mergeCell ref="D42:F42"/>
    <mergeCell ref="E43:F43"/>
    <mergeCell ref="E47:F47"/>
    <mergeCell ref="BO5:BO6"/>
    <mergeCell ref="B3:F3"/>
    <mergeCell ref="G40:V40"/>
    <mergeCell ref="W40:AL40"/>
    <mergeCell ref="AM40:BB40"/>
    <mergeCell ref="BC40:BN40"/>
    <mergeCell ref="BO40:BO41"/>
    <mergeCell ref="G5:V5"/>
    <mergeCell ref="W5:AL5"/>
    <mergeCell ref="AM5:BB5"/>
    <mergeCell ref="BC5:BN5"/>
    <mergeCell ref="E33:F33"/>
    <mergeCell ref="D7:F7"/>
    <mergeCell ref="B38:F38"/>
    <mergeCell ref="E31:F31"/>
    <mergeCell ref="E32:F32"/>
    <mergeCell ref="E8:F8"/>
    <mergeCell ref="E12:F12"/>
    <mergeCell ref="E22:F22"/>
    <mergeCell ref="E26:F26"/>
    <mergeCell ref="E18:F18"/>
  </mergeCells>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B1:BP55"/>
  <sheetViews>
    <sheetView showGridLines="0" topLeftCell="A43" workbookViewId="0">
      <selection activeCell="BO25" sqref="BO25"/>
    </sheetView>
  </sheetViews>
  <sheetFormatPr baseColWidth="10" defaultColWidth="9.140625" defaultRowHeight="15" outlineLevelCol="1"/>
  <cols>
    <col min="1" max="5" width="2.42578125" customWidth="1"/>
    <col min="6" max="6" width="55.7109375" customWidth="1"/>
    <col min="7" max="21" width="14.7109375" customWidth="1" outlineLevel="1"/>
    <col min="22" max="22" width="14.7109375" customWidth="1"/>
    <col min="23" max="37" width="14.7109375" customWidth="1" outlineLevel="1"/>
    <col min="38" max="38" width="14.7109375" customWidth="1"/>
    <col min="39" max="53" width="14.7109375" customWidth="1" outlineLevel="1"/>
    <col min="54" max="54" width="14.7109375" customWidth="1"/>
    <col min="55" max="65" width="14.7109375" customWidth="1" outlineLevel="1"/>
    <col min="66" max="68" width="14.7109375" customWidth="1"/>
  </cols>
  <sheetData>
    <row r="1" spans="2:68" ht="15" customHeight="1"/>
    <row r="2" spans="2:68" s="246" customFormat="1" ht="15" customHeight="1">
      <c r="B2" s="247"/>
    </row>
    <row r="3" spans="2:68" ht="15" customHeight="1">
      <c r="B3" s="1584" t="s">
        <v>2452</v>
      </c>
      <c r="C3" s="1584"/>
      <c r="D3" s="1584"/>
      <c r="E3" s="1584"/>
      <c r="F3" s="1584"/>
    </row>
    <row r="4" spans="2:68" s="315" customFormat="1" ht="12.75" customHeight="1" thickBot="1">
      <c r="B4" s="2"/>
      <c r="C4" s="2"/>
      <c r="D4" s="2"/>
      <c r="E4" s="2"/>
      <c r="F4" s="2"/>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row>
    <row r="5" spans="2:68" s="146" customFormat="1" ht="12.75" customHeight="1" thickBot="1">
      <c r="B5" s="2"/>
      <c r="C5" s="2"/>
      <c r="D5" s="657"/>
      <c r="E5" s="195"/>
      <c r="F5" s="658"/>
      <c r="G5" s="1740" t="s">
        <v>2410</v>
      </c>
      <c r="H5" s="1741"/>
      <c r="I5" s="1741"/>
      <c r="J5" s="1741"/>
      <c r="K5" s="1741"/>
      <c r="L5" s="1741"/>
      <c r="M5" s="1741"/>
      <c r="N5" s="1741"/>
      <c r="O5" s="1741"/>
      <c r="P5" s="1741"/>
      <c r="Q5" s="1741"/>
      <c r="R5" s="1741"/>
      <c r="S5" s="1741"/>
      <c r="T5" s="1741"/>
      <c r="U5" s="1741"/>
      <c r="V5" s="1742"/>
      <c r="W5" s="1743" t="s">
        <v>2412</v>
      </c>
      <c r="X5" s="1743"/>
      <c r="Y5" s="1743"/>
      <c r="Z5" s="1743"/>
      <c r="AA5" s="1743"/>
      <c r="AB5" s="1743"/>
      <c r="AC5" s="1743"/>
      <c r="AD5" s="1743"/>
      <c r="AE5" s="1743"/>
      <c r="AF5" s="1743"/>
      <c r="AG5" s="1743"/>
      <c r="AH5" s="1743"/>
      <c r="AI5" s="1743"/>
      <c r="AJ5" s="1743"/>
      <c r="AK5" s="1743"/>
      <c r="AL5" s="1743"/>
      <c r="AM5" s="1743" t="s">
        <v>2413</v>
      </c>
      <c r="AN5" s="1743"/>
      <c r="AO5" s="1743"/>
      <c r="AP5" s="1743"/>
      <c r="AQ5" s="1743"/>
      <c r="AR5" s="1743"/>
      <c r="AS5" s="1743"/>
      <c r="AT5" s="1743"/>
      <c r="AU5" s="1743"/>
      <c r="AV5" s="1743"/>
      <c r="AW5" s="1743"/>
      <c r="AX5" s="1743"/>
      <c r="AY5" s="1743"/>
      <c r="AZ5" s="1743"/>
      <c r="BA5" s="1743"/>
      <c r="BB5" s="1743"/>
      <c r="BC5" s="1743" t="s">
        <v>2411</v>
      </c>
      <c r="BD5" s="1743"/>
      <c r="BE5" s="1743"/>
      <c r="BF5" s="1743"/>
      <c r="BG5" s="1743"/>
      <c r="BH5" s="1743"/>
      <c r="BI5" s="1743"/>
      <c r="BJ5" s="1743"/>
      <c r="BK5" s="1743"/>
      <c r="BL5" s="1743"/>
      <c r="BM5" s="1743"/>
      <c r="BN5" s="1743"/>
      <c r="BO5" s="1569">
        <v>999</v>
      </c>
    </row>
    <row r="6" spans="2:68" s="183" customFormat="1" ht="54.95" customHeight="1" thickBot="1">
      <c r="B6" s="184"/>
      <c r="C6" s="184"/>
      <c r="D6" s="659"/>
      <c r="E6" s="184"/>
      <c r="F6" s="660"/>
      <c r="G6" s="643">
        <v>101</v>
      </c>
      <c r="H6" s="643" t="s">
        <v>777</v>
      </c>
      <c r="I6" s="642" t="s">
        <v>778</v>
      </c>
      <c r="J6" s="642" t="s">
        <v>779</v>
      </c>
      <c r="K6" s="642" t="s">
        <v>780</v>
      </c>
      <c r="L6" s="642" t="s">
        <v>781</v>
      </c>
      <c r="M6" s="642" t="s">
        <v>782</v>
      </c>
      <c r="N6" s="642" t="s">
        <v>783</v>
      </c>
      <c r="O6" s="642" t="s">
        <v>784</v>
      </c>
      <c r="P6" s="642" t="s">
        <v>785</v>
      </c>
      <c r="Q6" s="642" t="s">
        <v>786</v>
      </c>
      <c r="R6" s="642" t="s">
        <v>787</v>
      </c>
      <c r="S6" s="642" t="s">
        <v>788</v>
      </c>
      <c r="T6" s="642" t="s">
        <v>789</v>
      </c>
      <c r="U6" s="642" t="s">
        <v>790</v>
      </c>
      <c r="V6" s="563">
        <v>100</v>
      </c>
      <c r="W6" s="641" t="s">
        <v>791</v>
      </c>
      <c r="X6" s="641" t="s">
        <v>792</v>
      </c>
      <c r="Y6" s="641" t="s">
        <v>793</v>
      </c>
      <c r="Z6" s="641" t="s">
        <v>794</v>
      </c>
      <c r="AA6" s="641" t="s">
        <v>795</v>
      </c>
      <c r="AB6" s="641" t="s">
        <v>796</v>
      </c>
      <c r="AC6" s="641" t="s">
        <v>797</v>
      </c>
      <c r="AD6" s="641" t="s">
        <v>798</v>
      </c>
      <c r="AE6" s="641" t="s">
        <v>799</v>
      </c>
      <c r="AF6" s="641" t="s">
        <v>800</v>
      </c>
      <c r="AG6" s="641" t="s">
        <v>801</v>
      </c>
      <c r="AH6" s="641" t="s">
        <v>802</v>
      </c>
      <c r="AI6" s="641" t="s">
        <v>803</v>
      </c>
      <c r="AJ6" s="641" t="s">
        <v>804</v>
      </c>
      <c r="AK6" s="641" t="s">
        <v>805</v>
      </c>
      <c r="AL6" s="564">
        <v>200</v>
      </c>
      <c r="AM6" s="641" t="s">
        <v>806</v>
      </c>
      <c r="AN6" s="641" t="s">
        <v>807</v>
      </c>
      <c r="AO6" s="641" t="s">
        <v>808</v>
      </c>
      <c r="AP6" s="641" t="s">
        <v>809</v>
      </c>
      <c r="AQ6" s="641" t="s">
        <v>810</v>
      </c>
      <c r="AR6" s="641" t="s">
        <v>811</v>
      </c>
      <c r="AS6" s="641" t="s">
        <v>812</v>
      </c>
      <c r="AT6" s="641" t="s">
        <v>813</v>
      </c>
      <c r="AU6" s="641" t="s">
        <v>814</v>
      </c>
      <c r="AV6" s="641" t="s">
        <v>815</v>
      </c>
      <c r="AW6" s="641" t="s">
        <v>816</v>
      </c>
      <c r="AX6" s="641" t="s">
        <v>817</v>
      </c>
      <c r="AY6" s="641" t="s">
        <v>818</v>
      </c>
      <c r="AZ6" s="641" t="s">
        <v>819</v>
      </c>
      <c r="BA6" s="641" t="s">
        <v>820</v>
      </c>
      <c r="BB6" s="564">
        <v>300</v>
      </c>
      <c r="BC6" s="641" t="s">
        <v>821</v>
      </c>
      <c r="BD6" s="641" t="s">
        <v>822</v>
      </c>
      <c r="BE6" s="641" t="s">
        <v>823</v>
      </c>
      <c r="BF6" s="641" t="s">
        <v>824</v>
      </c>
      <c r="BG6" s="641" t="s">
        <v>825</v>
      </c>
      <c r="BH6" s="641" t="s">
        <v>826</v>
      </c>
      <c r="BI6" s="641" t="s">
        <v>827</v>
      </c>
      <c r="BJ6" s="641" t="s">
        <v>828</v>
      </c>
      <c r="BK6" s="641" t="s">
        <v>829</v>
      </c>
      <c r="BL6" s="641" t="s">
        <v>830</v>
      </c>
      <c r="BM6" s="641" t="s">
        <v>831</v>
      </c>
      <c r="BN6" s="564">
        <v>400</v>
      </c>
      <c r="BO6" s="1570"/>
    </row>
    <row r="7" spans="2:68" s="30" customFormat="1" ht="14.1" customHeight="1">
      <c r="B7" s="25"/>
      <c r="C7" s="25"/>
      <c r="D7" s="1731" t="s">
        <v>2453</v>
      </c>
      <c r="E7" s="1564"/>
      <c r="F7" s="1730"/>
      <c r="G7" s="1295">
        <f>G8+G11-G12</f>
        <v>25360</v>
      </c>
      <c r="H7" s="1296">
        <f t="shared" ref="H7:BO7" si="0">H8+H11-H12</f>
        <v>225617</v>
      </c>
      <c r="I7" s="1296">
        <f t="shared" si="0"/>
        <v>6399877</v>
      </c>
      <c r="J7" s="1296">
        <f t="shared" si="0"/>
        <v>33929</v>
      </c>
      <c r="K7" s="1296">
        <f t="shared" si="0"/>
        <v>0</v>
      </c>
      <c r="L7" s="1296">
        <f t="shared" si="0"/>
        <v>143368</v>
      </c>
      <c r="M7" s="1296">
        <f t="shared" si="0"/>
        <v>9240873</v>
      </c>
      <c r="N7" s="1296">
        <f t="shared" si="0"/>
        <v>149551</v>
      </c>
      <c r="O7" s="1296">
        <f t="shared" si="0"/>
        <v>1148386</v>
      </c>
      <c r="P7" s="1296">
        <f t="shared" si="0"/>
        <v>715332</v>
      </c>
      <c r="Q7" s="1296">
        <f t="shared" si="0"/>
        <v>0</v>
      </c>
      <c r="R7" s="1296">
        <f t="shared" si="0"/>
        <v>0</v>
      </c>
      <c r="S7" s="1296">
        <f t="shared" si="0"/>
        <v>1240</v>
      </c>
      <c r="T7" s="1296">
        <f t="shared" si="0"/>
        <v>0</v>
      </c>
      <c r="U7" s="1297">
        <f t="shared" si="0"/>
        <v>0</v>
      </c>
      <c r="V7" s="1298">
        <f t="shared" si="0"/>
        <v>18083533</v>
      </c>
      <c r="W7" s="1299">
        <f t="shared" si="0"/>
        <v>0</v>
      </c>
      <c r="X7" s="1296">
        <f t="shared" si="0"/>
        <v>643346</v>
      </c>
      <c r="Y7" s="1296">
        <f t="shared" si="0"/>
        <v>0</v>
      </c>
      <c r="Z7" s="1296">
        <f t="shared" si="0"/>
        <v>0</v>
      </c>
      <c r="AA7" s="1296">
        <f t="shared" si="0"/>
        <v>0</v>
      </c>
      <c r="AB7" s="1296">
        <f t="shared" si="0"/>
        <v>0</v>
      </c>
      <c r="AC7" s="1296">
        <f t="shared" si="0"/>
        <v>0</v>
      </c>
      <c r="AD7" s="1296">
        <f t="shared" si="0"/>
        <v>180856</v>
      </c>
      <c r="AE7" s="1296">
        <f t="shared" si="0"/>
        <v>14938711</v>
      </c>
      <c r="AF7" s="1296">
        <f t="shared" si="0"/>
        <v>946155</v>
      </c>
      <c r="AG7" s="1296">
        <f t="shared" si="0"/>
        <v>0</v>
      </c>
      <c r="AH7" s="1296">
        <f t="shared" si="0"/>
        <v>0</v>
      </c>
      <c r="AI7" s="1296">
        <f t="shared" si="0"/>
        <v>6443</v>
      </c>
      <c r="AJ7" s="1296">
        <f t="shared" si="0"/>
        <v>0</v>
      </c>
      <c r="AK7" s="1297">
        <f t="shared" si="0"/>
        <v>0</v>
      </c>
      <c r="AL7" s="1298">
        <f t="shared" si="0"/>
        <v>16715511</v>
      </c>
      <c r="AM7" s="1299">
        <f t="shared" si="0"/>
        <v>0</v>
      </c>
      <c r="AN7" s="1296">
        <f t="shared" si="0"/>
        <v>147</v>
      </c>
      <c r="AO7" s="1296">
        <f t="shared" si="0"/>
        <v>884762</v>
      </c>
      <c r="AP7" s="1296">
        <f t="shared" si="0"/>
        <v>0</v>
      </c>
      <c r="AQ7" s="1296">
        <f t="shared" si="0"/>
        <v>0</v>
      </c>
      <c r="AR7" s="1296">
        <f t="shared" si="0"/>
        <v>0</v>
      </c>
      <c r="AS7" s="1296">
        <f t="shared" si="0"/>
        <v>0</v>
      </c>
      <c r="AT7" s="1296">
        <f t="shared" si="0"/>
        <v>1541</v>
      </c>
      <c r="AU7" s="1296">
        <f t="shared" si="0"/>
        <v>17925</v>
      </c>
      <c r="AV7" s="1296">
        <f t="shared" si="0"/>
        <v>41237</v>
      </c>
      <c r="AW7" s="1296">
        <f t="shared" si="0"/>
        <v>0</v>
      </c>
      <c r="AX7" s="1296">
        <f t="shared" si="0"/>
        <v>0</v>
      </c>
      <c r="AY7" s="1296">
        <f t="shared" si="0"/>
        <v>519933</v>
      </c>
      <c r="AZ7" s="1296">
        <f t="shared" si="0"/>
        <v>0</v>
      </c>
      <c r="BA7" s="1297">
        <f t="shared" si="0"/>
        <v>0</v>
      </c>
      <c r="BB7" s="1298">
        <f t="shared" si="0"/>
        <v>1465545</v>
      </c>
      <c r="BC7" s="1299">
        <f t="shared" si="0"/>
        <v>28860577</v>
      </c>
      <c r="BD7" s="1296">
        <f t="shared" si="0"/>
        <v>23224844</v>
      </c>
      <c r="BE7" s="1296">
        <f t="shared" si="0"/>
        <v>19676603</v>
      </c>
      <c r="BF7" s="1296">
        <f t="shared" si="0"/>
        <v>3548241</v>
      </c>
      <c r="BG7" s="1296">
        <f t="shared" si="0"/>
        <v>6128778</v>
      </c>
      <c r="BH7" s="1296">
        <f t="shared" si="0"/>
        <v>5161076</v>
      </c>
      <c r="BI7" s="1296">
        <f t="shared" si="0"/>
        <v>967702</v>
      </c>
      <c r="BJ7" s="1296">
        <f t="shared" si="0"/>
        <v>0</v>
      </c>
      <c r="BK7" s="1296">
        <f t="shared" si="0"/>
        <v>0</v>
      </c>
      <c r="BL7" s="1296">
        <f t="shared" si="0"/>
        <v>3505154</v>
      </c>
      <c r="BM7" s="1297">
        <f t="shared" si="0"/>
        <v>0</v>
      </c>
      <c r="BN7" s="1300">
        <f t="shared" si="0"/>
        <v>61719353</v>
      </c>
      <c r="BO7" s="1301">
        <f t="shared" si="0"/>
        <v>97983942</v>
      </c>
      <c r="BP7" s="648"/>
    </row>
    <row r="8" spans="2:68" s="30" customFormat="1" ht="14.1" customHeight="1">
      <c r="B8" s="25"/>
      <c r="C8" s="25"/>
      <c r="D8" s="661"/>
      <c r="E8" s="1564" t="s">
        <v>2454</v>
      </c>
      <c r="F8" s="1730"/>
      <c r="G8" s="1295">
        <f>SUM(G9:G10)</f>
        <v>25360</v>
      </c>
      <c r="H8" s="1296">
        <f t="shared" ref="H8:BO8" si="1">SUM(H9:H10)</f>
        <v>287244</v>
      </c>
      <c r="I8" s="1296">
        <f t="shared" si="1"/>
        <v>6434794</v>
      </c>
      <c r="J8" s="1296">
        <f t="shared" si="1"/>
        <v>33929</v>
      </c>
      <c r="K8" s="1296">
        <f t="shared" si="1"/>
        <v>0</v>
      </c>
      <c r="L8" s="1296">
        <f t="shared" si="1"/>
        <v>143368</v>
      </c>
      <c r="M8" s="1296">
        <f t="shared" si="1"/>
        <v>9266023</v>
      </c>
      <c r="N8" s="1296">
        <f t="shared" si="1"/>
        <v>150979</v>
      </c>
      <c r="O8" s="1296">
        <f t="shared" si="1"/>
        <v>1326457</v>
      </c>
      <c r="P8" s="1296">
        <f t="shared" si="1"/>
        <v>807210</v>
      </c>
      <c r="Q8" s="1296">
        <f t="shared" si="1"/>
        <v>0</v>
      </c>
      <c r="R8" s="1296">
        <f t="shared" si="1"/>
        <v>0</v>
      </c>
      <c r="S8" s="1296">
        <f t="shared" si="1"/>
        <v>1306</v>
      </c>
      <c r="T8" s="1296">
        <f t="shared" si="1"/>
        <v>0</v>
      </c>
      <c r="U8" s="1297">
        <f t="shared" si="1"/>
        <v>0</v>
      </c>
      <c r="V8" s="1298">
        <f t="shared" si="1"/>
        <v>18476670</v>
      </c>
      <c r="W8" s="1299">
        <f t="shared" si="1"/>
        <v>0</v>
      </c>
      <c r="X8" s="1296">
        <f t="shared" si="1"/>
        <v>1156196</v>
      </c>
      <c r="Y8" s="1296">
        <f t="shared" si="1"/>
        <v>0</v>
      </c>
      <c r="Z8" s="1296">
        <f t="shared" si="1"/>
        <v>0</v>
      </c>
      <c r="AA8" s="1296">
        <f t="shared" si="1"/>
        <v>0</v>
      </c>
      <c r="AB8" s="1296">
        <f t="shared" si="1"/>
        <v>0</v>
      </c>
      <c r="AC8" s="1296">
        <f t="shared" si="1"/>
        <v>0</v>
      </c>
      <c r="AD8" s="1296">
        <f t="shared" si="1"/>
        <v>333803</v>
      </c>
      <c r="AE8" s="1296">
        <f t="shared" si="1"/>
        <v>15229237</v>
      </c>
      <c r="AF8" s="1296">
        <f t="shared" si="1"/>
        <v>1073749</v>
      </c>
      <c r="AG8" s="1296">
        <f t="shared" si="1"/>
        <v>0</v>
      </c>
      <c r="AH8" s="1296">
        <f t="shared" si="1"/>
        <v>0</v>
      </c>
      <c r="AI8" s="1296">
        <f t="shared" si="1"/>
        <v>6611</v>
      </c>
      <c r="AJ8" s="1296">
        <f t="shared" si="1"/>
        <v>0</v>
      </c>
      <c r="AK8" s="1297">
        <f t="shared" si="1"/>
        <v>0</v>
      </c>
      <c r="AL8" s="1298">
        <f t="shared" si="1"/>
        <v>17799596</v>
      </c>
      <c r="AM8" s="1299">
        <f t="shared" si="1"/>
        <v>0</v>
      </c>
      <c r="AN8" s="1296">
        <f t="shared" si="1"/>
        <v>147</v>
      </c>
      <c r="AO8" s="1296">
        <f t="shared" si="1"/>
        <v>910110</v>
      </c>
      <c r="AP8" s="1296">
        <f t="shared" si="1"/>
        <v>0</v>
      </c>
      <c r="AQ8" s="1296">
        <f t="shared" si="1"/>
        <v>0</v>
      </c>
      <c r="AR8" s="1296">
        <f t="shared" si="1"/>
        <v>0</v>
      </c>
      <c r="AS8" s="1296">
        <f t="shared" si="1"/>
        <v>0</v>
      </c>
      <c r="AT8" s="1296">
        <f t="shared" si="1"/>
        <v>1541</v>
      </c>
      <c r="AU8" s="1296">
        <f t="shared" si="1"/>
        <v>17925</v>
      </c>
      <c r="AV8" s="1296">
        <f t="shared" si="1"/>
        <v>41258</v>
      </c>
      <c r="AW8" s="1296">
        <f t="shared" si="1"/>
        <v>0</v>
      </c>
      <c r="AX8" s="1296">
        <f t="shared" si="1"/>
        <v>0</v>
      </c>
      <c r="AY8" s="1296">
        <f t="shared" si="1"/>
        <v>519933</v>
      </c>
      <c r="AZ8" s="1296">
        <f t="shared" si="1"/>
        <v>0</v>
      </c>
      <c r="BA8" s="1297">
        <f t="shared" si="1"/>
        <v>0</v>
      </c>
      <c r="BB8" s="1298">
        <f t="shared" si="1"/>
        <v>1490914</v>
      </c>
      <c r="BC8" s="1299">
        <f t="shared" si="1"/>
        <v>48061046</v>
      </c>
      <c r="BD8" s="1296">
        <f t="shared" si="1"/>
        <v>23224844</v>
      </c>
      <c r="BE8" s="1296">
        <f t="shared" si="1"/>
        <v>19676603</v>
      </c>
      <c r="BF8" s="1296">
        <f t="shared" si="1"/>
        <v>3548241</v>
      </c>
      <c r="BG8" s="1296">
        <f t="shared" si="1"/>
        <v>6128778</v>
      </c>
      <c r="BH8" s="1296">
        <f t="shared" si="1"/>
        <v>5161076</v>
      </c>
      <c r="BI8" s="1296">
        <f t="shared" si="1"/>
        <v>967702</v>
      </c>
      <c r="BJ8" s="1296">
        <f t="shared" si="1"/>
        <v>0</v>
      </c>
      <c r="BK8" s="1296">
        <f t="shared" si="1"/>
        <v>0</v>
      </c>
      <c r="BL8" s="1296">
        <f t="shared" si="1"/>
        <v>3510826</v>
      </c>
      <c r="BM8" s="1297">
        <f t="shared" si="1"/>
        <v>0</v>
      </c>
      <c r="BN8" s="1298">
        <f t="shared" si="1"/>
        <v>80925494</v>
      </c>
      <c r="BO8" s="1302">
        <f t="shared" si="1"/>
        <v>118692674</v>
      </c>
      <c r="BP8" s="648"/>
    </row>
    <row r="9" spans="2:68" ht="14.1" customHeight="1">
      <c r="B9" s="12"/>
      <c r="C9" s="12"/>
      <c r="D9" s="662"/>
      <c r="E9" s="12"/>
      <c r="F9" s="663" t="s">
        <v>2455</v>
      </c>
      <c r="G9" s="1303">
        <v>25360</v>
      </c>
      <c r="H9" s="1304">
        <v>287244</v>
      </c>
      <c r="I9" s="1304">
        <v>6434794</v>
      </c>
      <c r="J9" s="1304">
        <v>33929</v>
      </c>
      <c r="K9" s="1304">
        <v>0</v>
      </c>
      <c r="L9" s="1304">
        <v>143368</v>
      </c>
      <c r="M9" s="1304">
        <v>9266023</v>
      </c>
      <c r="N9" s="1304">
        <v>150979</v>
      </c>
      <c r="O9" s="1304">
        <v>1326457</v>
      </c>
      <c r="P9" s="1304">
        <v>807210</v>
      </c>
      <c r="Q9" s="1304">
        <v>0</v>
      </c>
      <c r="R9" s="1304">
        <v>0</v>
      </c>
      <c r="S9" s="1304">
        <v>1306</v>
      </c>
      <c r="T9" s="1304">
        <v>0</v>
      </c>
      <c r="U9" s="1305">
        <v>0</v>
      </c>
      <c r="V9" s="1306">
        <f t="shared" ref="V9:V12" si="2">SUM(G9:U9)</f>
        <v>18476670</v>
      </c>
      <c r="W9" s="1307">
        <v>0</v>
      </c>
      <c r="X9" s="1304">
        <v>1156196</v>
      </c>
      <c r="Y9" s="1304">
        <v>0</v>
      </c>
      <c r="Z9" s="1304">
        <v>0</v>
      </c>
      <c r="AA9" s="1304">
        <v>0</v>
      </c>
      <c r="AB9" s="1304">
        <v>0</v>
      </c>
      <c r="AC9" s="1304">
        <v>0</v>
      </c>
      <c r="AD9" s="1304">
        <v>333803</v>
      </c>
      <c r="AE9" s="1304">
        <v>15229237</v>
      </c>
      <c r="AF9" s="1304">
        <v>1073749</v>
      </c>
      <c r="AG9" s="1304">
        <v>0</v>
      </c>
      <c r="AH9" s="1304">
        <v>0</v>
      </c>
      <c r="AI9" s="1304">
        <v>6611</v>
      </c>
      <c r="AJ9" s="1304">
        <v>0</v>
      </c>
      <c r="AK9" s="1305">
        <v>0</v>
      </c>
      <c r="AL9" s="1306">
        <f t="shared" ref="AL9:AL12" si="3">SUM(W9:AK9)</f>
        <v>17799596</v>
      </c>
      <c r="AM9" s="1308">
        <v>0</v>
      </c>
      <c r="AN9" s="1309">
        <v>147</v>
      </c>
      <c r="AO9" s="1309">
        <v>910110</v>
      </c>
      <c r="AP9" s="1309">
        <v>0</v>
      </c>
      <c r="AQ9" s="1309">
        <v>0</v>
      </c>
      <c r="AR9" s="1309">
        <v>0</v>
      </c>
      <c r="AS9" s="1309">
        <v>0</v>
      </c>
      <c r="AT9" s="1309">
        <v>1541</v>
      </c>
      <c r="AU9" s="1309">
        <v>17925</v>
      </c>
      <c r="AV9" s="1309">
        <v>41258</v>
      </c>
      <c r="AW9" s="1309">
        <v>0</v>
      </c>
      <c r="AX9" s="1309">
        <v>0</v>
      </c>
      <c r="AY9" s="1309">
        <v>519933</v>
      </c>
      <c r="AZ9" s="1309">
        <v>0</v>
      </c>
      <c r="BA9" s="1310">
        <v>0</v>
      </c>
      <c r="BB9" s="1306">
        <f t="shared" ref="BB9:BB12" si="4">SUM(AM9:BA9)</f>
        <v>1490914</v>
      </c>
      <c r="BC9" s="1308">
        <v>48061046</v>
      </c>
      <c r="BD9" s="1309">
        <v>23224844</v>
      </c>
      <c r="BE9" s="1309">
        <v>19676603</v>
      </c>
      <c r="BF9" s="1309">
        <v>3548241</v>
      </c>
      <c r="BG9" s="1309">
        <v>6128778</v>
      </c>
      <c r="BH9" s="1309">
        <v>5161076</v>
      </c>
      <c r="BI9" s="1309">
        <v>967702</v>
      </c>
      <c r="BJ9" s="1309">
        <v>0</v>
      </c>
      <c r="BK9" s="1309">
        <v>0</v>
      </c>
      <c r="BL9" s="1309">
        <v>3510826</v>
      </c>
      <c r="BM9" s="1310">
        <v>0</v>
      </c>
      <c r="BN9" s="1306">
        <f t="shared" ref="BN9:BN12" si="5">BC9+BD9+BG9+BJ9+BK9+BL9+BM9</f>
        <v>80925494</v>
      </c>
      <c r="BO9" s="1311">
        <f t="shared" ref="BO9:BO12" si="6">V9+AL9+BB9+BN9</f>
        <v>118692674</v>
      </c>
      <c r="BP9" s="146"/>
    </row>
    <row r="10" spans="2:68" ht="14.1" customHeight="1">
      <c r="B10" s="12"/>
      <c r="C10" s="12"/>
      <c r="D10" s="662"/>
      <c r="E10" s="12"/>
      <c r="F10" s="663" t="s">
        <v>2456</v>
      </c>
      <c r="G10" s="1303"/>
      <c r="H10" s="1304"/>
      <c r="I10" s="1304"/>
      <c r="J10" s="1304"/>
      <c r="K10" s="1304"/>
      <c r="L10" s="1304"/>
      <c r="M10" s="1304"/>
      <c r="N10" s="1304"/>
      <c r="O10" s="1304"/>
      <c r="P10" s="1304"/>
      <c r="Q10" s="1304"/>
      <c r="R10" s="1304"/>
      <c r="S10" s="1304"/>
      <c r="T10" s="1304"/>
      <c r="U10" s="1305"/>
      <c r="V10" s="1306">
        <f t="shared" si="2"/>
        <v>0</v>
      </c>
      <c r="W10" s="1307"/>
      <c r="X10" s="1304"/>
      <c r="Y10" s="1304"/>
      <c r="Z10" s="1304"/>
      <c r="AA10" s="1304"/>
      <c r="AB10" s="1304"/>
      <c r="AC10" s="1304"/>
      <c r="AD10" s="1304"/>
      <c r="AE10" s="1304"/>
      <c r="AF10" s="1304"/>
      <c r="AG10" s="1304"/>
      <c r="AH10" s="1304"/>
      <c r="AI10" s="1304"/>
      <c r="AJ10" s="1304"/>
      <c r="AK10" s="1305"/>
      <c r="AL10" s="1306">
        <f t="shared" si="3"/>
        <v>0</v>
      </c>
      <c r="AM10" s="1308"/>
      <c r="AN10" s="1309"/>
      <c r="AO10" s="1309"/>
      <c r="AP10" s="1309"/>
      <c r="AQ10" s="1309"/>
      <c r="AR10" s="1309"/>
      <c r="AS10" s="1309"/>
      <c r="AT10" s="1309"/>
      <c r="AU10" s="1309"/>
      <c r="AV10" s="1309"/>
      <c r="AW10" s="1309"/>
      <c r="AX10" s="1309"/>
      <c r="AY10" s="1309"/>
      <c r="AZ10" s="1309"/>
      <c r="BA10" s="1310"/>
      <c r="BB10" s="1306">
        <f t="shared" si="4"/>
        <v>0</v>
      </c>
      <c r="BC10" s="1308"/>
      <c r="BD10" s="1309"/>
      <c r="BE10" s="1309"/>
      <c r="BF10" s="1309"/>
      <c r="BG10" s="1309"/>
      <c r="BH10" s="1309"/>
      <c r="BI10" s="1309"/>
      <c r="BJ10" s="1309"/>
      <c r="BK10" s="1309"/>
      <c r="BL10" s="1309"/>
      <c r="BM10" s="1310"/>
      <c r="BN10" s="1306">
        <f t="shared" si="5"/>
        <v>0</v>
      </c>
      <c r="BO10" s="1311">
        <f t="shared" si="6"/>
        <v>0</v>
      </c>
      <c r="BP10" s="146"/>
    </row>
    <row r="11" spans="2:68" ht="14.1" customHeight="1">
      <c r="B11" s="12"/>
      <c r="C11" s="12"/>
      <c r="D11" s="662"/>
      <c r="E11" s="1746" t="s">
        <v>2457</v>
      </c>
      <c r="F11" s="1747"/>
      <c r="G11" s="1303"/>
      <c r="H11" s="1304"/>
      <c r="I11" s="1304"/>
      <c r="J11" s="1304"/>
      <c r="K11" s="1304"/>
      <c r="L11" s="1304"/>
      <c r="M11" s="1304"/>
      <c r="N11" s="1304"/>
      <c r="O11" s="1304"/>
      <c r="P11" s="1304"/>
      <c r="Q11" s="1304"/>
      <c r="R11" s="1304"/>
      <c r="S11" s="1304"/>
      <c r="T11" s="1304"/>
      <c r="U11" s="1305"/>
      <c r="V11" s="1306">
        <f t="shared" si="2"/>
        <v>0</v>
      </c>
      <c r="W11" s="1307"/>
      <c r="X11" s="1304"/>
      <c r="Y11" s="1304"/>
      <c r="Z11" s="1304"/>
      <c r="AA11" s="1304"/>
      <c r="AB11" s="1304"/>
      <c r="AC11" s="1304"/>
      <c r="AD11" s="1304"/>
      <c r="AE11" s="1304"/>
      <c r="AF11" s="1304"/>
      <c r="AG11" s="1304"/>
      <c r="AH11" s="1304"/>
      <c r="AI11" s="1304"/>
      <c r="AJ11" s="1304"/>
      <c r="AK11" s="1305"/>
      <c r="AL11" s="1306">
        <f t="shared" si="3"/>
        <v>0</v>
      </c>
      <c r="AM11" s="1308"/>
      <c r="AN11" s="1309"/>
      <c r="AO11" s="1309"/>
      <c r="AP11" s="1309"/>
      <c r="AQ11" s="1309"/>
      <c r="AR11" s="1309"/>
      <c r="AS11" s="1309"/>
      <c r="AT11" s="1309"/>
      <c r="AU11" s="1309"/>
      <c r="AV11" s="1309"/>
      <c r="AW11" s="1309"/>
      <c r="AX11" s="1309"/>
      <c r="AY11" s="1309"/>
      <c r="AZ11" s="1309"/>
      <c r="BA11" s="1310"/>
      <c r="BB11" s="1306">
        <f t="shared" si="4"/>
        <v>0</v>
      </c>
      <c r="BC11" s="1308"/>
      <c r="BD11" s="1309"/>
      <c r="BE11" s="1309"/>
      <c r="BF11" s="1309"/>
      <c r="BG11" s="1309"/>
      <c r="BH11" s="1309"/>
      <c r="BI11" s="1309"/>
      <c r="BJ11" s="1309"/>
      <c r="BK11" s="1309"/>
      <c r="BL11" s="1309"/>
      <c r="BM11" s="1310"/>
      <c r="BN11" s="1306">
        <f t="shared" si="5"/>
        <v>0</v>
      </c>
      <c r="BO11" s="1311">
        <f t="shared" si="6"/>
        <v>0</v>
      </c>
      <c r="BP11" s="146"/>
    </row>
    <row r="12" spans="2:68" s="30" customFormat="1" ht="14.1" customHeight="1" thickBot="1">
      <c r="B12" s="25"/>
      <c r="C12" s="25"/>
      <c r="D12" s="670"/>
      <c r="E12" s="1752" t="s">
        <v>2458</v>
      </c>
      <c r="F12" s="1753"/>
      <c r="G12" s="1344">
        <v>0</v>
      </c>
      <c r="H12" s="1345">
        <v>61627</v>
      </c>
      <c r="I12" s="1345">
        <v>34917</v>
      </c>
      <c r="J12" s="1345">
        <v>0</v>
      </c>
      <c r="K12" s="1345">
        <v>0</v>
      </c>
      <c r="L12" s="1345">
        <v>0</v>
      </c>
      <c r="M12" s="1345">
        <v>25150</v>
      </c>
      <c r="N12" s="1345">
        <v>1428</v>
      </c>
      <c r="O12" s="1345">
        <v>178071</v>
      </c>
      <c r="P12" s="1345">
        <v>91878</v>
      </c>
      <c r="Q12" s="1345">
        <v>0</v>
      </c>
      <c r="R12" s="1345">
        <v>0</v>
      </c>
      <c r="S12" s="1345">
        <v>66</v>
      </c>
      <c r="T12" s="1345">
        <v>0</v>
      </c>
      <c r="U12" s="1346">
        <v>0</v>
      </c>
      <c r="V12" s="1347">
        <f t="shared" si="2"/>
        <v>393137</v>
      </c>
      <c r="W12" s="1348">
        <v>0</v>
      </c>
      <c r="X12" s="1345">
        <v>512850</v>
      </c>
      <c r="Y12" s="1345">
        <v>0</v>
      </c>
      <c r="Z12" s="1345">
        <v>0</v>
      </c>
      <c r="AA12" s="1345">
        <v>0</v>
      </c>
      <c r="AB12" s="1345">
        <v>0</v>
      </c>
      <c r="AC12" s="1345">
        <v>0</v>
      </c>
      <c r="AD12" s="1345">
        <v>152947</v>
      </c>
      <c r="AE12" s="1345">
        <v>290526</v>
      </c>
      <c r="AF12" s="1345">
        <v>127594</v>
      </c>
      <c r="AG12" s="1345">
        <v>0</v>
      </c>
      <c r="AH12" s="1345">
        <v>0</v>
      </c>
      <c r="AI12" s="1345">
        <v>168</v>
      </c>
      <c r="AJ12" s="1345">
        <v>0</v>
      </c>
      <c r="AK12" s="1346">
        <v>0</v>
      </c>
      <c r="AL12" s="1347">
        <f t="shared" si="3"/>
        <v>1084085</v>
      </c>
      <c r="AM12" s="1348">
        <v>0</v>
      </c>
      <c r="AN12" s="1345">
        <v>0</v>
      </c>
      <c r="AO12" s="1345">
        <v>25348</v>
      </c>
      <c r="AP12" s="1345">
        <v>0</v>
      </c>
      <c r="AQ12" s="1345">
        <v>0</v>
      </c>
      <c r="AR12" s="1345">
        <v>0</v>
      </c>
      <c r="AS12" s="1345">
        <v>0</v>
      </c>
      <c r="AT12" s="1345">
        <v>0</v>
      </c>
      <c r="AU12" s="1345">
        <v>0</v>
      </c>
      <c r="AV12" s="1345">
        <v>21</v>
      </c>
      <c r="AW12" s="1345">
        <v>0</v>
      </c>
      <c r="AX12" s="1345">
        <v>0</v>
      </c>
      <c r="AY12" s="1345">
        <v>0</v>
      </c>
      <c r="AZ12" s="1345">
        <v>0</v>
      </c>
      <c r="BA12" s="1346">
        <v>0</v>
      </c>
      <c r="BB12" s="1347">
        <f t="shared" si="4"/>
        <v>25369</v>
      </c>
      <c r="BC12" s="1348">
        <v>19200469</v>
      </c>
      <c r="BD12" s="1345"/>
      <c r="BE12" s="1345"/>
      <c r="BF12" s="1345"/>
      <c r="BG12" s="1345"/>
      <c r="BH12" s="1345"/>
      <c r="BI12" s="1345"/>
      <c r="BJ12" s="1345"/>
      <c r="BK12" s="1345"/>
      <c r="BL12" s="1345">
        <v>5672</v>
      </c>
      <c r="BM12" s="1346"/>
      <c r="BN12" s="1347">
        <f t="shared" si="5"/>
        <v>19206141</v>
      </c>
      <c r="BO12" s="1349">
        <f t="shared" si="6"/>
        <v>20708732</v>
      </c>
      <c r="BP12" s="648"/>
    </row>
    <row r="13" spans="2:68">
      <c r="F13" s="498" t="s">
        <v>1769</v>
      </c>
      <c r="G13" s="499">
        <f>G7</f>
        <v>25360</v>
      </c>
      <c r="H13" s="499">
        <f t="shared" ref="H13:BO13" si="7">H7</f>
        <v>225617</v>
      </c>
      <c r="I13" s="499">
        <f t="shared" si="7"/>
        <v>6399877</v>
      </c>
      <c r="J13" s="499">
        <f t="shared" si="7"/>
        <v>33929</v>
      </c>
      <c r="K13" s="499">
        <f t="shared" si="7"/>
        <v>0</v>
      </c>
      <c r="L13" s="499">
        <f t="shared" si="7"/>
        <v>143368</v>
      </c>
      <c r="M13" s="499">
        <f t="shared" si="7"/>
        <v>9240873</v>
      </c>
      <c r="N13" s="499">
        <f t="shared" si="7"/>
        <v>149551</v>
      </c>
      <c r="O13" s="499">
        <f t="shared" si="7"/>
        <v>1148386</v>
      </c>
      <c r="P13" s="499">
        <f t="shared" si="7"/>
        <v>715332</v>
      </c>
      <c r="Q13" s="499">
        <f t="shared" si="7"/>
        <v>0</v>
      </c>
      <c r="R13" s="499">
        <f t="shared" si="7"/>
        <v>0</v>
      </c>
      <c r="S13" s="499">
        <f t="shared" si="7"/>
        <v>1240</v>
      </c>
      <c r="T13" s="499">
        <f t="shared" si="7"/>
        <v>0</v>
      </c>
      <c r="U13" s="499">
        <f t="shared" si="7"/>
        <v>0</v>
      </c>
      <c r="V13" s="499">
        <f t="shared" si="7"/>
        <v>18083533</v>
      </c>
      <c r="W13" s="499">
        <f t="shared" si="7"/>
        <v>0</v>
      </c>
      <c r="X13" s="499">
        <f t="shared" si="7"/>
        <v>643346</v>
      </c>
      <c r="Y13" s="499">
        <f t="shared" si="7"/>
        <v>0</v>
      </c>
      <c r="Z13" s="499">
        <f t="shared" si="7"/>
        <v>0</v>
      </c>
      <c r="AA13" s="499">
        <f t="shared" si="7"/>
        <v>0</v>
      </c>
      <c r="AB13" s="499">
        <f t="shared" si="7"/>
        <v>0</v>
      </c>
      <c r="AC13" s="499">
        <f t="shared" si="7"/>
        <v>0</v>
      </c>
      <c r="AD13" s="499">
        <f t="shared" si="7"/>
        <v>180856</v>
      </c>
      <c r="AE13" s="499">
        <f t="shared" si="7"/>
        <v>14938711</v>
      </c>
      <c r="AF13" s="499">
        <f t="shared" si="7"/>
        <v>946155</v>
      </c>
      <c r="AG13" s="499">
        <f t="shared" si="7"/>
        <v>0</v>
      </c>
      <c r="AH13" s="499">
        <f t="shared" si="7"/>
        <v>0</v>
      </c>
      <c r="AI13" s="499">
        <f t="shared" si="7"/>
        <v>6443</v>
      </c>
      <c r="AJ13" s="499">
        <f t="shared" si="7"/>
        <v>0</v>
      </c>
      <c r="AK13" s="499">
        <f t="shared" si="7"/>
        <v>0</v>
      </c>
      <c r="AL13" s="499">
        <f t="shared" si="7"/>
        <v>16715511</v>
      </c>
      <c r="AM13" s="499">
        <f t="shared" si="7"/>
        <v>0</v>
      </c>
      <c r="AN13" s="499">
        <f t="shared" si="7"/>
        <v>147</v>
      </c>
      <c r="AO13" s="499">
        <f t="shared" si="7"/>
        <v>884762</v>
      </c>
      <c r="AP13" s="499">
        <f t="shared" si="7"/>
        <v>0</v>
      </c>
      <c r="AQ13" s="499">
        <f t="shared" si="7"/>
        <v>0</v>
      </c>
      <c r="AR13" s="499">
        <f t="shared" si="7"/>
        <v>0</v>
      </c>
      <c r="AS13" s="499">
        <f t="shared" si="7"/>
        <v>0</v>
      </c>
      <c r="AT13" s="499">
        <f t="shared" si="7"/>
        <v>1541</v>
      </c>
      <c r="AU13" s="499">
        <f t="shared" si="7"/>
        <v>17925</v>
      </c>
      <c r="AV13" s="499">
        <f t="shared" si="7"/>
        <v>41237</v>
      </c>
      <c r="AW13" s="499">
        <f t="shared" si="7"/>
        <v>0</v>
      </c>
      <c r="AX13" s="499">
        <f t="shared" si="7"/>
        <v>0</v>
      </c>
      <c r="AY13" s="499">
        <f t="shared" si="7"/>
        <v>519933</v>
      </c>
      <c r="AZ13" s="499">
        <f t="shared" si="7"/>
        <v>0</v>
      </c>
      <c r="BA13" s="499">
        <f t="shared" si="7"/>
        <v>0</v>
      </c>
      <c r="BB13" s="499">
        <f t="shared" si="7"/>
        <v>1465545</v>
      </c>
      <c r="BC13" s="499">
        <f t="shared" si="7"/>
        <v>28860577</v>
      </c>
      <c r="BD13" s="499">
        <f t="shared" si="7"/>
        <v>23224844</v>
      </c>
      <c r="BE13" s="499">
        <f t="shared" si="7"/>
        <v>19676603</v>
      </c>
      <c r="BF13" s="499">
        <f t="shared" si="7"/>
        <v>3548241</v>
      </c>
      <c r="BG13" s="499">
        <f t="shared" si="7"/>
        <v>6128778</v>
      </c>
      <c r="BH13" s="499">
        <f t="shared" si="7"/>
        <v>5161076</v>
      </c>
      <c r="BI13" s="499">
        <f t="shared" si="7"/>
        <v>967702</v>
      </c>
      <c r="BJ13" s="499">
        <f t="shared" si="7"/>
        <v>0</v>
      </c>
      <c r="BK13" s="499">
        <f t="shared" si="7"/>
        <v>0</v>
      </c>
      <c r="BL13" s="499">
        <f t="shared" si="7"/>
        <v>3505154</v>
      </c>
      <c r="BM13" s="499">
        <f t="shared" si="7"/>
        <v>0</v>
      </c>
      <c r="BN13" s="499">
        <f t="shared" si="7"/>
        <v>61719353</v>
      </c>
      <c r="BO13" s="499">
        <f t="shared" si="7"/>
        <v>97983942</v>
      </c>
    </row>
    <row r="14" spans="2:68">
      <c r="F14" s="498" t="s">
        <v>2415</v>
      </c>
      <c r="G14" s="499">
        <f>'601'!G8</f>
        <v>25360</v>
      </c>
      <c r="H14" s="499">
        <f>'601'!H8</f>
        <v>225617</v>
      </c>
      <c r="I14" s="499">
        <f>'601'!I8</f>
        <v>6399877</v>
      </c>
      <c r="J14" s="499">
        <f>'601'!J8</f>
        <v>33929</v>
      </c>
      <c r="K14" s="499">
        <f>'601'!K8</f>
        <v>0</v>
      </c>
      <c r="L14" s="499">
        <f>'601'!L8</f>
        <v>143368</v>
      </c>
      <c r="M14" s="499">
        <f>'601'!M8</f>
        <v>9240873</v>
      </c>
      <c r="N14" s="499">
        <f>'601'!N8</f>
        <v>149551</v>
      </c>
      <c r="O14" s="499">
        <f>'601'!O8</f>
        <v>1148386</v>
      </c>
      <c r="P14" s="499">
        <f>'601'!P8</f>
        <v>715332</v>
      </c>
      <c r="Q14" s="499">
        <f>'601'!Q8</f>
        <v>0</v>
      </c>
      <c r="R14" s="499">
        <f>'601'!R8</f>
        <v>0</v>
      </c>
      <c r="S14" s="499">
        <f>'601'!S8</f>
        <v>1240</v>
      </c>
      <c r="T14" s="499">
        <f>'601'!T8</f>
        <v>0</v>
      </c>
      <c r="U14" s="499">
        <f>'601'!U8</f>
        <v>0</v>
      </c>
      <c r="V14" s="499">
        <f>'601'!V8</f>
        <v>18083533</v>
      </c>
      <c r="W14" s="499">
        <f>'601'!W8</f>
        <v>0</v>
      </c>
      <c r="X14" s="499">
        <f>'601'!X8</f>
        <v>643346</v>
      </c>
      <c r="Y14" s="499">
        <f>'601'!Y8</f>
        <v>0</v>
      </c>
      <c r="Z14" s="499">
        <f>'601'!Z8</f>
        <v>0</v>
      </c>
      <c r="AA14" s="499">
        <f>'601'!AA8</f>
        <v>0</v>
      </c>
      <c r="AB14" s="499">
        <f>'601'!AB8</f>
        <v>0</v>
      </c>
      <c r="AC14" s="499">
        <f>'601'!AC8</f>
        <v>0</v>
      </c>
      <c r="AD14" s="499">
        <f>'601'!AD8</f>
        <v>180856</v>
      </c>
      <c r="AE14" s="499">
        <f>'601'!AE8</f>
        <v>14938711</v>
      </c>
      <c r="AF14" s="499">
        <f>'601'!AF8</f>
        <v>946155</v>
      </c>
      <c r="AG14" s="499">
        <f>'601'!AG8</f>
        <v>0</v>
      </c>
      <c r="AH14" s="499">
        <f>'601'!AH8</f>
        <v>0</v>
      </c>
      <c r="AI14" s="499">
        <f>'601'!AI8</f>
        <v>6443</v>
      </c>
      <c r="AJ14" s="499">
        <f>'601'!AJ8</f>
        <v>0</v>
      </c>
      <c r="AK14" s="499">
        <f>'601'!AK8</f>
        <v>0</v>
      </c>
      <c r="AL14" s="499">
        <f>'601'!AL8</f>
        <v>16715511</v>
      </c>
      <c r="AM14" s="499">
        <f>'601'!AM8</f>
        <v>0</v>
      </c>
      <c r="AN14" s="499">
        <f>'601'!AN8</f>
        <v>147</v>
      </c>
      <c r="AO14" s="499">
        <f>'601'!AO8</f>
        <v>884762</v>
      </c>
      <c r="AP14" s="499">
        <f>'601'!AP8</f>
        <v>0</v>
      </c>
      <c r="AQ14" s="499">
        <f>'601'!AQ8</f>
        <v>0</v>
      </c>
      <c r="AR14" s="499">
        <f>'601'!AR8</f>
        <v>0</v>
      </c>
      <c r="AS14" s="499">
        <f>'601'!AS8</f>
        <v>0</v>
      </c>
      <c r="AT14" s="499">
        <f>'601'!AT8</f>
        <v>1541</v>
      </c>
      <c r="AU14" s="499">
        <f>'601'!AU8</f>
        <v>17925</v>
      </c>
      <c r="AV14" s="499">
        <f>'601'!AV8</f>
        <v>41237</v>
      </c>
      <c r="AW14" s="499">
        <f>'601'!AW8</f>
        <v>0</v>
      </c>
      <c r="AX14" s="499">
        <f>'601'!AX8</f>
        <v>0</v>
      </c>
      <c r="AY14" s="499">
        <f>'601'!AY8</f>
        <v>519933</v>
      </c>
      <c r="AZ14" s="499">
        <f>'601'!AZ8</f>
        <v>0</v>
      </c>
      <c r="BA14" s="499">
        <f>'601'!BA8</f>
        <v>0</v>
      </c>
      <c r="BB14" s="499">
        <f>'601'!BB8</f>
        <v>1465545</v>
      </c>
      <c r="BC14" s="499">
        <f>'601'!BC8</f>
        <v>28860577</v>
      </c>
      <c r="BD14" s="499">
        <f>'601'!BD8</f>
        <v>23224844</v>
      </c>
      <c r="BE14" s="499">
        <f>'601'!BE8</f>
        <v>19676603</v>
      </c>
      <c r="BF14" s="499">
        <f>'601'!BF8</f>
        <v>3548241</v>
      </c>
      <c r="BG14" s="499">
        <f>'601'!BG8</f>
        <v>6128778</v>
      </c>
      <c r="BH14" s="499">
        <f>'601'!BH8</f>
        <v>5161076</v>
      </c>
      <c r="BI14" s="499">
        <f>'601'!BI8</f>
        <v>967702</v>
      </c>
      <c r="BJ14" s="499">
        <f>'601'!BJ8</f>
        <v>0</v>
      </c>
      <c r="BK14" s="499">
        <f>'601'!BK8</f>
        <v>0</v>
      </c>
      <c r="BL14" s="499">
        <f>'601'!BL8</f>
        <v>3505154</v>
      </c>
      <c r="BM14" s="499">
        <f>'601'!BM8</f>
        <v>0</v>
      </c>
      <c r="BN14" s="499">
        <f>'601'!BN8</f>
        <v>61719353</v>
      </c>
      <c r="BO14" s="499">
        <f>'601'!BO8</f>
        <v>97983942</v>
      </c>
    </row>
    <row r="15" spans="2:68">
      <c r="G15" s="696" t="str">
        <f>IF(G13-G14=0,"OK","ERROR")</f>
        <v>OK</v>
      </c>
      <c r="H15" s="696" t="str">
        <f t="shared" ref="H15:BO15" si="8">IF(H13-H14=0,"OK","ERROR")</f>
        <v>OK</v>
      </c>
      <c r="I15" s="696" t="str">
        <f t="shared" si="8"/>
        <v>OK</v>
      </c>
      <c r="J15" s="696" t="str">
        <f t="shared" si="8"/>
        <v>OK</v>
      </c>
      <c r="K15" s="696" t="str">
        <f t="shared" si="8"/>
        <v>OK</v>
      </c>
      <c r="L15" s="696" t="str">
        <f t="shared" si="8"/>
        <v>OK</v>
      </c>
      <c r="M15" s="696" t="str">
        <f t="shared" si="8"/>
        <v>OK</v>
      </c>
      <c r="N15" s="696" t="str">
        <f t="shared" si="8"/>
        <v>OK</v>
      </c>
      <c r="O15" s="696" t="str">
        <f t="shared" si="8"/>
        <v>OK</v>
      </c>
      <c r="P15" s="696" t="str">
        <f t="shared" si="8"/>
        <v>OK</v>
      </c>
      <c r="Q15" s="696" t="str">
        <f t="shared" si="8"/>
        <v>OK</v>
      </c>
      <c r="R15" s="696" t="str">
        <f t="shared" si="8"/>
        <v>OK</v>
      </c>
      <c r="S15" s="696" t="str">
        <f t="shared" si="8"/>
        <v>OK</v>
      </c>
      <c r="T15" s="696" t="str">
        <f t="shared" si="8"/>
        <v>OK</v>
      </c>
      <c r="U15" s="696" t="str">
        <f t="shared" si="8"/>
        <v>OK</v>
      </c>
      <c r="V15" s="696" t="str">
        <f t="shared" si="8"/>
        <v>OK</v>
      </c>
      <c r="W15" s="696" t="str">
        <f t="shared" si="8"/>
        <v>OK</v>
      </c>
      <c r="X15" s="696" t="str">
        <f t="shared" si="8"/>
        <v>OK</v>
      </c>
      <c r="Y15" s="696" t="str">
        <f t="shared" si="8"/>
        <v>OK</v>
      </c>
      <c r="Z15" s="696" t="str">
        <f t="shared" si="8"/>
        <v>OK</v>
      </c>
      <c r="AA15" s="696" t="str">
        <f t="shared" si="8"/>
        <v>OK</v>
      </c>
      <c r="AB15" s="696" t="str">
        <f t="shared" si="8"/>
        <v>OK</v>
      </c>
      <c r="AC15" s="696" t="str">
        <f t="shared" si="8"/>
        <v>OK</v>
      </c>
      <c r="AD15" s="696" t="str">
        <f t="shared" si="8"/>
        <v>OK</v>
      </c>
      <c r="AE15" s="696" t="str">
        <f t="shared" si="8"/>
        <v>OK</v>
      </c>
      <c r="AF15" s="696" t="str">
        <f t="shared" si="8"/>
        <v>OK</v>
      </c>
      <c r="AG15" s="696" t="str">
        <f t="shared" si="8"/>
        <v>OK</v>
      </c>
      <c r="AH15" s="696" t="str">
        <f t="shared" si="8"/>
        <v>OK</v>
      </c>
      <c r="AI15" s="696" t="str">
        <f t="shared" si="8"/>
        <v>OK</v>
      </c>
      <c r="AJ15" s="696" t="str">
        <f t="shared" si="8"/>
        <v>OK</v>
      </c>
      <c r="AK15" s="696" t="str">
        <f t="shared" si="8"/>
        <v>OK</v>
      </c>
      <c r="AL15" s="696" t="str">
        <f t="shared" si="8"/>
        <v>OK</v>
      </c>
      <c r="AM15" s="696" t="str">
        <f t="shared" si="8"/>
        <v>OK</v>
      </c>
      <c r="AN15" s="696" t="str">
        <f t="shared" si="8"/>
        <v>OK</v>
      </c>
      <c r="AO15" s="696" t="str">
        <f t="shared" si="8"/>
        <v>OK</v>
      </c>
      <c r="AP15" s="696" t="str">
        <f t="shared" si="8"/>
        <v>OK</v>
      </c>
      <c r="AQ15" s="696" t="str">
        <f t="shared" si="8"/>
        <v>OK</v>
      </c>
      <c r="AR15" s="696" t="str">
        <f t="shared" si="8"/>
        <v>OK</v>
      </c>
      <c r="AS15" s="696" t="str">
        <f t="shared" si="8"/>
        <v>OK</v>
      </c>
      <c r="AT15" s="696" t="str">
        <f t="shared" si="8"/>
        <v>OK</v>
      </c>
      <c r="AU15" s="696" t="str">
        <f t="shared" si="8"/>
        <v>OK</v>
      </c>
      <c r="AV15" s="696" t="str">
        <f t="shared" si="8"/>
        <v>OK</v>
      </c>
      <c r="AW15" s="696" t="str">
        <f t="shared" si="8"/>
        <v>OK</v>
      </c>
      <c r="AX15" s="696" t="str">
        <f t="shared" si="8"/>
        <v>OK</v>
      </c>
      <c r="AY15" s="696" t="str">
        <f t="shared" si="8"/>
        <v>OK</v>
      </c>
      <c r="AZ15" s="696" t="str">
        <f t="shared" si="8"/>
        <v>OK</v>
      </c>
      <c r="BA15" s="696" t="str">
        <f t="shared" si="8"/>
        <v>OK</v>
      </c>
      <c r="BB15" s="696" t="str">
        <f t="shared" si="8"/>
        <v>OK</v>
      </c>
      <c r="BC15" s="696" t="str">
        <f t="shared" si="8"/>
        <v>OK</v>
      </c>
      <c r="BD15" s="696" t="str">
        <f t="shared" si="8"/>
        <v>OK</v>
      </c>
      <c r="BE15" s="696" t="str">
        <f t="shared" si="8"/>
        <v>OK</v>
      </c>
      <c r="BF15" s="696" t="str">
        <f t="shared" si="8"/>
        <v>OK</v>
      </c>
      <c r="BG15" s="696" t="str">
        <f t="shared" si="8"/>
        <v>OK</v>
      </c>
      <c r="BH15" s="696" t="str">
        <f t="shared" si="8"/>
        <v>OK</v>
      </c>
      <c r="BI15" s="696" t="str">
        <f t="shared" si="8"/>
        <v>OK</v>
      </c>
      <c r="BJ15" s="696" t="str">
        <f t="shared" si="8"/>
        <v>OK</v>
      </c>
      <c r="BK15" s="696" t="str">
        <f t="shared" si="8"/>
        <v>OK</v>
      </c>
      <c r="BL15" s="696" t="str">
        <f t="shared" si="8"/>
        <v>OK</v>
      </c>
      <c r="BM15" s="696" t="str">
        <f t="shared" si="8"/>
        <v>OK</v>
      </c>
      <c r="BN15" s="696" t="str">
        <f t="shared" si="8"/>
        <v>OK</v>
      </c>
      <c r="BO15" s="696" t="str">
        <f t="shared" si="8"/>
        <v>OK</v>
      </c>
    </row>
    <row r="16" spans="2:68">
      <c r="G16" s="183"/>
      <c r="H16" s="183"/>
      <c r="I16" s="183"/>
      <c r="J16" s="183"/>
      <c r="K16" s="183"/>
      <c r="L16" s="183"/>
      <c r="M16" s="183"/>
      <c r="N16" s="183"/>
      <c r="O16" s="183"/>
      <c r="P16" s="183"/>
      <c r="Q16" s="183"/>
      <c r="R16" s="183"/>
      <c r="S16" s="183"/>
      <c r="T16" s="183"/>
      <c r="U16" s="183"/>
      <c r="V16" s="183"/>
      <c r="W16" s="183"/>
      <c r="X16" s="183"/>
      <c r="Y16" s="183"/>
      <c r="Z16" s="183"/>
      <c r="AA16" s="183"/>
      <c r="AB16" s="183"/>
      <c r="AC16" s="183"/>
      <c r="AD16" s="183"/>
      <c r="AE16" s="183"/>
      <c r="AF16" s="183"/>
      <c r="AG16" s="183"/>
      <c r="AH16" s="183"/>
      <c r="AI16" s="183"/>
      <c r="AJ16" s="183"/>
      <c r="AK16" s="183"/>
      <c r="AL16" s="183"/>
      <c r="AM16" s="183"/>
      <c r="AN16" s="183"/>
      <c r="AO16" s="183"/>
      <c r="AP16" s="183"/>
      <c r="AQ16" s="183"/>
      <c r="AR16" s="183"/>
      <c r="AS16" s="183"/>
      <c r="AT16" s="183"/>
      <c r="AU16" s="183"/>
      <c r="AV16" s="183"/>
      <c r="AW16" s="183"/>
      <c r="AX16" s="183"/>
      <c r="AY16" s="183"/>
      <c r="AZ16" s="183"/>
      <c r="BA16" s="183"/>
      <c r="BB16" s="183"/>
      <c r="BC16" s="183"/>
      <c r="BD16" s="183"/>
      <c r="BE16" s="183"/>
      <c r="BF16" s="183"/>
      <c r="BG16" s="183"/>
      <c r="BH16" s="183"/>
      <c r="BI16" s="183"/>
      <c r="BJ16" s="183"/>
      <c r="BK16" s="183"/>
      <c r="BL16" s="183"/>
      <c r="BM16" s="183"/>
      <c r="BN16" s="183"/>
      <c r="BO16" s="183"/>
    </row>
    <row r="17" spans="2:68">
      <c r="F17" s="498" t="s">
        <v>1769</v>
      </c>
      <c r="G17" s="499">
        <f>G8</f>
        <v>25360</v>
      </c>
      <c r="H17" s="499">
        <f t="shared" ref="H17:BO17" si="9">H8</f>
        <v>287244</v>
      </c>
      <c r="I17" s="499">
        <f t="shared" si="9"/>
        <v>6434794</v>
      </c>
      <c r="J17" s="499">
        <f t="shared" si="9"/>
        <v>33929</v>
      </c>
      <c r="K17" s="499">
        <f t="shared" si="9"/>
        <v>0</v>
      </c>
      <c r="L17" s="499">
        <f t="shared" si="9"/>
        <v>143368</v>
      </c>
      <c r="M17" s="499">
        <f t="shared" si="9"/>
        <v>9266023</v>
      </c>
      <c r="N17" s="499">
        <f t="shared" si="9"/>
        <v>150979</v>
      </c>
      <c r="O17" s="499">
        <f t="shared" si="9"/>
        <v>1326457</v>
      </c>
      <c r="P17" s="499">
        <f t="shared" si="9"/>
        <v>807210</v>
      </c>
      <c r="Q17" s="499">
        <f t="shared" si="9"/>
        <v>0</v>
      </c>
      <c r="R17" s="499">
        <f t="shared" si="9"/>
        <v>0</v>
      </c>
      <c r="S17" s="499">
        <f t="shared" si="9"/>
        <v>1306</v>
      </c>
      <c r="T17" s="499">
        <f t="shared" si="9"/>
        <v>0</v>
      </c>
      <c r="U17" s="499">
        <f t="shared" si="9"/>
        <v>0</v>
      </c>
      <c r="V17" s="499">
        <f t="shared" si="9"/>
        <v>18476670</v>
      </c>
      <c r="W17" s="499">
        <f t="shared" si="9"/>
        <v>0</v>
      </c>
      <c r="X17" s="499">
        <f t="shared" si="9"/>
        <v>1156196</v>
      </c>
      <c r="Y17" s="499">
        <f t="shared" si="9"/>
        <v>0</v>
      </c>
      <c r="Z17" s="499">
        <f t="shared" si="9"/>
        <v>0</v>
      </c>
      <c r="AA17" s="499">
        <f t="shared" si="9"/>
        <v>0</v>
      </c>
      <c r="AB17" s="499">
        <f t="shared" si="9"/>
        <v>0</v>
      </c>
      <c r="AC17" s="499">
        <f t="shared" si="9"/>
        <v>0</v>
      </c>
      <c r="AD17" s="499">
        <f t="shared" si="9"/>
        <v>333803</v>
      </c>
      <c r="AE17" s="499">
        <f t="shared" si="9"/>
        <v>15229237</v>
      </c>
      <c r="AF17" s="499">
        <f t="shared" si="9"/>
        <v>1073749</v>
      </c>
      <c r="AG17" s="499">
        <f t="shared" si="9"/>
        <v>0</v>
      </c>
      <c r="AH17" s="499">
        <f t="shared" si="9"/>
        <v>0</v>
      </c>
      <c r="AI17" s="499">
        <f t="shared" si="9"/>
        <v>6611</v>
      </c>
      <c r="AJ17" s="499">
        <f t="shared" si="9"/>
        <v>0</v>
      </c>
      <c r="AK17" s="499">
        <f t="shared" si="9"/>
        <v>0</v>
      </c>
      <c r="AL17" s="499">
        <f t="shared" si="9"/>
        <v>17799596</v>
      </c>
      <c r="AM17" s="499">
        <f t="shared" si="9"/>
        <v>0</v>
      </c>
      <c r="AN17" s="499">
        <f t="shared" si="9"/>
        <v>147</v>
      </c>
      <c r="AO17" s="499">
        <f t="shared" si="9"/>
        <v>910110</v>
      </c>
      <c r="AP17" s="499">
        <f t="shared" si="9"/>
        <v>0</v>
      </c>
      <c r="AQ17" s="499">
        <f t="shared" si="9"/>
        <v>0</v>
      </c>
      <c r="AR17" s="499">
        <f t="shared" si="9"/>
        <v>0</v>
      </c>
      <c r="AS17" s="499">
        <f t="shared" si="9"/>
        <v>0</v>
      </c>
      <c r="AT17" s="499">
        <f t="shared" si="9"/>
        <v>1541</v>
      </c>
      <c r="AU17" s="499">
        <f t="shared" si="9"/>
        <v>17925</v>
      </c>
      <c r="AV17" s="499">
        <f t="shared" si="9"/>
        <v>41258</v>
      </c>
      <c r="AW17" s="499">
        <f t="shared" si="9"/>
        <v>0</v>
      </c>
      <c r="AX17" s="499">
        <f t="shared" si="9"/>
        <v>0</v>
      </c>
      <c r="AY17" s="499">
        <f t="shared" si="9"/>
        <v>519933</v>
      </c>
      <c r="AZ17" s="499">
        <f t="shared" si="9"/>
        <v>0</v>
      </c>
      <c r="BA17" s="499">
        <f t="shared" si="9"/>
        <v>0</v>
      </c>
      <c r="BB17" s="499">
        <f t="shared" si="9"/>
        <v>1490914</v>
      </c>
      <c r="BC17" s="499">
        <f t="shared" si="9"/>
        <v>48061046</v>
      </c>
      <c r="BD17" s="499">
        <f t="shared" si="9"/>
        <v>23224844</v>
      </c>
      <c r="BE17" s="499">
        <f t="shared" si="9"/>
        <v>19676603</v>
      </c>
      <c r="BF17" s="499">
        <f t="shared" si="9"/>
        <v>3548241</v>
      </c>
      <c r="BG17" s="499">
        <f t="shared" si="9"/>
        <v>6128778</v>
      </c>
      <c r="BH17" s="499">
        <f t="shared" si="9"/>
        <v>5161076</v>
      </c>
      <c r="BI17" s="499">
        <f t="shared" si="9"/>
        <v>967702</v>
      </c>
      <c r="BJ17" s="499">
        <f t="shared" si="9"/>
        <v>0</v>
      </c>
      <c r="BK17" s="499">
        <f t="shared" si="9"/>
        <v>0</v>
      </c>
      <c r="BL17" s="499">
        <f t="shared" si="9"/>
        <v>3510826</v>
      </c>
      <c r="BM17" s="499">
        <f t="shared" si="9"/>
        <v>0</v>
      </c>
      <c r="BN17" s="499">
        <f t="shared" si="9"/>
        <v>80925494</v>
      </c>
      <c r="BO17" s="499">
        <f t="shared" si="9"/>
        <v>118692674</v>
      </c>
    </row>
    <row r="18" spans="2:68">
      <c r="F18" s="498" t="s">
        <v>2416</v>
      </c>
      <c r="G18" s="499">
        <f>'601'!G9</f>
        <v>25360</v>
      </c>
      <c r="H18" s="499">
        <f>'601'!H9</f>
        <v>287244</v>
      </c>
      <c r="I18" s="499">
        <f>'601'!I9</f>
        <v>6434794</v>
      </c>
      <c r="J18" s="499">
        <f>'601'!J9</f>
        <v>33929</v>
      </c>
      <c r="K18" s="499">
        <f>'601'!K9</f>
        <v>0</v>
      </c>
      <c r="L18" s="499">
        <f>'601'!L9</f>
        <v>143368</v>
      </c>
      <c r="M18" s="499">
        <f>'601'!M9</f>
        <v>9266023</v>
      </c>
      <c r="N18" s="499">
        <f>'601'!N9</f>
        <v>150979</v>
      </c>
      <c r="O18" s="499">
        <f>'601'!O9</f>
        <v>1326457</v>
      </c>
      <c r="P18" s="499">
        <f>'601'!P9</f>
        <v>807210</v>
      </c>
      <c r="Q18" s="499">
        <f>'601'!Q9</f>
        <v>0</v>
      </c>
      <c r="R18" s="499">
        <f>'601'!R9</f>
        <v>0</v>
      </c>
      <c r="S18" s="499">
        <f>'601'!S9</f>
        <v>1306</v>
      </c>
      <c r="T18" s="499">
        <f>'601'!T9</f>
        <v>0</v>
      </c>
      <c r="U18" s="499">
        <f>'601'!U9</f>
        <v>0</v>
      </c>
      <c r="V18" s="499">
        <f>'601'!V9</f>
        <v>18476670</v>
      </c>
      <c r="W18" s="499">
        <f>'601'!W9</f>
        <v>0</v>
      </c>
      <c r="X18" s="499">
        <f>'601'!X9</f>
        <v>1156196</v>
      </c>
      <c r="Y18" s="499">
        <f>'601'!Y9</f>
        <v>0</v>
      </c>
      <c r="Z18" s="499">
        <f>'601'!Z9</f>
        <v>0</v>
      </c>
      <c r="AA18" s="499">
        <f>'601'!AA9</f>
        <v>0</v>
      </c>
      <c r="AB18" s="499">
        <f>'601'!AB9</f>
        <v>0</v>
      </c>
      <c r="AC18" s="499">
        <f>'601'!AC9</f>
        <v>0</v>
      </c>
      <c r="AD18" s="499">
        <f>'601'!AD9</f>
        <v>333803</v>
      </c>
      <c r="AE18" s="499">
        <f>'601'!AE9</f>
        <v>15229237</v>
      </c>
      <c r="AF18" s="499">
        <f>'601'!AF9</f>
        <v>1073749</v>
      </c>
      <c r="AG18" s="499">
        <f>'601'!AG9</f>
        <v>0</v>
      </c>
      <c r="AH18" s="499">
        <f>'601'!AH9</f>
        <v>0</v>
      </c>
      <c r="AI18" s="499">
        <f>'601'!AI9</f>
        <v>6611</v>
      </c>
      <c r="AJ18" s="499">
        <f>'601'!AJ9</f>
        <v>0</v>
      </c>
      <c r="AK18" s="499">
        <f>'601'!AK9</f>
        <v>0</v>
      </c>
      <c r="AL18" s="499">
        <f>'601'!AL9</f>
        <v>17799596</v>
      </c>
      <c r="AM18" s="499">
        <f>'601'!AM9</f>
        <v>0</v>
      </c>
      <c r="AN18" s="499">
        <f>'601'!AN9</f>
        <v>147</v>
      </c>
      <c r="AO18" s="499">
        <f>'601'!AO9</f>
        <v>910110</v>
      </c>
      <c r="AP18" s="499">
        <f>'601'!AP9</f>
        <v>0</v>
      </c>
      <c r="AQ18" s="499">
        <f>'601'!AQ9</f>
        <v>0</v>
      </c>
      <c r="AR18" s="499">
        <f>'601'!AR9</f>
        <v>0</v>
      </c>
      <c r="AS18" s="499">
        <f>'601'!AS9</f>
        <v>0</v>
      </c>
      <c r="AT18" s="499">
        <f>'601'!AT9</f>
        <v>1541</v>
      </c>
      <c r="AU18" s="499">
        <f>'601'!AU9</f>
        <v>17925</v>
      </c>
      <c r="AV18" s="499">
        <f>'601'!AV9</f>
        <v>41258</v>
      </c>
      <c r="AW18" s="499">
        <f>'601'!AW9</f>
        <v>0</v>
      </c>
      <c r="AX18" s="499">
        <f>'601'!AX9</f>
        <v>0</v>
      </c>
      <c r="AY18" s="499">
        <f>'601'!AY9</f>
        <v>519933</v>
      </c>
      <c r="AZ18" s="499">
        <f>'601'!AZ9</f>
        <v>0</v>
      </c>
      <c r="BA18" s="499">
        <f>'601'!BA9</f>
        <v>0</v>
      </c>
      <c r="BB18" s="499">
        <f>'601'!BB9</f>
        <v>1490914</v>
      </c>
      <c r="BC18" s="499">
        <f>'601'!BC9</f>
        <v>48061046</v>
      </c>
      <c r="BD18" s="499">
        <f>'601'!BD9</f>
        <v>23224844</v>
      </c>
      <c r="BE18" s="499">
        <f>'601'!BE9</f>
        <v>19676603</v>
      </c>
      <c r="BF18" s="499">
        <f>'601'!BF9</f>
        <v>3548241</v>
      </c>
      <c r="BG18" s="499">
        <f>'601'!BG9</f>
        <v>6128778</v>
      </c>
      <c r="BH18" s="499">
        <f>'601'!BH9</f>
        <v>5161076</v>
      </c>
      <c r="BI18" s="499">
        <f>'601'!BI9</f>
        <v>967702</v>
      </c>
      <c r="BJ18" s="499">
        <f>'601'!BJ9</f>
        <v>0</v>
      </c>
      <c r="BK18" s="499">
        <f>'601'!BK9</f>
        <v>0</v>
      </c>
      <c r="BL18" s="499">
        <f>'601'!BL9</f>
        <v>3510826</v>
      </c>
      <c r="BM18" s="499">
        <f>'601'!BM9</f>
        <v>0</v>
      </c>
      <c r="BN18" s="499">
        <f>'601'!BN9</f>
        <v>80925494</v>
      </c>
      <c r="BO18" s="499">
        <f>'601'!BO9</f>
        <v>118692674</v>
      </c>
    </row>
    <row r="19" spans="2:68">
      <c r="G19" s="696" t="str">
        <f>IF(G17-G18=0,"OK","ERROR")</f>
        <v>OK</v>
      </c>
      <c r="H19" s="696" t="str">
        <f t="shared" ref="H19:BO19" si="10">IF(H17-H18=0,"OK","ERROR")</f>
        <v>OK</v>
      </c>
      <c r="I19" s="696" t="str">
        <f t="shared" si="10"/>
        <v>OK</v>
      </c>
      <c r="J19" s="696" t="str">
        <f t="shared" si="10"/>
        <v>OK</v>
      </c>
      <c r="K19" s="696" t="str">
        <f t="shared" si="10"/>
        <v>OK</v>
      </c>
      <c r="L19" s="696" t="str">
        <f t="shared" si="10"/>
        <v>OK</v>
      </c>
      <c r="M19" s="696" t="str">
        <f t="shared" si="10"/>
        <v>OK</v>
      </c>
      <c r="N19" s="696" t="str">
        <f t="shared" si="10"/>
        <v>OK</v>
      </c>
      <c r="O19" s="696" t="str">
        <f t="shared" si="10"/>
        <v>OK</v>
      </c>
      <c r="P19" s="696" t="str">
        <f t="shared" si="10"/>
        <v>OK</v>
      </c>
      <c r="Q19" s="696" t="str">
        <f t="shared" si="10"/>
        <v>OK</v>
      </c>
      <c r="R19" s="696" t="str">
        <f t="shared" si="10"/>
        <v>OK</v>
      </c>
      <c r="S19" s="696" t="str">
        <f t="shared" si="10"/>
        <v>OK</v>
      </c>
      <c r="T19" s="696" t="str">
        <f t="shared" si="10"/>
        <v>OK</v>
      </c>
      <c r="U19" s="696" t="str">
        <f t="shared" si="10"/>
        <v>OK</v>
      </c>
      <c r="V19" s="696" t="str">
        <f t="shared" si="10"/>
        <v>OK</v>
      </c>
      <c r="W19" s="696" t="str">
        <f t="shared" si="10"/>
        <v>OK</v>
      </c>
      <c r="X19" s="696" t="str">
        <f t="shared" si="10"/>
        <v>OK</v>
      </c>
      <c r="Y19" s="696" t="str">
        <f t="shared" si="10"/>
        <v>OK</v>
      </c>
      <c r="Z19" s="696" t="str">
        <f t="shared" si="10"/>
        <v>OK</v>
      </c>
      <c r="AA19" s="696" t="str">
        <f t="shared" si="10"/>
        <v>OK</v>
      </c>
      <c r="AB19" s="696" t="str">
        <f t="shared" si="10"/>
        <v>OK</v>
      </c>
      <c r="AC19" s="696" t="str">
        <f t="shared" si="10"/>
        <v>OK</v>
      </c>
      <c r="AD19" s="696" t="str">
        <f t="shared" si="10"/>
        <v>OK</v>
      </c>
      <c r="AE19" s="696" t="str">
        <f t="shared" si="10"/>
        <v>OK</v>
      </c>
      <c r="AF19" s="696" t="str">
        <f t="shared" si="10"/>
        <v>OK</v>
      </c>
      <c r="AG19" s="696" t="str">
        <f t="shared" si="10"/>
        <v>OK</v>
      </c>
      <c r="AH19" s="696" t="str">
        <f t="shared" si="10"/>
        <v>OK</v>
      </c>
      <c r="AI19" s="696" t="str">
        <f t="shared" si="10"/>
        <v>OK</v>
      </c>
      <c r="AJ19" s="696" t="str">
        <f t="shared" si="10"/>
        <v>OK</v>
      </c>
      <c r="AK19" s="696" t="str">
        <f t="shared" si="10"/>
        <v>OK</v>
      </c>
      <c r="AL19" s="696" t="str">
        <f t="shared" si="10"/>
        <v>OK</v>
      </c>
      <c r="AM19" s="696" t="str">
        <f t="shared" si="10"/>
        <v>OK</v>
      </c>
      <c r="AN19" s="696" t="str">
        <f t="shared" si="10"/>
        <v>OK</v>
      </c>
      <c r="AO19" s="696" t="str">
        <f t="shared" si="10"/>
        <v>OK</v>
      </c>
      <c r="AP19" s="696" t="str">
        <f t="shared" si="10"/>
        <v>OK</v>
      </c>
      <c r="AQ19" s="696" t="str">
        <f t="shared" si="10"/>
        <v>OK</v>
      </c>
      <c r="AR19" s="696" t="str">
        <f t="shared" si="10"/>
        <v>OK</v>
      </c>
      <c r="AS19" s="696" t="str">
        <f t="shared" si="10"/>
        <v>OK</v>
      </c>
      <c r="AT19" s="696" t="str">
        <f t="shared" si="10"/>
        <v>OK</v>
      </c>
      <c r="AU19" s="696" t="str">
        <f t="shared" si="10"/>
        <v>OK</v>
      </c>
      <c r="AV19" s="696" t="str">
        <f t="shared" si="10"/>
        <v>OK</v>
      </c>
      <c r="AW19" s="696" t="str">
        <f t="shared" si="10"/>
        <v>OK</v>
      </c>
      <c r="AX19" s="696" t="str">
        <f t="shared" si="10"/>
        <v>OK</v>
      </c>
      <c r="AY19" s="696" t="str">
        <f t="shared" si="10"/>
        <v>OK</v>
      </c>
      <c r="AZ19" s="696" t="str">
        <f t="shared" si="10"/>
        <v>OK</v>
      </c>
      <c r="BA19" s="696" t="str">
        <f t="shared" si="10"/>
        <v>OK</v>
      </c>
      <c r="BB19" s="696" t="str">
        <f t="shared" si="10"/>
        <v>OK</v>
      </c>
      <c r="BC19" s="696" t="str">
        <f t="shared" si="10"/>
        <v>OK</v>
      </c>
      <c r="BD19" s="696" t="str">
        <f t="shared" si="10"/>
        <v>OK</v>
      </c>
      <c r="BE19" s="696" t="str">
        <f t="shared" si="10"/>
        <v>OK</v>
      </c>
      <c r="BF19" s="696" t="str">
        <f t="shared" si="10"/>
        <v>OK</v>
      </c>
      <c r="BG19" s="696" t="str">
        <f t="shared" si="10"/>
        <v>OK</v>
      </c>
      <c r="BH19" s="696" t="str">
        <f t="shared" si="10"/>
        <v>OK</v>
      </c>
      <c r="BI19" s="696" t="str">
        <f t="shared" si="10"/>
        <v>OK</v>
      </c>
      <c r="BJ19" s="696" t="str">
        <f t="shared" si="10"/>
        <v>OK</v>
      </c>
      <c r="BK19" s="696" t="str">
        <f t="shared" si="10"/>
        <v>OK</v>
      </c>
      <c r="BL19" s="696" t="str">
        <f t="shared" si="10"/>
        <v>OK</v>
      </c>
      <c r="BM19" s="696" t="str">
        <f t="shared" si="10"/>
        <v>OK</v>
      </c>
      <c r="BN19" s="696" t="str">
        <f t="shared" si="10"/>
        <v>OK</v>
      </c>
      <c r="BO19" s="696" t="str">
        <f t="shared" si="10"/>
        <v>OK</v>
      </c>
    </row>
    <row r="21" spans="2:68">
      <c r="B21" s="1584" t="s">
        <v>2459</v>
      </c>
      <c r="C21" s="1584"/>
      <c r="D21" s="1584"/>
      <c r="E21" s="1584"/>
      <c r="F21" s="1584"/>
    </row>
    <row r="22" spans="2:68" ht="15.75" thickBot="1"/>
    <row r="23" spans="2:68" s="146" customFormat="1" ht="12.75" customHeight="1" thickBot="1">
      <c r="B23" s="2"/>
      <c r="C23" s="2"/>
      <c r="D23" s="657"/>
      <c r="E23" s="195"/>
      <c r="F23" s="658"/>
      <c r="G23" s="1740" t="s">
        <v>2410</v>
      </c>
      <c r="H23" s="1741"/>
      <c r="I23" s="1741"/>
      <c r="J23" s="1741"/>
      <c r="K23" s="1741"/>
      <c r="L23" s="1741"/>
      <c r="M23" s="1741"/>
      <c r="N23" s="1741"/>
      <c r="O23" s="1741"/>
      <c r="P23" s="1741"/>
      <c r="Q23" s="1741"/>
      <c r="R23" s="1741"/>
      <c r="S23" s="1741"/>
      <c r="T23" s="1741"/>
      <c r="U23" s="1741"/>
      <c r="V23" s="1742"/>
      <c r="W23" s="1743" t="s">
        <v>2412</v>
      </c>
      <c r="X23" s="1743"/>
      <c r="Y23" s="1743"/>
      <c r="Z23" s="1743"/>
      <c r="AA23" s="1743"/>
      <c r="AB23" s="1743"/>
      <c r="AC23" s="1743"/>
      <c r="AD23" s="1743"/>
      <c r="AE23" s="1743"/>
      <c r="AF23" s="1743"/>
      <c r="AG23" s="1743"/>
      <c r="AH23" s="1743"/>
      <c r="AI23" s="1743"/>
      <c r="AJ23" s="1743"/>
      <c r="AK23" s="1743"/>
      <c r="AL23" s="1743"/>
      <c r="AM23" s="1743" t="s">
        <v>2413</v>
      </c>
      <c r="AN23" s="1743"/>
      <c r="AO23" s="1743"/>
      <c r="AP23" s="1743"/>
      <c r="AQ23" s="1743"/>
      <c r="AR23" s="1743"/>
      <c r="AS23" s="1743"/>
      <c r="AT23" s="1743"/>
      <c r="AU23" s="1743"/>
      <c r="AV23" s="1743"/>
      <c r="AW23" s="1743"/>
      <c r="AX23" s="1743"/>
      <c r="AY23" s="1743"/>
      <c r="AZ23" s="1743"/>
      <c r="BA23" s="1743"/>
      <c r="BB23" s="1743"/>
      <c r="BC23" s="1743" t="s">
        <v>2411</v>
      </c>
      <c r="BD23" s="1743"/>
      <c r="BE23" s="1743"/>
      <c r="BF23" s="1743"/>
      <c r="BG23" s="1743"/>
      <c r="BH23" s="1743"/>
      <c r="BI23" s="1743"/>
      <c r="BJ23" s="1743"/>
      <c r="BK23" s="1743"/>
      <c r="BL23" s="1743"/>
      <c r="BM23" s="1743"/>
      <c r="BN23" s="1743"/>
      <c r="BO23" s="1569">
        <v>999</v>
      </c>
    </row>
    <row r="24" spans="2:68" s="183" customFormat="1" ht="54.95" customHeight="1" thickBot="1">
      <c r="B24" s="184"/>
      <c r="C24" s="184"/>
      <c r="D24" s="659"/>
      <c r="E24" s="184"/>
      <c r="F24" s="660"/>
      <c r="G24" s="643">
        <v>101</v>
      </c>
      <c r="H24" s="643" t="s">
        <v>777</v>
      </c>
      <c r="I24" s="642" t="s">
        <v>778</v>
      </c>
      <c r="J24" s="642" t="s">
        <v>779</v>
      </c>
      <c r="K24" s="642" t="s">
        <v>780</v>
      </c>
      <c r="L24" s="642" t="s">
        <v>781</v>
      </c>
      <c r="M24" s="642" t="s">
        <v>782</v>
      </c>
      <c r="N24" s="642" t="s">
        <v>783</v>
      </c>
      <c r="O24" s="642" t="s">
        <v>784</v>
      </c>
      <c r="P24" s="642" t="s">
        <v>785</v>
      </c>
      <c r="Q24" s="642" t="s">
        <v>786</v>
      </c>
      <c r="R24" s="642" t="s">
        <v>787</v>
      </c>
      <c r="S24" s="642" t="s">
        <v>788</v>
      </c>
      <c r="T24" s="642" t="s">
        <v>789</v>
      </c>
      <c r="U24" s="642" t="s">
        <v>790</v>
      </c>
      <c r="V24" s="563">
        <v>100</v>
      </c>
      <c r="W24" s="641" t="s">
        <v>791</v>
      </c>
      <c r="X24" s="641" t="s">
        <v>792</v>
      </c>
      <c r="Y24" s="641" t="s">
        <v>793</v>
      </c>
      <c r="Z24" s="641" t="s">
        <v>794</v>
      </c>
      <c r="AA24" s="641" t="s">
        <v>795</v>
      </c>
      <c r="AB24" s="641" t="s">
        <v>796</v>
      </c>
      <c r="AC24" s="641" t="s">
        <v>797</v>
      </c>
      <c r="AD24" s="641" t="s">
        <v>798</v>
      </c>
      <c r="AE24" s="641" t="s">
        <v>799</v>
      </c>
      <c r="AF24" s="641" t="s">
        <v>800</v>
      </c>
      <c r="AG24" s="641" t="s">
        <v>801</v>
      </c>
      <c r="AH24" s="641" t="s">
        <v>802</v>
      </c>
      <c r="AI24" s="641" t="s">
        <v>803</v>
      </c>
      <c r="AJ24" s="641" t="s">
        <v>804</v>
      </c>
      <c r="AK24" s="641" t="s">
        <v>805</v>
      </c>
      <c r="AL24" s="564">
        <v>200</v>
      </c>
      <c r="AM24" s="641" t="s">
        <v>806</v>
      </c>
      <c r="AN24" s="641" t="s">
        <v>807</v>
      </c>
      <c r="AO24" s="641" t="s">
        <v>808</v>
      </c>
      <c r="AP24" s="641" t="s">
        <v>809</v>
      </c>
      <c r="AQ24" s="641" t="s">
        <v>810</v>
      </c>
      <c r="AR24" s="641" t="s">
        <v>811</v>
      </c>
      <c r="AS24" s="641" t="s">
        <v>812</v>
      </c>
      <c r="AT24" s="641" t="s">
        <v>813</v>
      </c>
      <c r="AU24" s="641" t="s">
        <v>814</v>
      </c>
      <c r="AV24" s="641" t="s">
        <v>815</v>
      </c>
      <c r="AW24" s="641" t="s">
        <v>816</v>
      </c>
      <c r="AX24" s="641" t="s">
        <v>817</v>
      </c>
      <c r="AY24" s="641" t="s">
        <v>818</v>
      </c>
      <c r="AZ24" s="641" t="s">
        <v>819</v>
      </c>
      <c r="BA24" s="641" t="s">
        <v>820</v>
      </c>
      <c r="BB24" s="564">
        <v>300</v>
      </c>
      <c r="BC24" s="641" t="s">
        <v>821</v>
      </c>
      <c r="BD24" s="641" t="s">
        <v>822</v>
      </c>
      <c r="BE24" s="641" t="s">
        <v>823</v>
      </c>
      <c r="BF24" s="641" t="s">
        <v>824</v>
      </c>
      <c r="BG24" s="641" t="s">
        <v>825</v>
      </c>
      <c r="BH24" s="641" t="s">
        <v>826</v>
      </c>
      <c r="BI24" s="641" t="s">
        <v>827</v>
      </c>
      <c r="BJ24" s="641" t="s">
        <v>828</v>
      </c>
      <c r="BK24" s="641" t="s">
        <v>829</v>
      </c>
      <c r="BL24" s="641" t="s">
        <v>830</v>
      </c>
      <c r="BM24" s="641" t="s">
        <v>831</v>
      </c>
      <c r="BN24" s="564">
        <v>400</v>
      </c>
      <c r="BO24" s="1570"/>
    </row>
    <row r="25" spans="2:68" s="30" customFormat="1" ht="14.1" customHeight="1">
      <c r="B25" s="25"/>
      <c r="C25" s="25"/>
      <c r="D25" s="1731" t="s">
        <v>2460</v>
      </c>
      <c r="E25" s="1564"/>
      <c r="F25" s="1730"/>
      <c r="G25" s="1325">
        <f>G26+G27-G28</f>
        <v>0</v>
      </c>
      <c r="H25" s="1326">
        <f t="shared" ref="H25:V25" si="11">H26+H27-H28</f>
        <v>639988</v>
      </c>
      <c r="I25" s="1326">
        <f t="shared" si="11"/>
        <v>5759889</v>
      </c>
      <c r="J25" s="1326">
        <f t="shared" si="11"/>
        <v>0</v>
      </c>
      <c r="K25" s="1326">
        <f t="shared" si="11"/>
        <v>0</v>
      </c>
      <c r="L25" s="1326">
        <f t="shared" si="11"/>
        <v>0</v>
      </c>
      <c r="M25" s="1326">
        <f t="shared" si="11"/>
        <v>8340873</v>
      </c>
      <c r="N25" s="1326">
        <f t="shared" si="11"/>
        <v>150979</v>
      </c>
      <c r="O25" s="1326">
        <f t="shared" si="11"/>
        <v>1148386</v>
      </c>
      <c r="P25" s="1326">
        <f t="shared" si="11"/>
        <v>715332</v>
      </c>
      <c r="Q25" s="1326">
        <f t="shared" si="11"/>
        <v>0</v>
      </c>
      <c r="R25" s="1326">
        <f t="shared" si="11"/>
        <v>0</v>
      </c>
      <c r="S25" s="1326">
        <f t="shared" si="11"/>
        <v>0</v>
      </c>
      <c r="T25" s="1326">
        <f t="shared" si="11"/>
        <v>0</v>
      </c>
      <c r="U25" s="1327">
        <f t="shared" si="11"/>
        <v>0</v>
      </c>
      <c r="V25" s="1328">
        <f t="shared" si="11"/>
        <v>16755447</v>
      </c>
      <c r="W25" s="1329">
        <f t="shared" ref="W25" si="12">W26+W27-W28</f>
        <v>0</v>
      </c>
      <c r="X25" s="1326">
        <f t="shared" ref="X25" si="13">X26+X27-X28</f>
        <v>643346</v>
      </c>
      <c r="Y25" s="1326">
        <f t="shared" ref="Y25" si="14">Y26+Y27-Y28</f>
        <v>0</v>
      </c>
      <c r="Z25" s="1326">
        <f t="shared" ref="Z25" si="15">Z26+Z27-Z28</f>
        <v>0</v>
      </c>
      <c r="AA25" s="1326">
        <f t="shared" ref="AA25" si="16">AA26+AA27-AA28</f>
        <v>0</v>
      </c>
      <c r="AB25" s="1326">
        <f t="shared" ref="AB25" si="17">AB26+AB27-AB28</f>
        <v>0</v>
      </c>
      <c r="AC25" s="1326">
        <f t="shared" ref="AC25" si="18">AC26+AC27-AC28</f>
        <v>0</v>
      </c>
      <c r="AD25" s="1326">
        <f t="shared" ref="AD25" si="19">AD26+AD27-AD28</f>
        <v>333803</v>
      </c>
      <c r="AE25" s="1326">
        <f t="shared" ref="AE25" si="20">AE26+AE27-AE28</f>
        <v>14038711</v>
      </c>
      <c r="AF25" s="1326">
        <f t="shared" ref="AF25" si="21">AF26+AF27-AF28</f>
        <v>946155</v>
      </c>
      <c r="AG25" s="1326">
        <f t="shared" ref="AG25" si="22">AG26+AG27-AG28</f>
        <v>0</v>
      </c>
      <c r="AH25" s="1326">
        <f t="shared" ref="AH25" si="23">AH26+AH27-AH28</f>
        <v>0</v>
      </c>
      <c r="AI25" s="1326">
        <f t="shared" ref="AI25" si="24">AI26+AI27-AI28</f>
        <v>6443</v>
      </c>
      <c r="AJ25" s="1326">
        <f t="shared" ref="AJ25" si="25">AJ26+AJ27-AJ28</f>
        <v>0</v>
      </c>
      <c r="AK25" s="1327">
        <f t="shared" ref="AK25" si="26">AK26+AK27-AK28</f>
        <v>0</v>
      </c>
      <c r="AL25" s="1328">
        <f t="shared" ref="AL25" si="27">AL26+AL27-AL28</f>
        <v>15968458</v>
      </c>
      <c r="AM25" s="1329">
        <f t="shared" ref="AM25" si="28">AM26+AM27-AM28</f>
        <v>0</v>
      </c>
      <c r="AN25" s="1326">
        <f t="shared" ref="AN25" si="29">AN26+AN27-AN28</f>
        <v>147</v>
      </c>
      <c r="AO25" s="1326">
        <f t="shared" ref="AO25" si="30">AO26+AO27-AO28</f>
        <v>884762</v>
      </c>
      <c r="AP25" s="1326">
        <f t="shared" ref="AP25" si="31">AP26+AP27-AP28</f>
        <v>0</v>
      </c>
      <c r="AQ25" s="1326">
        <f t="shared" ref="AQ25" si="32">AQ26+AQ27-AQ28</f>
        <v>0</v>
      </c>
      <c r="AR25" s="1326">
        <f t="shared" ref="AR25" si="33">AR26+AR27-AR28</f>
        <v>0</v>
      </c>
      <c r="AS25" s="1326">
        <f t="shared" ref="AS25" si="34">AS26+AS27-AS28</f>
        <v>0</v>
      </c>
      <c r="AT25" s="1326">
        <f t="shared" ref="AT25" si="35">AT26+AT27-AT28</f>
        <v>0</v>
      </c>
      <c r="AU25" s="1326">
        <f t="shared" ref="AU25" si="36">AU26+AU27-AU28</f>
        <v>17925</v>
      </c>
      <c r="AV25" s="1326">
        <f t="shared" ref="AV25" si="37">AV26+AV27-AV28</f>
        <v>41237</v>
      </c>
      <c r="AW25" s="1326">
        <f t="shared" ref="AW25" si="38">AW26+AW27-AW28</f>
        <v>0</v>
      </c>
      <c r="AX25" s="1326">
        <f t="shared" ref="AX25" si="39">AX26+AX27-AX28</f>
        <v>0</v>
      </c>
      <c r="AY25" s="1326">
        <f t="shared" ref="AY25" si="40">AY26+AY27-AY28</f>
        <v>0</v>
      </c>
      <c r="AZ25" s="1326">
        <f t="shared" ref="AZ25" si="41">AZ26+AZ27-AZ28</f>
        <v>0</v>
      </c>
      <c r="BA25" s="1327">
        <f t="shared" ref="BA25" si="42">BA26+BA27-BA28</f>
        <v>0</v>
      </c>
      <c r="BB25" s="1328">
        <f t="shared" ref="BB25" si="43">BB26+BB27-BB28</f>
        <v>944071</v>
      </c>
      <c r="BC25" s="1329">
        <f t="shared" ref="BC25" si="44">BC26+BC27-BC28</f>
        <v>0</v>
      </c>
      <c r="BD25" s="1326">
        <f t="shared" ref="BD25" si="45">BD26+BD27-BD28</f>
        <v>0</v>
      </c>
      <c r="BE25" s="1326">
        <f t="shared" ref="BE25" si="46">BE26+BE27-BE28</f>
        <v>0</v>
      </c>
      <c r="BF25" s="1326">
        <f t="shared" ref="BF25" si="47">BF26+BF27-BF28</f>
        <v>0</v>
      </c>
      <c r="BG25" s="1326">
        <f t="shared" ref="BG25" si="48">BG26+BG27-BG28</f>
        <v>0</v>
      </c>
      <c r="BH25" s="1326">
        <f t="shared" ref="BH25" si="49">BH26+BH27-BH28</f>
        <v>0</v>
      </c>
      <c r="BI25" s="1326">
        <f t="shared" ref="BI25" si="50">BI26+BI27-BI28</f>
        <v>0</v>
      </c>
      <c r="BJ25" s="1326">
        <f t="shared" ref="BJ25" si="51">BJ26+BJ27-BJ28</f>
        <v>0</v>
      </c>
      <c r="BK25" s="1326">
        <f t="shared" ref="BK25" si="52">BK26+BK27-BK28</f>
        <v>0</v>
      </c>
      <c r="BL25" s="1326">
        <f t="shared" ref="BL25" si="53">BL26+BL27-BL28</f>
        <v>3505154</v>
      </c>
      <c r="BM25" s="1327">
        <f t="shared" ref="BM25" si="54">BM26+BM27-BM28</f>
        <v>0</v>
      </c>
      <c r="BN25" s="1328">
        <f t="shared" ref="BN25" si="55">BN26+BN27-BN28</f>
        <v>3505154</v>
      </c>
      <c r="BO25" s="1330">
        <f t="shared" ref="BO25" si="56">BO26+BO27-BO28</f>
        <v>37173130</v>
      </c>
      <c r="BP25" s="648"/>
    </row>
    <row r="26" spans="2:68" s="678" customFormat="1" ht="14.1" customHeight="1">
      <c r="B26" s="676"/>
      <c r="C26" s="676"/>
      <c r="D26" s="674"/>
      <c r="E26" s="1746" t="s">
        <v>2461</v>
      </c>
      <c r="F26" s="1747"/>
      <c r="G26" s="1350">
        <v>0</v>
      </c>
      <c r="H26" s="1309">
        <v>639988</v>
      </c>
      <c r="I26" s="1309">
        <v>5794806</v>
      </c>
      <c r="J26" s="1309">
        <v>0</v>
      </c>
      <c r="K26" s="1309">
        <v>0</v>
      </c>
      <c r="L26" s="1309">
        <v>0</v>
      </c>
      <c r="M26" s="1309">
        <v>8366023</v>
      </c>
      <c r="N26" s="1309">
        <v>150979</v>
      </c>
      <c r="O26" s="1309">
        <v>1326457</v>
      </c>
      <c r="P26" s="1309">
        <v>807210</v>
      </c>
      <c r="Q26" s="1309">
        <v>0</v>
      </c>
      <c r="R26" s="1309">
        <v>0</v>
      </c>
      <c r="S26" s="1309">
        <v>0</v>
      </c>
      <c r="T26" s="1309">
        <v>0</v>
      </c>
      <c r="U26" s="1310">
        <v>0</v>
      </c>
      <c r="V26" s="1306">
        <f t="shared" ref="V26:V29" si="57">SUM(G26:U26)</f>
        <v>17085463</v>
      </c>
      <c r="W26" s="1308">
        <v>0</v>
      </c>
      <c r="X26" s="1309">
        <v>1156196</v>
      </c>
      <c r="Y26" s="1309">
        <v>0</v>
      </c>
      <c r="Z26" s="1309">
        <v>0</v>
      </c>
      <c r="AA26" s="1309">
        <v>0</v>
      </c>
      <c r="AB26" s="1309">
        <v>0</v>
      </c>
      <c r="AC26" s="1309">
        <v>0</v>
      </c>
      <c r="AD26" s="1309">
        <v>333803</v>
      </c>
      <c r="AE26" s="1309">
        <v>14329237</v>
      </c>
      <c r="AF26" s="1309">
        <v>1073749</v>
      </c>
      <c r="AG26" s="1309">
        <v>0</v>
      </c>
      <c r="AH26" s="1309">
        <v>0</v>
      </c>
      <c r="AI26" s="1309">
        <v>6611</v>
      </c>
      <c r="AJ26" s="1309"/>
      <c r="AK26" s="1310">
        <v>0</v>
      </c>
      <c r="AL26" s="1306">
        <f t="shared" ref="AL26:AL29" si="58">SUM(W26:AK26)</f>
        <v>16899596</v>
      </c>
      <c r="AM26" s="1308"/>
      <c r="AN26" s="1309">
        <v>147</v>
      </c>
      <c r="AO26" s="1309">
        <v>910110</v>
      </c>
      <c r="AP26" s="1309"/>
      <c r="AQ26" s="1309"/>
      <c r="AR26" s="1309"/>
      <c r="AS26" s="1309"/>
      <c r="AT26" s="1309"/>
      <c r="AU26" s="1309">
        <v>17925</v>
      </c>
      <c r="AV26" s="1309">
        <v>41258</v>
      </c>
      <c r="AW26" s="1309"/>
      <c r="AX26" s="1309"/>
      <c r="AY26" s="1309">
        <v>0</v>
      </c>
      <c r="AZ26" s="1309"/>
      <c r="BA26" s="1310"/>
      <c r="BB26" s="1306">
        <f t="shared" ref="BB26:BB29" si="59">SUM(AM26:BA26)</f>
        <v>969440</v>
      </c>
      <c r="BC26" s="1308"/>
      <c r="BD26" s="1309">
        <f>BE26+BF26</f>
        <v>0</v>
      </c>
      <c r="BE26" s="1309"/>
      <c r="BF26" s="1309"/>
      <c r="BG26" s="1309">
        <f>BH26+BI26</f>
        <v>0</v>
      </c>
      <c r="BH26" s="1309"/>
      <c r="BI26" s="1309"/>
      <c r="BJ26" s="1309"/>
      <c r="BK26" s="1309"/>
      <c r="BL26" s="1309">
        <v>3510826</v>
      </c>
      <c r="BM26" s="1310"/>
      <c r="BN26" s="1306">
        <f t="shared" ref="BN26:BN28" si="60">BC26+BD26+BG26+BJ26+BK26+BL26+BM26</f>
        <v>3510826</v>
      </c>
      <c r="BO26" s="1311">
        <f t="shared" ref="BO26:BO29" si="61">V26+AL26+BB26+BN26</f>
        <v>38465325</v>
      </c>
      <c r="BP26" s="677"/>
    </row>
    <row r="27" spans="2:68" ht="14.1" customHeight="1">
      <c r="B27" s="12"/>
      <c r="C27" s="12"/>
      <c r="D27" s="675"/>
      <c r="E27" s="1746" t="s">
        <v>2462</v>
      </c>
      <c r="F27" s="1747" t="s">
        <v>2446</v>
      </c>
      <c r="G27" s="1303"/>
      <c r="H27" s="1304"/>
      <c r="I27" s="1304"/>
      <c r="J27" s="1304"/>
      <c r="K27" s="1304"/>
      <c r="L27" s="1304"/>
      <c r="M27" s="1304"/>
      <c r="N27" s="1304"/>
      <c r="O27" s="1304"/>
      <c r="P27" s="1304"/>
      <c r="Q27" s="1304"/>
      <c r="R27" s="1304"/>
      <c r="S27" s="1304"/>
      <c r="T27" s="1304"/>
      <c r="U27" s="1305"/>
      <c r="V27" s="1306">
        <f t="shared" si="57"/>
        <v>0</v>
      </c>
      <c r="W27" s="1307"/>
      <c r="X27" s="1304"/>
      <c r="Y27" s="1304"/>
      <c r="Z27" s="1304"/>
      <c r="AA27" s="1304"/>
      <c r="AB27" s="1304"/>
      <c r="AC27" s="1304"/>
      <c r="AD27" s="1304"/>
      <c r="AE27" s="1304"/>
      <c r="AF27" s="1304"/>
      <c r="AG27" s="1304"/>
      <c r="AH27" s="1304"/>
      <c r="AI27" s="1304"/>
      <c r="AJ27" s="1304"/>
      <c r="AK27" s="1305"/>
      <c r="AL27" s="1306">
        <f t="shared" si="58"/>
        <v>0</v>
      </c>
      <c r="AM27" s="1308"/>
      <c r="AN27" s="1309"/>
      <c r="AO27" s="1309"/>
      <c r="AP27" s="1309"/>
      <c r="AQ27" s="1309"/>
      <c r="AR27" s="1309"/>
      <c r="AS27" s="1309"/>
      <c r="AT27" s="1309"/>
      <c r="AU27" s="1309"/>
      <c r="AV27" s="1309"/>
      <c r="AW27" s="1309"/>
      <c r="AX27" s="1309"/>
      <c r="AY27" s="1309">
        <v>0</v>
      </c>
      <c r="AZ27" s="1309"/>
      <c r="BA27" s="1310"/>
      <c r="BB27" s="1306">
        <f t="shared" si="59"/>
        <v>0</v>
      </c>
      <c r="BC27" s="1308"/>
      <c r="BD27" s="1309">
        <f t="shared" ref="BD27:BD29" si="62">BE27+BF27</f>
        <v>0</v>
      </c>
      <c r="BE27" s="1309"/>
      <c r="BF27" s="1309"/>
      <c r="BG27" s="1309">
        <f t="shared" ref="BG27:BG29" si="63">BH27+BI27</f>
        <v>0</v>
      </c>
      <c r="BH27" s="1309"/>
      <c r="BI27" s="1309"/>
      <c r="BJ27" s="1309"/>
      <c r="BK27" s="1309"/>
      <c r="BL27" s="1309"/>
      <c r="BM27" s="1310"/>
      <c r="BN27" s="1306">
        <f t="shared" si="60"/>
        <v>0</v>
      </c>
      <c r="BO27" s="1311">
        <f t="shared" si="61"/>
        <v>0</v>
      </c>
      <c r="BP27" s="146"/>
    </row>
    <row r="28" spans="2:68" ht="14.1" customHeight="1">
      <c r="B28" s="12"/>
      <c r="C28" s="12"/>
      <c r="D28" s="675"/>
      <c r="E28" s="1746" t="s">
        <v>2463</v>
      </c>
      <c r="F28" s="1747" t="s">
        <v>2447</v>
      </c>
      <c r="G28" s="1303">
        <v>0</v>
      </c>
      <c r="H28" s="1304"/>
      <c r="I28" s="1304">
        <v>34917</v>
      </c>
      <c r="J28" s="1304">
        <v>0</v>
      </c>
      <c r="K28" s="1304">
        <v>0</v>
      </c>
      <c r="L28" s="1304">
        <v>0</v>
      </c>
      <c r="M28" s="1304">
        <v>25150</v>
      </c>
      <c r="N28" s="1304">
        <v>0</v>
      </c>
      <c r="O28" s="1304">
        <v>178071</v>
      </c>
      <c r="P28" s="1304">
        <v>91878</v>
      </c>
      <c r="Q28" s="1304">
        <v>0</v>
      </c>
      <c r="R28" s="1304">
        <v>0</v>
      </c>
      <c r="S28" s="1304">
        <v>0</v>
      </c>
      <c r="T28" s="1304">
        <v>0</v>
      </c>
      <c r="U28" s="1305">
        <v>0</v>
      </c>
      <c r="V28" s="1306">
        <f t="shared" si="57"/>
        <v>330016</v>
      </c>
      <c r="W28" s="1307">
        <v>0</v>
      </c>
      <c r="X28" s="1304">
        <v>512850</v>
      </c>
      <c r="Y28" s="1304">
        <v>0</v>
      </c>
      <c r="Z28" s="1304">
        <v>0</v>
      </c>
      <c r="AA28" s="1304">
        <v>0</v>
      </c>
      <c r="AB28" s="1304">
        <v>0</v>
      </c>
      <c r="AC28" s="1304">
        <v>0</v>
      </c>
      <c r="AD28" s="1304">
        <v>0</v>
      </c>
      <c r="AE28" s="1304">
        <v>290526</v>
      </c>
      <c r="AF28" s="1304">
        <v>127594</v>
      </c>
      <c r="AG28" s="1304">
        <v>0</v>
      </c>
      <c r="AH28" s="1304">
        <v>0</v>
      </c>
      <c r="AI28" s="1304">
        <v>168</v>
      </c>
      <c r="AJ28" s="1304"/>
      <c r="AK28" s="1305">
        <v>0</v>
      </c>
      <c r="AL28" s="1306">
        <f t="shared" si="58"/>
        <v>931138</v>
      </c>
      <c r="AM28" s="1308"/>
      <c r="AN28" s="1309">
        <v>0</v>
      </c>
      <c r="AO28" s="1309">
        <v>25348</v>
      </c>
      <c r="AP28" s="1309"/>
      <c r="AQ28" s="1309"/>
      <c r="AR28" s="1309"/>
      <c r="AS28" s="1309"/>
      <c r="AT28" s="1309"/>
      <c r="AU28" s="1309">
        <v>0</v>
      </c>
      <c r="AV28" s="1309">
        <v>21</v>
      </c>
      <c r="AW28" s="1309"/>
      <c r="AX28" s="1309"/>
      <c r="AY28" s="1309">
        <v>0</v>
      </c>
      <c r="AZ28" s="1309"/>
      <c r="BA28" s="1310"/>
      <c r="BB28" s="1306">
        <f t="shared" si="59"/>
        <v>25369</v>
      </c>
      <c r="BC28" s="1308"/>
      <c r="BD28" s="1309">
        <f t="shared" si="62"/>
        <v>0</v>
      </c>
      <c r="BE28" s="1309"/>
      <c r="BF28" s="1309"/>
      <c r="BG28" s="1309">
        <f t="shared" si="63"/>
        <v>0</v>
      </c>
      <c r="BH28" s="1309"/>
      <c r="BI28" s="1309"/>
      <c r="BJ28" s="1309"/>
      <c r="BK28" s="1309"/>
      <c r="BL28" s="1309">
        <v>5672</v>
      </c>
      <c r="BM28" s="1310"/>
      <c r="BN28" s="1306">
        <f t="shared" si="60"/>
        <v>5672</v>
      </c>
      <c r="BO28" s="1311">
        <f t="shared" si="61"/>
        <v>1292195</v>
      </c>
      <c r="BP28" s="146"/>
    </row>
    <row r="29" spans="2:68" ht="14.1" customHeight="1" thickBot="1">
      <c r="B29" s="12"/>
      <c r="C29" s="12"/>
      <c r="D29" s="1754" t="s">
        <v>2464</v>
      </c>
      <c r="E29" s="1755"/>
      <c r="F29" s="1756"/>
      <c r="G29" s="1312">
        <v>0</v>
      </c>
      <c r="H29" s="1313">
        <v>31573</v>
      </c>
      <c r="I29" s="1313">
        <v>318019</v>
      </c>
      <c r="J29" s="1313">
        <v>0</v>
      </c>
      <c r="K29" s="1313">
        <v>0</v>
      </c>
      <c r="L29" s="1313">
        <v>0</v>
      </c>
      <c r="M29" s="1313">
        <v>7576572</v>
      </c>
      <c r="N29" s="1313">
        <v>30547</v>
      </c>
      <c r="O29" s="1313">
        <v>321381</v>
      </c>
      <c r="P29" s="1313">
        <v>146211</v>
      </c>
      <c r="Q29" s="1313">
        <v>0</v>
      </c>
      <c r="R29" s="1313">
        <v>0</v>
      </c>
      <c r="S29" s="1313">
        <v>0</v>
      </c>
      <c r="T29" s="1313">
        <v>0</v>
      </c>
      <c r="U29" s="1314">
        <v>0</v>
      </c>
      <c r="V29" s="1315">
        <f t="shared" si="57"/>
        <v>8424303</v>
      </c>
      <c r="W29" s="1316">
        <v>0</v>
      </c>
      <c r="X29" s="1313">
        <v>609354</v>
      </c>
      <c r="Y29" s="1313">
        <v>0</v>
      </c>
      <c r="Z29" s="1313">
        <v>0</v>
      </c>
      <c r="AA29" s="1313">
        <v>0</v>
      </c>
      <c r="AB29" s="1313">
        <v>0</v>
      </c>
      <c r="AC29" s="1313">
        <v>0</v>
      </c>
      <c r="AD29" s="1313">
        <v>173157</v>
      </c>
      <c r="AE29" s="1313">
        <v>5308096</v>
      </c>
      <c r="AF29" s="1313">
        <v>484269</v>
      </c>
      <c r="AG29" s="1313">
        <v>0</v>
      </c>
      <c r="AH29" s="1313">
        <v>0</v>
      </c>
      <c r="AI29" s="1313">
        <v>184761</v>
      </c>
      <c r="AJ29" s="1313">
        <v>0</v>
      </c>
      <c r="AK29" s="1314">
        <v>0</v>
      </c>
      <c r="AL29" s="1315">
        <f t="shared" si="58"/>
        <v>6759637</v>
      </c>
      <c r="AM29" s="1317">
        <v>0</v>
      </c>
      <c r="AN29" s="1318">
        <v>49</v>
      </c>
      <c r="AO29" s="1318">
        <v>5071</v>
      </c>
      <c r="AP29" s="1318">
        <v>0</v>
      </c>
      <c r="AQ29" s="1318">
        <v>0</v>
      </c>
      <c r="AR29" s="1318">
        <v>0</v>
      </c>
      <c r="AS29" s="1318">
        <v>0</v>
      </c>
      <c r="AT29" s="1318">
        <v>739</v>
      </c>
      <c r="AU29" s="1318">
        <v>24012</v>
      </c>
      <c r="AV29" s="1318">
        <v>15082</v>
      </c>
      <c r="AW29" s="1318">
        <v>0</v>
      </c>
      <c r="AX29" s="1318">
        <v>0</v>
      </c>
      <c r="AY29" s="1318">
        <v>-28646</v>
      </c>
      <c r="AZ29" s="1318">
        <v>0</v>
      </c>
      <c r="BA29" s="1319">
        <v>0</v>
      </c>
      <c r="BB29" s="1315">
        <f t="shared" si="59"/>
        <v>16307</v>
      </c>
      <c r="BC29" s="1317"/>
      <c r="BD29" s="1318">
        <f t="shared" si="62"/>
        <v>0</v>
      </c>
      <c r="BE29" s="1318"/>
      <c r="BF29" s="1318"/>
      <c r="BG29" s="1318">
        <f t="shared" si="63"/>
        <v>0</v>
      </c>
      <c r="BH29" s="1318"/>
      <c r="BI29" s="1318"/>
      <c r="BJ29" s="1318"/>
      <c r="BK29" s="1318"/>
      <c r="BL29" s="1318">
        <v>53038</v>
      </c>
      <c r="BM29" s="1319"/>
      <c r="BN29" s="1315">
        <f t="shared" ref="BN29" si="64">BC29+BD29+BG29+BJ29+BK29+BL29+BM29</f>
        <v>53038</v>
      </c>
      <c r="BO29" s="1320">
        <f t="shared" si="61"/>
        <v>15253285</v>
      </c>
      <c r="BP29" s="146"/>
    </row>
    <row r="34" spans="2:68">
      <c r="B34" s="1584" t="s">
        <v>2465</v>
      </c>
      <c r="C34" s="1584"/>
      <c r="D34" s="1584"/>
      <c r="E34" s="1584"/>
      <c r="F34" s="1584"/>
    </row>
    <row r="35" spans="2:68" ht="15.75" thickBot="1"/>
    <row r="36" spans="2:68" s="146" customFormat="1" ht="12.75" customHeight="1" thickBot="1">
      <c r="B36" s="2"/>
      <c r="C36" s="2"/>
      <c r="D36" s="657"/>
      <c r="E36" s="195"/>
      <c r="F36" s="658"/>
      <c r="G36" s="1740" t="s">
        <v>2410</v>
      </c>
      <c r="H36" s="1741"/>
      <c r="I36" s="1741"/>
      <c r="J36" s="1741"/>
      <c r="K36" s="1741"/>
      <c r="L36" s="1741"/>
      <c r="M36" s="1741"/>
      <c r="N36" s="1741"/>
      <c r="O36" s="1741"/>
      <c r="P36" s="1741"/>
      <c r="Q36" s="1741"/>
      <c r="R36" s="1741"/>
      <c r="S36" s="1741"/>
      <c r="T36" s="1741"/>
      <c r="U36" s="1741"/>
      <c r="V36" s="1742"/>
      <c r="W36" s="1743" t="s">
        <v>2412</v>
      </c>
      <c r="X36" s="1743"/>
      <c r="Y36" s="1743"/>
      <c r="Z36" s="1743"/>
      <c r="AA36" s="1743"/>
      <c r="AB36" s="1743"/>
      <c r="AC36" s="1743"/>
      <c r="AD36" s="1743"/>
      <c r="AE36" s="1743"/>
      <c r="AF36" s="1743"/>
      <c r="AG36" s="1743"/>
      <c r="AH36" s="1743"/>
      <c r="AI36" s="1743"/>
      <c r="AJ36" s="1743"/>
      <c r="AK36" s="1743"/>
      <c r="AL36" s="1743"/>
      <c r="AM36" s="1743" t="s">
        <v>2413</v>
      </c>
      <c r="AN36" s="1743"/>
      <c r="AO36" s="1743"/>
      <c r="AP36" s="1743"/>
      <c r="AQ36" s="1743"/>
      <c r="AR36" s="1743"/>
      <c r="AS36" s="1743"/>
      <c r="AT36" s="1743"/>
      <c r="AU36" s="1743"/>
      <c r="AV36" s="1743"/>
      <c r="AW36" s="1743"/>
      <c r="AX36" s="1743"/>
      <c r="AY36" s="1743"/>
      <c r="AZ36" s="1743"/>
      <c r="BA36" s="1743"/>
      <c r="BB36" s="1743"/>
      <c r="BC36" s="1743" t="s">
        <v>2411</v>
      </c>
      <c r="BD36" s="1743"/>
      <c r="BE36" s="1743"/>
      <c r="BF36" s="1743"/>
      <c r="BG36" s="1743"/>
      <c r="BH36" s="1743"/>
      <c r="BI36" s="1743"/>
      <c r="BJ36" s="1743"/>
      <c r="BK36" s="1743"/>
      <c r="BL36" s="1743"/>
      <c r="BM36" s="1743"/>
      <c r="BN36" s="1743"/>
      <c r="BO36" s="1569">
        <v>999</v>
      </c>
    </row>
    <row r="37" spans="2:68" s="183" customFormat="1" ht="54.95" customHeight="1" thickBot="1">
      <c r="B37" s="184"/>
      <c r="C37" s="184"/>
      <c r="D37" s="659"/>
      <c r="E37" s="184"/>
      <c r="F37" s="660"/>
      <c r="G37" s="643">
        <v>101</v>
      </c>
      <c r="H37" s="643" t="s">
        <v>777</v>
      </c>
      <c r="I37" s="642" t="s">
        <v>778</v>
      </c>
      <c r="J37" s="642" t="s">
        <v>779</v>
      </c>
      <c r="K37" s="642" t="s">
        <v>780</v>
      </c>
      <c r="L37" s="642" t="s">
        <v>781</v>
      </c>
      <c r="M37" s="642" t="s">
        <v>782</v>
      </c>
      <c r="N37" s="642" t="s">
        <v>783</v>
      </c>
      <c r="O37" s="642" t="s">
        <v>784</v>
      </c>
      <c r="P37" s="642" t="s">
        <v>785</v>
      </c>
      <c r="Q37" s="642" t="s">
        <v>786</v>
      </c>
      <c r="R37" s="642" t="s">
        <v>787</v>
      </c>
      <c r="S37" s="642" t="s">
        <v>788</v>
      </c>
      <c r="T37" s="642" t="s">
        <v>789</v>
      </c>
      <c r="U37" s="642" t="s">
        <v>790</v>
      </c>
      <c r="V37" s="570">
        <v>100</v>
      </c>
      <c r="W37" s="641" t="s">
        <v>791</v>
      </c>
      <c r="X37" s="641" t="s">
        <v>792</v>
      </c>
      <c r="Y37" s="641" t="s">
        <v>793</v>
      </c>
      <c r="Z37" s="641" t="s">
        <v>794</v>
      </c>
      <c r="AA37" s="641" t="s">
        <v>795</v>
      </c>
      <c r="AB37" s="641" t="s">
        <v>796</v>
      </c>
      <c r="AC37" s="641" t="s">
        <v>797</v>
      </c>
      <c r="AD37" s="641" t="s">
        <v>798</v>
      </c>
      <c r="AE37" s="641" t="s">
        <v>799</v>
      </c>
      <c r="AF37" s="641" t="s">
        <v>800</v>
      </c>
      <c r="AG37" s="641" t="s">
        <v>801</v>
      </c>
      <c r="AH37" s="641" t="s">
        <v>802</v>
      </c>
      <c r="AI37" s="641" t="s">
        <v>803</v>
      </c>
      <c r="AJ37" s="641" t="s">
        <v>804</v>
      </c>
      <c r="AK37" s="641" t="s">
        <v>805</v>
      </c>
      <c r="AL37" s="571">
        <v>200</v>
      </c>
      <c r="AM37" s="641" t="s">
        <v>806</v>
      </c>
      <c r="AN37" s="641" t="s">
        <v>807</v>
      </c>
      <c r="AO37" s="641" t="s">
        <v>808</v>
      </c>
      <c r="AP37" s="641" t="s">
        <v>809</v>
      </c>
      <c r="AQ37" s="641" t="s">
        <v>810</v>
      </c>
      <c r="AR37" s="641" t="s">
        <v>811</v>
      </c>
      <c r="AS37" s="641" t="s">
        <v>812</v>
      </c>
      <c r="AT37" s="641" t="s">
        <v>813</v>
      </c>
      <c r="AU37" s="641" t="s">
        <v>814</v>
      </c>
      <c r="AV37" s="641" t="s">
        <v>815</v>
      </c>
      <c r="AW37" s="641" t="s">
        <v>816</v>
      </c>
      <c r="AX37" s="641" t="s">
        <v>817</v>
      </c>
      <c r="AY37" s="641" t="s">
        <v>818</v>
      </c>
      <c r="AZ37" s="641" t="s">
        <v>819</v>
      </c>
      <c r="BA37" s="641" t="s">
        <v>820</v>
      </c>
      <c r="BB37" s="571">
        <v>300</v>
      </c>
      <c r="BC37" s="641" t="s">
        <v>821</v>
      </c>
      <c r="BD37" s="641" t="s">
        <v>822</v>
      </c>
      <c r="BE37" s="641" t="s">
        <v>823</v>
      </c>
      <c r="BF37" s="641" t="s">
        <v>824</v>
      </c>
      <c r="BG37" s="641" t="s">
        <v>825</v>
      </c>
      <c r="BH37" s="641" t="s">
        <v>826</v>
      </c>
      <c r="BI37" s="641" t="s">
        <v>827</v>
      </c>
      <c r="BJ37" s="641" t="s">
        <v>828</v>
      </c>
      <c r="BK37" s="641" t="s">
        <v>829</v>
      </c>
      <c r="BL37" s="641" t="s">
        <v>830</v>
      </c>
      <c r="BM37" s="641" t="s">
        <v>831</v>
      </c>
      <c r="BN37" s="571">
        <v>400</v>
      </c>
      <c r="BO37" s="1570"/>
    </row>
    <row r="38" spans="2:68" s="30" customFormat="1" ht="14.1" customHeight="1">
      <c r="B38" s="25"/>
      <c r="C38" s="25"/>
      <c r="D38" s="1745" t="s">
        <v>2466</v>
      </c>
      <c r="E38" s="1746"/>
      <c r="F38" s="1747"/>
      <c r="G38" s="1295">
        <v>2824383</v>
      </c>
      <c r="H38" s="1296">
        <v>2156623</v>
      </c>
      <c r="I38" s="1296">
        <v>0</v>
      </c>
      <c r="J38" s="1296">
        <v>6170502</v>
      </c>
      <c r="K38" s="1296">
        <v>1607533</v>
      </c>
      <c r="L38" s="1296">
        <v>21629280</v>
      </c>
      <c r="M38" s="1296">
        <v>0</v>
      </c>
      <c r="N38" s="1296">
        <v>0</v>
      </c>
      <c r="O38" s="1296">
        <v>0</v>
      </c>
      <c r="P38" s="1296">
        <v>0</v>
      </c>
      <c r="Q38" s="1296">
        <v>0</v>
      </c>
      <c r="R38" s="1296">
        <v>0</v>
      </c>
      <c r="S38" s="1296">
        <v>0</v>
      </c>
      <c r="T38" s="1296">
        <v>0</v>
      </c>
      <c r="U38" s="1297">
        <v>0</v>
      </c>
      <c r="V38" s="1298">
        <f t="shared" ref="V38:V42" si="65">SUM(G38:U38)</f>
        <v>34388321</v>
      </c>
      <c r="W38" s="1299">
        <v>0</v>
      </c>
      <c r="X38" s="1296">
        <v>0</v>
      </c>
      <c r="Y38" s="1296">
        <v>0</v>
      </c>
      <c r="Z38" s="1296">
        <v>0</v>
      </c>
      <c r="AA38" s="1296">
        <v>0</v>
      </c>
      <c r="AB38" s="1296">
        <v>0</v>
      </c>
      <c r="AC38" s="1296">
        <v>0</v>
      </c>
      <c r="AD38" s="1296">
        <v>0</v>
      </c>
      <c r="AE38" s="1296">
        <v>0</v>
      </c>
      <c r="AF38" s="1296">
        <v>0</v>
      </c>
      <c r="AG38" s="1296">
        <v>0</v>
      </c>
      <c r="AH38" s="1296">
        <v>0</v>
      </c>
      <c r="AI38" s="1296">
        <v>355751</v>
      </c>
      <c r="AJ38" s="1296">
        <v>0</v>
      </c>
      <c r="AK38" s="1297">
        <v>0</v>
      </c>
      <c r="AL38" s="1298">
        <f t="shared" ref="AL38:AL42" si="66">SUM(W38:AK38)</f>
        <v>355751</v>
      </c>
      <c r="AM38" s="1299"/>
      <c r="AN38" s="1296"/>
      <c r="AO38" s="1296"/>
      <c r="AP38" s="1296"/>
      <c r="AQ38" s="1296"/>
      <c r="AR38" s="1296"/>
      <c r="AS38" s="1296"/>
      <c r="AT38" s="1296"/>
      <c r="AU38" s="1296"/>
      <c r="AV38" s="1296"/>
      <c r="AW38" s="1296"/>
      <c r="AX38" s="1296"/>
      <c r="AY38" s="1296"/>
      <c r="AZ38" s="1296"/>
      <c r="BA38" s="1297"/>
      <c r="BB38" s="1298">
        <f t="shared" ref="BB38:BB42" si="67">SUM(AM38:BA38)</f>
        <v>0</v>
      </c>
      <c r="BC38" s="1299"/>
      <c r="BD38" s="1296">
        <f t="shared" ref="BD38:BD42" si="68">BE38+BF38</f>
        <v>0</v>
      </c>
      <c r="BE38" s="1296"/>
      <c r="BF38" s="1296"/>
      <c r="BG38" s="1296">
        <f t="shared" ref="BG38:BG42" si="69">BH38+BI38</f>
        <v>0</v>
      </c>
      <c r="BH38" s="1296"/>
      <c r="BI38" s="1296"/>
      <c r="BJ38" s="1296"/>
      <c r="BK38" s="1296"/>
      <c r="BL38" s="1296"/>
      <c r="BM38" s="1297"/>
      <c r="BN38" s="1300">
        <f t="shared" ref="BN38:BN42" si="70">BC38+BD38+BG38+BJ38+BK38+BL38+BM38</f>
        <v>0</v>
      </c>
      <c r="BO38" s="1301">
        <f t="shared" ref="BO38:BO42" si="71">V38+AL38+BB38+BN38</f>
        <v>34744072</v>
      </c>
      <c r="BP38" s="648"/>
    </row>
    <row r="39" spans="2:68" s="30" customFormat="1" ht="14.1" customHeight="1">
      <c r="B39" s="25"/>
      <c r="C39" s="25"/>
      <c r="D39" s="1745" t="s">
        <v>2467</v>
      </c>
      <c r="E39" s="1746" t="s">
        <v>2454</v>
      </c>
      <c r="F39" s="1747"/>
      <c r="G39" s="1295">
        <v>25360</v>
      </c>
      <c r="H39" s="1296">
        <v>287244</v>
      </c>
      <c r="I39" s="1296">
        <v>0</v>
      </c>
      <c r="J39" s="1296">
        <v>33929</v>
      </c>
      <c r="K39" s="1296">
        <v>0</v>
      </c>
      <c r="L39" s="1296">
        <v>143368</v>
      </c>
      <c r="M39" s="1296">
        <v>0</v>
      </c>
      <c r="N39" s="1296">
        <v>0</v>
      </c>
      <c r="O39" s="1296">
        <v>0</v>
      </c>
      <c r="P39" s="1296">
        <v>0</v>
      </c>
      <c r="Q39" s="1296">
        <v>0</v>
      </c>
      <c r="R39" s="1296">
        <v>0</v>
      </c>
      <c r="S39" s="1296">
        <v>1295</v>
      </c>
      <c r="T39" s="1296">
        <v>0</v>
      </c>
      <c r="U39" s="1297">
        <v>0</v>
      </c>
      <c r="V39" s="1298">
        <f t="shared" si="65"/>
        <v>491196</v>
      </c>
      <c r="W39" s="1299">
        <v>0</v>
      </c>
      <c r="X39" s="1296">
        <v>0</v>
      </c>
      <c r="Y39" s="1296">
        <v>0</v>
      </c>
      <c r="Z39" s="1296">
        <v>0</v>
      </c>
      <c r="AA39" s="1296">
        <v>0</v>
      </c>
      <c r="AB39" s="1296">
        <v>0</v>
      </c>
      <c r="AC39" s="1296">
        <v>0</v>
      </c>
      <c r="AD39" s="1296">
        <v>0</v>
      </c>
      <c r="AE39" s="1296">
        <v>0</v>
      </c>
      <c r="AF39" s="1296">
        <v>0</v>
      </c>
      <c r="AG39" s="1296">
        <v>0</v>
      </c>
      <c r="AH39" s="1296">
        <v>0</v>
      </c>
      <c r="AI39" s="1296">
        <v>0</v>
      </c>
      <c r="AJ39" s="1296">
        <v>0</v>
      </c>
      <c r="AK39" s="1297">
        <v>0</v>
      </c>
      <c r="AL39" s="1298">
        <f t="shared" si="66"/>
        <v>0</v>
      </c>
      <c r="AM39" s="1299"/>
      <c r="AN39" s="1296"/>
      <c r="AO39" s="1296"/>
      <c r="AP39" s="1296"/>
      <c r="AQ39" s="1296"/>
      <c r="AR39" s="1296"/>
      <c r="AS39" s="1296"/>
      <c r="AT39" s="1296"/>
      <c r="AU39" s="1296"/>
      <c r="AV39" s="1296"/>
      <c r="AW39" s="1296"/>
      <c r="AX39" s="1296"/>
      <c r="AY39" s="1296">
        <v>2319933</v>
      </c>
      <c r="AZ39" s="1296"/>
      <c r="BA39" s="1297"/>
      <c r="BB39" s="1298">
        <f t="shared" si="67"/>
        <v>2319933</v>
      </c>
      <c r="BC39" s="1299"/>
      <c r="BD39" s="1296">
        <f t="shared" si="68"/>
        <v>0</v>
      </c>
      <c r="BE39" s="1296"/>
      <c r="BF39" s="1296"/>
      <c r="BG39" s="1296">
        <f t="shared" si="69"/>
        <v>0</v>
      </c>
      <c r="BH39" s="1296"/>
      <c r="BI39" s="1296"/>
      <c r="BJ39" s="1296"/>
      <c r="BK39" s="1296"/>
      <c r="BL39" s="1296"/>
      <c r="BM39" s="1297"/>
      <c r="BN39" s="1298">
        <f t="shared" si="70"/>
        <v>0</v>
      </c>
      <c r="BO39" s="1302">
        <f t="shared" si="71"/>
        <v>2811129</v>
      </c>
      <c r="BP39" s="648"/>
    </row>
    <row r="40" spans="2:68" ht="14.1" customHeight="1">
      <c r="B40" s="12"/>
      <c r="C40" s="12"/>
      <c r="D40" s="1745" t="s">
        <v>2468</v>
      </c>
      <c r="E40" s="1746"/>
      <c r="F40" s="1747" t="s">
        <v>2455</v>
      </c>
      <c r="G40" s="1303"/>
      <c r="H40" s="1304"/>
      <c r="I40" s="1304"/>
      <c r="J40" s="1304"/>
      <c r="K40" s="1304"/>
      <c r="L40" s="1304"/>
      <c r="M40" s="1304"/>
      <c r="N40" s="1304"/>
      <c r="O40" s="1304"/>
      <c r="P40" s="1304"/>
      <c r="Q40" s="1304"/>
      <c r="R40" s="1304"/>
      <c r="S40" s="1304"/>
      <c r="T40" s="1304"/>
      <c r="U40" s="1305"/>
      <c r="V40" s="1306">
        <f t="shared" si="65"/>
        <v>0</v>
      </c>
      <c r="W40" s="1307"/>
      <c r="X40" s="1304"/>
      <c r="Y40" s="1304"/>
      <c r="Z40" s="1304"/>
      <c r="AA40" s="1304"/>
      <c r="AB40" s="1304"/>
      <c r="AC40" s="1304"/>
      <c r="AD40" s="1304"/>
      <c r="AE40" s="1304"/>
      <c r="AF40" s="1304"/>
      <c r="AG40" s="1304"/>
      <c r="AH40" s="1304"/>
      <c r="AI40" s="1304"/>
      <c r="AJ40" s="1304"/>
      <c r="AK40" s="1305"/>
      <c r="AL40" s="1306">
        <f t="shared" si="66"/>
        <v>0</v>
      </c>
      <c r="AM40" s="1308"/>
      <c r="AN40" s="1309"/>
      <c r="AO40" s="1309"/>
      <c r="AP40" s="1309"/>
      <c r="AQ40" s="1309"/>
      <c r="AR40" s="1309"/>
      <c r="AS40" s="1309"/>
      <c r="AT40" s="1309"/>
      <c r="AU40" s="1309"/>
      <c r="AV40" s="1309"/>
      <c r="AW40" s="1309"/>
      <c r="AX40" s="1309"/>
      <c r="AY40" s="1309"/>
      <c r="AZ40" s="1309"/>
      <c r="BA40" s="1310"/>
      <c r="BB40" s="1306">
        <f t="shared" si="67"/>
        <v>0</v>
      </c>
      <c r="BC40" s="1308"/>
      <c r="BD40" s="1309">
        <f t="shared" si="68"/>
        <v>0</v>
      </c>
      <c r="BE40" s="1309"/>
      <c r="BF40" s="1309"/>
      <c r="BG40" s="1309">
        <f t="shared" si="69"/>
        <v>0</v>
      </c>
      <c r="BH40" s="1309"/>
      <c r="BI40" s="1309"/>
      <c r="BJ40" s="1309"/>
      <c r="BK40" s="1309"/>
      <c r="BL40" s="1309"/>
      <c r="BM40" s="1310"/>
      <c r="BN40" s="1306">
        <f t="shared" si="70"/>
        <v>0</v>
      </c>
      <c r="BO40" s="1311">
        <f t="shared" si="71"/>
        <v>0</v>
      </c>
      <c r="BP40" s="146"/>
    </row>
    <row r="41" spans="2:68" ht="14.1" customHeight="1">
      <c r="B41" s="12"/>
      <c r="C41" s="12"/>
      <c r="D41" s="1745" t="s">
        <v>2469</v>
      </c>
      <c r="E41" s="1746"/>
      <c r="F41" s="1747" t="s">
        <v>2456</v>
      </c>
      <c r="G41" s="1303">
        <v>55395</v>
      </c>
      <c r="H41" s="1304">
        <v>236905</v>
      </c>
      <c r="I41" s="1304">
        <v>0</v>
      </c>
      <c r="J41" s="1304">
        <v>92250</v>
      </c>
      <c r="K41" s="1304">
        <v>1607533</v>
      </c>
      <c r="L41" s="1304">
        <v>199040</v>
      </c>
      <c r="M41" s="1304">
        <v>0</v>
      </c>
      <c r="N41" s="1304">
        <v>0</v>
      </c>
      <c r="O41" s="1304">
        <v>0</v>
      </c>
      <c r="P41" s="1304">
        <v>0</v>
      </c>
      <c r="Q41" s="1304">
        <v>0</v>
      </c>
      <c r="R41" s="1304">
        <v>0</v>
      </c>
      <c r="S41" s="1304">
        <v>1295</v>
      </c>
      <c r="T41" s="1304">
        <v>0</v>
      </c>
      <c r="U41" s="1305">
        <v>0</v>
      </c>
      <c r="V41" s="1306">
        <f t="shared" si="65"/>
        <v>2192418</v>
      </c>
      <c r="W41" s="1307">
        <v>0</v>
      </c>
      <c r="X41" s="1304">
        <v>0</v>
      </c>
      <c r="Y41" s="1304">
        <v>0</v>
      </c>
      <c r="Z41" s="1304">
        <v>0</v>
      </c>
      <c r="AA41" s="1304">
        <v>0</v>
      </c>
      <c r="AB41" s="1304">
        <v>0</v>
      </c>
      <c r="AC41" s="1304">
        <v>0</v>
      </c>
      <c r="AD41" s="1304">
        <v>0</v>
      </c>
      <c r="AE41" s="1304">
        <v>0</v>
      </c>
      <c r="AF41" s="1304">
        <v>0</v>
      </c>
      <c r="AG41" s="1304">
        <v>0</v>
      </c>
      <c r="AH41" s="1304">
        <v>0</v>
      </c>
      <c r="AI41" s="1304">
        <v>6554</v>
      </c>
      <c r="AJ41" s="1304">
        <v>0</v>
      </c>
      <c r="AK41" s="1305">
        <v>0</v>
      </c>
      <c r="AL41" s="1306">
        <f t="shared" si="66"/>
        <v>6554</v>
      </c>
      <c r="AM41" s="1308"/>
      <c r="AN41" s="1309"/>
      <c r="AO41" s="1309"/>
      <c r="AP41" s="1309"/>
      <c r="AQ41" s="1309"/>
      <c r="AR41" s="1309"/>
      <c r="AS41" s="1309"/>
      <c r="AT41" s="1309"/>
      <c r="AU41" s="1309"/>
      <c r="AV41" s="1309"/>
      <c r="AW41" s="1309"/>
      <c r="AX41" s="1309"/>
      <c r="AY41" s="1309">
        <v>730733</v>
      </c>
      <c r="AZ41" s="1309"/>
      <c r="BA41" s="1310"/>
      <c r="BB41" s="1306">
        <f t="shared" si="67"/>
        <v>730733</v>
      </c>
      <c r="BC41" s="1308"/>
      <c r="BD41" s="1309">
        <f t="shared" si="68"/>
        <v>0</v>
      </c>
      <c r="BE41" s="1309"/>
      <c r="BF41" s="1309"/>
      <c r="BG41" s="1309">
        <f t="shared" si="69"/>
        <v>0</v>
      </c>
      <c r="BH41" s="1309"/>
      <c r="BI41" s="1309"/>
      <c r="BJ41" s="1309"/>
      <c r="BK41" s="1309"/>
      <c r="BL41" s="1309"/>
      <c r="BM41" s="1310"/>
      <c r="BN41" s="1306">
        <f t="shared" si="70"/>
        <v>0</v>
      </c>
      <c r="BO41" s="1311">
        <f t="shared" si="71"/>
        <v>2929705</v>
      </c>
      <c r="BP41" s="146"/>
    </row>
    <row r="42" spans="2:68" ht="14.1" customHeight="1">
      <c r="B42" s="12"/>
      <c r="C42" s="12"/>
      <c r="D42" s="1745" t="s">
        <v>2470</v>
      </c>
      <c r="E42" s="1746" t="s">
        <v>2457</v>
      </c>
      <c r="F42" s="1747"/>
      <c r="G42" s="1303"/>
      <c r="H42" s="1304"/>
      <c r="I42" s="1304"/>
      <c r="J42" s="1304"/>
      <c r="K42" s="1304"/>
      <c r="L42" s="1304"/>
      <c r="M42" s="1304"/>
      <c r="N42" s="1304"/>
      <c r="O42" s="1304"/>
      <c r="P42" s="1304"/>
      <c r="Q42" s="1304"/>
      <c r="R42" s="1304"/>
      <c r="S42" s="1304"/>
      <c r="T42" s="1304"/>
      <c r="U42" s="1305"/>
      <c r="V42" s="1306">
        <f t="shared" si="65"/>
        <v>0</v>
      </c>
      <c r="W42" s="1307"/>
      <c r="X42" s="1304"/>
      <c r="Y42" s="1304"/>
      <c r="Z42" s="1304"/>
      <c r="AA42" s="1304"/>
      <c r="AB42" s="1304"/>
      <c r="AC42" s="1304"/>
      <c r="AD42" s="1304"/>
      <c r="AE42" s="1304"/>
      <c r="AF42" s="1304"/>
      <c r="AG42" s="1304"/>
      <c r="AH42" s="1304"/>
      <c r="AI42" s="1304"/>
      <c r="AJ42" s="1304"/>
      <c r="AK42" s="1305"/>
      <c r="AL42" s="1306">
        <f t="shared" si="66"/>
        <v>0</v>
      </c>
      <c r="AM42" s="1308"/>
      <c r="AN42" s="1309"/>
      <c r="AO42" s="1309"/>
      <c r="AP42" s="1309"/>
      <c r="AQ42" s="1309"/>
      <c r="AR42" s="1309"/>
      <c r="AS42" s="1309"/>
      <c r="AT42" s="1309"/>
      <c r="AU42" s="1309"/>
      <c r="AV42" s="1309"/>
      <c r="AW42" s="1309"/>
      <c r="AX42" s="1309"/>
      <c r="AY42" s="1309"/>
      <c r="AZ42" s="1309"/>
      <c r="BA42" s="1310"/>
      <c r="BB42" s="1306">
        <f t="shared" si="67"/>
        <v>0</v>
      </c>
      <c r="BC42" s="1308"/>
      <c r="BD42" s="1309">
        <f t="shared" si="68"/>
        <v>0</v>
      </c>
      <c r="BE42" s="1309"/>
      <c r="BF42" s="1309"/>
      <c r="BG42" s="1309">
        <f t="shared" si="69"/>
        <v>0</v>
      </c>
      <c r="BH42" s="1309"/>
      <c r="BI42" s="1309"/>
      <c r="BJ42" s="1309"/>
      <c r="BK42" s="1309"/>
      <c r="BL42" s="1309"/>
      <c r="BM42" s="1310"/>
      <c r="BN42" s="1306">
        <f t="shared" si="70"/>
        <v>0</v>
      </c>
      <c r="BO42" s="1311">
        <f t="shared" si="71"/>
        <v>0</v>
      </c>
      <c r="BP42" s="146"/>
    </row>
    <row r="43" spans="2:68" s="8" customFormat="1" ht="14.1" customHeight="1" thickBot="1">
      <c r="B43" s="24"/>
      <c r="C43" s="24"/>
      <c r="D43" s="1748" t="s">
        <v>2471</v>
      </c>
      <c r="E43" s="1749"/>
      <c r="F43" s="1750"/>
      <c r="G43" s="1344">
        <f>G38+G39++G40-G41-G42</f>
        <v>2794348</v>
      </c>
      <c r="H43" s="1345">
        <f t="shared" ref="H43:BO43" si="72">H38+H39++H40-H41-H42</f>
        <v>2206962</v>
      </c>
      <c r="I43" s="1345">
        <f t="shared" si="72"/>
        <v>0</v>
      </c>
      <c r="J43" s="1345">
        <f t="shared" si="72"/>
        <v>6112181</v>
      </c>
      <c r="K43" s="1345">
        <f t="shared" si="72"/>
        <v>0</v>
      </c>
      <c r="L43" s="1345">
        <f t="shared" si="72"/>
        <v>21573608</v>
      </c>
      <c r="M43" s="1345">
        <f t="shared" si="72"/>
        <v>0</v>
      </c>
      <c r="N43" s="1345">
        <f t="shared" si="72"/>
        <v>0</v>
      </c>
      <c r="O43" s="1345">
        <f t="shared" si="72"/>
        <v>0</v>
      </c>
      <c r="P43" s="1345">
        <f t="shared" si="72"/>
        <v>0</v>
      </c>
      <c r="Q43" s="1345">
        <f t="shared" si="72"/>
        <v>0</v>
      </c>
      <c r="R43" s="1345">
        <f t="shared" si="72"/>
        <v>0</v>
      </c>
      <c r="S43" s="1345">
        <f t="shared" si="72"/>
        <v>0</v>
      </c>
      <c r="T43" s="1345">
        <f t="shared" si="72"/>
        <v>0</v>
      </c>
      <c r="U43" s="1346">
        <f t="shared" si="72"/>
        <v>0</v>
      </c>
      <c r="V43" s="1347">
        <f t="shared" si="72"/>
        <v>32687099</v>
      </c>
      <c r="W43" s="1348">
        <f t="shared" si="72"/>
        <v>0</v>
      </c>
      <c r="X43" s="1345">
        <f t="shared" si="72"/>
        <v>0</v>
      </c>
      <c r="Y43" s="1345">
        <f t="shared" si="72"/>
        <v>0</v>
      </c>
      <c r="Z43" s="1345">
        <f t="shared" si="72"/>
        <v>0</v>
      </c>
      <c r="AA43" s="1345">
        <f t="shared" si="72"/>
        <v>0</v>
      </c>
      <c r="AB43" s="1345">
        <f t="shared" si="72"/>
        <v>0</v>
      </c>
      <c r="AC43" s="1345">
        <f t="shared" si="72"/>
        <v>0</v>
      </c>
      <c r="AD43" s="1345">
        <f t="shared" si="72"/>
        <v>0</v>
      </c>
      <c r="AE43" s="1345">
        <f t="shared" si="72"/>
        <v>0</v>
      </c>
      <c r="AF43" s="1345">
        <f t="shared" si="72"/>
        <v>0</v>
      </c>
      <c r="AG43" s="1345">
        <f t="shared" si="72"/>
        <v>0</v>
      </c>
      <c r="AH43" s="1345">
        <f t="shared" si="72"/>
        <v>0</v>
      </c>
      <c r="AI43" s="1345">
        <f t="shared" si="72"/>
        <v>349197</v>
      </c>
      <c r="AJ43" s="1345">
        <f t="shared" si="72"/>
        <v>0</v>
      </c>
      <c r="AK43" s="1346">
        <f t="shared" si="72"/>
        <v>0</v>
      </c>
      <c r="AL43" s="1347">
        <f t="shared" si="72"/>
        <v>349197</v>
      </c>
      <c r="AM43" s="1348">
        <f t="shared" si="72"/>
        <v>0</v>
      </c>
      <c r="AN43" s="1345">
        <f t="shared" si="72"/>
        <v>0</v>
      </c>
      <c r="AO43" s="1345">
        <f t="shared" si="72"/>
        <v>0</v>
      </c>
      <c r="AP43" s="1345">
        <f t="shared" si="72"/>
        <v>0</v>
      </c>
      <c r="AQ43" s="1345">
        <f t="shared" si="72"/>
        <v>0</v>
      </c>
      <c r="AR43" s="1345">
        <f t="shared" si="72"/>
        <v>0</v>
      </c>
      <c r="AS43" s="1345">
        <f t="shared" si="72"/>
        <v>0</v>
      </c>
      <c r="AT43" s="1345">
        <f t="shared" si="72"/>
        <v>0</v>
      </c>
      <c r="AU43" s="1345">
        <f t="shared" si="72"/>
        <v>0</v>
      </c>
      <c r="AV43" s="1345">
        <f t="shared" si="72"/>
        <v>0</v>
      </c>
      <c r="AW43" s="1345">
        <f t="shared" si="72"/>
        <v>0</v>
      </c>
      <c r="AX43" s="1345">
        <f t="shared" si="72"/>
        <v>0</v>
      </c>
      <c r="AY43" s="1345">
        <f t="shared" si="72"/>
        <v>1589200</v>
      </c>
      <c r="AZ43" s="1345">
        <f t="shared" si="72"/>
        <v>0</v>
      </c>
      <c r="BA43" s="1346">
        <f t="shared" si="72"/>
        <v>0</v>
      </c>
      <c r="BB43" s="1347">
        <f t="shared" si="72"/>
        <v>1589200</v>
      </c>
      <c r="BC43" s="1348">
        <f t="shared" si="72"/>
        <v>0</v>
      </c>
      <c r="BD43" s="1345">
        <f t="shared" si="72"/>
        <v>0</v>
      </c>
      <c r="BE43" s="1345">
        <f t="shared" si="72"/>
        <v>0</v>
      </c>
      <c r="BF43" s="1345">
        <f t="shared" si="72"/>
        <v>0</v>
      </c>
      <c r="BG43" s="1345">
        <f t="shared" si="72"/>
        <v>0</v>
      </c>
      <c r="BH43" s="1345">
        <f t="shared" si="72"/>
        <v>0</v>
      </c>
      <c r="BI43" s="1345">
        <f t="shared" si="72"/>
        <v>0</v>
      </c>
      <c r="BJ43" s="1345">
        <f t="shared" si="72"/>
        <v>0</v>
      </c>
      <c r="BK43" s="1345">
        <f t="shared" si="72"/>
        <v>0</v>
      </c>
      <c r="BL43" s="1345">
        <f t="shared" si="72"/>
        <v>0</v>
      </c>
      <c r="BM43" s="1346">
        <f t="shared" si="72"/>
        <v>0</v>
      </c>
      <c r="BN43" s="1347">
        <f t="shared" si="72"/>
        <v>0</v>
      </c>
      <c r="BO43" s="1349">
        <f t="shared" si="72"/>
        <v>34625496</v>
      </c>
      <c r="BP43" s="608"/>
    </row>
    <row r="48" spans="2:68">
      <c r="B48" s="1584" t="s">
        <v>2472</v>
      </c>
      <c r="C48" s="1584"/>
      <c r="D48" s="1584"/>
      <c r="E48" s="1584"/>
      <c r="F48" s="1584"/>
    </row>
    <row r="49" spans="2:68" ht="15.75" thickBot="1"/>
    <row r="50" spans="2:68" s="146" customFormat="1" ht="12.75" customHeight="1" thickBot="1">
      <c r="B50" s="2"/>
      <c r="C50" s="2"/>
      <c r="D50" s="657"/>
      <c r="E50" s="195"/>
      <c r="F50" s="658"/>
      <c r="G50" s="1740" t="s">
        <v>2410</v>
      </c>
      <c r="H50" s="1741"/>
      <c r="I50" s="1741"/>
      <c r="J50" s="1741"/>
      <c r="K50" s="1741"/>
      <c r="L50" s="1741"/>
      <c r="M50" s="1741"/>
      <c r="N50" s="1741"/>
      <c r="O50" s="1741"/>
      <c r="P50" s="1741"/>
      <c r="Q50" s="1741"/>
      <c r="R50" s="1741"/>
      <c r="S50" s="1741"/>
      <c r="T50" s="1741"/>
      <c r="U50" s="1741"/>
      <c r="V50" s="1742"/>
      <c r="W50" s="1743" t="s">
        <v>2412</v>
      </c>
      <c r="X50" s="1743"/>
      <c r="Y50" s="1743"/>
      <c r="Z50" s="1743"/>
      <c r="AA50" s="1743"/>
      <c r="AB50" s="1743"/>
      <c r="AC50" s="1743"/>
      <c r="AD50" s="1743"/>
      <c r="AE50" s="1743"/>
      <c r="AF50" s="1743"/>
      <c r="AG50" s="1743"/>
      <c r="AH50" s="1743"/>
      <c r="AI50" s="1743"/>
      <c r="AJ50" s="1743"/>
      <c r="AK50" s="1743"/>
      <c r="AL50" s="1743"/>
      <c r="AM50" s="1743" t="s">
        <v>2413</v>
      </c>
      <c r="AN50" s="1743"/>
      <c r="AO50" s="1743"/>
      <c r="AP50" s="1743"/>
      <c r="AQ50" s="1743"/>
      <c r="AR50" s="1743"/>
      <c r="AS50" s="1743"/>
      <c r="AT50" s="1743"/>
      <c r="AU50" s="1743"/>
      <c r="AV50" s="1743"/>
      <c r="AW50" s="1743"/>
      <c r="AX50" s="1743"/>
      <c r="AY50" s="1743"/>
      <c r="AZ50" s="1743"/>
      <c r="BA50" s="1743"/>
      <c r="BB50" s="1743"/>
      <c r="BC50" s="1743" t="s">
        <v>2411</v>
      </c>
      <c r="BD50" s="1743"/>
      <c r="BE50" s="1743"/>
      <c r="BF50" s="1743"/>
      <c r="BG50" s="1743"/>
      <c r="BH50" s="1743"/>
      <c r="BI50" s="1743"/>
      <c r="BJ50" s="1743"/>
      <c r="BK50" s="1743"/>
      <c r="BL50" s="1743"/>
      <c r="BM50" s="1743"/>
      <c r="BN50" s="1743"/>
      <c r="BO50" s="1569">
        <v>999</v>
      </c>
    </row>
    <row r="51" spans="2:68" s="183" customFormat="1" ht="54.95" customHeight="1" thickBot="1">
      <c r="B51" s="184"/>
      <c r="C51" s="184"/>
      <c r="D51" s="659"/>
      <c r="E51" s="184"/>
      <c r="F51" s="660"/>
      <c r="G51" s="643">
        <v>101</v>
      </c>
      <c r="H51" s="643" t="s">
        <v>777</v>
      </c>
      <c r="I51" s="642" t="s">
        <v>778</v>
      </c>
      <c r="J51" s="642" t="s">
        <v>779</v>
      </c>
      <c r="K51" s="642" t="s">
        <v>780</v>
      </c>
      <c r="L51" s="642" t="s">
        <v>781</v>
      </c>
      <c r="M51" s="642" t="s">
        <v>782</v>
      </c>
      <c r="N51" s="642" t="s">
        <v>783</v>
      </c>
      <c r="O51" s="642" t="s">
        <v>784</v>
      </c>
      <c r="P51" s="642" t="s">
        <v>785</v>
      </c>
      <c r="Q51" s="642" t="s">
        <v>786</v>
      </c>
      <c r="R51" s="642" t="s">
        <v>787</v>
      </c>
      <c r="S51" s="642" t="s">
        <v>788</v>
      </c>
      <c r="T51" s="642" t="s">
        <v>789</v>
      </c>
      <c r="U51" s="642" t="s">
        <v>790</v>
      </c>
      <c r="V51" s="570">
        <v>100</v>
      </c>
      <c r="W51" s="641" t="s">
        <v>791</v>
      </c>
      <c r="X51" s="641" t="s">
        <v>792</v>
      </c>
      <c r="Y51" s="641" t="s">
        <v>793</v>
      </c>
      <c r="Z51" s="641" t="s">
        <v>794</v>
      </c>
      <c r="AA51" s="641" t="s">
        <v>795</v>
      </c>
      <c r="AB51" s="641" t="s">
        <v>796</v>
      </c>
      <c r="AC51" s="641" t="s">
        <v>797</v>
      </c>
      <c r="AD51" s="641" t="s">
        <v>798</v>
      </c>
      <c r="AE51" s="641" t="s">
        <v>799</v>
      </c>
      <c r="AF51" s="641" t="s">
        <v>800</v>
      </c>
      <c r="AG51" s="641" t="s">
        <v>801</v>
      </c>
      <c r="AH51" s="641" t="s">
        <v>802</v>
      </c>
      <c r="AI51" s="641" t="s">
        <v>803</v>
      </c>
      <c r="AJ51" s="641" t="s">
        <v>804</v>
      </c>
      <c r="AK51" s="641" t="s">
        <v>805</v>
      </c>
      <c r="AL51" s="571">
        <v>200</v>
      </c>
      <c r="AM51" s="641" t="s">
        <v>806</v>
      </c>
      <c r="AN51" s="641" t="s">
        <v>807</v>
      </c>
      <c r="AO51" s="641" t="s">
        <v>808</v>
      </c>
      <c r="AP51" s="641" t="s">
        <v>809</v>
      </c>
      <c r="AQ51" s="641" t="s">
        <v>810</v>
      </c>
      <c r="AR51" s="641" t="s">
        <v>811</v>
      </c>
      <c r="AS51" s="641" t="s">
        <v>812</v>
      </c>
      <c r="AT51" s="641" t="s">
        <v>813</v>
      </c>
      <c r="AU51" s="641" t="s">
        <v>814</v>
      </c>
      <c r="AV51" s="641" t="s">
        <v>815</v>
      </c>
      <c r="AW51" s="641" t="s">
        <v>816</v>
      </c>
      <c r="AX51" s="641" t="s">
        <v>817</v>
      </c>
      <c r="AY51" s="641" t="s">
        <v>818</v>
      </c>
      <c r="AZ51" s="641" t="s">
        <v>819</v>
      </c>
      <c r="BA51" s="641" t="s">
        <v>820</v>
      </c>
      <c r="BB51" s="571">
        <v>300</v>
      </c>
      <c r="BC51" s="641" t="s">
        <v>821</v>
      </c>
      <c r="BD51" s="641" t="s">
        <v>822</v>
      </c>
      <c r="BE51" s="641" t="s">
        <v>823</v>
      </c>
      <c r="BF51" s="641" t="s">
        <v>824</v>
      </c>
      <c r="BG51" s="641" t="s">
        <v>825</v>
      </c>
      <c r="BH51" s="641" t="s">
        <v>826</v>
      </c>
      <c r="BI51" s="641" t="s">
        <v>827</v>
      </c>
      <c r="BJ51" s="641" t="s">
        <v>828</v>
      </c>
      <c r="BK51" s="641" t="s">
        <v>829</v>
      </c>
      <c r="BL51" s="641" t="s">
        <v>830</v>
      </c>
      <c r="BM51" s="641" t="s">
        <v>831</v>
      </c>
      <c r="BN51" s="571">
        <v>400</v>
      </c>
      <c r="BO51" s="1570"/>
    </row>
    <row r="52" spans="2:68" s="30" customFormat="1" ht="14.1" customHeight="1">
      <c r="B52" s="25"/>
      <c r="C52" s="25"/>
      <c r="D52" s="1745" t="s">
        <v>2473</v>
      </c>
      <c r="E52" s="1746"/>
      <c r="F52" s="1747"/>
      <c r="G52" s="1295">
        <v>0</v>
      </c>
      <c r="H52" s="1296">
        <v>31573</v>
      </c>
      <c r="I52" s="1296">
        <v>318019</v>
      </c>
      <c r="J52" s="1296">
        <v>0</v>
      </c>
      <c r="K52" s="1296">
        <v>0</v>
      </c>
      <c r="L52" s="1296">
        <v>0</v>
      </c>
      <c r="M52" s="1296">
        <v>7576572</v>
      </c>
      <c r="N52" s="1296">
        <v>30547</v>
      </c>
      <c r="O52" s="1296">
        <v>321381</v>
      </c>
      <c r="P52" s="1296">
        <v>146211</v>
      </c>
      <c r="Q52" s="1296">
        <v>0</v>
      </c>
      <c r="R52" s="1296">
        <v>0</v>
      </c>
      <c r="S52" s="1296">
        <v>0</v>
      </c>
      <c r="T52" s="1296">
        <v>0</v>
      </c>
      <c r="U52" s="1297">
        <v>0</v>
      </c>
      <c r="V52" s="1298">
        <f t="shared" ref="V52:V55" si="73">SUM(G52:U52)</f>
        <v>8424303</v>
      </c>
      <c r="W52" s="1299">
        <v>0</v>
      </c>
      <c r="X52" s="1296">
        <v>792842</v>
      </c>
      <c r="Y52" s="1296">
        <v>0</v>
      </c>
      <c r="Z52" s="1296">
        <v>0</v>
      </c>
      <c r="AA52" s="1296">
        <v>0</v>
      </c>
      <c r="AB52" s="1296">
        <v>0</v>
      </c>
      <c r="AC52" s="1296">
        <v>0</v>
      </c>
      <c r="AD52" s="1296">
        <v>221175</v>
      </c>
      <c r="AE52" s="1296">
        <v>5422651</v>
      </c>
      <c r="AF52" s="1296">
        <v>505924</v>
      </c>
      <c r="AG52" s="1296">
        <v>0</v>
      </c>
      <c r="AH52" s="1296">
        <v>0</v>
      </c>
      <c r="AI52" s="1296">
        <v>184761</v>
      </c>
      <c r="AJ52" s="1296">
        <v>0</v>
      </c>
      <c r="AK52" s="1297">
        <v>0</v>
      </c>
      <c r="AL52" s="1298">
        <f t="shared" ref="AL52:AL55" si="74">SUM(W52:AK52)</f>
        <v>7127353</v>
      </c>
      <c r="AM52" s="1299">
        <v>0</v>
      </c>
      <c r="AN52" s="1296">
        <v>49</v>
      </c>
      <c r="AO52" s="1296">
        <v>5071</v>
      </c>
      <c r="AP52" s="1296">
        <v>0</v>
      </c>
      <c r="AQ52" s="1296">
        <v>0</v>
      </c>
      <c r="AR52" s="1296">
        <v>0</v>
      </c>
      <c r="AS52" s="1296">
        <v>0</v>
      </c>
      <c r="AT52" s="1296">
        <v>739</v>
      </c>
      <c r="AU52" s="1296">
        <v>24012</v>
      </c>
      <c r="AV52" s="1296">
        <v>15082</v>
      </c>
      <c r="AW52" s="1296">
        <v>0</v>
      </c>
      <c r="AX52" s="1296">
        <v>0</v>
      </c>
      <c r="AY52" s="1296">
        <v>-28646</v>
      </c>
      <c r="AZ52" s="1296">
        <v>0</v>
      </c>
      <c r="BA52" s="1297">
        <v>0</v>
      </c>
      <c r="BB52" s="1298">
        <f t="shared" ref="BB52:BB55" si="75">SUM(AM52:BA52)</f>
        <v>16307</v>
      </c>
      <c r="BC52" s="1299">
        <v>0</v>
      </c>
      <c r="BD52" s="1296">
        <v>0</v>
      </c>
      <c r="BE52" s="1296">
        <v>0</v>
      </c>
      <c r="BF52" s="1296">
        <v>0</v>
      </c>
      <c r="BG52" s="1296">
        <v>0</v>
      </c>
      <c r="BH52" s="1296">
        <v>0</v>
      </c>
      <c r="BI52" s="1296">
        <v>0</v>
      </c>
      <c r="BJ52" s="1296">
        <v>0</v>
      </c>
      <c r="BK52" s="1296">
        <v>0</v>
      </c>
      <c r="BL52" s="1296">
        <v>53039</v>
      </c>
      <c r="BM52" s="1297">
        <v>0</v>
      </c>
      <c r="BN52" s="1300">
        <f t="shared" ref="BN52:BN55" si="76">BC52+BD52+BG52+BJ52+BK52+BL52+BM52</f>
        <v>53039</v>
      </c>
      <c r="BO52" s="1301">
        <f t="shared" ref="BO52:BO55" si="77">V52+AL52+BB52+BN52</f>
        <v>15621002</v>
      </c>
      <c r="BP52" s="648"/>
    </row>
    <row r="53" spans="2:68" s="30" customFormat="1" ht="14.1" customHeight="1">
      <c r="B53" s="25"/>
      <c r="C53" s="25"/>
      <c r="D53" s="1745" t="s">
        <v>2474</v>
      </c>
      <c r="E53" s="1746" t="s">
        <v>2454</v>
      </c>
      <c r="F53" s="1747"/>
      <c r="G53" s="1295">
        <v>2794348</v>
      </c>
      <c r="H53" s="1296">
        <v>2206962</v>
      </c>
      <c r="I53" s="1296">
        <v>0</v>
      </c>
      <c r="J53" s="1296">
        <v>6112181</v>
      </c>
      <c r="K53" s="1296">
        <v>0</v>
      </c>
      <c r="L53" s="1296">
        <v>21573608</v>
      </c>
      <c r="M53" s="1296">
        <v>0</v>
      </c>
      <c r="N53" s="1296">
        <v>0</v>
      </c>
      <c r="O53" s="1296">
        <v>0</v>
      </c>
      <c r="P53" s="1296">
        <v>0</v>
      </c>
      <c r="Q53" s="1296">
        <v>0</v>
      </c>
      <c r="R53" s="1296">
        <v>0</v>
      </c>
      <c r="S53" s="1296">
        <v>0</v>
      </c>
      <c r="T53" s="1296">
        <v>0</v>
      </c>
      <c r="U53" s="1297">
        <v>0</v>
      </c>
      <c r="V53" s="1298">
        <f t="shared" si="73"/>
        <v>32687099</v>
      </c>
      <c r="W53" s="1299">
        <v>0</v>
      </c>
      <c r="X53" s="1296">
        <v>0</v>
      </c>
      <c r="Y53" s="1296">
        <v>0</v>
      </c>
      <c r="Z53" s="1296">
        <v>0</v>
      </c>
      <c r="AA53" s="1296">
        <v>0</v>
      </c>
      <c r="AB53" s="1296">
        <v>0</v>
      </c>
      <c r="AC53" s="1296">
        <v>0</v>
      </c>
      <c r="AD53" s="1296">
        <v>0</v>
      </c>
      <c r="AE53" s="1296">
        <v>0</v>
      </c>
      <c r="AF53" s="1296">
        <v>0</v>
      </c>
      <c r="AG53" s="1296">
        <v>0</v>
      </c>
      <c r="AH53" s="1296">
        <v>0</v>
      </c>
      <c r="AI53" s="1296">
        <v>349197</v>
      </c>
      <c r="AJ53" s="1296">
        <v>0</v>
      </c>
      <c r="AK53" s="1297">
        <v>0</v>
      </c>
      <c r="AL53" s="1298">
        <f t="shared" si="74"/>
        <v>349197</v>
      </c>
      <c r="AM53" s="1299">
        <v>0</v>
      </c>
      <c r="AN53" s="1296">
        <v>0</v>
      </c>
      <c r="AO53" s="1296">
        <v>0</v>
      </c>
      <c r="AP53" s="1296">
        <v>0</v>
      </c>
      <c r="AQ53" s="1296">
        <v>0</v>
      </c>
      <c r="AR53" s="1296">
        <v>0</v>
      </c>
      <c r="AS53" s="1296">
        <v>0</v>
      </c>
      <c r="AT53" s="1296">
        <v>0</v>
      </c>
      <c r="AU53" s="1296">
        <v>0</v>
      </c>
      <c r="AV53" s="1296">
        <v>0</v>
      </c>
      <c r="AW53" s="1296">
        <v>0</v>
      </c>
      <c r="AX53" s="1296">
        <v>0</v>
      </c>
      <c r="AY53" s="1296">
        <v>1589200</v>
      </c>
      <c r="AZ53" s="1296">
        <v>0</v>
      </c>
      <c r="BA53" s="1297">
        <v>0</v>
      </c>
      <c r="BB53" s="1298">
        <f t="shared" si="75"/>
        <v>1589200</v>
      </c>
      <c r="BC53" s="1299">
        <v>0</v>
      </c>
      <c r="BD53" s="1296">
        <v>0</v>
      </c>
      <c r="BE53" s="1296">
        <v>0</v>
      </c>
      <c r="BF53" s="1296">
        <v>0</v>
      </c>
      <c r="BG53" s="1296">
        <v>0</v>
      </c>
      <c r="BH53" s="1296">
        <v>0</v>
      </c>
      <c r="BI53" s="1296">
        <v>0</v>
      </c>
      <c r="BJ53" s="1296">
        <v>0</v>
      </c>
      <c r="BK53" s="1296">
        <v>0</v>
      </c>
      <c r="BL53" s="1296">
        <v>0</v>
      </c>
      <c r="BM53" s="1297">
        <v>0</v>
      </c>
      <c r="BN53" s="1298">
        <f t="shared" si="76"/>
        <v>0</v>
      </c>
      <c r="BO53" s="1302">
        <f t="shared" si="77"/>
        <v>34625496</v>
      </c>
      <c r="BP53" s="648"/>
    </row>
    <row r="54" spans="2:68" ht="14.1" customHeight="1">
      <c r="B54" s="12"/>
      <c r="C54" s="12"/>
      <c r="D54" s="1745" t="s">
        <v>2475</v>
      </c>
      <c r="E54" s="1746"/>
      <c r="F54" s="1747" t="s">
        <v>2455</v>
      </c>
      <c r="G54" s="1303">
        <v>0</v>
      </c>
      <c r="H54" s="1304">
        <v>0</v>
      </c>
      <c r="I54" s="1304">
        <v>0</v>
      </c>
      <c r="J54" s="1304">
        <v>0</v>
      </c>
      <c r="K54" s="1304">
        <v>0</v>
      </c>
      <c r="L54" s="1304">
        <v>0</v>
      </c>
      <c r="M54" s="1304">
        <v>0</v>
      </c>
      <c r="N54" s="1304">
        <v>0</v>
      </c>
      <c r="O54" s="1304">
        <v>0</v>
      </c>
      <c r="P54" s="1304">
        <v>0</v>
      </c>
      <c r="Q54" s="1304">
        <v>0</v>
      </c>
      <c r="R54" s="1304">
        <v>0</v>
      </c>
      <c r="S54" s="1304">
        <v>0</v>
      </c>
      <c r="T54" s="1304">
        <v>0</v>
      </c>
      <c r="U54" s="1305">
        <v>0</v>
      </c>
      <c r="V54" s="1298">
        <f t="shared" si="73"/>
        <v>0</v>
      </c>
      <c r="W54" s="1307">
        <v>0</v>
      </c>
      <c r="X54" s="1304">
        <v>0</v>
      </c>
      <c r="Y54" s="1304">
        <v>0</v>
      </c>
      <c r="Z54" s="1304">
        <v>0</v>
      </c>
      <c r="AA54" s="1304">
        <v>0</v>
      </c>
      <c r="AB54" s="1304">
        <v>0</v>
      </c>
      <c r="AC54" s="1304">
        <v>0</v>
      </c>
      <c r="AD54" s="1304">
        <v>0</v>
      </c>
      <c r="AE54" s="1304">
        <v>0</v>
      </c>
      <c r="AF54" s="1304">
        <v>0</v>
      </c>
      <c r="AG54" s="1304">
        <v>0</v>
      </c>
      <c r="AH54" s="1304">
        <v>0</v>
      </c>
      <c r="AI54" s="1304">
        <v>0</v>
      </c>
      <c r="AJ54" s="1304">
        <v>0</v>
      </c>
      <c r="AK54" s="1305">
        <v>0</v>
      </c>
      <c r="AL54" s="1298">
        <f t="shared" si="74"/>
        <v>0</v>
      </c>
      <c r="AM54" s="1308">
        <v>0</v>
      </c>
      <c r="AN54" s="1309">
        <v>0</v>
      </c>
      <c r="AO54" s="1309">
        <v>0</v>
      </c>
      <c r="AP54" s="1309">
        <v>0</v>
      </c>
      <c r="AQ54" s="1309">
        <v>0</v>
      </c>
      <c r="AR54" s="1309">
        <v>0</v>
      </c>
      <c r="AS54" s="1309">
        <v>0</v>
      </c>
      <c r="AT54" s="1309">
        <v>0</v>
      </c>
      <c r="AU54" s="1309">
        <v>0</v>
      </c>
      <c r="AV54" s="1309">
        <v>0</v>
      </c>
      <c r="AW54" s="1309">
        <v>0</v>
      </c>
      <c r="AX54" s="1309">
        <v>0</v>
      </c>
      <c r="AY54" s="1309">
        <v>0</v>
      </c>
      <c r="AZ54" s="1309">
        <v>0</v>
      </c>
      <c r="BA54" s="1310">
        <v>0</v>
      </c>
      <c r="BB54" s="1298">
        <f t="shared" si="75"/>
        <v>0</v>
      </c>
      <c r="BC54" s="1308">
        <v>1149849</v>
      </c>
      <c r="BD54" s="1296"/>
      <c r="BE54" s="1309"/>
      <c r="BF54" s="1309"/>
      <c r="BG54" s="1296"/>
      <c r="BH54" s="1309"/>
      <c r="BI54" s="1309"/>
      <c r="BJ54" s="1309"/>
      <c r="BK54" s="1309"/>
      <c r="BL54" s="1309"/>
      <c r="BM54" s="1310"/>
      <c r="BN54" s="1298">
        <f t="shared" si="76"/>
        <v>1149849</v>
      </c>
      <c r="BO54" s="1302">
        <f t="shared" si="77"/>
        <v>1149849</v>
      </c>
      <c r="BP54" s="146"/>
    </row>
    <row r="55" spans="2:68" ht="14.1" customHeight="1" thickBot="1">
      <c r="B55" s="12"/>
      <c r="C55" s="12"/>
      <c r="D55" s="1751" t="s">
        <v>2476</v>
      </c>
      <c r="E55" s="1752"/>
      <c r="F55" s="1753" t="s">
        <v>2456</v>
      </c>
      <c r="G55" s="1312"/>
      <c r="H55" s="1313"/>
      <c r="I55" s="1313"/>
      <c r="J55" s="1313"/>
      <c r="K55" s="1313"/>
      <c r="L55" s="1313"/>
      <c r="M55" s="1313"/>
      <c r="N55" s="1313"/>
      <c r="O55" s="1313"/>
      <c r="P55" s="1313"/>
      <c r="Q55" s="1313"/>
      <c r="R55" s="1313"/>
      <c r="S55" s="1313"/>
      <c r="T55" s="1313"/>
      <c r="U55" s="1314"/>
      <c r="V55" s="1347">
        <f t="shared" si="73"/>
        <v>0</v>
      </c>
      <c r="W55" s="1316"/>
      <c r="X55" s="1313"/>
      <c r="Y55" s="1313"/>
      <c r="Z55" s="1313"/>
      <c r="AA55" s="1313"/>
      <c r="AB55" s="1313"/>
      <c r="AC55" s="1313"/>
      <c r="AD55" s="1313"/>
      <c r="AE55" s="1313"/>
      <c r="AF55" s="1313"/>
      <c r="AG55" s="1313"/>
      <c r="AH55" s="1313"/>
      <c r="AI55" s="1313"/>
      <c r="AJ55" s="1313"/>
      <c r="AK55" s="1314"/>
      <c r="AL55" s="1347">
        <f t="shared" si="74"/>
        <v>0</v>
      </c>
      <c r="AM55" s="1317"/>
      <c r="AN55" s="1318"/>
      <c r="AO55" s="1318"/>
      <c r="AP55" s="1318"/>
      <c r="AQ55" s="1318"/>
      <c r="AR55" s="1318"/>
      <c r="AS55" s="1318"/>
      <c r="AT55" s="1318"/>
      <c r="AU55" s="1318"/>
      <c r="AV55" s="1318"/>
      <c r="AW55" s="1318"/>
      <c r="AX55" s="1318"/>
      <c r="AY55" s="1318"/>
      <c r="AZ55" s="1318"/>
      <c r="BA55" s="1319"/>
      <c r="BB55" s="1347">
        <f t="shared" si="75"/>
        <v>0</v>
      </c>
      <c r="BC55" s="1317"/>
      <c r="BD55" s="1345"/>
      <c r="BE55" s="1318"/>
      <c r="BF55" s="1318"/>
      <c r="BG55" s="1345"/>
      <c r="BH55" s="1318"/>
      <c r="BI55" s="1318"/>
      <c r="BJ55" s="1318"/>
      <c r="BK55" s="1318"/>
      <c r="BL55" s="1318"/>
      <c r="BM55" s="1319"/>
      <c r="BN55" s="1347">
        <f t="shared" si="76"/>
        <v>0</v>
      </c>
      <c r="BO55" s="1349">
        <f t="shared" si="77"/>
        <v>0</v>
      </c>
      <c r="BP55" s="146"/>
    </row>
  </sheetData>
  <mergeCells count="43">
    <mergeCell ref="B3:F3"/>
    <mergeCell ref="E27:F27"/>
    <mergeCell ref="E28:F28"/>
    <mergeCell ref="D25:F25"/>
    <mergeCell ref="E26:F26"/>
    <mergeCell ref="E11:F11"/>
    <mergeCell ref="D42:F42"/>
    <mergeCell ref="BO36:BO37"/>
    <mergeCell ref="G5:V5"/>
    <mergeCell ref="W5:AL5"/>
    <mergeCell ref="AM5:BB5"/>
    <mergeCell ref="BC5:BN5"/>
    <mergeCell ref="BO5:BO6"/>
    <mergeCell ref="G23:V23"/>
    <mergeCell ref="W23:AL23"/>
    <mergeCell ref="AM23:BB23"/>
    <mergeCell ref="BC23:BN23"/>
    <mergeCell ref="BO23:BO24"/>
    <mergeCell ref="D29:F29"/>
    <mergeCell ref="D7:F7"/>
    <mergeCell ref="E8:F8"/>
    <mergeCell ref="E12:F12"/>
    <mergeCell ref="D53:F53"/>
    <mergeCell ref="D54:F54"/>
    <mergeCell ref="D55:F55"/>
    <mergeCell ref="G50:V50"/>
    <mergeCell ref="W50:AL50"/>
    <mergeCell ref="B34:F34"/>
    <mergeCell ref="B48:F48"/>
    <mergeCell ref="B21:F21"/>
    <mergeCell ref="BO50:BO51"/>
    <mergeCell ref="D52:F52"/>
    <mergeCell ref="AM50:BB50"/>
    <mergeCell ref="BC50:BN50"/>
    <mergeCell ref="D43:F43"/>
    <mergeCell ref="G36:V36"/>
    <mergeCell ref="W36:AL36"/>
    <mergeCell ref="AM36:BB36"/>
    <mergeCell ref="BC36:BN36"/>
    <mergeCell ref="D38:F38"/>
    <mergeCell ref="D39:F39"/>
    <mergeCell ref="D40:F40"/>
    <mergeCell ref="D41:F41"/>
  </mergeCells>
  <conditionalFormatting sqref="G15:BO16">
    <cfRule type="cellIs" dxfId="12" priority="3" operator="equal">
      <formula>"OK"</formula>
    </cfRule>
    <cfRule type="cellIs" dxfId="11" priority="4" operator="equal">
      <formula>"ERROR"</formula>
    </cfRule>
  </conditionalFormatting>
  <conditionalFormatting sqref="G19:BO19">
    <cfRule type="cellIs" dxfId="10" priority="1" operator="equal">
      <formula>"OK"</formula>
    </cfRule>
    <cfRule type="cellIs" dxfId="9" priority="2" operator="equal">
      <formula>"ERROR"</formula>
    </cfRule>
  </conditionalFormatting>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B1:BP42"/>
  <sheetViews>
    <sheetView showGridLines="0" workbookViewId="0">
      <pane xSplit="6" ySplit="6" topLeftCell="G7" activePane="bottomRight" state="frozen"/>
      <selection pane="topRight" activeCell="G1" sqref="G1"/>
      <selection pane="bottomLeft" activeCell="A7" sqref="A7"/>
      <selection pane="bottomRight" activeCell="H27" sqref="H27"/>
    </sheetView>
  </sheetViews>
  <sheetFormatPr baseColWidth="10" defaultColWidth="9.140625" defaultRowHeight="15" outlineLevelCol="1"/>
  <cols>
    <col min="1" max="5" width="2.42578125" customWidth="1"/>
    <col min="6" max="6" width="35.140625" customWidth="1"/>
    <col min="7" max="21" width="14.7109375" customWidth="1" outlineLevel="1"/>
    <col min="22" max="22" width="14.7109375" customWidth="1"/>
    <col min="23" max="37" width="14.7109375" hidden="1" customWidth="1" outlineLevel="1"/>
    <col min="38" max="38" width="14.7109375" customWidth="1" collapsed="1"/>
    <col min="39" max="53" width="14.7109375" customWidth="1" outlineLevel="1"/>
    <col min="54" max="54" width="14.7109375" customWidth="1"/>
    <col min="55" max="65" width="14.7109375" customWidth="1" outlineLevel="1"/>
    <col min="66" max="68" width="14.7109375" customWidth="1"/>
  </cols>
  <sheetData>
    <row r="1" spans="2:68" ht="15" customHeight="1"/>
    <row r="2" spans="2:68" s="246" customFormat="1" ht="15" customHeight="1">
      <c r="B2" s="247"/>
    </row>
    <row r="3" spans="2:68" ht="15" customHeight="1">
      <c r="B3" s="1584" t="s">
        <v>2478</v>
      </c>
      <c r="C3" s="1584"/>
      <c r="D3" s="1584"/>
      <c r="E3" s="1584"/>
      <c r="F3" s="1584"/>
    </row>
    <row r="4" spans="2:68" s="315" customFormat="1" ht="12.75" customHeight="1" thickBot="1">
      <c r="B4" s="2"/>
      <c r="C4" s="2"/>
      <c r="D4" s="2"/>
      <c r="E4" s="2"/>
      <c r="F4" s="2"/>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row>
    <row r="5" spans="2:68" s="146" customFormat="1" ht="12.75" customHeight="1" thickBot="1">
      <c r="B5" s="2"/>
      <c r="C5" s="2"/>
      <c r="D5" s="657"/>
      <c r="E5" s="195"/>
      <c r="F5" s="658"/>
      <c r="G5" s="1740" t="s">
        <v>2410</v>
      </c>
      <c r="H5" s="1741"/>
      <c r="I5" s="1741"/>
      <c r="J5" s="1741"/>
      <c r="K5" s="1741"/>
      <c r="L5" s="1741"/>
      <c r="M5" s="1741"/>
      <c r="N5" s="1741"/>
      <c r="O5" s="1741"/>
      <c r="P5" s="1741"/>
      <c r="Q5" s="1741"/>
      <c r="R5" s="1741"/>
      <c r="S5" s="1741"/>
      <c r="T5" s="1741"/>
      <c r="U5" s="1741"/>
      <c r="V5" s="1742"/>
      <c r="W5" s="1743" t="s">
        <v>2412</v>
      </c>
      <c r="X5" s="1743"/>
      <c r="Y5" s="1743"/>
      <c r="Z5" s="1743"/>
      <c r="AA5" s="1743"/>
      <c r="AB5" s="1743"/>
      <c r="AC5" s="1743"/>
      <c r="AD5" s="1743"/>
      <c r="AE5" s="1743"/>
      <c r="AF5" s="1743"/>
      <c r="AG5" s="1743"/>
      <c r="AH5" s="1743"/>
      <c r="AI5" s="1743"/>
      <c r="AJ5" s="1743"/>
      <c r="AK5" s="1743"/>
      <c r="AL5" s="1743"/>
      <c r="AM5" s="1743" t="s">
        <v>2413</v>
      </c>
      <c r="AN5" s="1743"/>
      <c r="AO5" s="1743"/>
      <c r="AP5" s="1743"/>
      <c r="AQ5" s="1743"/>
      <c r="AR5" s="1743"/>
      <c r="AS5" s="1743"/>
      <c r="AT5" s="1743"/>
      <c r="AU5" s="1743"/>
      <c r="AV5" s="1743"/>
      <c r="AW5" s="1743"/>
      <c r="AX5" s="1743"/>
      <c r="AY5" s="1743"/>
      <c r="AZ5" s="1743"/>
      <c r="BA5" s="1743"/>
      <c r="BB5" s="1743"/>
      <c r="BC5" s="1743" t="s">
        <v>2411</v>
      </c>
      <c r="BD5" s="1743"/>
      <c r="BE5" s="1743"/>
      <c r="BF5" s="1743"/>
      <c r="BG5" s="1743"/>
      <c r="BH5" s="1743"/>
      <c r="BI5" s="1743"/>
      <c r="BJ5" s="1743"/>
      <c r="BK5" s="1743"/>
      <c r="BL5" s="1743"/>
      <c r="BM5" s="1743"/>
      <c r="BN5" s="1743"/>
      <c r="BO5" s="1732">
        <v>999</v>
      </c>
    </row>
    <row r="6" spans="2:68" s="183" customFormat="1" ht="54.95" customHeight="1" thickBot="1">
      <c r="B6" s="184"/>
      <c r="C6" s="184"/>
      <c r="D6" s="659"/>
      <c r="E6" s="184"/>
      <c r="F6" s="660"/>
      <c r="G6" s="643">
        <v>101</v>
      </c>
      <c r="H6" s="643" t="s">
        <v>777</v>
      </c>
      <c r="I6" s="642" t="s">
        <v>778</v>
      </c>
      <c r="J6" s="642" t="s">
        <v>779</v>
      </c>
      <c r="K6" s="642" t="s">
        <v>780</v>
      </c>
      <c r="L6" s="642" t="s">
        <v>781</v>
      </c>
      <c r="M6" s="1505" t="s">
        <v>782</v>
      </c>
      <c r="N6" s="642" t="s">
        <v>783</v>
      </c>
      <c r="O6" s="642" t="s">
        <v>784</v>
      </c>
      <c r="P6" s="642" t="s">
        <v>785</v>
      </c>
      <c r="Q6" s="642" t="s">
        <v>786</v>
      </c>
      <c r="R6" s="642" t="s">
        <v>787</v>
      </c>
      <c r="S6" s="642" t="s">
        <v>788</v>
      </c>
      <c r="T6" s="642" t="s">
        <v>789</v>
      </c>
      <c r="U6" s="642" t="s">
        <v>790</v>
      </c>
      <c r="V6" s="1340">
        <v>100</v>
      </c>
      <c r="W6" s="641" t="s">
        <v>791</v>
      </c>
      <c r="X6" s="641" t="s">
        <v>792</v>
      </c>
      <c r="Y6" s="641" t="s">
        <v>793</v>
      </c>
      <c r="Z6" s="641" t="s">
        <v>794</v>
      </c>
      <c r="AA6" s="641" t="s">
        <v>795</v>
      </c>
      <c r="AB6" s="641" t="s">
        <v>796</v>
      </c>
      <c r="AC6" s="641" t="s">
        <v>797</v>
      </c>
      <c r="AD6" s="641" t="s">
        <v>798</v>
      </c>
      <c r="AE6" s="641" t="s">
        <v>799</v>
      </c>
      <c r="AF6" s="641" t="s">
        <v>800</v>
      </c>
      <c r="AG6" s="641" t="s">
        <v>801</v>
      </c>
      <c r="AH6" s="641" t="s">
        <v>802</v>
      </c>
      <c r="AI6" s="641" t="s">
        <v>803</v>
      </c>
      <c r="AJ6" s="641" t="s">
        <v>804</v>
      </c>
      <c r="AK6" s="641" t="s">
        <v>805</v>
      </c>
      <c r="AL6" s="1333">
        <v>200</v>
      </c>
      <c r="AM6" s="641" t="s">
        <v>806</v>
      </c>
      <c r="AN6" s="641" t="s">
        <v>807</v>
      </c>
      <c r="AO6" s="641" t="s">
        <v>808</v>
      </c>
      <c r="AP6" s="641" t="s">
        <v>809</v>
      </c>
      <c r="AQ6" s="641" t="s">
        <v>810</v>
      </c>
      <c r="AR6" s="641" t="s">
        <v>811</v>
      </c>
      <c r="AS6" s="641" t="s">
        <v>812</v>
      </c>
      <c r="AT6" s="641" t="s">
        <v>813</v>
      </c>
      <c r="AU6" s="641" t="s">
        <v>814</v>
      </c>
      <c r="AV6" s="641" t="s">
        <v>815</v>
      </c>
      <c r="AW6" s="641" t="s">
        <v>816</v>
      </c>
      <c r="AX6" s="641" t="s">
        <v>817</v>
      </c>
      <c r="AY6" s="641" t="s">
        <v>818</v>
      </c>
      <c r="AZ6" s="641" t="s">
        <v>819</v>
      </c>
      <c r="BA6" s="641" t="s">
        <v>820</v>
      </c>
      <c r="BB6" s="1333">
        <v>300</v>
      </c>
      <c r="BC6" s="641" t="s">
        <v>821</v>
      </c>
      <c r="BD6" s="641" t="s">
        <v>822</v>
      </c>
      <c r="BE6" s="641" t="s">
        <v>823</v>
      </c>
      <c r="BF6" s="641" t="s">
        <v>824</v>
      </c>
      <c r="BG6" s="641" t="s">
        <v>825</v>
      </c>
      <c r="BH6" s="641" t="s">
        <v>826</v>
      </c>
      <c r="BI6" s="641" t="s">
        <v>827</v>
      </c>
      <c r="BJ6" s="641" t="s">
        <v>828</v>
      </c>
      <c r="BK6" s="641" t="s">
        <v>829</v>
      </c>
      <c r="BL6" s="641" t="s">
        <v>830</v>
      </c>
      <c r="BM6" s="641" t="s">
        <v>831</v>
      </c>
      <c r="BN6" s="1333">
        <v>400</v>
      </c>
      <c r="BO6" s="1733"/>
    </row>
    <row r="7" spans="2:68" s="30" customFormat="1" ht="15" customHeight="1">
      <c r="B7" s="25"/>
      <c r="C7" s="25"/>
      <c r="D7" s="1731" t="s">
        <v>2477</v>
      </c>
      <c r="E7" s="1564"/>
      <c r="F7" s="1730"/>
      <c r="G7" s="1295">
        <f>G11</f>
        <v>-113221</v>
      </c>
      <c r="H7" s="1296">
        <f t="shared" ref="H7:BO7" si="0">H11</f>
        <v>45794</v>
      </c>
      <c r="I7" s="1296">
        <f t="shared" si="0"/>
        <v>5620166</v>
      </c>
      <c r="J7" s="1296">
        <f t="shared" si="0"/>
        <v>151337</v>
      </c>
      <c r="K7" s="1296">
        <f t="shared" si="0"/>
        <v>0</v>
      </c>
      <c r="L7" s="1296">
        <f t="shared" si="0"/>
        <v>519612</v>
      </c>
      <c r="M7" s="1504">
        <f t="shared" si="0"/>
        <v>1780460</v>
      </c>
      <c r="N7" s="1296">
        <f t="shared" si="0"/>
        <v>2867</v>
      </c>
      <c r="O7" s="1296">
        <f t="shared" si="0"/>
        <v>582458</v>
      </c>
      <c r="P7" s="1296">
        <f t="shared" si="0"/>
        <v>42366</v>
      </c>
      <c r="Q7" s="1296">
        <f t="shared" si="0"/>
        <v>0</v>
      </c>
      <c r="R7" s="1296">
        <f t="shared" si="0"/>
        <v>0</v>
      </c>
      <c r="S7" s="1296">
        <f t="shared" si="0"/>
        <v>0</v>
      </c>
      <c r="T7" s="1296">
        <f t="shared" si="0"/>
        <v>0</v>
      </c>
      <c r="U7" s="1297">
        <f t="shared" si="0"/>
        <v>0</v>
      </c>
      <c r="V7" s="1506">
        <f t="shared" si="0"/>
        <v>8631839</v>
      </c>
      <c r="W7" s="1299">
        <f t="shared" si="0"/>
        <v>0</v>
      </c>
      <c r="X7" s="1296">
        <f t="shared" si="0"/>
        <v>1904154</v>
      </c>
      <c r="Y7" s="1296">
        <f t="shared" si="0"/>
        <v>0</v>
      </c>
      <c r="Z7" s="1296">
        <f t="shared" si="0"/>
        <v>0</v>
      </c>
      <c r="AA7" s="1296">
        <f t="shared" si="0"/>
        <v>0</v>
      </c>
      <c r="AB7" s="1296">
        <f t="shared" si="0"/>
        <v>0</v>
      </c>
      <c r="AC7" s="1296">
        <f t="shared" si="0"/>
        <v>0</v>
      </c>
      <c r="AD7" s="1296">
        <f t="shared" si="0"/>
        <v>27871</v>
      </c>
      <c r="AE7" s="1296">
        <f t="shared" si="0"/>
        <v>10359845</v>
      </c>
      <c r="AF7" s="1296">
        <f t="shared" si="0"/>
        <v>24872</v>
      </c>
      <c r="AG7" s="1296">
        <f t="shared" si="0"/>
        <v>0</v>
      </c>
      <c r="AH7" s="1296">
        <f t="shared" si="0"/>
        <v>0</v>
      </c>
      <c r="AI7" s="1296">
        <f t="shared" si="0"/>
        <v>877243</v>
      </c>
      <c r="AJ7" s="1296">
        <f t="shared" si="0"/>
        <v>0</v>
      </c>
      <c r="AK7" s="1297">
        <f t="shared" si="0"/>
        <v>0</v>
      </c>
      <c r="AL7" s="1335">
        <f t="shared" si="0"/>
        <v>13193985</v>
      </c>
      <c r="AM7" s="1299">
        <f t="shared" si="0"/>
        <v>0</v>
      </c>
      <c r="AN7" s="1296">
        <f t="shared" si="0"/>
        <v>670</v>
      </c>
      <c r="AO7" s="1296">
        <f t="shared" si="0"/>
        <v>3130598</v>
      </c>
      <c r="AP7" s="1296">
        <f t="shared" si="0"/>
        <v>0</v>
      </c>
      <c r="AQ7" s="1296">
        <f t="shared" si="0"/>
        <v>0</v>
      </c>
      <c r="AR7" s="1296">
        <f t="shared" si="0"/>
        <v>0</v>
      </c>
      <c r="AS7" s="1296">
        <f t="shared" si="0"/>
        <v>0</v>
      </c>
      <c r="AT7" s="1296">
        <f t="shared" si="0"/>
        <v>0</v>
      </c>
      <c r="AU7" s="1296">
        <f t="shared" si="0"/>
        <v>22397</v>
      </c>
      <c r="AV7" s="1296">
        <f t="shared" si="0"/>
        <v>11316</v>
      </c>
      <c r="AW7" s="1296">
        <f t="shared" si="0"/>
        <v>0</v>
      </c>
      <c r="AX7" s="1296">
        <f t="shared" si="0"/>
        <v>0</v>
      </c>
      <c r="AY7" s="1296">
        <f t="shared" si="0"/>
        <v>-3962</v>
      </c>
      <c r="AZ7" s="1296">
        <f t="shared" si="0"/>
        <v>0</v>
      </c>
      <c r="BA7" s="1297">
        <f t="shared" si="0"/>
        <v>0</v>
      </c>
      <c r="BB7" s="1335">
        <f t="shared" si="0"/>
        <v>3161019</v>
      </c>
      <c r="BC7" s="1299">
        <f t="shared" si="0"/>
        <v>30100948</v>
      </c>
      <c r="BD7" s="1296">
        <f t="shared" si="0"/>
        <v>0</v>
      </c>
      <c r="BE7" s="1296">
        <f t="shared" si="0"/>
        <v>0</v>
      </c>
      <c r="BF7" s="1296">
        <f t="shared" si="0"/>
        <v>0</v>
      </c>
      <c r="BG7" s="1296">
        <f t="shared" si="0"/>
        <v>0</v>
      </c>
      <c r="BH7" s="1296">
        <f t="shared" si="0"/>
        <v>0</v>
      </c>
      <c r="BI7" s="1296">
        <f t="shared" si="0"/>
        <v>0</v>
      </c>
      <c r="BJ7" s="1296">
        <f t="shared" si="0"/>
        <v>0</v>
      </c>
      <c r="BK7" s="1296">
        <f t="shared" si="0"/>
        <v>0</v>
      </c>
      <c r="BL7" s="1296">
        <f t="shared" si="0"/>
        <v>2583438</v>
      </c>
      <c r="BM7" s="1297">
        <f t="shared" si="0"/>
        <v>0</v>
      </c>
      <c r="BN7" s="1334">
        <f t="shared" si="0"/>
        <v>32684386</v>
      </c>
      <c r="BO7" s="1338">
        <f t="shared" si="0"/>
        <v>57671229</v>
      </c>
      <c r="BP7" s="648">
        <v>57671229</v>
      </c>
    </row>
    <row r="8" spans="2:68" s="30" customFormat="1" ht="15" customHeight="1">
      <c r="B8" s="25"/>
      <c r="C8" s="25"/>
      <c r="D8" s="1745" t="s">
        <v>2479</v>
      </c>
      <c r="E8" s="1746"/>
      <c r="F8" s="1747"/>
      <c r="G8" s="1295">
        <v>40197</v>
      </c>
      <c r="H8" s="1296">
        <v>19764</v>
      </c>
      <c r="I8" s="1296">
        <v>6200117</v>
      </c>
      <c r="J8" s="1296">
        <v>129063</v>
      </c>
      <c r="K8" s="1296">
        <v>0</v>
      </c>
      <c r="L8" s="1296">
        <v>561626</v>
      </c>
      <c r="M8" s="1296">
        <v>1884691</v>
      </c>
      <c r="N8" s="1296">
        <v>0</v>
      </c>
      <c r="O8" s="1296">
        <v>46657</v>
      </c>
      <c r="P8" s="1296">
        <v>19323</v>
      </c>
      <c r="Q8" s="1296">
        <v>0</v>
      </c>
      <c r="R8" s="1296">
        <v>0</v>
      </c>
      <c r="S8" s="1296">
        <v>0</v>
      </c>
      <c r="T8" s="1296">
        <v>0</v>
      </c>
      <c r="U8" s="1297">
        <v>0</v>
      </c>
      <c r="V8" s="1335">
        <f>SUM(G8:U8)</f>
        <v>8901438</v>
      </c>
      <c r="W8" s="1299">
        <v>0</v>
      </c>
      <c r="X8" s="1296">
        <v>4156874</v>
      </c>
      <c r="Y8" s="1296">
        <v>0</v>
      </c>
      <c r="Z8" s="1296">
        <v>0</v>
      </c>
      <c r="AA8" s="1296">
        <v>0</v>
      </c>
      <c r="AB8" s="1296">
        <v>0</v>
      </c>
      <c r="AC8" s="1296">
        <v>0</v>
      </c>
      <c r="AD8" s="1296">
        <v>15383</v>
      </c>
      <c r="AE8" s="1296">
        <v>5467615</v>
      </c>
      <c r="AF8" s="1296">
        <v>730</v>
      </c>
      <c r="AG8" s="1296">
        <v>0</v>
      </c>
      <c r="AH8" s="1296">
        <v>0</v>
      </c>
      <c r="AI8" s="1296">
        <v>871452</v>
      </c>
      <c r="AJ8" s="1296">
        <v>0</v>
      </c>
      <c r="AK8" s="1297">
        <v>0</v>
      </c>
      <c r="AL8" s="1335">
        <f>SUM(W8:AK8)</f>
        <v>10512054</v>
      </c>
      <c r="AM8" s="1299">
        <v>0</v>
      </c>
      <c r="AN8" s="1296">
        <v>670</v>
      </c>
      <c r="AO8" s="1296">
        <v>3130380</v>
      </c>
      <c r="AP8" s="1296">
        <v>0</v>
      </c>
      <c r="AQ8" s="1296">
        <v>0</v>
      </c>
      <c r="AR8" s="1296">
        <v>0</v>
      </c>
      <c r="AS8" s="1296">
        <v>0</v>
      </c>
      <c r="AT8" s="1296">
        <v>0</v>
      </c>
      <c r="AU8" s="1296">
        <v>19958</v>
      </c>
      <c r="AV8" s="1296">
        <v>61385</v>
      </c>
      <c r="AW8" s="1296">
        <v>0</v>
      </c>
      <c r="AX8" s="1296">
        <v>0</v>
      </c>
      <c r="AY8" s="1296">
        <v>4256</v>
      </c>
      <c r="AZ8" s="1296">
        <v>0</v>
      </c>
      <c r="BA8" s="1297">
        <v>0</v>
      </c>
      <c r="BB8" s="1335">
        <f t="shared" ref="BB8" si="1">SUM(AM8:BA8)</f>
        <v>3216649</v>
      </c>
      <c r="BC8" s="1299">
        <v>26359626</v>
      </c>
      <c r="BD8" s="1296">
        <f t="shared" ref="BD8" si="2">BE8+BF8</f>
        <v>0</v>
      </c>
      <c r="BE8" s="1296"/>
      <c r="BF8" s="1296"/>
      <c r="BG8" s="1296">
        <f t="shared" ref="BG8" si="3">BH8+BI8</f>
        <v>0</v>
      </c>
      <c r="BH8" s="1296"/>
      <c r="BI8" s="1296"/>
      <c r="BJ8" s="1296"/>
      <c r="BK8" s="1296"/>
      <c r="BL8" s="1296">
        <v>2559818</v>
      </c>
      <c r="BM8" s="1297"/>
      <c r="BN8" s="1334">
        <f>BC8+BD8+BG8+BJ8+BK8+BL8+BM8</f>
        <v>28919444</v>
      </c>
      <c r="BO8" s="1338">
        <f t="shared" ref="BO8" si="4">V8+AL8+BB8+BN8</f>
        <v>51549585</v>
      </c>
      <c r="BP8" s="648">
        <v>51555469</v>
      </c>
    </row>
    <row r="9" spans="2:68" s="30" customFormat="1" ht="15" customHeight="1">
      <c r="B9" s="25"/>
      <c r="C9" s="25"/>
      <c r="D9" s="1731" t="s">
        <v>2480</v>
      </c>
      <c r="E9" s="1564"/>
      <c r="F9" s="1730"/>
      <c r="G9" s="1295">
        <f>G27-G42</f>
        <v>-153418</v>
      </c>
      <c r="H9" s="1296">
        <f t="shared" ref="H9:BO9" si="5">H27-H42</f>
        <v>26030</v>
      </c>
      <c r="I9" s="1296">
        <f t="shared" si="5"/>
        <v>-579951</v>
      </c>
      <c r="J9" s="1296">
        <f t="shared" si="5"/>
        <v>22274</v>
      </c>
      <c r="K9" s="1296">
        <f t="shared" si="5"/>
        <v>0</v>
      </c>
      <c r="L9" s="1296">
        <f t="shared" si="5"/>
        <v>-42014</v>
      </c>
      <c r="M9" s="1296">
        <f t="shared" si="5"/>
        <v>-106319</v>
      </c>
      <c r="N9" s="1296">
        <f t="shared" si="5"/>
        <v>2867</v>
      </c>
      <c r="O9" s="1296">
        <f t="shared" si="5"/>
        <v>535800</v>
      </c>
      <c r="P9" s="1296">
        <f t="shared" si="5"/>
        <v>23043</v>
      </c>
      <c r="Q9" s="1296">
        <f t="shared" si="5"/>
        <v>0</v>
      </c>
      <c r="R9" s="1296">
        <f t="shared" si="5"/>
        <v>0</v>
      </c>
      <c r="S9" s="1296">
        <f t="shared" si="5"/>
        <v>0</v>
      </c>
      <c r="T9" s="1296">
        <f t="shared" si="5"/>
        <v>0</v>
      </c>
      <c r="U9" s="1297">
        <f t="shared" si="5"/>
        <v>0</v>
      </c>
      <c r="V9" s="1335">
        <f t="shared" si="5"/>
        <v>-271688</v>
      </c>
      <c r="W9" s="1299">
        <f t="shared" si="5"/>
        <v>0</v>
      </c>
      <c r="X9" s="1296">
        <f t="shared" si="5"/>
        <v>-2252720</v>
      </c>
      <c r="Y9" s="1296">
        <f t="shared" si="5"/>
        <v>0</v>
      </c>
      <c r="Z9" s="1296">
        <f t="shared" si="5"/>
        <v>0</v>
      </c>
      <c r="AA9" s="1296">
        <f t="shared" si="5"/>
        <v>0</v>
      </c>
      <c r="AB9" s="1296">
        <f t="shared" si="5"/>
        <v>0</v>
      </c>
      <c r="AC9" s="1296">
        <f t="shared" si="5"/>
        <v>0</v>
      </c>
      <c r="AD9" s="1296">
        <f t="shared" si="5"/>
        <v>12488</v>
      </c>
      <c r="AE9" s="1296">
        <f t="shared" si="5"/>
        <v>4892230</v>
      </c>
      <c r="AF9" s="1296">
        <f t="shared" si="5"/>
        <v>24142</v>
      </c>
      <c r="AG9" s="1296">
        <f t="shared" si="5"/>
        <v>0</v>
      </c>
      <c r="AH9" s="1296">
        <f t="shared" si="5"/>
        <v>0</v>
      </c>
      <c r="AI9" s="1296">
        <f t="shared" si="5"/>
        <v>5791</v>
      </c>
      <c r="AJ9" s="1296">
        <f t="shared" si="5"/>
        <v>0</v>
      </c>
      <c r="AK9" s="1297">
        <f t="shared" si="5"/>
        <v>0</v>
      </c>
      <c r="AL9" s="1335">
        <f t="shared" si="5"/>
        <v>2681931</v>
      </c>
      <c r="AM9" s="1299">
        <f t="shared" si="5"/>
        <v>0</v>
      </c>
      <c r="AN9" s="1296">
        <f t="shared" si="5"/>
        <v>0</v>
      </c>
      <c r="AO9" s="1296">
        <f t="shared" si="5"/>
        <v>218</v>
      </c>
      <c r="AP9" s="1296">
        <f t="shared" si="5"/>
        <v>0</v>
      </c>
      <c r="AQ9" s="1296">
        <f t="shared" si="5"/>
        <v>0</v>
      </c>
      <c r="AR9" s="1296">
        <f t="shared" si="5"/>
        <v>0</v>
      </c>
      <c r="AS9" s="1296">
        <f t="shared" si="5"/>
        <v>0</v>
      </c>
      <c r="AT9" s="1296">
        <f t="shared" si="5"/>
        <v>0</v>
      </c>
      <c r="AU9" s="1296">
        <f t="shared" si="5"/>
        <v>2439</v>
      </c>
      <c r="AV9" s="1296">
        <f t="shared" si="5"/>
        <v>-50069</v>
      </c>
      <c r="AW9" s="1296">
        <f t="shared" si="5"/>
        <v>0</v>
      </c>
      <c r="AX9" s="1296">
        <f t="shared" si="5"/>
        <v>0</v>
      </c>
      <c r="AY9" s="1296">
        <f t="shared" si="5"/>
        <v>-8218</v>
      </c>
      <c r="AZ9" s="1296">
        <f t="shared" si="5"/>
        <v>0</v>
      </c>
      <c r="BA9" s="1297">
        <f t="shared" si="5"/>
        <v>0</v>
      </c>
      <c r="BB9" s="1335">
        <f t="shared" si="5"/>
        <v>-55630</v>
      </c>
      <c r="BC9" s="1299">
        <f t="shared" si="5"/>
        <v>3741322</v>
      </c>
      <c r="BD9" s="1296">
        <f t="shared" si="5"/>
        <v>0</v>
      </c>
      <c r="BE9" s="1296">
        <f t="shared" si="5"/>
        <v>0</v>
      </c>
      <c r="BF9" s="1296">
        <f t="shared" si="5"/>
        <v>0</v>
      </c>
      <c r="BG9" s="1296">
        <f t="shared" si="5"/>
        <v>0</v>
      </c>
      <c r="BH9" s="1296">
        <f t="shared" si="5"/>
        <v>0</v>
      </c>
      <c r="BI9" s="1296">
        <f t="shared" si="5"/>
        <v>0</v>
      </c>
      <c r="BJ9" s="1296">
        <f t="shared" si="5"/>
        <v>0</v>
      </c>
      <c r="BK9" s="1296">
        <f t="shared" si="5"/>
        <v>0</v>
      </c>
      <c r="BL9" s="1296">
        <f t="shared" si="5"/>
        <v>23620</v>
      </c>
      <c r="BM9" s="1297">
        <f t="shared" si="5"/>
        <v>0</v>
      </c>
      <c r="BN9" s="1334">
        <f t="shared" si="5"/>
        <v>3764942</v>
      </c>
      <c r="BO9" s="1338">
        <f t="shared" si="5"/>
        <v>6119555</v>
      </c>
      <c r="BP9" s="648">
        <v>6115760</v>
      </c>
    </row>
    <row r="10" spans="2:68" s="30" customFormat="1" ht="15" customHeight="1">
      <c r="B10" s="25"/>
      <c r="C10" s="25"/>
      <c r="D10" s="1745" t="s">
        <v>2481</v>
      </c>
      <c r="E10" s="1746"/>
      <c r="F10" s="1747"/>
      <c r="G10" s="1295">
        <v>38035</v>
      </c>
      <c r="H10" s="1296">
        <v>24062</v>
      </c>
      <c r="I10" s="1296">
        <v>-25760</v>
      </c>
      <c r="J10" s="1296">
        <v>21285</v>
      </c>
      <c r="K10" s="1296">
        <v>0</v>
      </c>
      <c r="L10" s="1296">
        <v>18211</v>
      </c>
      <c r="M10" s="1296">
        <v>4924623</v>
      </c>
      <c r="N10" s="1296">
        <v>2866</v>
      </c>
      <c r="O10" s="1296">
        <v>1247055</v>
      </c>
      <c r="P10" s="1296">
        <v>-155</v>
      </c>
      <c r="Q10" s="1296">
        <v>0</v>
      </c>
      <c r="R10" s="1296">
        <v>0</v>
      </c>
      <c r="S10" s="1296">
        <v>0</v>
      </c>
      <c r="T10" s="1296">
        <v>0</v>
      </c>
      <c r="U10" s="1297">
        <v>0</v>
      </c>
      <c r="V10" s="1335">
        <f>SUM(G10:U10)</f>
        <v>6250222</v>
      </c>
      <c r="W10" s="1299">
        <v>0</v>
      </c>
      <c r="X10" s="1296">
        <v>2308562</v>
      </c>
      <c r="Y10" s="1296">
        <v>0</v>
      </c>
      <c r="Z10" s="1296">
        <v>0</v>
      </c>
      <c r="AA10" s="1296">
        <v>0</v>
      </c>
      <c r="AB10" s="1296">
        <v>0</v>
      </c>
      <c r="AC10" s="1296">
        <v>0</v>
      </c>
      <c r="AD10" s="1296">
        <v>129734</v>
      </c>
      <c r="AE10" s="1296">
        <v>8744730</v>
      </c>
      <c r="AF10" s="1296">
        <v>221092</v>
      </c>
      <c r="AG10" s="1296">
        <v>0</v>
      </c>
      <c r="AH10" s="1296">
        <v>0</v>
      </c>
      <c r="AI10" s="1296">
        <v>22164</v>
      </c>
      <c r="AJ10" s="1296">
        <v>0</v>
      </c>
      <c r="AK10" s="1297">
        <v>0</v>
      </c>
      <c r="AL10" s="1335">
        <f>SUM(W10:AK10)</f>
        <v>11426282</v>
      </c>
      <c r="AM10" s="1299">
        <v>0</v>
      </c>
      <c r="AN10" s="1296">
        <v>0</v>
      </c>
      <c r="AO10" s="1296">
        <v>30509</v>
      </c>
      <c r="AP10" s="1296">
        <v>0</v>
      </c>
      <c r="AQ10" s="1296">
        <v>0</v>
      </c>
      <c r="AR10" s="1296">
        <v>0</v>
      </c>
      <c r="AS10" s="1296">
        <v>0</v>
      </c>
      <c r="AT10" s="1296">
        <v>0</v>
      </c>
      <c r="AU10" s="1296">
        <v>2539</v>
      </c>
      <c r="AV10" s="1296">
        <v>847</v>
      </c>
      <c r="AW10" s="1296">
        <v>0</v>
      </c>
      <c r="AX10" s="1296">
        <v>0</v>
      </c>
      <c r="AY10" s="1296">
        <v>26626</v>
      </c>
      <c r="AZ10" s="1296">
        <v>0</v>
      </c>
      <c r="BA10" s="1297">
        <v>0</v>
      </c>
      <c r="BB10" s="1335">
        <f t="shared" ref="BB10" si="6">SUM(AM10:BA10)</f>
        <v>60521</v>
      </c>
      <c r="BC10" s="1299"/>
      <c r="BD10" s="1296">
        <f t="shared" ref="BD10" si="7">BE10+BF10</f>
        <v>0</v>
      </c>
      <c r="BE10" s="1296"/>
      <c r="BF10" s="1296"/>
      <c r="BG10" s="1296">
        <f t="shared" ref="BG10" si="8">BH10+BI10</f>
        <v>0</v>
      </c>
      <c r="BH10" s="1296"/>
      <c r="BI10" s="1296"/>
      <c r="BJ10" s="1296"/>
      <c r="BK10" s="1296"/>
      <c r="BL10" s="1296">
        <v>150019</v>
      </c>
      <c r="BM10" s="1297"/>
      <c r="BN10" s="1334">
        <f>BC10+BD10+BG10+BJ10+BK10+BL10+BM10</f>
        <v>150019</v>
      </c>
      <c r="BO10" s="1338">
        <f t="shared" ref="BO10" si="9">V10+AL10+BB10+BN10</f>
        <v>17887044</v>
      </c>
      <c r="BP10" s="648">
        <v>17881161</v>
      </c>
    </row>
    <row r="11" spans="2:68" s="30" customFormat="1" ht="15" customHeight="1">
      <c r="B11" s="25"/>
      <c r="C11" s="25"/>
      <c r="D11" s="1731" t="s">
        <v>2482</v>
      </c>
      <c r="E11" s="1564"/>
      <c r="F11" s="1730"/>
      <c r="G11" s="1295">
        <f>G12+G9</f>
        <v>-113221</v>
      </c>
      <c r="H11" s="1296">
        <f t="shared" ref="H11:BO11" si="10">H12+H9</f>
        <v>45794</v>
      </c>
      <c r="I11" s="1296">
        <f t="shared" si="10"/>
        <v>5620166</v>
      </c>
      <c r="J11" s="1296">
        <f t="shared" si="10"/>
        <v>151337</v>
      </c>
      <c r="K11" s="1296">
        <f t="shared" si="10"/>
        <v>0</v>
      </c>
      <c r="L11" s="1296">
        <f t="shared" si="10"/>
        <v>519612</v>
      </c>
      <c r="M11" s="1296">
        <f t="shared" si="10"/>
        <v>1780460</v>
      </c>
      <c r="N11" s="1296">
        <f t="shared" si="10"/>
        <v>2867</v>
      </c>
      <c r="O11" s="1296">
        <f t="shared" si="10"/>
        <v>582458</v>
      </c>
      <c r="P11" s="1296">
        <f t="shared" si="10"/>
        <v>42366</v>
      </c>
      <c r="Q11" s="1296">
        <f t="shared" si="10"/>
        <v>0</v>
      </c>
      <c r="R11" s="1296">
        <f t="shared" si="10"/>
        <v>0</v>
      </c>
      <c r="S11" s="1296">
        <f t="shared" si="10"/>
        <v>0</v>
      </c>
      <c r="T11" s="1296">
        <f t="shared" si="10"/>
        <v>0</v>
      </c>
      <c r="U11" s="1297">
        <f t="shared" si="10"/>
        <v>0</v>
      </c>
      <c r="V11" s="1335">
        <f t="shared" si="10"/>
        <v>8631839</v>
      </c>
      <c r="W11" s="1299">
        <f t="shared" si="10"/>
        <v>0</v>
      </c>
      <c r="X11" s="1296">
        <f t="shared" si="10"/>
        <v>1904154</v>
      </c>
      <c r="Y11" s="1296">
        <f t="shared" si="10"/>
        <v>0</v>
      </c>
      <c r="Z11" s="1296">
        <f t="shared" si="10"/>
        <v>0</v>
      </c>
      <c r="AA11" s="1296">
        <f t="shared" si="10"/>
        <v>0</v>
      </c>
      <c r="AB11" s="1296">
        <f t="shared" si="10"/>
        <v>0</v>
      </c>
      <c r="AC11" s="1296">
        <f t="shared" si="10"/>
        <v>0</v>
      </c>
      <c r="AD11" s="1296">
        <f t="shared" si="10"/>
        <v>27871</v>
      </c>
      <c r="AE11" s="1296">
        <f t="shared" si="10"/>
        <v>10359845</v>
      </c>
      <c r="AF11" s="1296">
        <f t="shared" si="10"/>
        <v>24872</v>
      </c>
      <c r="AG11" s="1296">
        <f t="shared" si="10"/>
        <v>0</v>
      </c>
      <c r="AH11" s="1296">
        <f t="shared" si="10"/>
        <v>0</v>
      </c>
      <c r="AI11" s="1296">
        <f t="shared" si="10"/>
        <v>877243</v>
      </c>
      <c r="AJ11" s="1296">
        <f t="shared" si="10"/>
        <v>0</v>
      </c>
      <c r="AK11" s="1297">
        <f t="shared" si="10"/>
        <v>0</v>
      </c>
      <c r="AL11" s="1335">
        <f t="shared" si="10"/>
        <v>13193985</v>
      </c>
      <c r="AM11" s="1299">
        <f t="shared" si="10"/>
        <v>0</v>
      </c>
      <c r="AN11" s="1296">
        <f t="shared" si="10"/>
        <v>670</v>
      </c>
      <c r="AO11" s="1296">
        <f t="shared" si="10"/>
        <v>3130598</v>
      </c>
      <c r="AP11" s="1296">
        <f t="shared" si="10"/>
        <v>0</v>
      </c>
      <c r="AQ11" s="1296">
        <f t="shared" si="10"/>
        <v>0</v>
      </c>
      <c r="AR11" s="1296">
        <f t="shared" si="10"/>
        <v>0</v>
      </c>
      <c r="AS11" s="1296">
        <f t="shared" si="10"/>
        <v>0</v>
      </c>
      <c r="AT11" s="1296">
        <f t="shared" si="10"/>
        <v>0</v>
      </c>
      <c r="AU11" s="1296">
        <f t="shared" si="10"/>
        <v>22397</v>
      </c>
      <c r="AV11" s="1296">
        <f t="shared" si="10"/>
        <v>11316</v>
      </c>
      <c r="AW11" s="1296">
        <f t="shared" si="10"/>
        <v>0</v>
      </c>
      <c r="AX11" s="1296">
        <f t="shared" si="10"/>
        <v>0</v>
      </c>
      <c r="AY11" s="1296">
        <f t="shared" si="10"/>
        <v>-3962</v>
      </c>
      <c r="AZ11" s="1296">
        <f t="shared" si="10"/>
        <v>0</v>
      </c>
      <c r="BA11" s="1297">
        <f t="shared" si="10"/>
        <v>0</v>
      </c>
      <c r="BB11" s="1335">
        <f t="shared" si="10"/>
        <v>3161019</v>
      </c>
      <c r="BC11" s="1299">
        <f t="shared" si="10"/>
        <v>30100948</v>
      </c>
      <c r="BD11" s="1296">
        <f t="shared" si="10"/>
        <v>0</v>
      </c>
      <c r="BE11" s="1296">
        <f t="shared" si="10"/>
        <v>0</v>
      </c>
      <c r="BF11" s="1296">
        <f t="shared" si="10"/>
        <v>0</v>
      </c>
      <c r="BG11" s="1296">
        <f t="shared" si="10"/>
        <v>0</v>
      </c>
      <c r="BH11" s="1296">
        <f t="shared" si="10"/>
        <v>0</v>
      </c>
      <c r="BI11" s="1296">
        <f t="shared" si="10"/>
        <v>0</v>
      </c>
      <c r="BJ11" s="1296">
        <f t="shared" si="10"/>
        <v>0</v>
      </c>
      <c r="BK11" s="1296">
        <f t="shared" si="10"/>
        <v>0</v>
      </c>
      <c r="BL11" s="1296">
        <f t="shared" si="10"/>
        <v>2583438</v>
      </c>
      <c r="BM11" s="1297">
        <f t="shared" si="10"/>
        <v>0</v>
      </c>
      <c r="BN11" s="1334">
        <f t="shared" si="10"/>
        <v>32684386</v>
      </c>
      <c r="BO11" s="1338">
        <f t="shared" si="10"/>
        <v>57671229</v>
      </c>
      <c r="BP11" s="648">
        <v>57671229</v>
      </c>
    </row>
    <row r="12" spans="2:68" s="30" customFormat="1" ht="15" customHeight="1">
      <c r="B12" s="25"/>
      <c r="C12" s="25"/>
      <c r="D12" s="1731" t="s">
        <v>2483</v>
      </c>
      <c r="E12" s="1564"/>
      <c r="F12" s="1730"/>
      <c r="G12" s="1295">
        <f>G13-G19+G23</f>
        <v>40197</v>
      </c>
      <c r="H12" s="1296">
        <f t="shared" ref="H12:BO12" si="11">H13-H19+H23</f>
        <v>19764</v>
      </c>
      <c r="I12" s="1296">
        <f t="shared" si="11"/>
        <v>6200117</v>
      </c>
      <c r="J12" s="1296">
        <f t="shared" si="11"/>
        <v>129063</v>
      </c>
      <c r="K12" s="1296">
        <f t="shared" si="11"/>
        <v>0</v>
      </c>
      <c r="L12" s="1296">
        <f t="shared" si="11"/>
        <v>561626</v>
      </c>
      <c r="M12" s="1296">
        <f t="shared" si="11"/>
        <v>1886779</v>
      </c>
      <c r="N12" s="1296">
        <f t="shared" si="11"/>
        <v>0</v>
      </c>
      <c r="O12" s="1296">
        <f t="shared" si="11"/>
        <v>46658</v>
      </c>
      <c r="P12" s="1296">
        <f t="shared" si="11"/>
        <v>19323</v>
      </c>
      <c r="Q12" s="1296">
        <f t="shared" si="11"/>
        <v>0</v>
      </c>
      <c r="R12" s="1296">
        <f t="shared" si="11"/>
        <v>0</v>
      </c>
      <c r="S12" s="1296">
        <f t="shared" si="11"/>
        <v>0</v>
      </c>
      <c r="T12" s="1296">
        <f t="shared" si="11"/>
        <v>0</v>
      </c>
      <c r="U12" s="1297">
        <f t="shared" si="11"/>
        <v>0</v>
      </c>
      <c r="V12" s="1335">
        <f t="shared" si="11"/>
        <v>8903527</v>
      </c>
      <c r="W12" s="1299">
        <f t="shared" si="11"/>
        <v>0</v>
      </c>
      <c r="X12" s="1296">
        <f t="shared" si="11"/>
        <v>4156874</v>
      </c>
      <c r="Y12" s="1296">
        <f t="shared" si="11"/>
        <v>0</v>
      </c>
      <c r="Z12" s="1296">
        <f t="shared" si="11"/>
        <v>0</v>
      </c>
      <c r="AA12" s="1296">
        <f t="shared" si="11"/>
        <v>0</v>
      </c>
      <c r="AB12" s="1296">
        <f t="shared" si="11"/>
        <v>0</v>
      </c>
      <c r="AC12" s="1296">
        <f t="shared" si="11"/>
        <v>0</v>
      </c>
      <c r="AD12" s="1296">
        <f t="shared" si="11"/>
        <v>15383</v>
      </c>
      <c r="AE12" s="1296">
        <f t="shared" si="11"/>
        <v>5467615</v>
      </c>
      <c r="AF12" s="1296">
        <f t="shared" si="11"/>
        <v>730</v>
      </c>
      <c r="AG12" s="1296">
        <f t="shared" si="11"/>
        <v>0</v>
      </c>
      <c r="AH12" s="1296">
        <f t="shared" si="11"/>
        <v>0</v>
      </c>
      <c r="AI12" s="1296">
        <f t="shared" si="11"/>
        <v>871452</v>
      </c>
      <c r="AJ12" s="1296">
        <f t="shared" si="11"/>
        <v>0</v>
      </c>
      <c r="AK12" s="1297">
        <f t="shared" si="11"/>
        <v>0</v>
      </c>
      <c r="AL12" s="1335">
        <f t="shared" si="11"/>
        <v>10512054</v>
      </c>
      <c r="AM12" s="1299">
        <f t="shared" si="11"/>
        <v>0</v>
      </c>
      <c r="AN12" s="1296">
        <f t="shared" si="11"/>
        <v>670</v>
      </c>
      <c r="AO12" s="1296">
        <f t="shared" si="11"/>
        <v>3130380</v>
      </c>
      <c r="AP12" s="1296">
        <f t="shared" si="11"/>
        <v>0</v>
      </c>
      <c r="AQ12" s="1296">
        <f t="shared" si="11"/>
        <v>0</v>
      </c>
      <c r="AR12" s="1296">
        <f t="shared" si="11"/>
        <v>0</v>
      </c>
      <c r="AS12" s="1296">
        <f t="shared" si="11"/>
        <v>0</v>
      </c>
      <c r="AT12" s="1296">
        <f t="shared" si="11"/>
        <v>0</v>
      </c>
      <c r="AU12" s="1296">
        <f t="shared" si="11"/>
        <v>19958</v>
      </c>
      <c r="AV12" s="1296">
        <f t="shared" si="11"/>
        <v>61385</v>
      </c>
      <c r="AW12" s="1296">
        <f t="shared" si="11"/>
        <v>0</v>
      </c>
      <c r="AX12" s="1296">
        <f t="shared" si="11"/>
        <v>0</v>
      </c>
      <c r="AY12" s="1296">
        <f t="shared" si="11"/>
        <v>4256</v>
      </c>
      <c r="AZ12" s="1296">
        <f t="shared" si="11"/>
        <v>0</v>
      </c>
      <c r="BA12" s="1297">
        <f t="shared" si="11"/>
        <v>0</v>
      </c>
      <c r="BB12" s="1335">
        <f t="shared" si="11"/>
        <v>3216649</v>
      </c>
      <c r="BC12" s="1299">
        <f t="shared" si="11"/>
        <v>26359626</v>
      </c>
      <c r="BD12" s="1296">
        <f t="shared" si="11"/>
        <v>0</v>
      </c>
      <c r="BE12" s="1296">
        <f t="shared" si="11"/>
        <v>0</v>
      </c>
      <c r="BF12" s="1296">
        <f t="shared" si="11"/>
        <v>0</v>
      </c>
      <c r="BG12" s="1296">
        <f t="shared" si="11"/>
        <v>0</v>
      </c>
      <c r="BH12" s="1296">
        <f t="shared" si="11"/>
        <v>0</v>
      </c>
      <c r="BI12" s="1296">
        <f t="shared" si="11"/>
        <v>0</v>
      </c>
      <c r="BJ12" s="1296">
        <f t="shared" si="11"/>
        <v>0</v>
      </c>
      <c r="BK12" s="1296">
        <f t="shared" si="11"/>
        <v>0</v>
      </c>
      <c r="BL12" s="1296">
        <f>BL13-BL19+BL23</f>
        <v>2559818</v>
      </c>
      <c r="BM12" s="1297">
        <f t="shared" si="11"/>
        <v>0</v>
      </c>
      <c r="BN12" s="1334">
        <f t="shared" si="11"/>
        <v>28919444</v>
      </c>
      <c r="BO12" s="1338">
        <f t="shared" si="11"/>
        <v>51551674</v>
      </c>
      <c r="BP12" s="648">
        <v>51555469</v>
      </c>
    </row>
    <row r="13" spans="2:68" s="30" customFormat="1" ht="15" customHeight="1">
      <c r="B13" s="25"/>
      <c r="C13" s="25"/>
      <c r="D13" s="1731" t="s">
        <v>2484</v>
      </c>
      <c r="E13" s="1564"/>
      <c r="F13" s="1730"/>
      <c r="G13" s="1295">
        <f>SUM(G14:G18)</f>
        <v>40197</v>
      </c>
      <c r="H13" s="1296">
        <f t="shared" ref="H13:BO13" si="12">SUM(H14:H18)</f>
        <v>19764</v>
      </c>
      <c r="I13" s="1296">
        <f t="shared" si="12"/>
        <v>6352965</v>
      </c>
      <c r="J13" s="1296">
        <f t="shared" si="12"/>
        <v>129063</v>
      </c>
      <c r="K13" s="1296">
        <f t="shared" si="12"/>
        <v>0</v>
      </c>
      <c r="L13" s="1296">
        <f t="shared" si="12"/>
        <v>561626</v>
      </c>
      <c r="M13" s="1296">
        <f t="shared" si="12"/>
        <v>1886779</v>
      </c>
      <c r="N13" s="1296">
        <f t="shared" si="12"/>
        <v>0</v>
      </c>
      <c r="O13" s="1296">
        <f t="shared" si="12"/>
        <v>86068</v>
      </c>
      <c r="P13" s="1296">
        <f t="shared" si="12"/>
        <v>19323</v>
      </c>
      <c r="Q13" s="1296">
        <f t="shared" si="12"/>
        <v>0</v>
      </c>
      <c r="R13" s="1296">
        <f t="shared" si="12"/>
        <v>0</v>
      </c>
      <c r="S13" s="1296">
        <f t="shared" si="12"/>
        <v>0</v>
      </c>
      <c r="T13" s="1296">
        <f t="shared" si="12"/>
        <v>0</v>
      </c>
      <c r="U13" s="1297">
        <f t="shared" si="12"/>
        <v>0</v>
      </c>
      <c r="V13" s="1335">
        <f t="shared" si="12"/>
        <v>9095785</v>
      </c>
      <c r="W13" s="1299">
        <f t="shared" si="12"/>
        <v>0</v>
      </c>
      <c r="X13" s="1296">
        <f t="shared" si="12"/>
        <v>4523142</v>
      </c>
      <c r="Y13" s="1296">
        <f t="shared" si="12"/>
        <v>0</v>
      </c>
      <c r="Z13" s="1296">
        <f t="shared" si="12"/>
        <v>0</v>
      </c>
      <c r="AA13" s="1296">
        <f t="shared" si="12"/>
        <v>0</v>
      </c>
      <c r="AB13" s="1296">
        <f t="shared" si="12"/>
        <v>0</v>
      </c>
      <c r="AC13" s="1296">
        <f t="shared" si="12"/>
        <v>0</v>
      </c>
      <c r="AD13" s="1296">
        <f t="shared" si="12"/>
        <v>15383</v>
      </c>
      <c r="AE13" s="1296">
        <f t="shared" si="12"/>
        <v>5549778</v>
      </c>
      <c r="AF13" s="1296">
        <f t="shared" si="12"/>
        <v>730</v>
      </c>
      <c r="AG13" s="1296">
        <f t="shared" si="12"/>
        <v>0</v>
      </c>
      <c r="AH13" s="1296">
        <f t="shared" si="12"/>
        <v>0</v>
      </c>
      <c r="AI13" s="1296">
        <f t="shared" si="12"/>
        <v>871452</v>
      </c>
      <c r="AJ13" s="1296">
        <f t="shared" si="12"/>
        <v>0</v>
      </c>
      <c r="AK13" s="1297">
        <f t="shared" si="12"/>
        <v>0</v>
      </c>
      <c r="AL13" s="1335">
        <f t="shared" si="12"/>
        <v>10960485</v>
      </c>
      <c r="AM13" s="1299">
        <f t="shared" si="12"/>
        <v>0</v>
      </c>
      <c r="AN13" s="1296">
        <f t="shared" si="12"/>
        <v>670</v>
      </c>
      <c r="AO13" s="1296">
        <f t="shared" si="12"/>
        <v>3130380</v>
      </c>
      <c r="AP13" s="1296">
        <f t="shared" si="12"/>
        <v>0</v>
      </c>
      <c r="AQ13" s="1296">
        <f t="shared" si="12"/>
        <v>0</v>
      </c>
      <c r="AR13" s="1296">
        <f t="shared" si="12"/>
        <v>0</v>
      </c>
      <c r="AS13" s="1296">
        <f t="shared" si="12"/>
        <v>0</v>
      </c>
      <c r="AT13" s="1296">
        <f t="shared" si="12"/>
        <v>0</v>
      </c>
      <c r="AU13" s="1296">
        <f t="shared" si="12"/>
        <v>19958</v>
      </c>
      <c r="AV13" s="1296">
        <f t="shared" si="12"/>
        <v>61385</v>
      </c>
      <c r="AW13" s="1296">
        <f t="shared" si="12"/>
        <v>0</v>
      </c>
      <c r="AX13" s="1296">
        <f t="shared" si="12"/>
        <v>0</v>
      </c>
      <c r="AY13" s="1296">
        <f t="shared" si="12"/>
        <v>4256</v>
      </c>
      <c r="AZ13" s="1296">
        <f t="shared" si="12"/>
        <v>0</v>
      </c>
      <c r="BA13" s="1297">
        <f t="shared" si="12"/>
        <v>0</v>
      </c>
      <c r="BB13" s="1335">
        <f t="shared" si="12"/>
        <v>3216649</v>
      </c>
      <c r="BC13" s="1299">
        <f t="shared" si="12"/>
        <v>41929442</v>
      </c>
      <c r="BD13" s="1296">
        <f t="shared" si="12"/>
        <v>0</v>
      </c>
      <c r="BE13" s="1296">
        <f t="shared" si="12"/>
        <v>0</v>
      </c>
      <c r="BF13" s="1296">
        <f t="shared" si="12"/>
        <v>0</v>
      </c>
      <c r="BG13" s="1296">
        <f t="shared" si="12"/>
        <v>0</v>
      </c>
      <c r="BH13" s="1296">
        <f t="shared" si="12"/>
        <v>0</v>
      </c>
      <c r="BI13" s="1296">
        <f t="shared" si="12"/>
        <v>0</v>
      </c>
      <c r="BJ13" s="1296">
        <f t="shared" si="12"/>
        <v>0</v>
      </c>
      <c r="BK13" s="1296">
        <f t="shared" si="12"/>
        <v>0</v>
      </c>
      <c r="BL13" s="1296">
        <f t="shared" si="12"/>
        <v>2559818</v>
      </c>
      <c r="BM13" s="1297">
        <f t="shared" si="12"/>
        <v>0</v>
      </c>
      <c r="BN13" s="1334">
        <f t="shared" si="12"/>
        <v>44489260</v>
      </c>
      <c r="BO13" s="1338">
        <f t="shared" si="12"/>
        <v>67762179</v>
      </c>
      <c r="BP13" s="648">
        <v>67765974</v>
      </c>
    </row>
    <row r="14" spans="2:68" s="30" customFormat="1" ht="15" customHeight="1">
      <c r="B14" s="25"/>
      <c r="C14" s="25"/>
      <c r="D14" s="674"/>
      <c r="E14" s="1746" t="s">
        <v>2485</v>
      </c>
      <c r="F14" s="1747"/>
      <c r="G14" s="1295">
        <v>16190</v>
      </c>
      <c r="H14" s="1296">
        <v>19764</v>
      </c>
      <c r="I14" s="1296">
        <v>603572</v>
      </c>
      <c r="J14" s="1296">
        <v>0</v>
      </c>
      <c r="K14" s="1296">
        <v>0</v>
      </c>
      <c r="L14" s="1296">
        <v>69614</v>
      </c>
      <c r="M14" s="1504">
        <f>1884691+2088</f>
        <v>1886779</v>
      </c>
      <c r="N14" s="1296">
        <v>0</v>
      </c>
      <c r="O14" s="1296">
        <v>79527</v>
      </c>
      <c r="P14" s="1296">
        <v>0</v>
      </c>
      <c r="Q14" s="1296">
        <v>0</v>
      </c>
      <c r="R14" s="1296">
        <v>0</v>
      </c>
      <c r="S14" s="1296">
        <v>0</v>
      </c>
      <c r="T14" s="1296">
        <v>0</v>
      </c>
      <c r="U14" s="1297">
        <v>0</v>
      </c>
      <c r="V14" s="1506">
        <f>SUM(G14:U14)</f>
        <v>2675446</v>
      </c>
      <c r="W14" s="1299">
        <v>0</v>
      </c>
      <c r="X14" s="1296">
        <v>4523142</v>
      </c>
      <c r="Y14" s="1296">
        <v>0</v>
      </c>
      <c r="Z14" s="1296">
        <v>0</v>
      </c>
      <c r="AA14" s="1296">
        <v>0</v>
      </c>
      <c r="AB14" s="1296">
        <v>0</v>
      </c>
      <c r="AC14" s="1296">
        <v>0</v>
      </c>
      <c r="AD14" s="1296">
        <v>15383</v>
      </c>
      <c r="AE14" s="1296">
        <v>5549778</v>
      </c>
      <c r="AF14" s="1296">
        <v>730</v>
      </c>
      <c r="AG14" s="1296">
        <v>0</v>
      </c>
      <c r="AH14" s="1296">
        <v>0</v>
      </c>
      <c r="AI14" s="1296">
        <v>871452</v>
      </c>
      <c r="AJ14" s="1296">
        <v>0</v>
      </c>
      <c r="AK14" s="1297">
        <v>0</v>
      </c>
      <c r="AL14" s="1335">
        <f t="shared" ref="AL14:AL18" si="13">SUM(W14:AK14)</f>
        <v>10960485</v>
      </c>
      <c r="AM14" s="1299">
        <v>0</v>
      </c>
      <c r="AN14" s="1296">
        <v>670</v>
      </c>
      <c r="AO14" s="1296">
        <v>0</v>
      </c>
      <c r="AP14" s="1296">
        <v>0</v>
      </c>
      <c r="AQ14" s="1296">
        <v>0</v>
      </c>
      <c r="AR14" s="1296">
        <v>0</v>
      </c>
      <c r="AS14" s="1296">
        <v>0</v>
      </c>
      <c r="AT14" s="1296">
        <v>0</v>
      </c>
      <c r="AU14" s="1296">
        <v>19958</v>
      </c>
      <c r="AV14" s="1296">
        <v>0</v>
      </c>
      <c r="AW14" s="1296">
        <v>0</v>
      </c>
      <c r="AX14" s="1296">
        <v>0</v>
      </c>
      <c r="AY14" s="1296">
        <v>4256</v>
      </c>
      <c r="AZ14" s="1296">
        <v>0</v>
      </c>
      <c r="BA14" s="1297">
        <v>0</v>
      </c>
      <c r="BB14" s="1335">
        <f t="shared" ref="BB14:BB18" si="14">SUM(AM14:BA14)</f>
        <v>24884</v>
      </c>
      <c r="BC14" s="1299">
        <v>41929442</v>
      </c>
      <c r="BD14" s="1296">
        <v>0</v>
      </c>
      <c r="BE14" s="1296">
        <v>0</v>
      </c>
      <c r="BF14" s="1296">
        <v>0</v>
      </c>
      <c r="BG14" s="1296">
        <v>0</v>
      </c>
      <c r="BH14" s="1296">
        <v>0</v>
      </c>
      <c r="BI14" s="1296">
        <v>0</v>
      </c>
      <c r="BJ14" s="1296">
        <v>0</v>
      </c>
      <c r="BK14" s="1296">
        <v>0</v>
      </c>
      <c r="BL14" s="1296">
        <v>88702</v>
      </c>
      <c r="BM14" s="1297">
        <v>0</v>
      </c>
      <c r="BN14" s="1335">
        <f>BC14+BD14+BG14+BJ14+BK14+BL14+BM14</f>
        <v>42018144</v>
      </c>
      <c r="BO14" s="1508">
        <f t="shared" ref="BO14:BO18" si="15">V14+AL14+BB14+BN14</f>
        <v>55678959</v>
      </c>
      <c r="BP14" s="648">
        <v>55676871</v>
      </c>
    </row>
    <row r="15" spans="2:68" s="30" customFormat="1" ht="15" customHeight="1">
      <c r="B15" s="25"/>
      <c r="C15" s="25"/>
      <c r="D15" s="674"/>
      <c r="E15" s="1746" t="s">
        <v>2486</v>
      </c>
      <c r="F15" s="1747"/>
      <c r="G15" s="1295">
        <v>24007</v>
      </c>
      <c r="H15" s="1296">
        <v>0</v>
      </c>
      <c r="I15" s="1296">
        <v>5749393</v>
      </c>
      <c r="J15" s="1296">
        <v>23879</v>
      </c>
      <c r="K15" s="1296">
        <v>0</v>
      </c>
      <c r="L15" s="1296">
        <v>233690</v>
      </c>
      <c r="M15" s="1296">
        <v>0</v>
      </c>
      <c r="N15" s="1296">
        <v>0</v>
      </c>
      <c r="O15" s="1296">
        <v>6541</v>
      </c>
      <c r="P15" s="1296">
        <v>19323</v>
      </c>
      <c r="Q15" s="1296">
        <v>0</v>
      </c>
      <c r="R15" s="1296">
        <v>0</v>
      </c>
      <c r="S15" s="1296">
        <v>0</v>
      </c>
      <c r="T15" s="1296">
        <v>0</v>
      </c>
      <c r="U15" s="1297">
        <v>0</v>
      </c>
      <c r="V15" s="1335">
        <f>SUM(G15:U15)</f>
        <v>6056833</v>
      </c>
      <c r="W15" s="1299">
        <v>0</v>
      </c>
      <c r="X15" s="1296">
        <v>0</v>
      </c>
      <c r="Y15" s="1296">
        <v>0</v>
      </c>
      <c r="Z15" s="1296">
        <v>0</v>
      </c>
      <c r="AA15" s="1296">
        <v>0</v>
      </c>
      <c r="AB15" s="1296">
        <v>0</v>
      </c>
      <c r="AC15" s="1296">
        <v>0</v>
      </c>
      <c r="AD15" s="1296">
        <v>0</v>
      </c>
      <c r="AE15" s="1296">
        <v>0</v>
      </c>
      <c r="AF15" s="1296">
        <v>0</v>
      </c>
      <c r="AG15" s="1296">
        <v>0</v>
      </c>
      <c r="AH15" s="1296">
        <v>0</v>
      </c>
      <c r="AI15" s="1296">
        <v>0</v>
      </c>
      <c r="AJ15" s="1296">
        <v>0</v>
      </c>
      <c r="AK15" s="1297">
        <v>0</v>
      </c>
      <c r="AL15" s="1335">
        <f t="shared" si="13"/>
        <v>0</v>
      </c>
      <c r="AM15" s="1299">
        <v>0</v>
      </c>
      <c r="AN15" s="1296">
        <v>0</v>
      </c>
      <c r="AO15" s="1296">
        <v>3130380</v>
      </c>
      <c r="AP15" s="1296">
        <v>0</v>
      </c>
      <c r="AQ15" s="1296">
        <v>0</v>
      </c>
      <c r="AR15" s="1296">
        <v>0</v>
      </c>
      <c r="AS15" s="1296">
        <v>0</v>
      </c>
      <c r="AT15" s="1296">
        <v>0</v>
      </c>
      <c r="AU15" s="1296">
        <v>0</v>
      </c>
      <c r="AV15" s="1296">
        <v>61385</v>
      </c>
      <c r="AW15" s="1296">
        <v>0</v>
      </c>
      <c r="AX15" s="1296">
        <v>0</v>
      </c>
      <c r="AY15" s="1296">
        <v>0</v>
      </c>
      <c r="AZ15" s="1296">
        <v>0</v>
      </c>
      <c r="BA15" s="1297">
        <v>0</v>
      </c>
      <c r="BB15" s="1335">
        <f t="shared" si="14"/>
        <v>3191765</v>
      </c>
      <c r="BC15" s="1299"/>
      <c r="BD15" s="1296">
        <f t="shared" ref="BD15:BD18" si="16">BE15+BF15</f>
        <v>0</v>
      </c>
      <c r="BE15" s="1296"/>
      <c r="BF15" s="1296"/>
      <c r="BG15" s="1296">
        <f t="shared" ref="BG15:BG18" si="17">BH15+BI15</f>
        <v>0</v>
      </c>
      <c r="BH15" s="1296"/>
      <c r="BI15" s="1296"/>
      <c r="BJ15" s="1296"/>
      <c r="BK15" s="1296"/>
      <c r="BL15" s="1296">
        <v>2471116</v>
      </c>
      <c r="BM15" s="1297"/>
      <c r="BN15" s="1335">
        <f>BC15+BD15+BG15+BJ15+BK15+BL15+BM15</f>
        <v>2471116</v>
      </c>
      <c r="BO15" s="1339">
        <f t="shared" si="15"/>
        <v>11719714</v>
      </c>
      <c r="BP15" s="648">
        <v>11725597</v>
      </c>
    </row>
    <row r="16" spans="2:68" s="30" customFormat="1" ht="15" customHeight="1">
      <c r="B16" s="25"/>
      <c r="C16" s="25"/>
      <c r="D16" s="674"/>
      <c r="E16" s="1746" t="s">
        <v>2487</v>
      </c>
      <c r="F16" s="1747"/>
      <c r="G16" s="1295">
        <v>0</v>
      </c>
      <c r="H16" s="1296">
        <v>0</v>
      </c>
      <c r="I16" s="1296">
        <v>0</v>
      </c>
      <c r="J16" s="1296">
        <v>105184</v>
      </c>
      <c r="K16" s="1296">
        <v>0</v>
      </c>
      <c r="L16" s="1296">
        <v>258322</v>
      </c>
      <c r="M16" s="1296">
        <v>0</v>
      </c>
      <c r="N16" s="1296">
        <v>0</v>
      </c>
      <c r="O16" s="1296">
        <v>0</v>
      </c>
      <c r="P16" s="1296">
        <v>0</v>
      </c>
      <c r="Q16" s="1296">
        <v>0</v>
      </c>
      <c r="R16" s="1296">
        <v>0</v>
      </c>
      <c r="S16" s="1296">
        <v>0</v>
      </c>
      <c r="T16" s="1296">
        <v>0</v>
      </c>
      <c r="U16" s="1297">
        <v>0</v>
      </c>
      <c r="V16" s="1335">
        <f>SUM(G16:U16)</f>
        <v>363506</v>
      </c>
      <c r="W16" s="1299">
        <v>0</v>
      </c>
      <c r="X16" s="1296">
        <v>0</v>
      </c>
      <c r="Y16" s="1296">
        <v>0</v>
      </c>
      <c r="Z16" s="1296">
        <v>0</v>
      </c>
      <c r="AA16" s="1296">
        <v>0</v>
      </c>
      <c r="AB16" s="1296">
        <v>0</v>
      </c>
      <c r="AC16" s="1296">
        <v>0</v>
      </c>
      <c r="AD16" s="1296">
        <v>0</v>
      </c>
      <c r="AE16" s="1296">
        <v>0</v>
      </c>
      <c r="AF16" s="1296">
        <v>0</v>
      </c>
      <c r="AG16" s="1296">
        <v>0</v>
      </c>
      <c r="AH16" s="1296">
        <v>0</v>
      </c>
      <c r="AI16" s="1296">
        <v>0</v>
      </c>
      <c r="AJ16" s="1296">
        <v>0</v>
      </c>
      <c r="AK16" s="1297">
        <v>0</v>
      </c>
      <c r="AL16" s="1335">
        <f t="shared" si="13"/>
        <v>0</v>
      </c>
      <c r="AM16" s="1299">
        <v>0</v>
      </c>
      <c r="AN16" s="1296">
        <v>0</v>
      </c>
      <c r="AO16" s="1296">
        <v>0</v>
      </c>
      <c r="AP16" s="1296">
        <v>0</v>
      </c>
      <c r="AQ16" s="1296">
        <v>0</v>
      </c>
      <c r="AR16" s="1296">
        <v>0</v>
      </c>
      <c r="AS16" s="1296">
        <v>0</v>
      </c>
      <c r="AT16" s="1296">
        <v>0</v>
      </c>
      <c r="AU16" s="1296">
        <v>0</v>
      </c>
      <c r="AV16" s="1296">
        <v>0</v>
      </c>
      <c r="AW16" s="1296">
        <v>0</v>
      </c>
      <c r="AX16" s="1296">
        <v>0</v>
      </c>
      <c r="AY16" s="1296">
        <v>0</v>
      </c>
      <c r="AZ16" s="1296">
        <v>0</v>
      </c>
      <c r="BA16" s="1297">
        <v>0</v>
      </c>
      <c r="BB16" s="1335">
        <f t="shared" si="14"/>
        <v>0</v>
      </c>
      <c r="BC16" s="1299"/>
      <c r="BD16" s="1296">
        <f t="shared" si="16"/>
        <v>0</v>
      </c>
      <c r="BE16" s="1296"/>
      <c r="BF16" s="1296"/>
      <c r="BG16" s="1296">
        <f t="shared" si="17"/>
        <v>0</v>
      </c>
      <c r="BH16" s="1296"/>
      <c r="BI16" s="1296"/>
      <c r="BJ16" s="1296"/>
      <c r="BK16" s="1296"/>
      <c r="BL16" s="1296"/>
      <c r="BM16" s="1297"/>
      <c r="BN16" s="1335">
        <f>BC16+BD16+BG16+BJ16+BK16+BL16+BM16</f>
        <v>0</v>
      </c>
      <c r="BO16" s="1339">
        <f t="shared" si="15"/>
        <v>363506</v>
      </c>
      <c r="BP16" s="648">
        <v>363506</v>
      </c>
    </row>
    <row r="17" spans="2:68" s="30" customFormat="1" ht="15" customHeight="1">
      <c r="B17" s="25"/>
      <c r="C17" s="25"/>
      <c r="D17" s="674"/>
      <c r="E17" s="1746" t="s">
        <v>2488</v>
      </c>
      <c r="F17" s="1747"/>
      <c r="G17" s="1295"/>
      <c r="H17" s="1296"/>
      <c r="I17" s="1296"/>
      <c r="J17" s="1296"/>
      <c r="K17" s="1296"/>
      <c r="L17" s="1296"/>
      <c r="M17" s="1296"/>
      <c r="N17" s="1296"/>
      <c r="O17" s="1296"/>
      <c r="P17" s="1296"/>
      <c r="Q17" s="1296"/>
      <c r="R17" s="1296"/>
      <c r="S17" s="1296"/>
      <c r="T17" s="1296"/>
      <c r="U17" s="1297"/>
      <c r="V17" s="1335">
        <f>SUM(G17:U17)</f>
        <v>0</v>
      </c>
      <c r="W17" s="1299"/>
      <c r="X17" s="1296"/>
      <c r="Y17" s="1296"/>
      <c r="Z17" s="1296"/>
      <c r="AA17" s="1296"/>
      <c r="AB17" s="1296"/>
      <c r="AC17" s="1296"/>
      <c r="AD17" s="1296"/>
      <c r="AE17" s="1296"/>
      <c r="AF17" s="1296"/>
      <c r="AG17" s="1296"/>
      <c r="AH17" s="1296"/>
      <c r="AI17" s="1296"/>
      <c r="AJ17" s="1296"/>
      <c r="AK17" s="1297"/>
      <c r="AL17" s="1335">
        <f t="shared" si="13"/>
        <v>0</v>
      </c>
      <c r="AM17" s="1299"/>
      <c r="AN17" s="1296"/>
      <c r="AO17" s="1296"/>
      <c r="AP17" s="1296"/>
      <c r="AQ17" s="1296"/>
      <c r="AR17" s="1296"/>
      <c r="AS17" s="1296"/>
      <c r="AT17" s="1296"/>
      <c r="AU17" s="1296"/>
      <c r="AV17" s="1296"/>
      <c r="AW17" s="1296"/>
      <c r="AX17" s="1296"/>
      <c r="AY17" s="1296"/>
      <c r="AZ17" s="1296"/>
      <c r="BA17" s="1297"/>
      <c r="BB17" s="1335">
        <f t="shared" si="14"/>
        <v>0</v>
      </c>
      <c r="BC17" s="1299"/>
      <c r="BD17" s="1296">
        <f t="shared" si="16"/>
        <v>0</v>
      </c>
      <c r="BE17" s="1296"/>
      <c r="BF17" s="1296"/>
      <c r="BG17" s="1296">
        <f t="shared" si="17"/>
        <v>0</v>
      </c>
      <c r="BH17" s="1296"/>
      <c r="BI17" s="1296"/>
      <c r="BJ17" s="1296"/>
      <c r="BK17" s="1296"/>
      <c r="BL17" s="1296"/>
      <c r="BM17" s="1297"/>
      <c r="BN17" s="1335">
        <f>BC17+BD17+BG17+BJ17+BK17+BL17+BM17</f>
        <v>0</v>
      </c>
      <c r="BO17" s="1339">
        <f t="shared" si="15"/>
        <v>0</v>
      </c>
      <c r="BP17" s="648"/>
    </row>
    <row r="18" spans="2:68" s="30" customFormat="1" ht="15" customHeight="1">
      <c r="B18" s="25"/>
      <c r="C18" s="25"/>
      <c r="D18" s="674"/>
      <c r="E18" s="1746" t="s">
        <v>2489</v>
      </c>
      <c r="F18" s="1747"/>
      <c r="G18" s="1295"/>
      <c r="H18" s="1296"/>
      <c r="I18" s="1296"/>
      <c r="J18" s="1296"/>
      <c r="K18" s="1296"/>
      <c r="L18" s="1296"/>
      <c r="M18" s="1296"/>
      <c r="N18" s="1296"/>
      <c r="O18" s="1296"/>
      <c r="P18" s="1296"/>
      <c r="Q18" s="1296"/>
      <c r="R18" s="1296"/>
      <c r="S18" s="1296"/>
      <c r="T18" s="1296"/>
      <c r="U18" s="1297"/>
      <c r="V18" s="1335">
        <f>SUM(G18:U18)</f>
        <v>0</v>
      </c>
      <c r="W18" s="1299"/>
      <c r="X18" s="1296"/>
      <c r="Y18" s="1296"/>
      <c r="Z18" s="1296"/>
      <c r="AA18" s="1296"/>
      <c r="AB18" s="1296"/>
      <c r="AC18" s="1296"/>
      <c r="AD18" s="1296"/>
      <c r="AE18" s="1296"/>
      <c r="AF18" s="1296"/>
      <c r="AG18" s="1296"/>
      <c r="AH18" s="1296"/>
      <c r="AI18" s="1296"/>
      <c r="AJ18" s="1296"/>
      <c r="AK18" s="1297"/>
      <c r="AL18" s="1335">
        <f t="shared" si="13"/>
        <v>0</v>
      </c>
      <c r="AM18" s="1299"/>
      <c r="AN18" s="1296"/>
      <c r="AO18" s="1296"/>
      <c r="AP18" s="1296"/>
      <c r="AQ18" s="1296"/>
      <c r="AR18" s="1296"/>
      <c r="AS18" s="1296"/>
      <c r="AT18" s="1296"/>
      <c r="AU18" s="1296"/>
      <c r="AV18" s="1296"/>
      <c r="AW18" s="1296"/>
      <c r="AX18" s="1296"/>
      <c r="AY18" s="1296"/>
      <c r="AZ18" s="1296"/>
      <c r="BA18" s="1297"/>
      <c r="BB18" s="1335">
        <f t="shared" si="14"/>
        <v>0</v>
      </c>
      <c r="BC18" s="1299"/>
      <c r="BD18" s="1296">
        <f t="shared" si="16"/>
        <v>0</v>
      </c>
      <c r="BE18" s="1296"/>
      <c r="BF18" s="1296"/>
      <c r="BG18" s="1296">
        <f t="shared" si="17"/>
        <v>0</v>
      </c>
      <c r="BH18" s="1296"/>
      <c r="BI18" s="1296"/>
      <c r="BJ18" s="1296"/>
      <c r="BK18" s="1296"/>
      <c r="BL18" s="1296"/>
      <c r="BM18" s="1297"/>
      <c r="BN18" s="1335">
        <f>BC18+BD18+BG18+BJ18+BK18+BL18+BM18</f>
        <v>0</v>
      </c>
      <c r="BO18" s="1339">
        <f t="shared" si="15"/>
        <v>0</v>
      </c>
      <c r="BP18" s="648"/>
    </row>
    <row r="19" spans="2:68" s="30" customFormat="1" ht="15" customHeight="1">
      <c r="B19" s="25"/>
      <c r="C19" s="25"/>
      <c r="D19" s="1731" t="s">
        <v>2490</v>
      </c>
      <c r="E19" s="1564"/>
      <c r="F19" s="1730"/>
      <c r="G19" s="1295">
        <f>SUM(G20:G22)</f>
        <v>0</v>
      </c>
      <c r="H19" s="1296">
        <f t="shared" ref="H19:BO19" si="18">SUM(H20:H22)</f>
        <v>0</v>
      </c>
      <c r="I19" s="1296">
        <f t="shared" si="18"/>
        <v>152848</v>
      </c>
      <c r="J19" s="1296">
        <f t="shared" si="18"/>
        <v>0</v>
      </c>
      <c r="K19" s="1296">
        <f t="shared" si="18"/>
        <v>0</v>
      </c>
      <c r="L19" s="1296">
        <f t="shared" si="18"/>
        <v>0</v>
      </c>
      <c r="M19" s="1296">
        <f t="shared" si="18"/>
        <v>0</v>
      </c>
      <c r="N19" s="1296">
        <f t="shared" si="18"/>
        <v>0</v>
      </c>
      <c r="O19" s="1296">
        <f t="shared" si="18"/>
        <v>39410</v>
      </c>
      <c r="P19" s="1296">
        <f t="shared" si="18"/>
        <v>0</v>
      </c>
      <c r="Q19" s="1296">
        <f t="shared" si="18"/>
        <v>0</v>
      </c>
      <c r="R19" s="1296">
        <f t="shared" si="18"/>
        <v>0</v>
      </c>
      <c r="S19" s="1296">
        <f t="shared" si="18"/>
        <v>0</v>
      </c>
      <c r="T19" s="1296">
        <f t="shared" si="18"/>
        <v>0</v>
      </c>
      <c r="U19" s="1297">
        <f t="shared" si="18"/>
        <v>0</v>
      </c>
      <c r="V19" s="1335">
        <f t="shared" si="18"/>
        <v>192258</v>
      </c>
      <c r="W19" s="1299">
        <f t="shared" si="18"/>
        <v>0</v>
      </c>
      <c r="X19" s="1296">
        <f t="shared" si="18"/>
        <v>366268</v>
      </c>
      <c r="Y19" s="1296">
        <f t="shared" si="18"/>
        <v>0</v>
      </c>
      <c r="Z19" s="1296">
        <f t="shared" si="18"/>
        <v>0</v>
      </c>
      <c r="AA19" s="1296">
        <f t="shared" si="18"/>
        <v>0</v>
      </c>
      <c r="AB19" s="1296">
        <f t="shared" si="18"/>
        <v>0</v>
      </c>
      <c r="AC19" s="1296">
        <f t="shared" si="18"/>
        <v>0</v>
      </c>
      <c r="AD19" s="1296">
        <f t="shared" si="18"/>
        <v>0</v>
      </c>
      <c r="AE19" s="1296">
        <f t="shared" si="18"/>
        <v>82163</v>
      </c>
      <c r="AF19" s="1296">
        <f t="shared" si="18"/>
        <v>0</v>
      </c>
      <c r="AG19" s="1296">
        <f t="shared" si="18"/>
        <v>0</v>
      </c>
      <c r="AH19" s="1296">
        <f t="shared" si="18"/>
        <v>0</v>
      </c>
      <c r="AI19" s="1296">
        <f t="shared" si="18"/>
        <v>0</v>
      </c>
      <c r="AJ19" s="1296">
        <f t="shared" si="18"/>
        <v>0</v>
      </c>
      <c r="AK19" s="1297">
        <f t="shared" si="18"/>
        <v>0</v>
      </c>
      <c r="AL19" s="1335">
        <f t="shared" si="18"/>
        <v>448431</v>
      </c>
      <c r="AM19" s="1299">
        <f t="shared" si="18"/>
        <v>0</v>
      </c>
      <c r="AN19" s="1296">
        <f t="shared" si="18"/>
        <v>0</v>
      </c>
      <c r="AO19" s="1296">
        <f t="shared" si="18"/>
        <v>0</v>
      </c>
      <c r="AP19" s="1296">
        <f t="shared" si="18"/>
        <v>0</v>
      </c>
      <c r="AQ19" s="1296">
        <f t="shared" si="18"/>
        <v>0</v>
      </c>
      <c r="AR19" s="1296">
        <f t="shared" si="18"/>
        <v>0</v>
      </c>
      <c r="AS19" s="1296">
        <f t="shared" si="18"/>
        <v>0</v>
      </c>
      <c r="AT19" s="1296">
        <f t="shared" si="18"/>
        <v>0</v>
      </c>
      <c r="AU19" s="1296">
        <f t="shared" si="18"/>
        <v>0</v>
      </c>
      <c r="AV19" s="1296">
        <f t="shared" si="18"/>
        <v>0</v>
      </c>
      <c r="AW19" s="1296">
        <f t="shared" si="18"/>
        <v>0</v>
      </c>
      <c r="AX19" s="1296">
        <f t="shared" si="18"/>
        <v>0</v>
      </c>
      <c r="AY19" s="1296">
        <f t="shared" si="18"/>
        <v>0</v>
      </c>
      <c r="AZ19" s="1296">
        <f t="shared" si="18"/>
        <v>0</v>
      </c>
      <c r="BA19" s="1297">
        <f t="shared" si="18"/>
        <v>0</v>
      </c>
      <c r="BB19" s="1335">
        <f t="shared" si="18"/>
        <v>0</v>
      </c>
      <c r="BC19" s="1299">
        <f t="shared" si="18"/>
        <v>15569816</v>
      </c>
      <c r="BD19" s="1296">
        <f t="shared" si="18"/>
        <v>0</v>
      </c>
      <c r="BE19" s="1296">
        <f t="shared" si="18"/>
        <v>0</v>
      </c>
      <c r="BF19" s="1296">
        <f t="shared" si="18"/>
        <v>0</v>
      </c>
      <c r="BG19" s="1296">
        <f t="shared" si="18"/>
        <v>0</v>
      </c>
      <c r="BH19" s="1296">
        <f t="shared" si="18"/>
        <v>0</v>
      </c>
      <c r="BI19" s="1296">
        <f t="shared" si="18"/>
        <v>0</v>
      </c>
      <c r="BJ19" s="1296">
        <f t="shared" si="18"/>
        <v>0</v>
      </c>
      <c r="BK19" s="1296">
        <f t="shared" si="18"/>
        <v>0</v>
      </c>
      <c r="BL19" s="1296">
        <f t="shared" si="18"/>
        <v>0</v>
      </c>
      <c r="BM19" s="1297">
        <f t="shared" si="18"/>
        <v>0</v>
      </c>
      <c r="BN19" s="1335">
        <f t="shared" si="18"/>
        <v>15569816</v>
      </c>
      <c r="BO19" s="1339">
        <f t="shared" si="18"/>
        <v>16210505</v>
      </c>
      <c r="BP19" s="648">
        <v>-16781969</v>
      </c>
    </row>
    <row r="20" spans="2:68" ht="15" customHeight="1">
      <c r="B20" s="12"/>
      <c r="C20" s="12"/>
      <c r="D20" s="675"/>
      <c r="E20" s="228"/>
      <c r="F20" s="681" t="s">
        <v>2491</v>
      </c>
      <c r="G20" s="1303">
        <v>0</v>
      </c>
      <c r="H20" s="1304">
        <v>0</v>
      </c>
      <c r="I20" s="1304">
        <v>152848</v>
      </c>
      <c r="J20" s="1304">
        <v>0</v>
      </c>
      <c r="K20" s="1304">
        <v>0</v>
      </c>
      <c r="L20" s="1304">
        <v>0</v>
      </c>
      <c r="M20" s="1304">
        <v>0</v>
      </c>
      <c r="N20" s="1304">
        <v>0</v>
      </c>
      <c r="O20" s="1304">
        <v>39410</v>
      </c>
      <c r="P20" s="1304">
        <v>0</v>
      </c>
      <c r="Q20" s="1304">
        <v>0</v>
      </c>
      <c r="R20" s="1304">
        <v>0</v>
      </c>
      <c r="S20" s="1304">
        <v>0</v>
      </c>
      <c r="T20" s="1304">
        <v>0</v>
      </c>
      <c r="U20" s="1305">
        <v>0</v>
      </c>
      <c r="V20" s="1336">
        <f>SUM(G20:U20)</f>
        <v>192258</v>
      </c>
      <c r="W20" s="1307">
        <v>0</v>
      </c>
      <c r="X20" s="1304">
        <v>366268</v>
      </c>
      <c r="Y20" s="1304">
        <v>0</v>
      </c>
      <c r="Z20" s="1304">
        <v>0</v>
      </c>
      <c r="AA20" s="1304">
        <v>0</v>
      </c>
      <c r="AB20" s="1304">
        <v>0</v>
      </c>
      <c r="AC20" s="1304">
        <v>0</v>
      </c>
      <c r="AD20" s="1304">
        <v>0</v>
      </c>
      <c r="AE20" s="1304">
        <v>82163</v>
      </c>
      <c r="AF20" s="1304">
        <v>0</v>
      </c>
      <c r="AG20" s="1304">
        <v>0</v>
      </c>
      <c r="AH20" s="1304">
        <v>0</v>
      </c>
      <c r="AI20" s="1304">
        <v>0</v>
      </c>
      <c r="AJ20" s="1304">
        <v>0</v>
      </c>
      <c r="AK20" s="1305">
        <v>0</v>
      </c>
      <c r="AL20" s="1336">
        <f t="shared" ref="AL20:AL22" si="19">SUM(W20:AK20)</f>
        <v>448431</v>
      </c>
      <c r="AM20" s="1308"/>
      <c r="AN20" s="1309"/>
      <c r="AO20" s="1309"/>
      <c r="AP20" s="1309"/>
      <c r="AQ20" s="1309"/>
      <c r="AR20" s="1309"/>
      <c r="AS20" s="1309"/>
      <c r="AT20" s="1309"/>
      <c r="AU20" s="1309"/>
      <c r="AV20" s="1309"/>
      <c r="AW20" s="1309"/>
      <c r="AX20" s="1309"/>
      <c r="AY20" s="1309"/>
      <c r="AZ20" s="1309"/>
      <c r="BA20" s="1310"/>
      <c r="BB20" s="1336">
        <f t="shared" ref="BB20:BB22" si="20">SUM(AM20:BA20)</f>
        <v>0</v>
      </c>
      <c r="BC20" s="1308">
        <v>15569816</v>
      </c>
      <c r="BD20" s="1309">
        <v>0</v>
      </c>
      <c r="BE20" s="1309">
        <v>0</v>
      </c>
      <c r="BF20" s="1309">
        <v>0</v>
      </c>
      <c r="BG20" s="1309">
        <v>0</v>
      </c>
      <c r="BH20" s="1309">
        <v>0</v>
      </c>
      <c r="BI20" s="1309">
        <v>0</v>
      </c>
      <c r="BJ20" s="1309">
        <v>0</v>
      </c>
      <c r="BK20" s="1309">
        <v>0</v>
      </c>
      <c r="BL20" s="1309">
        <v>0</v>
      </c>
      <c r="BM20" s="1310">
        <v>0</v>
      </c>
      <c r="BN20" s="1336">
        <f>BC20+BD20+BG20+BJ20+BK20+BL20+BM20</f>
        <v>15569816</v>
      </c>
      <c r="BO20" s="1339">
        <f t="shared" ref="BO20:BO22" si="21">V20+AL20+BB20+BN20</f>
        <v>16210505</v>
      </c>
      <c r="BP20" s="146">
        <v>-16781969</v>
      </c>
    </row>
    <row r="21" spans="2:68" ht="15" customHeight="1">
      <c r="B21" s="12"/>
      <c r="C21" s="12"/>
      <c r="D21" s="675"/>
      <c r="E21" s="228"/>
      <c r="F21" s="681" t="s">
        <v>2492</v>
      </c>
      <c r="G21" s="1303"/>
      <c r="H21" s="1304"/>
      <c r="I21" s="1304"/>
      <c r="J21" s="1304"/>
      <c r="K21" s="1304"/>
      <c r="L21" s="1304"/>
      <c r="M21" s="1304"/>
      <c r="N21" s="1304"/>
      <c r="O21" s="1304"/>
      <c r="P21" s="1304"/>
      <c r="Q21" s="1304"/>
      <c r="R21" s="1304"/>
      <c r="S21" s="1304"/>
      <c r="T21" s="1304"/>
      <c r="U21" s="1305"/>
      <c r="V21" s="1336">
        <f>SUM(G21:U21)</f>
        <v>0</v>
      </c>
      <c r="W21" s="1307"/>
      <c r="X21" s="1304"/>
      <c r="Y21" s="1304"/>
      <c r="Z21" s="1304"/>
      <c r="AA21" s="1304"/>
      <c r="AB21" s="1304"/>
      <c r="AC21" s="1304"/>
      <c r="AD21" s="1304"/>
      <c r="AE21" s="1304"/>
      <c r="AF21" s="1304"/>
      <c r="AG21" s="1304"/>
      <c r="AH21" s="1304"/>
      <c r="AI21" s="1304"/>
      <c r="AJ21" s="1304"/>
      <c r="AK21" s="1305"/>
      <c r="AL21" s="1336">
        <f t="shared" si="19"/>
        <v>0</v>
      </c>
      <c r="AM21" s="1308"/>
      <c r="AN21" s="1309"/>
      <c r="AO21" s="1309"/>
      <c r="AP21" s="1309"/>
      <c r="AQ21" s="1309"/>
      <c r="AR21" s="1309"/>
      <c r="AS21" s="1309"/>
      <c r="AT21" s="1309"/>
      <c r="AU21" s="1309"/>
      <c r="AV21" s="1309"/>
      <c r="AW21" s="1309"/>
      <c r="AX21" s="1309"/>
      <c r="AY21" s="1309"/>
      <c r="AZ21" s="1309"/>
      <c r="BA21" s="1310"/>
      <c r="BB21" s="1336">
        <f t="shared" si="20"/>
        <v>0</v>
      </c>
      <c r="BC21" s="1308"/>
      <c r="BD21" s="1309">
        <v>0</v>
      </c>
      <c r="BE21" s="1309"/>
      <c r="BF21" s="1309"/>
      <c r="BG21" s="1309">
        <v>0</v>
      </c>
      <c r="BH21" s="1309"/>
      <c r="BI21" s="1309"/>
      <c r="BJ21" s="1309"/>
      <c r="BK21" s="1309"/>
      <c r="BL21" s="1309"/>
      <c r="BM21" s="1310"/>
      <c r="BN21" s="1336">
        <f>BC21+BD21+BG21+BJ21+BK21+BL21+BM21</f>
        <v>0</v>
      </c>
      <c r="BO21" s="1339">
        <f t="shared" si="21"/>
        <v>0</v>
      </c>
      <c r="BP21" s="146"/>
    </row>
    <row r="22" spans="2:68" ht="15" customHeight="1">
      <c r="B22" s="12"/>
      <c r="C22" s="12"/>
      <c r="D22" s="675"/>
      <c r="E22" s="228"/>
      <c r="F22" s="681" t="s">
        <v>2493</v>
      </c>
      <c r="G22" s="1303"/>
      <c r="H22" s="1304"/>
      <c r="I22" s="1304"/>
      <c r="J22" s="1304"/>
      <c r="K22" s="1304"/>
      <c r="L22" s="1304"/>
      <c r="M22" s="1304"/>
      <c r="N22" s="1304"/>
      <c r="O22" s="1304"/>
      <c r="P22" s="1304"/>
      <c r="Q22" s="1304"/>
      <c r="R22" s="1304"/>
      <c r="S22" s="1304"/>
      <c r="T22" s="1304"/>
      <c r="U22" s="1305"/>
      <c r="V22" s="1336">
        <f>SUM(G22:U22)</f>
        <v>0</v>
      </c>
      <c r="W22" s="1307"/>
      <c r="X22" s="1304"/>
      <c r="Y22" s="1304"/>
      <c r="Z22" s="1304"/>
      <c r="AA22" s="1304"/>
      <c r="AB22" s="1304"/>
      <c r="AC22" s="1304"/>
      <c r="AD22" s="1304"/>
      <c r="AE22" s="1304"/>
      <c r="AF22" s="1304"/>
      <c r="AG22" s="1304"/>
      <c r="AH22" s="1304"/>
      <c r="AI22" s="1304"/>
      <c r="AJ22" s="1304"/>
      <c r="AK22" s="1305"/>
      <c r="AL22" s="1336">
        <f t="shared" si="19"/>
        <v>0</v>
      </c>
      <c r="AM22" s="1308"/>
      <c r="AN22" s="1309"/>
      <c r="AO22" s="1309"/>
      <c r="AP22" s="1309"/>
      <c r="AQ22" s="1309"/>
      <c r="AR22" s="1309"/>
      <c r="AS22" s="1309"/>
      <c r="AT22" s="1309"/>
      <c r="AU22" s="1309"/>
      <c r="AV22" s="1309"/>
      <c r="AW22" s="1309"/>
      <c r="AX22" s="1309"/>
      <c r="AY22" s="1309"/>
      <c r="AZ22" s="1309"/>
      <c r="BA22" s="1310"/>
      <c r="BB22" s="1336">
        <f t="shared" si="20"/>
        <v>0</v>
      </c>
      <c r="BC22" s="1308"/>
      <c r="BD22" s="1309">
        <v>0</v>
      </c>
      <c r="BE22" s="1309"/>
      <c r="BF22" s="1309"/>
      <c r="BG22" s="1309">
        <v>0</v>
      </c>
      <c r="BH22" s="1309"/>
      <c r="BI22" s="1309"/>
      <c r="BJ22" s="1309"/>
      <c r="BK22" s="1309"/>
      <c r="BL22" s="1309"/>
      <c r="BM22" s="1310"/>
      <c r="BN22" s="1336">
        <f>BC22+BD22+BG22+BJ22+BK22+BL22+BM22</f>
        <v>0</v>
      </c>
      <c r="BO22" s="1339">
        <f t="shared" si="21"/>
        <v>0</v>
      </c>
      <c r="BP22" s="146"/>
    </row>
    <row r="23" spans="2:68" s="30" customFormat="1" ht="15" customHeight="1">
      <c r="B23" s="25"/>
      <c r="C23" s="25"/>
      <c r="D23" s="1731" t="s">
        <v>2494</v>
      </c>
      <c r="E23" s="1564"/>
      <c r="F23" s="1730"/>
      <c r="G23" s="1295">
        <f>SUM(G24:G26)</f>
        <v>0</v>
      </c>
      <c r="H23" s="1296">
        <f t="shared" ref="H23:BO23" si="22">SUM(H24:H26)</f>
        <v>0</v>
      </c>
      <c r="I23" s="1296">
        <f t="shared" si="22"/>
        <v>0</v>
      </c>
      <c r="J23" s="1296">
        <f t="shared" si="22"/>
        <v>0</v>
      </c>
      <c r="K23" s="1296">
        <f t="shared" si="22"/>
        <v>0</v>
      </c>
      <c r="L23" s="1296">
        <f t="shared" si="22"/>
        <v>0</v>
      </c>
      <c r="M23" s="1296">
        <f t="shared" si="22"/>
        <v>0</v>
      </c>
      <c r="N23" s="1296">
        <f t="shared" si="22"/>
        <v>0</v>
      </c>
      <c r="O23" s="1296">
        <f t="shared" si="22"/>
        <v>0</v>
      </c>
      <c r="P23" s="1296">
        <f t="shared" si="22"/>
        <v>0</v>
      </c>
      <c r="Q23" s="1296">
        <f t="shared" si="22"/>
        <v>0</v>
      </c>
      <c r="R23" s="1296">
        <f t="shared" si="22"/>
        <v>0</v>
      </c>
      <c r="S23" s="1296">
        <f t="shared" si="22"/>
        <v>0</v>
      </c>
      <c r="T23" s="1296">
        <f t="shared" si="22"/>
        <v>0</v>
      </c>
      <c r="U23" s="1297">
        <f t="shared" si="22"/>
        <v>0</v>
      </c>
      <c r="V23" s="1335">
        <f t="shared" si="22"/>
        <v>0</v>
      </c>
      <c r="W23" s="1299">
        <f t="shared" si="22"/>
        <v>0</v>
      </c>
      <c r="X23" s="1296">
        <f t="shared" si="22"/>
        <v>0</v>
      </c>
      <c r="Y23" s="1296">
        <f t="shared" si="22"/>
        <v>0</v>
      </c>
      <c r="Z23" s="1296">
        <f t="shared" si="22"/>
        <v>0</v>
      </c>
      <c r="AA23" s="1296">
        <f t="shared" si="22"/>
        <v>0</v>
      </c>
      <c r="AB23" s="1296">
        <f t="shared" si="22"/>
        <v>0</v>
      </c>
      <c r="AC23" s="1296">
        <f t="shared" si="22"/>
        <v>0</v>
      </c>
      <c r="AD23" s="1296">
        <f t="shared" si="22"/>
        <v>0</v>
      </c>
      <c r="AE23" s="1296">
        <f t="shared" si="22"/>
        <v>0</v>
      </c>
      <c r="AF23" s="1296">
        <f t="shared" si="22"/>
        <v>0</v>
      </c>
      <c r="AG23" s="1296">
        <f t="shared" si="22"/>
        <v>0</v>
      </c>
      <c r="AH23" s="1296">
        <f t="shared" si="22"/>
        <v>0</v>
      </c>
      <c r="AI23" s="1296">
        <f t="shared" si="22"/>
        <v>0</v>
      </c>
      <c r="AJ23" s="1296">
        <f t="shared" si="22"/>
        <v>0</v>
      </c>
      <c r="AK23" s="1297">
        <f t="shared" si="22"/>
        <v>0</v>
      </c>
      <c r="AL23" s="1335">
        <f t="shared" si="22"/>
        <v>0</v>
      </c>
      <c r="AM23" s="1299">
        <f t="shared" si="22"/>
        <v>0</v>
      </c>
      <c r="AN23" s="1296">
        <f t="shared" si="22"/>
        <v>0</v>
      </c>
      <c r="AO23" s="1296">
        <f t="shared" si="22"/>
        <v>0</v>
      </c>
      <c r="AP23" s="1296">
        <f t="shared" si="22"/>
        <v>0</v>
      </c>
      <c r="AQ23" s="1296">
        <f t="shared" si="22"/>
        <v>0</v>
      </c>
      <c r="AR23" s="1296">
        <f t="shared" si="22"/>
        <v>0</v>
      </c>
      <c r="AS23" s="1296">
        <f t="shared" si="22"/>
        <v>0</v>
      </c>
      <c r="AT23" s="1296">
        <f t="shared" si="22"/>
        <v>0</v>
      </c>
      <c r="AU23" s="1296">
        <f t="shared" si="22"/>
        <v>0</v>
      </c>
      <c r="AV23" s="1296">
        <f t="shared" si="22"/>
        <v>0</v>
      </c>
      <c r="AW23" s="1296">
        <f t="shared" si="22"/>
        <v>0</v>
      </c>
      <c r="AX23" s="1296">
        <f t="shared" si="22"/>
        <v>0</v>
      </c>
      <c r="AY23" s="1296">
        <f t="shared" si="22"/>
        <v>0</v>
      </c>
      <c r="AZ23" s="1296">
        <f t="shared" si="22"/>
        <v>0</v>
      </c>
      <c r="BA23" s="1297">
        <f t="shared" si="22"/>
        <v>0</v>
      </c>
      <c r="BB23" s="1335">
        <f t="shared" si="22"/>
        <v>0</v>
      </c>
      <c r="BC23" s="1299">
        <f t="shared" si="22"/>
        <v>0</v>
      </c>
      <c r="BD23" s="1296">
        <f t="shared" si="22"/>
        <v>0</v>
      </c>
      <c r="BE23" s="1296">
        <f t="shared" si="22"/>
        <v>0</v>
      </c>
      <c r="BF23" s="1296">
        <f t="shared" si="22"/>
        <v>0</v>
      </c>
      <c r="BG23" s="1296">
        <f t="shared" si="22"/>
        <v>0</v>
      </c>
      <c r="BH23" s="1296">
        <f t="shared" si="22"/>
        <v>0</v>
      </c>
      <c r="BI23" s="1296">
        <f t="shared" si="22"/>
        <v>0</v>
      </c>
      <c r="BJ23" s="1296">
        <f t="shared" si="22"/>
        <v>0</v>
      </c>
      <c r="BK23" s="1296">
        <f t="shared" si="22"/>
        <v>0</v>
      </c>
      <c r="BL23" s="1296">
        <f t="shared" si="22"/>
        <v>0</v>
      </c>
      <c r="BM23" s="1297">
        <f t="shared" si="22"/>
        <v>0</v>
      </c>
      <c r="BN23" s="1335">
        <f t="shared" si="22"/>
        <v>0</v>
      </c>
      <c r="BO23" s="1339">
        <f t="shared" si="22"/>
        <v>0</v>
      </c>
      <c r="BP23" s="648"/>
    </row>
    <row r="24" spans="2:68" ht="15" customHeight="1">
      <c r="B24" s="12"/>
      <c r="C24" s="12"/>
      <c r="D24" s="675"/>
      <c r="E24" s="228"/>
      <c r="F24" s="681" t="s">
        <v>2495</v>
      </c>
      <c r="G24" s="1303"/>
      <c r="H24" s="1304"/>
      <c r="I24" s="1304"/>
      <c r="J24" s="1304"/>
      <c r="K24" s="1304"/>
      <c r="L24" s="1304"/>
      <c r="M24" s="1304"/>
      <c r="N24" s="1304"/>
      <c r="O24" s="1304"/>
      <c r="P24" s="1304"/>
      <c r="Q24" s="1304"/>
      <c r="R24" s="1304"/>
      <c r="S24" s="1304"/>
      <c r="T24" s="1304"/>
      <c r="U24" s="1305"/>
      <c r="V24" s="1336">
        <f>SUM(G24:U24)</f>
        <v>0</v>
      </c>
      <c r="W24" s="1307"/>
      <c r="X24" s="1304"/>
      <c r="Y24" s="1304"/>
      <c r="Z24" s="1304"/>
      <c r="AA24" s="1304"/>
      <c r="AB24" s="1304"/>
      <c r="AC24" s="1304"/>
      <c r="AD24" s="1304"/>
      <c r="AE24" s="1304"/>
      <c r="AF24" s="1304"/>
      <c r="AG24" s="1304"/>
      <c r="AH24" s="1304"/>
      <c r="AI24" s="1304"/>
      <c r="AJ24" s="1304"/>
      <c r="AK24" s="1305"/>
      <c r="AL24" s="1336">
        <f t="shared" ref="AL24:AL26" si="23">SUM(W24:AK24)</f>
        <v>0</v>
      </c>
      <c r="AM24" s="1308"/>
      <c r="AN24" s="1309"/>
      <c r="AO24" s="1309"/>
      <c r="AP24" s="1309"/>
      <c r="AQ24" s="1309"/>
      <c r="AR24" s="1309"/>
      <c r="AS24" s="1309"/>
      <c r="AT24" s="1309"/>
      <c r="AU24" s="1309"/>
      <c r="AV24" s="1309"/>
      <c r="AW24" s="1309"/>
      <c r="AX24" s="1309"/>
      <c r="AY24" s="1309"/>
      <c r="AZ24" s="1309"/>
      <c r="BA24" s="1310"/>
      <c r="BB24" s="1336">
        <f t="shared" ref="BB24:BB26" si="24">SUM(AM24:BA24)</f>
        <v>0</v>
      </c>
      <c r="BC24" s="1308"/>
      <c r="BD24" s="1309">
        <f t="shared" ref="BD24:BD26" si="25">BE24+BF24</f>
        <v>0</v>
      </c>
      <c r="BE24" s="1309"/>
      <c r="BF24" s="1309"/>
      <c r="BG24" s="1309">
        <f t="shared" ref="BG24:BG26" si="26">BH24+BI24</f>
        <v>0</v>
      </c>
      <c r="BH24" s="1309"/>
      <c r="BI24" s="1309"/>
      <c r="BJ24" s="1309"/>
      <c r="BK24" s="1309"/>
      <c r="BL24" s="1309"/>
      <c r="BM24" s="1310"/>
      <c r="BN24" s="1336">
        <f>BC24+BD24+BG24+BJ24+BK24+BL24+BM24</f>
        <v>0</v>
      </c>
      <c r="BO24" s="1339">
        <f t="shared" ref="BO24:BO26" si="27">V24+AL24+BB24+BN24</f>
        <v>0</v>
      </c>
      <c r="BP24" s="146"/>
    </row>
    <row r="25" spans="2:68" ht="15" customHeight="1">
      <c r="B25" s="12"/>
      <c r="C25" s="12"/>
      <c r="D25" s="675"/>
      <c r="E25" s="228"/>
      <c r="F25" s="681" t="s">
        <v>2496</v>
      </c>
      <c r="G25" s="1303"/>
      <c r="H25" s="1304"/>
      <c r="I25" s="1304"/>
      <c r="J25" s="1304"/>
      <c r="K25" s="1304"/>
      <c r="L25" s="1304"/>
      <c r="M25" s="1304"/>
      <c r="N25" s="1304"/>
      <c r="O25" s="1304"/>
      <c r="P25" s="1304"/>
      <c r="Q25" s="1304"/>
      <c r="R25" s="1304"/>
      <c r="S25" s="1304"/>
      <c r="T25" s="1304"/>
      <c r="U25" s="1305"/>
      <c r="V25" s="1336">
        <f>SUM(G25:U25)</f>
        <v>0</v>
      </c>
      <c r="W25" s="1307"/>
      <c r="X25" s="1304"/>
      <c r="Y25" s="1304"/>
      <c r="Z25" s="1304"/>
      <c r="AA25" s="1304"/>
      <c r="AB25" s="1304"/>
      <c r="AC25" s="1304"/>
      <c r="AD25" s="1304"/>
      <c r="AE25" s="1304"/>
      <c r="AF25" s="1304"/>
      <c r="AG25" s="1304"/>
      <c r="AH25" s="1304"/>
      <c r="AI25" s="1304"/>
      <c r="AJ25" s="1304"/>
      <c r="AK25" s="1305"/>
      <c r="AL25" s="1336">
        <f t="shared" si="23"/>
        <v>0</v>
      </c>
      <c r="AM25" s="1308"/>
      <c r="AN25" s="1309"/>
      <c r="AO25" s="1309"/>
      <c r="AP25" s="1309"/>
      <c r="AQ25" s="1309"/>
      <c r="AR25" s="1309"/>
      <c r="AS25" s="1309"/>
      <c r="AT25" s="1309"/>
      <c r="AU25" s="1309"/>
      <c r="AV25" s="1309"/>
      <c r="AW25" s="1309"/>
      <c r="AX25" s="1309"/>
      <c r="AY25" s="1309"/>
      <c r="AZ25" s="1309"/>
      <c r="BA25" s="1310"/>
      <c r="BB25" s="1336">
        <f t="shared" si="24"/>
        <v>0</v>
      </c>
      <c r="BC25" s="1308"/>
      <c r="BD25" s="1309">
        <f t="shared" si="25"/>
        <v>0</v>
      </c>
      <c r="BE25" s="1309"/>
      <c r="BF25" s="1309"/>
      <c r="BG25" s="1309">
        <f t="shared" si="26"/>
        <v>0</v>
      </c>
      <c r="BH25" s="1309"/>
      <c r="BI25" s="1309"/>
      <c r="BJ25" s="1309"/>
      <c r="BK25" s="1309"/>
      <c r="BL25" s="1309"/>
      <c r="BM25" s="1310"/>
      <c r="BN25" s="1336">
        <f>BC25+BD25+BG25+BJ25+BK25+BL25+BM25</f>
        <v>0</v>
      </c>
      <c r="BO25" s="1339">
        <f t="shared" si="27"/>
        <v>0</v>
      </c>
      <c r="BP25" s="146"/>
    </row>
    <row r="26" spans="2:68" ht="15" customHeight="1">
      <c r="B26" s="12"/>
      <c r="C26" s="12"/>
      <c r="D26" s="675"/>
      <c r="E26" s="228"/>
      <c r="F26" s="681" t="s">
        <v>2497</v>
      </c>
      <c r="G26" s="1303"/>
      <c r="H26" s="1304"/>
      <c r="I26" s="1304"/>
      <c r="J26" s="1304"/>
      <c r="K26" s="1304"/>
      <c r="L26" s="1304"/>
      <c r="M26" s="1304"/>
      <c r="N26" s="1304"/>
      <c r="O26" s="1304"/>
      <c r="P26" s="1304"/>
      <c r="Q26" s="1304"/>
      <c r="R26" s="1304"/>
      <c r="S26" s="1304"/>
      <c r="T26" s="1304"/>
      <c r="U26" s="1305"/>
      <c r="V26" s="1336">
        <f>SUM(G26:U26)</f>
        <v>0</v>
      </c>
      <c r="W26" s="1307"/>
      <c r="X26" s="1304"/>
      <c r="Y26" s="1304"/>
      <c r="Z26" s="1304"/>
      <c r="AA26" s="1304"/>
      <c r="AB26" s="1304"/>
      <c r="AC26" s="1304"/>
      <c r="AD26" s="1304"/>
      <c r="AE26" s="1304"/>
      <c r="AF26" s="1304"/>
      <c r="AG26" s="1304"/>
      <c r="AH26" s="1304"/>
      <c r="AI26" s="1304"/>
      <c r="AJ26" s="1304"/>
      <c r="AK26" s="1305"/>
      <c r="AL26" s="1336">
        <f t="shared" si="23"/>
        <v>0</v>
      </c>
      <c r="AM26" s="1308"/>
      <c r="AN26" s="1309"/>
      <c r="AO26" s="1309"/>
      <c r="AP26" s="1309"/>
      <c r="AQ26" s="1309"/>
      <c r="AR26" s="1309"/>
      <c r="AS26" s="1309"/>
      <c r="AT26" s="1309"/>
      <c r="AU26" s="1309"/>
      <c r="AV26" s="1309"/>
      <c r="AW26" s="1309"/>
      <c r="AX26" s="1309"/>
      <c r="AY26" s="1309"/>
      <c r="AZ26" s="1309"/>
      <c r="BA26" s="1310"/>
      <c r="BB26" s="1336">
        <f t="shared" si="24"/>
        <v>0</v>
      </c>
      <c r="BC26" s="1308"/>
      <c r="BD26" s="1309">
        <f t="shared" si="25"/>
        <v>0</v>
      </c>
      <c r="BE26" s="1309"/>
      <c r="BF26" s="1309"/>
      <c r="BG26" s="1309">
        <f t="shared" si="26"/>
        <v>0</v>
      </c>
      <c r="BH26" s="1309"/>
      <c r="BI26" s="1309"/>
      <c r="BJ26" s="1309"/>
      <c r="BK26" s="1309"/>
      <c r="BL26" s="1309"/>
      <c r="BM26" s="1310"/>
      <c r="BN26" s="1336">
        <f>BC26+BD26+BG26+BJ26+BK26+BL26+BM26</f>
        <v>0</v>
      </c>
      <c r="BO26" s="1339">
        <f t="shared" si="27"/>
        <v>0</v>
      </c>
      <c r="BP26" s="146"/>
    </row>
    <row r="27" spans="2:68" s="30" customFormat="1" ht="15" customHeight="1">
      <c r="B27" s="25"/>
      <c r="C27" s="25"/>
      <c r="D27" s="1731" t="s">
        <v>2498</v>
      </c>
      <c r="E27" s="1564"/>
      <c r="F27" s="1730"/>
      <c r="G27" s="1295">
        <f>G28+G32+G41</f>
        <v>38035</v>
      </c>
      <c r="H27" s="1296">
        <f t="shared" ref="H27:BO27" si="28">H28+H32+H41</f>
        <v>23605</v>
      </c>
      <c r="I27" s="1296">
        <f t="shared" si="28"/>
        <v>-56271</v>
      </c>
      <c r="J27" s="1296">
        <f t="shared" si="28"/>
        <v>21285</v>
      </c>
      <c r="K27" s="1296">
        <f t="shared" si="28"/>
        <v>0</v>
      </c>
      <c r="L27" s="1296">
        <f t="shared" si="28"/>
        <v>15642</v>
      </c>
      <c r="M27" s="1504">
        <f t="shared" si="28"/>
        <v>4922535</v>
      </c>
      <c r="N27" s="1296">
        <f t="shared" si="28"/>
        <v>2867</v>
      </c>
      <c r="O27" s="1296">
        <f t="shared" si="28"/>
        <v>1012192</v>
      </c>
      <c r="P27" s="1296">
        <f t="shared" si="28"/>
        <v>-4098</v>
      </c>
      <c r="Q27" s="1296">
        <f t="shared" si="28"/>
        <v>0</v>
      </c>
      <c r="R27" s="1296">
        <f t="shared" si="28"/>
        <v>0</v>
      </c>
      <c r="S27" s="1296">
        <f t="shared" si="28"/>
        <v>0</v>
      </c>
      <c r="T27" s="1296">
        <f t="shared" si="28"/>
        <v>0</v>
      </c>
      <c r="U27" s="1297">
        <f t="shared" si="28"/>
        <v>0</v>
      </c>
      <c r="V27" s="1335">
        <f t="shared" si="28"/>
        <v>5975792</v>
      </c>
      <c r="W27" s="1299">
        <f t="shared" si="28"/>
        <v>1077003</v>
      </c>
      <c r="X27" s="1296">
        <f t="shared" si="28"/>
        <v>2063008</v>
      </c>
      <c r="Y27" s="1296">
        <f t="shared" si="28"/>
        <v>0</v>
      </c>
      <c r="Z27" s="1296">
        <f t="shared" si="28"/>
        <v>0</v>
      </c>
      <c r="AA27" s="1296">
        <f t="shared" si="28"/>
        <v>0</v>
      </c>
      <c r="AB27" s="1296">
        <f t="shared" si="28"/>
        <v>0</v>
      </c>
      <c r="AC27" s="1296">
        <f t="shared" si="28"/>
        <v>0</v>
      </c>
      <c r="AD27" s="1296">
        <f t="shared" si="28"/>
        <v>115019</v>
      </c>
      <c r="AE27" s="1296">
        <f t="shared" si="28"/>
        <v>7231663</v>
      </c>
      <c r="AF27" s="1296">
        <f t="shared" si="28"/>
        <v>216162</v>
      </c>
      <c r="AG27" s="1296">
        <f t="shared" si="28"/>
        <v>0</v>
      </c>
      <c r="AH27" s="1296">
        <f t="shared" si="28"/>
        <v>0</v>
      </c>
      <c r="AI27" s="1296">
        <f t="shared" si="28"/>
        <v>22165</v>
      </c>
      <c r="AJ27" s="1296">
        <f t="shared" si="28"/>
        <v>0</v>
      </c>
      <c r="AK27" s="1297">
        <f t="shared" si="28"/>
        <v>63455</v>
      </c>
      <c r="AL27" s="1335">
        <f t="shared" si="28"/>
        <v>10788475</v>
      </c>
      <c r="AM27" s="1299">
        <f t="shared" si="28"/>
        <v>0</v>
      </c>
      <c r="AN27" s="1296">
        <f t="shared" si="28"/>
        <v>0</v>
      </c>
      <c r="AO27" s="1296">
        <f t="shared" si="28"/>
        <v>30506</v>
      </c>
      <c r="AP27" s="1296">
        <f t="shared" si="28"/>
        <v>0</v>
      </c>
      <c r="AQ27" s="1296">
        <f t="shared" si="28"/>
        <v>0</v>
      </c>
      <c r="AR27" s="1296">
        <f t="shared" si="28"/>
        <v>0</v>
      </c>
      <c r="AS27" s="1296">
        <f t="shared" si="28"/>
        <v>0</v>
      </c>
      <c r="AT27" s="1296">
        <f t="shared" si="28"/>
        <v>0</v>
      </c>
      <c r="AU27" s="1296">
        <f t="shared" si="28"/>
        <v>2439</v>
      </c>
      <c r="AV27" s="1296">
        <f t="shared" si="28"/>
        <v>847</v>
      </c>
      <c r="AW27" s="1296">
        <f t="shared" si="28"/>
        <v>0</v>
      </c>
      <c r="AX27" s="1296">
        <f t="shared" si="28"/>
        <v>71684</v>
      </c>
      <c r="AY27" s="1296">
        <f t="shared" si="28"/>
        <v>26626</v>
      </c>
      <c r="AZ27" s="1296">
        <f t="shared" si="28"/>
        <v>0</v>
      </c>
      <c r="BA27" s="1297">
        <f t="shared" si="28"/>
        <v>0</v>
      </c>
      <c r="BB27" s="1335">
        <f t="shared" si="28"/>
        <v>132102</v>
      </c>
      <c r="BC27" s="1299">
        <f t="shared" si="28"/>
        <v>71645220</v>
      </c>
      <c r="BD27" s="1296">
        <f t="shared" si="28"/>
        <v>0</v>
      </c>
      <c r="BE27" s="1296">
        <f t="shared" si="28"/>
        <v>0</v>
      </c>
      <c r="BF27" s="1296">
        <f t="shared" si="28"/>
        <v>0</v>
      </c>
      <c r="BG27" s="1296">
        <f t="shared" si="28"/>
        <v>0</v>
      </c>
      <c r="BH27" s="1296">
        <f t="shared" si="28"/>
        <v>0</v>
      </c>
      <c r="BI27" s="1296">
        <f t="shared" si="28"/>
        <v>0</v>
      </c>
      <c r="BJ27" s="1296">
        <f t="shared" si="28"/>
        <v>66037</v>
      </c>
      <c r="BK27" s="1296">
        <f t="shared" si="28"/>
        <v>0</v>
      </c>
      <c r="BL27" s="1296">
        <f t="shared" si="28"/>
        <v>83982</v>
      </c>
      <c r="BM27" s="1297">
        <f t="shared" si="28"/>
        <v>0</v>
      </c>
      <c r="BN27" s="1335">
        <f t="shared" si="28"/>
        <v>71795239</v>
      </c>
      <c r="BO27" s="1508">
        <f t="shared" si="28"/>
        <v>88691608</v>
      </c>
      <c r="BP27" s="1342"/>
    </row>
    <row r="28" spans="2:68" s="30" customFormat="1" ht="15" customHeight="1">
      <c r="B28" s="25"/>
      <c r="C28" s="25"/>
      <c r="D28" s="680"/>
      <c r="E28" s="1564" t="s">
        <v>2499</v>
      </c>
      <c r="F28" s="1730"/>
      <c r="G28" s="1295">
        <f>G29-G30+G31</f>
        <v>0</v>
      </c>
      <c r="H28" s="1296">
        <f t="shared" ref="H28:BO28" si="29">H29-H30+H31</f>
        <v>0</v>
      </c>
      <c r="I28" s="1296">
        <f t="shared" si="29"/>
        <v>0</v>
      </c>
      <c r="J28" s="1296">
        <f t="shared" si="29"/>
        <v>0</v>
      </c>
      <c r="K28" s="1296">
        <f t="shared" si="29"/>
        <v>0</v>
      </c>
      <c r="L28" s="1296">
        <f t="shared" si="29"/>
        <v>0</v>
      </c>
      <c r="M28" s="1296">
        <f t="shared" si="29"/>
        <v>2709608</v>
      </c>
      <c r="N28" s="1296">
        <f t="shared" si="29"/>
        <v>0</v>
      </c>
      <c r="O28" s="1296">
        <f t="shared" si="29"/>
        <v>0</v>
      </c>
      <c r="P28" s="1296">
        <f t="shared" si="29"/>
        <v>0</v>
      </c>
      <c r="Q28" s="1296">
        <f t="shared" si="29"/>
        <v>0</v>
      </c>
      <c r="R28" s="1296">
        <f t="shared" si="29"/>
        <v>0</v>
      </c>
      <c r="S28" s="1296">
        <f t="shared" si="29"/>
        <v>0</v>
      </c>
      <c r="T28" s="1296">
        <f t="shared" si="29"/>
        <v>0</v>
      </c>
      <c r="U28" s="1297">
        <f t="shared" si="29"/>
        <v>0</v>
      </c>
      <c r="V28" s="1335">
        <f t="shared" si="29"/>
        <v>2709608</v>
      </c>
      <c r="W28" s="1299">
        <f t="shared" si="29"/>
        <v>0</v>
      </c>
      <c r="X28" s="1296">
        <f t="shared" si="29"/>
        <v>828576</v>
      </c>
      <c r="Y28" s="1296">
        <f t="shared" si="29"/>
        <v>0</v>
      </c>
      <c r="Z28" s="1296">
        <f t="shared" si="29"/>
        <v>0</v>
      </c>
      <c r="AA28" s="1296">
        <f t="shared" si="29"/>
        <v>0</v>
      </c>
      <c r="AB28" s="1296">
        <f t="shared" si="29"/>
        <v>0</v>
      </c>
      <c r="AC28" s="1296">
        <f t="shared" si="29"/>
        <v>0</v>
      </c>
      <c r="AD28" s="1296">
        <f t="shared" si="29"/>
        <v>0</v>
      </c>
      <c r="AE28" s="1296">
        <f t="shared" si="29"/>
        <v>0</v>
      </c>
      <c r="AF28" s="1296">
        <f t="shared" si="29"/>
        <v>0</v>
      </c>
      <c r="AG28" s="1296">
        <f t="shared" si="29"/>
        <v>0</v>
      </c>
      <c r="AH28" s="1296">
        <f t="shared" si="29"/>
        <v>0</v>
      </c>
      <c r="AI28" s="1296">
        <f t="shared" si="29"/>
        <v>0</v>
      </c>
      <c r="AJ28" s="1296">
        <f t="shared" si="29"/>
        <v>0</v>
      </c>
      <c r="AK28" s="1297">
        <f t="shared" si="29"/>
        <v>0</v>
      </c>
      <c r="AL28" s="1335">
        <f t="shared" si="29"/>
        <v>828576</v>
      </c>
      <c r="AM28" s="1299">
        <f t="shared" si="29"/>
        <v>0</v>
      </c>
      <c r="AN28" s="1296">
        <f t="shared" si="29"/>
        <v>0</v>
      </c>
      <c r="AO28" s="1296">
        <f t="shared" si="29"/>
        <v>0</v>
      </c>
      <c r="AP28" s="1296">
        <f t="shared" si="29"/>
        <v>0</v>
      </c>
      <c r="AQ28" s="1296">
        <f t="shared" si="29"/>
        <v>0</v>
      </c>
      <c r="AR28" s="1296">
        <f t="shared" si="29"/>
        <v>0</v>
      </c>
      <c r="AS28" s="1296">
        <f t="shared" si="29"/>
        <v>0</v>
      </c>
      <c r="AT28" s="1296">
        <f t="shared" si="29"/>
        <v>0</v>
      </c>
      <c r="AU28" s="1296">
        <f t="shared" si="29"/>
        <v>0</v>
      </c>
      <c r="AV28" s="1296">
        <f t="shared" si="29"/>
        <v>0</v>
      </c>
      <c r="AW28" s="1296">
        <f t="shared" si="29"/>
        <v>0</v>
      </c>
      <c r="AX28" s="1296">
        <f t="shared" si="29"/>
        <v>0</v>
      </c>
      <c r="AY28" s="1296">
        <f t="shared" si="29"/>
        <v>0</v>
      </c>
      <c r="AZ28" s="1296">
        <f t="shared" si="29"/>
        <v>0</v>
      </c>
      <c r="BA28" s="1297">
        <f t="shared" si="29"/>
        <v>0</v>
      </c>
      <c r="BB28" s="1335">
        <f t="shared" si="29"/>
        <v>0</v>
      </c>
      <c r="BC28" s="1299">
        <f t="shared" si="29"/>
        <v>0</v>
      </c>
      <c r="BD28" s="1296">
        <f t="shared" si="29"/>
        <v>0</v>
      </c>
      <c r="BE28" s="1296">
        <f t="shared" si="29"/>
        <v>0</v>
      </c>
      <c r="BF28" s="1296">
        <f t="shared" si="29"/>
        <v>0</v>
      </c>
      <c r="BG28" s="1296">
        <f t="shared" si="29"/>
        <v>0</v>
      </c>
      <c r="BH28" s="1296">
        <f t="shared" si="29"/>
        <v>0</v>
      </c>
      <c r="BI28" s="1296">
        <f t="shared" si="29"/>
        <v>0</v>
      </c>
      <c r="BJ28" s="1296">
        <f t="shared" si="29"/>
        <v>0</v>
      </c>
      <c r="BK28" s="1296">
        <f t="shared" si="29"/>
        <v>0</v>
      </c>
      <c r="BL28" s="1296">
        <f t="shared" si="29"/>
        <v>0</v>
      </c>
      <c r="BM28" s="1297">
        <f t="shared" si="29"/>
        <v>0</v>
      </c>
      <c r="BN28" s="1335">
        <f t="shared" si="29"/>
        <v>0</v>
      </c>
      <c r="BO28" s="1339">
        <f t="shared" si="29"/>
        <v>3538184</v>
      </c>
      <c r="BP28" s="1342">
        <f>+BO28-BC28</f>
        <v>3538184</v>
      </c>
    </row>
    <row r="29" spans="2:68" ht="15" customHeight="1">
      <c r="B29" s="12"/>
      <c r="C29" s="12"/>
      <c r="D29" s="675"/>
      <c r="E29" s="228"/>
      <c r="F29" s="681" t="s">
        <v>2501</v>
      </c>
      <c r="G29" s="1303">
        <v>0</v>
      </c>
      <c r="H29" s="1304">
        <v>0</v>
      </c>
      <c r="I29" s="1304">
        <v>0</v>
      </c>
      <c r="J29" s="1304">
        <v>0</v>
      </c>
      <c r="K29" s="1304">
        <v>0</v>
      </c>
      <c r="L29" s="1304">
        <v>0</v>
      </c>
      <c r="M29" s="1304">
        <v>2709608</v>
      </c>
      <c r="N29" s="1304">
        <v>0</v>
      </c>
      <c r="O29" s="1304">
        <v>0</v>
      </c>
      <c r="P29" s="1304">
        <v>0</v>
      </c>
      <c r="Q29" s="1304">
        <v>0</v>
      </c>
      <c r="R29" s="1304">
        <v>0</v>
      </c>
      <c r="S29" s="1304">
        <v>0</v>
      </c>
      <c r="T29" s="1304">
        <v>0</v>
      </c>
      <c r="U29" s="1305">
        <v>0</v>
      </c>
      <c r="V29" s="1336">
        <f>SUM(G29:U29)</f>
        <v>2709608</v>
      </c>
      <c r="W29" s="1307">
        <v>0</v>
      </c>
      <c r="X29" s="1304">
        <v>1001380</v>
      </c>
      <c r="Y29" s="1304">
        <v>0</v>
      </c>
      <c r="Z29" s="1304">
        <v>0</v>
      </c>
      <c r="AA29" s="1304">
        <v>0</v>
      </c>
      <c r="AB29" s="1304">
        <v>0</v>
      </c>
      <c r="AC29" s="1304">
        <v>0</v>
      </c>
      <c r="AD29" s="1304">
        <v>0</v>
      </c>
      <c r="AE29" s="1304">
        <v>0</v>
      </c>
      <c r="AF29" s="1304">
        <v>0</v>
      </c>
      <c r="AG29" s="1304">
        <v>0</v>
      </c>
      <c r="AH29" s="1304">
        <v>0</v>
      </c>
      <c r="AI29" s="1304">
        <v>0</v>
      </c>
      <c r="AJ29" s="1304">
        <v>0</v>
      </c>
      <c r="AK29" s="1305">
        <v>0</v>
      </c>
      <c r="AL29" s="1336">
        <f t="shared" ref="AL29:AL31" si="30">SUM(W29:AK29)</f>
        <v>1001380</v>
      </c>
      <c r="AM29" s="1308"/>
      <c r="AN29" s="1309"/>
      <c r="AO29" s="1309"/>
      <c r="AP29" s="1309"/>
      <c r="AQ29" s="1309"/>
      <c r="AR29" s="1309"/>
      <c r="AS29" s="1309"/>
      <c r="AT29" s="1309"/>
      <c r="AU29" s="1309"/>
      <c r="AV29" s="1309"/>
      <c r="AW29" s="1309"/>
      <c r="AX29" s="1309"/>
      <c r="AY29" s="1309"/>
      <c r="AZ29" s="1309"/>
      <c r="BA29" s="1310"/>
      <c r="BB29" s="1336">
        <f t="shared" ref="BB29:BB31" si="31">SUM(AM29:BA29)</f>
        <v>0</v>
      </c>
      <c r="BC29" s="1308"/>
      <c r="BD29" s="1309">
        <f t="shared" ref="BD29:BD31" si="32">BE29+BF29</f>
        <v>0</v>
      </c>
      <c r="BE29" s="1309"/>
      <c r="BF29" s="1309"/>
      <c r="BG29" s="1309">
        <f t="shared" ref="BG29:BG31" si="33">BH29+BI29</f>
        <v>0</v>
      </c>
      <c r="BH29" s="1309"/>
      <c r="BI29" s="1309"/>
      <c r="BJ29" s="1309"/>
      <c r="BK29" s="1309"/>
      <c r="BL29" s="1309"/>
      <c r="BM29" s="1310"/>
      <c r="BN29" s="1336">
        <f>BC29+BD29+BG29+BJ29+BK29+BL29+BM29</f>
        <v>0</v>
      </c>
      <c r="BO29" s="1339">
        <f t="shared" ref="BO29:BO31" si="34">V29+AL29+BB29+BN29</f>
        <v>3710988</v>
      </c>
      <c r="BP29" s="1342">
        <f t="shared" ref="BP29:BP42" si="35">+BO29-BC29</f>
        <v>3710988</v>
      </c>
    </row>
    <row r="30" spans="2:68" ht="15" customHeight="1">
      <c r="B30" s="12"/>
      <c r="C30" s="12"/>
      <c r="D30" s="675"/>
      <c r="E30" s="228"/>
      <c r="F30" s="681" t="s">
        <v>2500</v>
      </c>
      <c r="G30" s="1303"/>
      <c r="H30" s="1304"/>
      <c r="I30" s="1304"/>
      <c r="J30" s="1304"/>
      <c r="K30" s="1304"/>
      <c r="L30" s="1304"/>
      <c r="M30" s="1304"/>
      <c r="N30" s="1304"/>
      <c r="O30" s="1304"/>
      <c r="P30" s="1304"/>
      <c r="Q30" s="1304"/>
      <c r="R30" s="1304"/>
      <c r="S30" s="1304"/>
      <c r="T30" s="1304"/>
      <c r="U30" s="1305"/>
      <c r="V30" s="1336">
        <f>SUM(G30:U30)</f>
        <v>0</v>
      </c>
      <c r="W30" s="1307"/>
      <c r="X30" s="1304">
        <v>172804</v>
      </c>
      <c r="Y30" s="1304"/>
      <c r="Z30" s="1304"/>
      <c r="AA30" s="1304"/>
      <c r="AB30" s="1304"/>
      <c r="AC30" s="1304"/>
      <c r="AD30" s="1304"/>
      <c r="AE30" s="1304"/>
      <c r="AF30" s="1304"/>
      <c r="AG30" s="1304"/>
      <c r="AH30" s="1304"/>
      <c r="AI30" s="1304"/>
      <c r="AJ30" s="1304"/>
      <c r="AK30" s="1305"/>
      <c r="AL30" s="1336">
        <f t="shared" si="30"/>
        <v>172804</v>
      </c>
      <c r="AM30" s="1308"/>
      <c r="AN30" s="1309"/>
      <c r="AO30" s="1309"/>
      <c r="AP30" s="1309"/>
      <c r="AQ30" s="1309"/>
      <c r="AR30" s="1309"/>
      <c r="AS30" s="1309"/>
      <c r="AT30" s="1309"/>
      <c r="AU30" s="1309"/>
      <c r="AV30" s="1309"/>
      <c r="AW30" s="1309"/>
      <c r="AX30" s="1309"/>
      <c r="AY30" s="1309"/>
      <c r="AZ30" s="1309"/>
      <c r="BA30" s="1310"/>
      <c r="BB30" s="1336">
        <f t="shared" si="31"/>
        <v>0</v>
      </c>
      <c r="BC30" s="1308"/>
      <c r="BD30" s="1309">
        <f t="shared" si="32"/>
        <v>0</v>
      </c>
      <c r="BE30" s="1309"/>
      <c r="BF30" s="1309"/>
      <c r="BG30" s="1309">
        <f t="shared" si="33"/>
        <v>0</v>
      </c>
      <c r="BH30" s="1309"/>
      <c r="BI30" s="1309"/>
      <c r="BJ30" s="1309"/>
      <c r="BK30" s="1309"/>
      <c r="BL30" s="1309"/>
      <c r="BM30" s="1310"/>
      <c r="BN30" s="1336">
        <f>BC30+BD30+BG30+BJ30+BK30+BL30+BM30</f>
        <v>0</v>
      </c>
      <c r="BO30" s="1339">
        <f t="shared" si="34"/>
        <v>172804</v>
      </c>
      <c r="BP30" s="1342">
        <f t="shared" si="35"/>
        <v>172804</v>
      </c>
    </row>
    <row r="31" spans="2:68" ht="15" customHeight="1">
      <c r="B31" s="12"/>
      <c r="C31" s="12"/>
      <c r="D31" s="675"/>
      <c r="E31" s="228"/>
      <c r="F31" s="681" t="s">
        <v>2502</v>
      </c>
      <c r="G31" s="1303"/>
      <c r="H31" s="1304"/>
      <c r="I31" s="1304"/>
      <c r="J31" s="1304"/>
      <c r="K31" s="1304"/>
      <c r="L31" s="1304"/>
      <c r="M31" s="1304"/>
      <c r="N31" s="1304"/>
      <c r="O31" s="1304"/>
      <c r="P31" s="1304"/>
      <c r="Q31" s="1304"/>
      <c r="R31" s="1304"/>
      <c r="S31" s="1304"/>
      <c r="T31" s="1304"/>
      <c r="U31" s="1305"/>
      <c r="V31" s="1336">
        <f>SUM(G31:U31)</f>
        <v>0</v>
      </c>
      <c r="W31" s="1307"/>
      <c r="X31" s="1304"/>
      <c r="Y31" s="1304"/>
      <c r="Z31" s="1304"/>
      <c r="AA31" s="1304"/>
      <c r="AB31" s="1304"/>
      <c r="AC31" s="1304"/>
      <c r="AD31" s="1304"/>
      <c r="AE31" s="1304"/>
      <c r="AF31" s="1304"/>
      <c r="AG31" s="1304"/>
      <c r="AH31" s="1304"/>
      <c r="AI31" s="1304"/>
      <c r="AJ31" s="1304"/>
      <c r="AK31" s="1305"/>
      <c r="AL31" s="1336">
        <f t="shared" si="30"/>
        <v>0</v>
      </c>
      <c r="AM31" s="1308"/>
      <c r="AN31" s="1309"/>
      <c r="AO31" s="1309"/>
      <c r="AP31" s="1309"/>
      <c r="AQ31" s="1309"/>
      <c r="AR31" s="1309"/>
      <c r="AS31" s="1309"/>
      <c r="AT31" s="1309"/>
      <c r="AU31" s="1309"/>
      <c r="AV31" s="1309"/>
      <c r="AW31" s="1309"/>
      <c r="AX31" s="1309"/>
      <c r="AY31" s="1309"/>
      <c r="AZ31" s="1309"/>
      <c r="BA31" s="1310"/>
      <c r="BB31" s="1336">
        <f t="shared" si="31"/>
        <v>0</v>
      </c>
      <c r="BC31" s="1308"/>
      <c r="BD31" s="1309">
        <f t="shared" si="32"/>
        <v>0</v>
      </c>
      <c r="BE31" s="1309"/>
      <c r="BF31" s="1309"/>
      <c r="BG31" s="1309">
        <f t="shared" si="33"/>
        <v>0</v>
      </c>
      <c r="BH31" s="1309"/>
      <c r="BI31" s="1309"/>
      <c r="BJ31" s="1309"/>
      <c r="BK31" s="1309"/>
      <c r="BL31" s="1309"/>
      <c r="BM31" s="1310"/>
      <c r="BN31" s="1336">
        <f>BC31+BD31+BG31+BJ31+BK31+BL31+BM31</f>
        <v>0</v>
      </c>
      <c r="BO31" s="1339">
        <f t="shared" si="34"/>
        <v>0</v>
      </c>
      <c r="BP31" s="1342">
        <f t="shared" si="35"/>
        <v>0</v>
      </c>
    </row>
    <row r="32" spans="2:68" s="30" customFormat="1" ht="15" customHeight="1">
      <c r="B32" s="25"/>
      <c r="C32" s="25"/>
      <c r="D32" s="1731" t="s">
        <v>2503</v>
      </c>
      <c r="E32" s="1564"/>
      <c r="F32" s="1730"/>
      <c r="G32" s="1295">
        <f>G33+G37</f>
        <v>19952</v>
      </c>
      <c r="H32" s="1296">
        <f t="shared" ref="H32:BO32" si="36">H33+H37</f>
        <v>-1166</v>
      </c>
      <c r="I32" s="1296">
        <f t="shared" si="36"/>
        <v>-248179</v>
      </c>
      <c r="J32" s="1296">
        <f t="shared" si="36"/>
        <v>16327</v>
      </c>
      <c r="K32" s="1296">
        <f t="shared" si="36"/>
        <v>0</v>
      </c>
      <c r="L32" s="1296">
        <f t="shared" si="36"/>
        <v>8023</v>
      </c>
      <c r="M32" s="1296">
        <f t="shared" si="36"/>
        <v>1143933</v>
      </c>
      <c r="N32" s="1296">
        <f t="shared" si="36"/>
        <v>0</v>
      </c>
      <c r="O32" s="1296">
        <f t="shared" si="36"/>
        <v>476219</v>
      </c>
      <c r="P32" s="1296">
        <f t="shared" si="36"/>
        <v>-27312</v>
      </c>
      <c r="Q32" s="1296">
        <f t="shared" si="36"/>
        <v>0</v>
      </c>
      <c r="R32" s="1296">
        <f t="shared" si="36"/>
        <v>0</v>
      </c>
      <c r="S32" s="1296">
        <f t="shared" si="36"/>
        <v>0</v>
      </c>
      <c r="T32" s="1296">
        <f t="shared" si="36"/>
        <v>0</v>
      </c>
      <c r="U32" s="1297">
        <f t="shared" si="36"/>
        <v>0</v>
      </c>
      <c r="V32" s="1335">
        <f t="shared" si="36"/>
        <v>1387797</v>
      </c>
      <c r="W32" s="1299">
        <f t="shared" si="36"/>
        <v>0</v>
      </c>
      <c r="X32" s="1296">
        <f t="shared" si="36"/>
        <v>977193</v>
      </c>
      <c r="Y32" s="1296">
        <f t="shared" si="36"/>
        <v>0</v>
      </c>
      <c r="Z32" s="1296">
        <f t="shared" si="36"/>
        <v>0</v>
      </c>
      <c r="AA32" s="1296">
        <f t="shared" si="36"/>
        <v>0</v>
      </c>
      <c r="AB32" s="1296">
        <f t="shared" si="36"/>
        <v>0</v>
      </c>
      <c r="AC32" s="1296">
        <f t="shared" si="36"/>
        <v>0</v>
      </c>
      <c r="AD32" s="1296">
        <f t="shared" si="36"/>
        <v>73544</v>
      </c>
      <c r="AE32" s="1296">
        <f t="shared" si="36"/>
        <v>2670444</v>
      </c>
      <c r="AF32" s="1296">
        <f t="shared" si="36"/>
        <v>171453</v>
      </c>
      <c r="AG32" s="1296">
        <f t="shared" si="36"/>
        <v>0</v>
      </c>
      <c r="AH32" s="1296">
        <f t="shared" si="36"/>
        <v>0</v>
      </c>
      <c r="AI32" s="1296">
        <f t="shared" si="36"/>
        <v>16381</v>
      </c>
      <c r="AJ32" s="1296">
        <f t="shared" si="36"/>
        <v>0</v>
      </c>
      <c r="AK32" s="1297">
        <f t="shared" si="36"/>
        <v>0</v>
      </c>
      <c r="AL32" s="1335">
        <f t="shared" si="36"/>
        <v>3909015</v>
      </c>
      <c r="AM32" s="1299">
        <f t="shared" si="36"/>
        <v>0</v>
      </c>
      <c r="AN32" s="1296">
        <f t="shared" si="36"/>
        <v>0</v>
      </c>
      <c r="AO32" s="1296">
        <f t="shared" si="36"/>
        <v>30478</v>
      </c>
      <c r="AP32" s="1296">
        <f t="shared" si="36"/>
        <v>0</v>
      </c>
      <c r="AQ32" s="1296">
        <f t="shared" si="36"/>
        <v>0</v>
      </c>
      <c r="AR32" s="1296">
        <f t="shared" si="36"/>
        <v>0</v>
      </c>
      <c r="AS32" s="1296">
        <f t="shared" si="36"/>
        <v>0</v>
      </c>
      <c r="AT32" s="1296">
        <f t="shared" si="36"/>
        <v>0</v>
      </c>
      <c r="AU32" s="1296">
        <f t="shared" si="36"/>
        <v>0</v>
      </c>
      <c r="AV32" s="1296">
        <f t="shared" si="36"/>
        <v>0</v>
      </c>
      <c r="AW32" s="1296">
        <f t="shared" si="36"/>
        <v>0</v>
      </c>
      <c r="AX32" s="1296">
        <f t="shared" si="36"/>
        <v>0</v>
      </c>
      <c r="AY32" s="1296">
        <f t="shared" si="36"/>
        <v>0</v>
      </c>
      <c r="AZ32" s="1296">
        <f t="shared" si="36"/>
        <v>0</v>
      </c>
      <c r="BA32" s="1297">
        <f t="shared" si="36"/>
        <v>0</v>
      </c>
      <c r="BB32" s="1335">
        <f t="shared" si="36"/>
        <v>30478</v>
      </c>
      <c r="BC32" s="1299">
        <f t="shared" si="36"/>
        <v>58744415</v>
      </c>
      <c r="BD32" s="1296">
        <f t="shared" si="36"/>
        <v>0</v>
      </c>
      <c r="BE32" s="1296">
        <f t="shared" si="36"/>
        <v>0</v>
      </c>
      <c r="BF32" s="1296">
        <f t="shared" si="36"/>
        <v>0</v>
      </c>
      <c r="BG32" s="1296">
        <f t="shared" si="36"/>
        <v>0</v>
      </c>
      <c r="BH32" s="1296">
        <f t="shared" si="36"/>
        <v>0</v>
      </c>
      <c r="BI32" s="1296">
        <f t="shared" si="36"/>
        <v>0</v>
      </c>
      <c r="BJ32" s="1296">
        <f t="shared" si="36"/>
        <v>0</v>
      </c>
      <c r="BK32" s="1296">
        <f t="shared" si="36"/>
        <v>0</v>
      </c>
      <c r="BL32" s="1296">
        <f t="shared" si="36"/>
        <v>139342</v>
      </c>
      <c r="BM32" s="1297">
        <f t="shared" si="36"/>
        <v>0</v>
      </c>
      <c r="BN32" s="1335">
        <f t="shared" si="36"/>
        <v>58883757</v>
      </c>
      <c r="BO32" s="1339">
        <f t="shared" si="36"/>
        <v>64211047</v>
      </c>
      <c r="BP32" s="1342">
        <f t="shared" si="35"/>
        <v>5466632</v>
      </c>
    </row>
    <row r="33" spans="2:68" s="30" customFormat="1" ht="15" customHeight="1">
      <c r="B33" s="25"/>
      <c r="C33" s="25"/>
      <c r="D33" s="661"/>
      <c r="E33" s="1564" t="s">
        <v>2504</v>
      </c>
      <c r="F33" s="1730"/>
      <c r="G33" s="1295">
        <f>G34-G35+G36</f>
        <v>7961</v>
      </c>
      <c r="H33" s="1296">
        <f t="shared" ref="H33:BO33" si="37">H34-H35+H36</f>
        <v>-1166</v>
      </c>
      <c r="I33" s="1296">
        <f t="shared" si="37"/>
        <v>-254485</v>
      </c>
      <c r="J33" s="1296">
        <f t="shared" si="37"/>
        <v>-989</v>
      </c>
      <c r="K33" s="1296">
        <f t="shared" si="37"/>
        <v>0</v>
      </c>
      <c r="L33" s="1296">
        <f t="shared" si="37"/>
        <v>8023</v>
      </c>
      <c r="M33" s="1296">
        <f t="shared" si="37"/>
        <v>403496</v>
      </c>
      <c r="N33" s="1296">
        <f t="shared" si="37"/>
        <v>0</v>
      </c>
      <c r="O33" s="1296">
        <f t="shared" si="37"/>
        <v>476219</v>
      </c>
      <c r="P33" s="1296">
        <f t="shared" si="37"/>
        <v>-27312</v>
      </c>
      <c r="Q33" s="1296">
        <f t="shared" si="37"/>
        <v>0</v>
      </c>
      <c r="R33" s="1296">
        <f t="shared" si="37"/>
        <v>0</v>
      </c>
      <c r="S33" s="1296">
        <f t="shared" si="37"/>
        <v>0</v>
      </c>
      <c r="T33" s="1296">
        <f t="shared" si="37"/>
        <v>0</v>
      </c>
      <c r="U33" s="1297">
        <f t="shared" si="37"/>
        <v>0</v>
      </c>
      <c r="V33" s="1335">
        <f t="shared" si="37"/>
        <v>611747</v>
      </c>
      <c r="W33" s="1299">
        <f t="shared" si="37"/>
        <v>0</v>
      </c>
      <c r="X33" s="1296">
        <f t="shared" si="37"/>
        <v>563607</v>
      </c>
      <c r="Y33" s="1296">
        <f t="shared" si="37"/>
        <v>0</v>
      </c>
      <c r="Z33" s="1296">
        <f t="shared" si="37"/>
        <v>0</v>
      </c>
      <c r="AA33" s="1296">
        <f t="shared" si="37"/>
        <v>0</v>
      </c>
      <c r="AB33" s="1296">
        <f t="shared" si="37"/>
        <v>0</v>
      </c>
      <c r="AC33" s="1296">
        <f t="shared" si="37"/>
        <v>0</v>
      </c>
      <c r="AD33" s="1296">
        <f t="shared" si="37"/>
        <v>73544</v>
      </c>
      <c r="AE33" s="1296">
        <f t="shared" si="37"/>
        <v>2670444</v>
      </c>
      <c r="AF33" s="1296">
        <f t="shared" si="37"/>
        <v>145791</v>
      </c>
      <c r="AG33" s="1296">
        <f t="shared" si="37"/>
        <v>0</v>
      </c>
      <c r="AH33" s="1296">
        <f t="shared" si="37"/>
        <v>0</v>
      </c>
      <c r="AI33" s="1296">
        <f t="shared" si="37"/>
        <v>16381</v>
      </c>
      <c r="AJ33" s="1296">
        <f t="shared" si="37"/>
        <v>0</v>
      </c>
      <c r="AK33" s="1297">
        <f t="shared" si="37"/>
        <v>0</v>
      </c>
      <c r="AL33" s="1335">
        <f t="shared" si="37"/>
        <v>3469767</v>
      </c>
      <c r="AM33" s="1299">
        <f t="shared" si="37"/>
        <v>0</v>
      </c>
      <c r="AN33" s="1296">
        <f t="shared" si="37"/>
        <v>0</v>
      </c>
      <c r="AO33" s="1296">
        <f t="shared" si="37"/>
        <v>30478</v>
      </c>
      <c r="AP33" s="1296">
        <f t="shared" si="37"/>
        <v>0</v>
      </c>
      <c r="AQ33" s="1296">
        <f t="shared" si="37"/>
        <v>0</v>
      </c>
      <c r="AR33" s="1296">
        <f t="shared" si="37"/>
        <v>0</v>
      </c>
      <c r="AS33" s="1296">
        <f t="shared" si="37"/>
        <v>0</v>
      </c>
      <c r="AT33" s="1296">
        <f t="shared" si="37"/>
        <v>0</v>
      </c>
      <c r="AU33" s="1296">
        <f t="shared" si="37"/>
        <v>0</v>
      </c>
      <c r="AV33" s="1296">
        <f t="shared" si="37"/>
        <v>940</v>
      </c>
      <c r="AW33" s="1296">
        <f t="shared" si="37"/>
        <v>0</v>
      </c>
      <c r="AX33" s="1296">
        <f t="shared" si="37"/>
        <v>0</v>
      </c>
      <c r="AY33" s="1296">
        <f t="shared" si="37"/>
        <v>0</v>
      </c>
      <c r="AZ33" s="1296">
        <f t="shared" si="37"/>
        <v>0</v>
      </c>
      <c r="BA33" s="1297">
        <f t="shared" si="37"/>
        <v>0</v>
      </c>
      <c r="BB33" s="1335">
        <f t="shared" si="37"/>
        <v>31418</v>
      </c>
      <c r="BC33" s="1299">
        <f t="shared" si="37"/>
        <v>58744415</v>
      </c>
      <c r="BD33" s="1296">
        <f t="shared" si="37"/>
        <v>0</v>
      </c>
      <c r="BE33" s="1296">
        <f t="shared" si="37"/>
        <v>0</v>
      </c>
      <c r="BF33" s="1296">
        <f t="shared" si="37"/>
        <v>0</v>
      </c>
      <c r="BG33" s="1296">
        <f t="shared" si="37"/>
        <v>0</v>
      </c>
      <c r="BH33" s="1296">
        <f t="shared" si="37"/>
        <v>0</v>
      </c>
      <c r="BI33" s="1296">
        <f t="shared" si="37"/>
        <v>0</v>
      </c>
      <c r="BJ33" s="1296">
        <f t="shared" si="37"/>
        <v>0</v>
      </c>
      <c r="BK33" s="1296">
        <f t="shared" si="37"/>
        <v>0</v>
      </c>
      <c r="BL33" s="1296">
        <f t="shared" si="37"/>
        <v>99139</v>
      </c>
      <c r="BM33" s="1297">
        <f t="shared" si="37"/>
        <v>0</v>
      </c>
      <c r="BN33" s="1335">
        <f t="shared" si="37"/>
        <v>58843554</v>
      </c>
      <c r="BO33" s="1339">
        <f t="shared" si="37"/>
        <v>62956486</v>
      </c>
      <c r="BP33" s="1342">
        <f t="shared" si="35"/>
        <v>4212071</v>
      </c>
    </row>
    <row r="34" spans="2:68" ht="15" customHeight="1">
      <c r="B34" s="12"/>
      <c r="C34" s="12"/>
      <c r="D34" s="675"/>
      <c r="E34" s="228"/>
      <c r="F34" s="681" t="s">
        <v>2505</v>
      </c>
      <c r="G34" s="1303">
        <v>7961</v>
      </c>
      <c r="H34" s="1304">
        <v>-708</v>
      </c>
      <c r="I34" s="1304">
        <v>-224833</v>
      </c>
      <c r="J34" s="1304">
        <v>-989</v>
      </c>
      <c r="K34" s="1304">
        <v>0</v>
      </c>
      <c r="L34" s="1304">
        <v>10591</v>
      </c>
      <c r="M34" s="1304">
        <v>403496</v>
      </c>
      <c r="N34" s="1304">
        <v>0</v>
      </c>
      <c r="O34" s="1304">
        <v>488316</v>
      </c>
      <c r="P34" s="1304">
        <v>-27312</v>
      </c>
      <c r="Q34" s="1304">
        <v>0</v>
      </c>
      <c r="R34" s="1304">
        <v>0</v>
      </c>
      <c r="S34" s="1304">
        <v>0</v>
      </c>
      <c r="T34" s="1304">
        <v>0</v>
      </c>
      <c r="U34" s="1305">
        <v>0</v>
      </c>
      <c r="V34" s="1336">
        <f>SUM(G34:U34)</f>
        <v>656522</v>
      </c>
      <c r="W34" s="1307">
        <v>0</v>
      </c>
      <c r="X34" s="1304">
        <v>613962</v>
      </c>
      <c r="Y34" s="1304">
        <v>0</v>
      </c>
      <c r="Z34" s="1304">
        <v>0</v>
      </c>
      <c r="AA34" s="1304">
        <v>0</v>
      </c>
      <c r="AB34" s="1304">
        <v>0</v>
      </c>
      <c r="AC34" s="1304">
        <v>0</v>
      </c>
      <c r="AD34" s="1304">
        <v>73544</v>
      </c>
      <c r="AE34" s="1304">
        <v>2695638</v>
      </c>
      <c r="AF34" s="1304">
        <v>145791</v>
      </c>
      <c r="AG34" s="1304">
        <v>0</v>
      </c>
      <c r="AH34" s="1304">
        <v>0</v>
      </c>
      <c r="AI34" s="1304">
        <v>16381</v>
      </c>
      <c r="AJ34" s="1304">
        <v>0</v>
      </c>
      <c r="AK34" s="1305">
        <v>0</v>
      </c>
      <c r="AL34" s="1336">
        <f t="shared" ref="AL34:AL36" si="38">SUM(W34:AK34)</f>
        <v>3545316</v>
      </c>
      <c r="AM34" s="1308">
        <v>0</v>
      </c>
      <c r="AN34" s="1309">
        <v>0</v>
      </c>
      <c r="AO34" s="1309">
        <v>30478</v>
      </c>
      <c r="AP34" s="1309">
        <v>0</v>
      </c>
      <c r="AQ34" s="1309">
        <v>0</v>
      </c>
      <c r="AR34" s="1309">
        <v>0</v>
      </c>
      <c r="AS34" s="1309">
        <v>0</v>
      </c>
      <c r="AT34" s="1309">
        <v>0</v>
      </c>
      <c r="AU34" s="1309">
        <v>0</v>
      </c>
      <c r="AV34" s="1309">
        <v>940</v>
      </c>
      <c r="AW34" s="1309">
        <v>0</v>
      </c>
      <c r="AX34" s="1309">
        <v>0</v>
      </c>
      <c r="AY34" s="1309">
        <v>0</v>
      </c>
      <c r="AZ34" s="1309">
        <v>0</v>
      </c>
      <c r="BA34" s="1310">
        <v>0</v>
      </c>
      <c r="BB34" s="1336">
        <f t="shared" ref="BB34:BB36" si="39">SUM(AM34:BA34)</f>
        <v>31418</v>
      </c>
      <c r="BC34" s="1308">
        <v>96347481</v>
      </c>
      <c r="BD34" s="1309">
        <v>0</v>
      </c>
      <c r="BE34" s="1309"/>
      <c r="BF34" s="1309"/>
      <c r="BG34" s="1309">
        <v>0</v>
      </c>
      <c r="BH34" s="1309"/>
      <c r="BI34" s="1309"/>
      <c r="BJ34" s="1309"/>
      <c r="BK34" s="1309"/>
      <c r="BL34" s="1309">
        <v>99139</v>
      </c>
      <c r="BM34" s="1310"/>
      <c r="BN34" s="1336">
        <f>BC34+BD34+BG34+BJ34+BK34+BL34+BM34</f>
        <v>96446620</v>
      </c>
      <c r="BO34" s="1339">
        <f t="shared" ref="BO34:BO36" si="40">V34+AL34+BB34+BN34</f>
        <v>100679876</v>
      </c>
      <c r="BP34" s="1342">
        <f t="shared" si="35"/>
        <v>4332395</v>
      </c>
    </row>
    <row r="35" spans="2:68" ht="15" customHeight="1">
      <c r="B35" s="12"/>
      <c r="C35" s="12"/>
      <c r="D35" s="675"/>
      <c r="E35" s="228"/>
      <c r="F35" s="681" t="s">
        <v>2506</v>
      </c>
      <c r="G35" s="1303">
        <v>0</v>
      </c>
      <c r="H35" s="1304">
        <v>458</v>
      </c>
      <c r="I35" s="1304">
        <v>29652</v>
      </c>
      <c r="J35" s="1304">
        <v>0</v>
      </c>
      <c r="K35" s="1304">
        <v>0</v>
      </c>
      <c r="L35" s="1304">
        <v>2568</v>
      </c>
      <c r="M35" s="1304">
        <v>0</v>
      </c>
      <c r="N35" s="1304">
        <v>0</v>
      </c>
      <c r="O35" s="1304">
        <v>12097</v>
      </c>
      <c r="P35" s="1304">
        <v>0</v>
      </c>
      <c r="Q35" s="1304">
        <v>0</v>
      </c>
      <c r="R35" s="1304">
        <v>0</v>
      </c>
      <c r="S35" s="1304">
        <v>0</v>
      </c>
      <c r="T35" s="1304">
        <v>0</v>
      </c>
      <c r="U35" s="1305">
        <v>0</v>
      </c>
      <c r="V35" s="1336">
        <f>SUM(G35:U35)</f>
        <v>44775</v>
      </c>
      <c r="W35" s="1307">
        <v>0</v>
      </c>
      <c r="X35" s="1304">
        <v>50355</v>
      </c>
      <c r="Y35" s="1304">
        <v>0</v>
      </c>
      <c r="Z35" s="1304">
        <v>0</v>
      </c>
      <c r="AA35" s="1304">
        <v>0</v>
      </c>
      <c r="AB35" s="1304">
        <v>0</v>
      </c>
      <c r="AC35" s="1304">
        <v>0</v>
      </c>
      <c r="AD35" s="1304">
        <v>0</v>
      </c>
      <c r="AE35" s="1304">
        <v>25194</v>
      </c>
      <c r="AF35" s="1304">
        <v>0</v>
      </c>
      <c r="AG35" s="1304">
        <v>0</v>
      </c>
      <c r="AH35" s="1304">
        <v>0</v>
      </c>
      <c r="AI35" s="1304">
        <v>0</v>
      </c>
      <c r="AJ35" s="1304">
        <v>0</v>
      </c>
      <c r="AK35" s="1305">
        <v>0</v>
      </c>
      <c r="AL35" s="1336">
        <f t="shared" si="38"/>
        <v>75549</v>
      </c>
      <c r="AM35" s="1308"/>
      <c r="AN35" s="1309"/>
      <c r="AO35" s="1309"/>
      <c r="AP35" s="1309"/>
      <c r="AQ35" s="1309"/>
      <c r="AR35" s="1309"/>
      <c r="AS35" s="1309"/>
      <c r="AT35" s="1309"/>
      <c r="AU35" s="1309"/>
      <c r="AV35" s="1309"/>
      <c r="AW35" s="1309"/>
      <c r="AX35" s="1309"/>
      <c r="AY35" s="1309"/>
      <c r="AZ35" s="1309"/>
      <c r="BA35" s="1310"/>
      <c r="BB35" s="1336">
        <f t="shared" si="39"/>
        <v>0</v>
      </c>
      <c r="BC35" s="1308">
        <v>37603066</v>
      </c>
      <c r="BD35" s="1309">
        <v>0</v>
      </c>
      <c r="BE35" s="1309"/>
      <c r="BF35" s="1309"/>
      <c r="BG35" s="1309">
        <v>0</v>
      </c>
      <c r="BH35" s="1309"/>
      <c r="BI35" s="1309"/>
      <c r="BJ35" s="1309"/>
      <c r="BK35" s="1309"/>
      <c r="BL35" s="1309"/>
      <c r="BM35" s="1310"/>
      <c r="BN35" s="1336">
        <f>BC35+BD35+BG35+BJ35+BK35+BL35+BM35</f>
        <v>37603066</v>
      </c>
      <c r="BO35" s="1339">
        <f t="shared" si="40"/>
        <v>37723390</v>
      </c>
      <c r="BP35" s="1342">
        <f t="shared" si="35"/>
        <v>120324</v>
      </c>
    </row>
    <row r="36" spans="2:68" ht="15" customHeight="1">
      <c r="B36" s="12"/>
      <c r="C36" s="12"/>
      <c r="D36" s="675"/>
      <c r="E36" s="228"/>
      <c r="F36" s="681" t="s">
        <v>2507</v>
      </c>
      <c r="G36" s="1303"/>
      <c r="H36" s="1304"/>
      <c r="I36" s="1304"/>
      <c r="J36" s="1304"/>
      <c r="K36" s="1304"/>
      <c r="L36" s="1304"/>
      <c r="M36" s="1304"/>
      <c r="N36" s="1304"/>
      <c r="O36" s="1304"/>
      <c r="P36" s="1304"/>
      <c r="Q36" s="1304"/>
      <c r="R36" s="1304"/>
      <c r="S36" s="1304"/>
      <c r="T36" s="1304"/>
      <c r="U36" s="1305"/>
      <c r="V36" s="1336">
        <f>SUM(G36:U36)</f>
        <v>0</v>
      </c>
      <c r="W36" s="1307"/>
      <c r="X36" s="1304"/>
      <c r="Y36" s="1304"/>
      <c r="Z36" s="1304"/>
      <c r="AA36" s="1304"/>
      <c r="AB36" s="1304"/>
      <c r="AC36" s="1304"/>
      <c r="AD36" s="1304"/>
      <c r="AE36" s="1304"/>
      <c r="AF36" s="1304"/>
      <c r="AG36" s="1304"/>
      <c r="AH36" s="1304"/>
      <c r="AI36" s="1304"/>
      <c r="AJ36" s="1304"/>
      <c r="AK36" s="1305"/>
      <c r="AL36" s="1336">
        <f t="shared" si="38"/>
        <v>0</v>
      </c>
      <c r="AM36" s="1308"/>
      <c r="AN36" s="1309"/>
      <c r="AO36" s="1309"/>
      <c r="AP36" s="1309"/>
      <c r="AQ36" s="1309"/>
      <c r="AR36" s="1309"/>
      <c r="AS36" s="1309"/>
      <c r="AT36" s="1309"/>
      <c r="AU36" s="1309"/>
      <c r="AV36" s="1309"/>
      <c r="AW36" s="1309"/>
      <c r="AX36" s="1309"/>
      <c r="AY36" s="1309"/>
      <c r="AZ36" s="1309"/>
      <c r="BA36" s="1310"/>
      <c r="BB36" s="1336">
        <f t="shared" si="39"/>
        <v>0</v>
      </c>
      <c r="BC36" s="1308"/>
      <c r="BD36" s="1309">
        <v>0</v>
      </c>
      <c r="BE36" s="1309"/>
      <c r="BF36" s="1309"/>
      <c r="BG36" s="1309">
        <v>0</v>
      </c>
      <c r="BH36" s="1309"/>
      <c r="BI36" s="1309"/>
      <c r="BJ36" s="1309"/>
      <c r="BK36" s="1309"/>
      <c r="BL36" s="1309"/>
      <c r="BM36" s="1310"/>
      <c r="BN36" s="1336">
        <f>BC36+BD36+BG36+BJ36+BK36+BL36+BM36</f>
        <v>0</v>
      </c>
      <c r="BO36" s="1339">
        <f t="shared" si="40"/>
        <v>0</v>
      </c>
      <c r="BP36" s="1342">
        <f t="shared" si="35"/>
        <v>0</v>
      </c>
    </row>
    <row r="37" spans="2:68" s="30" customFormat="1" ht="15" customHeight="1">
      <c r="B37" s="25"/>
      <c r="C37" s="25"/>
      <c r="D37" s="661"/>
      <c r="E37" s="1564" t="s">
        <v>2508</v>
      </c>
      <c r="F37" s="1730"/>
      <c r="G37" s="1295">
        <f>G38-G39+G40</f>
        <v>11991</v>
      </c>
      <c r="H37" s="1296">
        <f t="shared" ref="H37:BO37" si="41">H38-H39+H40</f>
        <v>0</v>
      </c>
      <c r="I37" s="1296">
        <f t="shared" si="41"/>
        <v>6306</v>
      </c>
      <c r="J37" s="1296">
        <f t="shared" si="41"/>
        <v>17316</v>
      </c>
      <c r="K37" s="1296">
        <f t="shared" si="41"/>
        <v>0</v>
      </c>
      <c r="L37" s="1296">
        <f t="shared" si="41"/>
        <v>0</v>
      </c>
      <c r="M37" s="1296">
        <f t="shared" si="41"/>
        <v>740437</v>
      </c>
      <c r="N37" s="1296">
        <f t="shared" si="41"/>
        <v>0</v>
      </c>
      <c r="O37" s="1296">
        <f t="shared" si="41"/>
        <v>0</v>
      </c>
      <c r="P37" s="1296">
        <f t="shared" si="41"/>
        <v>0</v>
      </c>
      <c r="Q37" s="1296">
        <f t="shared" si="41"/>
        <v>0</v>
      </c>
      <c r="R37" s="1296">
        <f t="shared" si="41"/>
        <v>0</v>
      </c>
      <c r="S37" s="1296">
        <f t="shared" si="41"/>
        <v>0</v>
      </c>
      <c r="T37" s="1296">
        <f t="shared" si="41"/>
        <v>0</v>
      </c>
      <c r="U37" s="1297">
        <f t="shared" si="41"/>
        <v>0</v>
      </c>
      <c r="V37" s="1335">
        <f t="shared" si="41"/>
        <v>776050</v>
      </c>
      <c r="W37" s="1299">
        <f t="shared" si="41"/>
        <v>0</v>
      </c>
      <c r="X37" s="1296">
        <f t="shared" si="41"/>
        <v>413586</v>
      </c>
      <c r="Y37" s="1296">
        <f t="shared" si="41"/>
        <v>0</v>
      </c>
      <c r="Z37" s="1296">
        <f t="shared" si="41"/>
        <v>0</v>
      </c>
      <c r="AA37" s="1296">
        <f t="shared" si="41"/>
        <v>0</v>
      </c>
      <c r="AB37" s="1296">
        <f t="shared" si="41"/>
        <v>0</v>
      </c>
      <c r="AC37" s="1296">
        <f t="shared" si="41"/>
        <v>0</v>
      </c>
      <c r="AD37" s="1296">
        <f t="shared" si="41"/>
        <v>0</v>
      </c>
      <c r="AE37" s="1296">
        <f t="shared" si="41"/>
        <v>0</v>
      </c>
      <c r="AF37" s="1296">
        <f t="shared" si="41"/>
        <v>25662</v>
      </c>
      <c r="AG37" s="1296">
        <f t="shared" si="41"/>
        <v>0</v>
      </c>
      <c r="AH37" s="1296">
        <f t="shared" si="41"/>
        <v>0</v>
      </c>
      <c r="AI37" s="1296">
        <f t="shared" si="41"/>
        <v>0</v>
      </c>
      <c r="AJ37" s="1296">
        <f t="shared" si="41"/>
        <v>0</v>
      </c>
      <c r="AK37" s="1297">
        <f t="shared" si="41"/>
        <v>0</v>
      </c>
      <c r="AL37" s="1335">
        <f t="shared" si="41"/>
        <v>439248</v>
      </c>
      <c r="AM37" s="1299">
        <f t="shared" si="41"/>
        <v>0</v>
      </c>
      <c r="AN37" s="1296">
        <f t="shared" si="41"/>
        <v>0</v>
      </c>
      <c r="AO37" s="1296">
        <f t="shared" si="41"/>
        <v>0</v>
      </c>
      <c r="AP37" s="1296">
        <f t="shared" si="41"/>
        <v>0</v>
      </c>
      <c r="AQ37" s="1296">
        <f t="shared" si="41"/>
        <v>0</v>
      </c>
      <c r="AR37" s="1296">
        <f t="shared" si="41"/>
        <v>0</v>
      </c>
      <c r="AS37" s="1296">
        <f t="shared" si="41"/>
        <v>0</v>
      </c>
      <c r="AT37" s="1296">
        <f t="shared" si="41"/>
        <v>0</v>
      </c>
      <c r="AU37" s="1296">
        <f t="shared" si="41"/>
        <v>0</v>
      </c>
      <c r="AV37" s="1296">
        <f t="shared" si="41"/>
        <v>-940</v>
      </c>
      <c r="AW37" s="1296">
        <f t="shared" si="41"/>
        <v>0</v>
      </c>
      <c r="AX37" s="1296">
        <f t="shared" si="41"/>
        <v>0</v>
      </c>
      <c r="AY37" s="1296">
        <f t="shared" si="41"/>
        <v>0</v>
      </c>
      <c r="AZ37" s="1296">
        <f t="shared" si="41"/>
        <v>0</v>
      </c>
      <c r="BA37" s="1297">
        <f t="shared" si="41"/>
        <v>0</v>
      </c>
      <c r="BB37" s="1335">
        <f t="shared" si="41"/>
        <v>-940</v>
      </c>
      <c r="BC37" s="1299">
        <f t="shared" si="41"/>
        <v>0</v>
      </c>
      <c r="BD37" s="1296">
        <f t="shared" si="41"/>
        <v>0</v>
      </c>
      <c r="BE37" s="1296">
        <f t="shared" si="41"/>
        <v>0</v>
      </c>
      <c r="BF37" s="1296">
        <f t="shared" si="41"/>
        <v>0</v>
      </c>
      <c r="BG37" s="1296">
        <f t="shared" si="41"/>
        <v>0</v>
      </c>
      <c r="BH37" s="1296">
        <f t="shared" si="41"/>
        <v>0</v>
      </c>
      <c r="BI37" s="1296">
        <f t="shared" si="41"/>
        <v>0</v>
      </c>
      <c r="BJ37" s="1296">
        <f t="shared" si="41"/>
        <v>0</v>
      </c>
      <c r="BK37" s="1296">
        <f t="shared" si="41"/>
        <v>0</v>
      </c>
      <c r="BL37" s="1296">
        <f t="shared" si="41"/>
        <v>40203</v>
      </c>
      <c r="BM37" s="1297">
        <f t="shared" si="41"/>
        <v>0</v>
      </c>
      <c r="BN37" s="1335">
        <f t="shared" si="41"/>
        <v>40203</v>
      </c>
      <c r="BO37" s="1339">
        <f t="shared" si="41"/>
        <v>1254561</v>
      </c>
      <c r="BP37" s="1342">
        <f t="shared" si="35"/>
        <v>1254561</v>
      </c>
    </row>
    <row r="38" spans="2:68" ht="15" customHeight="1">
      <c r="B38" s="12"/>
      <c r="C38" s="12"/>
      <c r="D38" s="675"/>
      <c r="E38" s="228"/>
      <c r="F38" s="681" t="s">
        <v>2509</v>
      </c>
      <c r="G38" s="1303">
        <v>11991</v>
      </c>
      <c r="H38" s="1304">
        <v>0</v>
      </c>
      <c r="I38" s="1304">
        <v>6306</v>
      </c>
      <c r="J38" s="1304">
        <v>17316</v>
      </c>
      <c r="K38" s="1304">
        <v>0</v>
      </c>
      <c r="L38" s="1304">
        <v>0</v>
      </c>
      <c r="M38" s="1304">
        <v>740437</v>
      </c>
      <c r="N38" s="1304">
        <v>0</v>
      </c>
      <c r="O38" s="1304">
        <v>0</v>
      </c>
      <c r="P38" s="1304">
        <v>0</v>
      </c>
      <c r="Q38" s="1304">
        <v>0</v>
      </c>
      <c r="R38" s="1304">
        <v>0</v>
      </c>
      <c r="S38" s="1304">
        <v>0</v>
      </c>
      <c r="T38" s="1304">
        <v>0</v>
      </c>
      <c r="U38" s="1305">
        <v>0</v>
      </c>
      <c r="V38" s="1336">
        <f>SUM(G38:U38)</f>
        <v>776050</v>
      </c>
      <c r="W38" s="1307">
        <v>0</v>
      </c>
      <c r="X38" s="1304">
        <v>413586</v>
      </c>
      <c r="Y38" s="1304">
        <v>0</v>
      </c>
      <c r="Z38" s="1304">
        <v>0</v>
      </c>
      <c r="AA38" s="1304">
        <v>0</v>
      </c>
      <c r="AB38" s="1304">
        <v>0</v>
      </c>
      <c r="AC38" s="1304">
        <v>0</v>
      </c>
      <c r="AD38" s="1304">
        <v>0</v>
      </c>
      <c r="AE38" s="1304">
        <v>0</v>
      </c>
      <c r="AF38" s="1304">
        <v>25662</v>
      </c>
      <c r="AG38" s="1304">
        <v>0</v>
      </c>
      <c r="AH38" s="1304">
        <v>0</v>
      </c>
      <c r="AI38" s="1304">
        <v>0</v>
      </c>
      <c r="AJ38" s="1304">
        <v>0</v>
      </c>
      <c r="AK38" s="1305">
        <v>0</v>
      </c>
      <c r="AL38" s="1336">
        <f t="shared" ref="AL38:AL42" si="42">SUM(W38:AK38)</f>
        <v>439248</v>
      </c>
      <c r="AM38" s="1308">
        <v>0</v>
      </c>
      <c r="AN38" s="1309">
        <v>0</v>
      </c>
      <c r="AO38" s="1309">
        <v>0</v>
      </c>
      <c r="AP38" s="1309">
        <v>0</v>
      </c>
      <c r="AQ38" s="1309">
        <v>0</v>
      </c>
      <c r="AR38" s="1309">
        <v>0</v>
      </c>
      <c r="AS38" s="1309">
        <v>0</v>
      </c>
      <c r="AT38" s="1309">
        <v>0</v>
      </c>
      <c r="AU38" s="1309">
        <v>0</v>
      </c>
      <c r="AV38" s="1309">
        <v>-940</v>
      </c>
      <c r="AW38" s="1309">
        <v>0</v>
      </c>
      <c r="AX38" s="1309">
        <v>0</v>
      </c>
      <c r="AY38" s="1309">
        <v>0</v>
      </c>
      <c r="AZ38" s="1309">
        <v>0</v>
      </c>
      <c r="BA38" s="1310">
        <v>0</v>
      </c>
      <c r="BB38" s="1336">
        <f t="shared" ref="BB38:BB42" si="43">SUM(AM38:BA38)</f>
        <v>-940</v>
      </c>
      <c r="BC38" s="1308"/>
      <c r="BD38" s="1309">
        <v>0</v>
      </c>
      <c r="BE38" s="1309"/>
      <c r="BF38" s="1309"/>
      <c r="BG38" s="1309">
        <v>0</v>
      </c>
      <c r="BH38" s="1309"/>
      <c r="BI38" s="1309"/>
      <c r="BJ38" s="1309"/>
      <c r="BK38" s="1309"/>
      <c r="BL38" s="1309">
        <v>40203</v>
      </c>
      <c r="BM38" s="1310"/>
      <c r="BN38" s="1336">
        <f>BC38+BD38+BG38+BJ38+BK38+BL38+BM38</f>
        <v>40203</v>
      </c>
      <c r="BO38" s="1339">
        <f t="shared" ref="BO38:BO42" si="44">V38+AL38+BB38+BN38</f>
        <v>1254561</v>
      </c>
      <c r="BP38" s="1342">
        <f t="shared" si="35"/>
        <v>1254561</v>
      </c>
    </row>
    <row r="39" spans="2:68" ht="15" customHeight="1">
      <c r="B39" s="12"/>
      <c r="C39" s="12"/>
      <c r="D39" s="675"/>
      <c r="E39" s="228"/>
      <c r="F39" s="681" t="s">
        <v>2510</v>
      </c>
      <c r="G39" s="1303"/>
      <c r="H39" s="1304"/>
      <c r="I39" s="1304"/>
      <c r="J39" s="1304"/>
      <c r="K39" s="1304"/>
      <c r="L39" s="1304"/>
      <c r="M39" s="1304"/>
      <c r="N39" s="1304"/>
      <c r="O39" s="1304"/>
      <c r="P39" s="1304"/>
      <c r="Q39" s="1304"/>
      <c r="R39" s="1304"/>
      <c r="S39" s="1304"/>
      <c r="T39" s="1304"/>
      <c r="U39" s="1305"/>
      <c r="V39" s="1336">
        <f>SUM(G39:U39)</f>
        <v>0</v>
      </c>
      <c r="W39" s="1307"/>
      <c r="X39" s="1304"/>
      <c r="Y39" s="1304"/>
      <c r="Z39" s="1304"/>
      <c r="AA39" s="1304"/>
      <c r="AB39" s="1304"/>
      <c r="AC39" s="1304"/>
      <c r="AD39" s="1304"/>
      <c r="AE39" s="1304"/>
      <c r="AF39" s="1304"/>
      <c r="AG39" s="1304"/>
      <c r="AH39" s="1304"/>
      <c r="AI39" s="1304"/>
      <c r="AJ39" s="1304"/>
      <c r="AK39" s="1305"/>
      <c r="AL39" s="1336">
        <f t="shared" si="42"/>
        <v>0</v>
      </c>
      <c r="AM39" s="1308"/>
      <c r="AN39" s="1309"/>
      <c r="AO39" s="1309"/>
      <c r="AP39" s="1309"/>
      <c r="AQ39" s="1309"/>
      <c r="AR39" s="1309"/>
      <c r="AS39" s="1309"/>
      <c r="AT39" s="1309"/>
      <c r="AU39" s="1309"/>
      <c r="AV39" s="1309"/>
      <c r="AW39" s="1309"/>
      <c r="AX39" s="1309"/>
      <c r="AY39" s="1309"/>
      <c r="AZ39" s="1309"/>
      <c r="BA39" s="1310"/>
      <c r="BB39" s="1336">
        <f t="shared" si="43"/>
        <v>0</v>
      </c>
      <c r="BC39" s="1308"/>
      <c r="BD39" s="1309">
        <v>0</v>
      </c>
      <c r="BE39" s="1309"/>
      <c r="BF39" s="1309"/>
      <c r="BG39" s="1309">
        <v>0</v>
      </c>
      <c r="BH39" s="1309"/>
      <c r="BI39" s="1309"/>
      <c r="BJ39" s="1309"/>
      <c r="BK39" s="1309"/>
      <c r="BL39" s="1309"/>
      <c r="BM39" s="1310"/>
      <c r="BN39" s="1336">
        <f>BC39+BD39+BG39+BJ39+BK39+BL39+BM39</f>
        <v>0</v>
      </c>
      <c r="BO39" s="1339">
        <f t="shared" si="44"/>
        <v>0</v>
      </c>
      <c r="BP39" s="1342">
        <f t="shared" si="35"/>
        <v>0</v>
      </c>
    </row>
    <row r="40" spans="2:68" ht="15" customHeight="1">
      <c r="B40" s="12"/>
      <c r="C40" s="12"/>
      <c r="D40" s="675"/>
      <c r="E40" s="228"/>
      <c r="F40" s="681" t="s">
        <v>2511</v>
      </c>
      <c r="G40" s="1303"/>
      <c r="H40" s="1304"/>
      <c r="I40" s="1304"/>
      <c r="J40" s="1304"/>
      <c r="K40" s="1304"/>
      <c r="L40" s="1304"/>
      <c r="M40" s="1304"/>
      <c r="N40" s="1304"/>
      <c r="O40" s="1304"/>
      <c r="P40" s="1304"/>
      <c r="Q40" s="1304"/>
      <c r="R40" s="1304"/>
      <c r="S40" s="1304"/>
      <c r="T40" s="1304"/>
      <c r="U40" s="1305"/>
      <c r="V40" s="1336">
        <f>SUM(G40:U40)</f>
        <v>0</v>
      </c>
      <c r="W40" s="1307"/>
      <c r="X40" s="1304"/>
      <c r="Y40" s="1304"/>
      <c r="Z40" s="1304"/>
      <c r="AA40" s="1304"/>
      <c r="AB40" s="1304"/>
      <c r="AC40" s="1304"/>
      <c r="AD40" s="1304"/>
      <c r="AE40" s="1304"/>
      <c r="AF40" s="1304"/>
      <c r="AG40" s="1304"/>
      <c r="AH40" s="1304"/>
      <c r="AI40" s="1304"/>
      <c r="AJ40" s="1304"/>
      <c r="AK40" s="1305"/>
      <c r="AL40" s="1336">
        <f t="shared" si="42"/>
        <v>0</v>
      </c>
      <c r="AM40" s="1308"/>
      <c r="AN40" s="1309"/>
      <c r="AO40" s="1309"/>
      <c r="AP40" s="1309"/>
      <c r="AQ40" s="1309"/>
      <c r="AR40" s="1309"/>
      <c r="AS40" s="1309"/>
      <c r="AT40" s="1309"/>
      <c r="AU40" s="1309"/>
      <c r="AV40" s="1309"/>
      <c r="AW40" s="1309"/>
      <c r="AX40" s="1309"/>
      <c r="AY40" s="1309"/>
      <c r="AZ40" s="1309"/>
      <c r="BA40" s="1310"/>
      <c r="BB40" s="1336">
        <f t="shared" si="43"/>
        <v>0</v>
      </c>
      <c r="BC40" s="1308"/>
      <c r="BD40" s="1309">
        <v>0</v>
      </c>
      <c r="BE40" s="1309"/>
      <c r="BF40" s="1309"/>
      <c r="BG40" s="1309">
        <v>0</v>
      </c>
      <c r="BH40" s="1309"/>
      <c r="BI40" s="1309"/>
      <c r="BJ40" s="1309"/>
      <c r="BK40" s="1309"/>
      <c r="BL40" s="1309"/>
      <c r="BM40" s="1310"/>
      <c r="BN40" s="1336">
        <f>BC40+BD40+BG40+BJ40+BK40+BL40+BM40</f>
        <v>0</v>
      </c>
      <c r="BO40" s="1339">
        <f t="shared" si="44"/>
        <v>0</v>
      </c>
      <c r="BP40" s="1342">
        <f t="shared" si="35"/>
        <v>0</v>
      </c>
    </row>
    <row r="41" spans="2:68" ht="15" customHeight="1">
      <c r="B41" s="12"/>
      <c r="C41" s="12"/>
      <c r="D41" s="675"/>
      <c r="E41" s="1746" t="s">
        <v>2512</v>
      </c>
      <c r="F41" s="1747"/>
      <c r="G41" s="1303">
        <v>18083</v>
      </c>
      <c r="H41" s="1304">
        <v>24771</v>
      </c>
      <c r="I41" s="1304">
        <v>191908</v>
      </c>
      <c r="J41" s="1304">
        <v>4958</v>
      </c>
      <c r="K41" s="1304">
        <v>0</v>
      </c>
      <c r="L41" s="1304">
        <v>7619</v>
      </c>
      <c r="M41" s="1503">
        <f>1071082-2088</f>
        <v>1068994</v>
      </c>
      <c r="N41" s="1304">
        <v>2867</v>
      </c>
      <c r="O41" s="1304">
        <v>535973</v>
      </c>
      <c r="P41" s="1304">
        <v>23214</v>
      </c>
      <c r="Q41" s="1304">
        <v>0</v>
      </c>
      <c r="R41" s="1304">
        <v>0</v>
      </c>
      <c r="S41" s="1304">
        <v>0</v>
      </c>
      <c r="T41" s="1304">
        <v>0</v>
      </c>
      <c r="U41" s="1305">
        <v>0</v>
      </c>
      <c r="V41" s="1507">
        <f>SUM(G41:U41)</f>
        <v>1878387</v>
      </c>
      <c r="W41" s="1307">
        <v>1077003</v>
      </c>
      <c r="X41" s="1304">
        <v>257239</v>
      </c>
      <c r="Y41" s="1304">
        <v>0</v>
      </c>
      <c r="Z41" s="1304">
        <v>0</v>
      </c>
      <c r="AA41" s="1304">
        <v>0</v>
      </c>
      <c r="AB41" s="1304">
        <v>0</v>
      </c>
      <c r="AC41" s="1304">
        <v>0</v>
      </c>
      <c r="AD41" s="1304">
        <v>41475</v>
      </c>
      <c r="AE41" s="1304">
        <v>4561219</v>
      </c>
      <c r="AF41" s="1304">
        <v>44709</v>
      </c>
      <c r="AG41" s="1304">
        <v>0</v>
      </c>
      <c r="AH41" s="1304">
        <v>0</v>
      </c>
      <c r="AI41" s="1304">
        <v>5784</v>
      </c>
      <c r="AJ41" s="1304">
        <v>0</v>
      </c>
      <c r="AK41" s="1305">
        <v>63455</v>
      </c>
      <c r="AL41" s="1336">
        <f t="shared" si="42"/>
        <v>6050884</v>
      </c>
      <c r="AM41" s="1308">
        <v>0</v>
      </c>
      <c r="AN41" s="1309">
        <v>0</v>
      </c>
      <c r="AO41" s="1309">
        <v>28</v>
      </c>
      <c r="AP41" s="1309">
        <v>0</v>
      </c>
      <c r="AQ41" s="1309">
        <v>0</v>
      </c>
      <c r="AR41" s="1309">
        <v>0</v>
      </c>
      <c r="AS41" s="1309">
        <v>0</v>
      </c>
      <c r="AT41" s="1309">
        <v>0</v>
      </c>
      <c r="AU41" s="1309">
        <v>2439</v>
      </c>
      <c r="AV41" s="1309">
        <v>847</v>
      </c>
      <c r="AW41" s="1309">
        <v>0</v>
      </c>
      <c r="AX41" s="1309">
        <v>71684</v>
      </c>
      <c r="AY41" s="1309">
        <v>26626</v>
      </c>
      <c r="AZ41" s="1309">
        <v>0</v>
      </c>
      <c r="BA41" s="1310">
        <v>0</v>
      </c>
      <c r="BB41" s="1336">
        <f t="shared" si="43"/>
        <v>101624</v>
      </c>
      <c r="BC41" s="1308">
        <f>12900805</f>
        <v>12900805</v>
      </c>
      <c r="BD41" s="1309">
        <v>0</v>
      </c>
      <c r="BE41" s="1309"/>
      <c r="BF41" s="1309"/>
      <c r="BG41" s="1309">
        <v>0</v>
      </c>
      <c r="BH41" s="1309"/>
      <c r="BI41" s="1309"/>
      <c r="BJ41" s="1309">
        <v>66037</v>
      </c>
      <c r="BK41" s="1309"/>
      <c r="BL41" s="1309">
        <v>-55360</v>
      </c>
      <c r="BM41" s="1310"/>
      <c r="BN41" s="1336">
        <f>BC41+BD41+BG41+BJ41+BK41+BL41+BM41</f>
        <v>12911482</v>
      </c>
      <c r="BO41" s="1508">
        <f t="shared" si="44"/>
        <v>20942377</v>
      </c>
      <c r="BP41" s="1342">
        <f t="shared" si="35"/>
        <v>8041572</v>
      </c>
    </row>
    <row r="42" spans="2:68" ht="15" customHeight="1" thickBot="1">
      <c r="B42" s="12"/>
      <c r="C42" s="12"/>
      <c r="D42" s="1751" t="s">
        <v>2513</v>
      </c>
      <c r="E42" s="1752" t="s">
        <v>2440</v>
      </c>
      <c r="F42" s="1753"/>
      <c r="G42" s="1312">
        <v>191453</v>
      </c>
      <c r="H42" s="1313">
        <v>-2425</v>
      </c>
      <c r="I42" s="1313">
        <v>523680</v>
      </c>
      <c r="J42" s="1313">
        <v>-989</v>
      </c>
      <c r="K42" s="1313">
        <v>0</v>
      </c>
      <c r="L42" s="1313">
        <v>57656</v>
      </c>
      <c r="M42" s="1313">
        <v>5028854</v>
      </c>
      <c r="N42" s="1313">
        <v>0</v>
      </c>
      <c r="O42" s="1313">
        <v>476392</v>
      </c>
      <c r="P42" s="1313">
        <v>-27141</v>
      </c>
      <c r="Q42" s="1313">
        <v>0</v>
      </c>
      <c r="R42" s="1313">
        <v>0</v>
      </c>
      <c r="S42" s="1313">
        <v>0</v>
      </c>
      <c r="T42" s="1313">
        <v>0</v>
      </c>
      <c r="U42" s="1314">
        <v>0</v>
      </c>
      <c r="V42" s="1337">
        <f>SUM(G42:U42)</f>
        <v>6247480</v>
      </c>
      <c r="W42" s="1316">
        <v>1077003</v>
      </c>
      <c r="X42" s="1313">
        <v>4315728</v>
      </c>
      <c r="Y42" s="1313">
        <v>0</v>
      </c>
      <c r="Z42" s="1313">
        <v>0</v>
      </c>
      <c r="AA42" s="1313">
        <v>0</v>
      </c>
      <c r="AB42" s="1313">
        <v>0</v>
      </c>
      <c r="AC42" s="1313">
        <v>0</v>
      </c>
      <c r="AD42" s="1313">
        <v>102531</v>
      </c>
      <c r="AE42" s="1313">
        <v>2339433</v>
      </c>
      <c r="AF42" s="1313">
        <v>192020</v>
      </c>
      <c r="AG42" s="1313">
        <v>0</v>
      </c>
      <c r="AH42" s="1313">
        <v>0</v>
      </c>
      <c r="AI42" s="1313">
        <v>16374</v>
      </c>
      <c r="AJ42" s="1313">
        <v>0</v>
      </c>
      <c r="AK42" s="1314">
        <v>63455</v>
      </c>
      <c r="AL42" s="1337">
        <f t="shared" si="42"/>
        <v>8106544</v>
      </c>
      <c r="AM42" s="1317">
        <v>0</v>
      </c>
      <c r="AN42" s="1318">
        <v>0</v>
      </c>
      <c r="AO42" s="1318">
        <v>30288</v>
      </c>
      <c r="AP42" s="1318">
        <v>0</v>
      </c>
      <c r="AQ42" s="1318">
        <v>0</v>
      </c>
      <c r="AR42" s="1318">
        <v>0</v>
      </c>
      <c r="AS42" s="1318">
        <v>0</v>
      </c>
      <c r="AT42" s="1318">
        <v>0</v>
      </c>
      <c r="AU42" s="1318">
        <v>0</v>
      </c>
      <c r="AV42" s="1318">
        <v>50916</v>
      </c>
      <c r="AW42" s="1318">
        <v>0</v>
      </c>
      <c r="AX42" s="1318">
        <v>71684</v>
      </c>
      <c r="AY42" s="1318">
        <v>34844</v>
      </c>
      <c r="AZ42" s="1318">
        <v>0</v>
      </c>
      <c r="BA42" s="1319">
        <v>0</v>
      </c>
      <c r="BB42" s="1337">
        <f t="shared" si="43"/>
        <v>187732</v>
      </c>
      <c r="BC42" s="1317">
        <v>67903898</v>
      </c>
      <c r="BD42" s="1318">
        <v>0</v>
      </c>
      <c r="BE42" s="1318"/>
      <c r="BF42" s="1318"/>
      <c r="BG42" s="1318">
        <v>0</v>
      </c>
      <c r="BH42" s="1318"/>
      <c r="BI42" s="1318"/>
      <c r="BJ42" s="1318">
        <v>66037</v>
      </c>
      <c r="BK42" s="1318">
        <v>0</v>
      </c>
      <c r="BL42" s="1318">
        <v>60362</v>
      </c>
      <c r="BM42" s="1319"/>
      <c r="BN42" s="1337">
        <f>BC42+BD42+BG42+BJ42+BK42+BL42+BM42</f>
        <v>68030297</v>
      </c>
      <c r="BO42" s="1351">
        <f t="shared" si="44"/>
        <v>82572053</v>
      </c>
      <c r="BP42" s="1342">
        <f t="shared" si="35"/>
        <v>14668155</v>
      </c>
    </row>
  </sheetData>
  <mergeCells count="27">
    <mergeCell ref="D32:F32"/>
    <mergeCell ref="D42:F42"/>
    <mergeCell ref="BO5:BO6"/>
    <mergeCell ref="E15:F15"/>
    <mergeCell ref="E16:F16"/>
    <mergeCell ref="E18:F18"/>
    <mergeCell ref="E17:F17"/>
    <mergeCell ref="E41:F41"/>
    <mergeCell ref="D7:F7"/>
    <mergeCell ref="E14:F14"/>
    <mergeCell ref="E33:F33"/>
    <mergeCell ref="E37:F37"/>
    <mergeCell ref="D13:F13"/>
    <mergeCell ref="D19:F19"/>
    <mergeCell ref="D23:F23"/>
    <mergeCell ref="D27:F27"/>
    <mergeCell ref="B3:F3"/>
    <mergeCell ref="G5:V5"/>
    <mergeCell ref="W5:AL5"/>
    <mergeCell ref="AM5:BB5"/>
    <mergeCell ref="BC5:BN5"/>
    <mergeCell ref="E28:F28"/>
    <mergeCell ref="D8:F8"/>
    <mergeCell ref="D9:F9"/>
    <mergeCell ref="D10:F10"/>
    <mergeCell ref="D11:F11"/>
    <mergeCell ref="D12:F12"/>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heetPr>
  <dimension ref="B1:T47"/>
  <sheetViews>
    <sheetView showGridLines="0" topLeftCell="B3" zoomScale="85" zoomScaleNormal="85" workbookViewId="0">
      <selection activeCell="B20" sqref="B20:E20"/>
    </sheetView>
  </sheetViews>
  <sheetFormatPr baseColWidth="10" defaultColWidth="9.140625" defaultRowHeight="15" outlineLevelCol="1"/>
  <cols>
    <col min="1" max="4" width="2.42578125" customWidth="1"/>
    <col min="5" max="5" width="51.42578125" customWidth="1"/>
    <col min="6" max="6" width="14.7109375" customWidth="1"/>
    <col min="7" max="10" width="14.7109375" customWidth="1" outlineLevel="1"/>
    <col min="11" max="11" width="14.7109375" customWidth="1"/>
    <col min="12" max="13" width="14.7109375" customWidth="1" outlineLevel="1"/>
    <col min="14" max="14" width="14.7109375" customWidth="1"/>
    <col min="15" max="18" width="14.7109375" customWidth="1" outlineLevel="1"/>
    <col min="19" max="21" width="14.7109375" customWidth="1"/>
  </cols>
  <sheetData>
    <row r="1" spans="2:20" ht="15" customHeight="1"/>
    <row r="2" spans="2:20" s="1" customFormat="1" ht="15" customHeight="1"/>
    <row r="3" spans="2:20" ht="12.75" customHeight="1" thickBot="1">
      <c r="B3" s="130"/>
      <c r="C3" s="130"/>
      <c r="D3" s="130"/>
      <c r="E3" s="130"/>
      <c r="F3" s="1568" t="str">
        <f>'3. Estado de resultados'!G4</f>
        <v>31.03.2018</v>
      </c>
      <c r="G3" s="1568"/>
      <c r="H3" s="1568"/>
      <c r="I3" s="1568"/>
      <c r="J3" s="1568"/>
      <c r="K3" s="1568"/>
      <c r="L3" s="1568"/>
      <c r="M3" s="1568"/>
      <c r="N3" s="1568"/>
      <c r="O3" s="1568"/>
      <c r="P3" s="1568"/>
      <c r="Q3" s="1568"/>
      <c r="R3" s="1568"/>
      <c r="S3" s="1568"/>
      <c r="T3" s="1568"/>
    </row>
    <row r="4" spans="2:20" ht="12.75" customHeight="1">
      <c r="B4" s="130"/>
      <c r="C4" s="130"/>
      <c r="D4" s="130"/>
      <c r="E4" s="130"/>
      <c r="F4" s="1569" t="s">
        <v>2709</v>
      </c>
      <c r="G4" s="1569" t="s">
        <v>2710</v>
      </c>
      <c r="H4" s="1569" t="s">
        <v>2711</v>
      </c>
      <c r="I4" s="1569" t="s">
        <v>500</v>
      </c>
      <c r="J4" s="1569" t="s">
        <v>1525</v>
      </c>
      <c r="K4" s="1569" t="s">
        <v>691</v>
      </c>
      <c r="L4" s="1569" t="s">
        <v>2712</v>
      </c>
      <c r="M4" s="1569" t="s">
        <v>2713</v>
      </c>
      <c r="N4" s="1569" t="s">
        <v>2714</v>
      </c>
      <c r="O4" s="1569" t="s">
        <v>2715</v>
      </c>
      <c r="P4" s="1569" t="s">
        <v>2716</v>
      </c>
      <c r="Q4" s="1569" t="s">
        <v>2717</v>
      </c>
      <c r="R4" s="1569" t="s">
        <v>2718</v>
      </c>
      <c r="S4" s="1569" t="s">
        <v>2719</v>
      </c>
      <c r="T4" s="1569" t="s">
        <v>224</v>
      </c>
    </row>
    <row r="5" spans="2:20" ht="81" customHeight="1" thickBot="1">
      <c r="B5" s="130"/>
      <c r="C5" s="130"/>
      <c r="D5" s="130"/>
      <c r="E5" s="130"/>
      <c r="F5" s="1570"/>
      <c r="G5" s="1570"/>
      <c r="H5" s="1570"/>
      <c r="I5" s="1570"/>
      <c r="J5" s="1570"/>
      <c r="K5" s="1570"/>
      <c r="L5" s="1570"/>
      <c r="M5" s="1570"/>
      <c r="N5" s="1570"/>
      <c r="O5" s="1570"/>
      <c r="P5" s="1570"/>
      <c r="Q5" s="1570"/>
      <c r="R5" s="1570"/>
      <c r="S5" s="1570"/>
      <c r="T5" s="1570"/>
    </row>
    <row r="6" spans="2:20" s="9" customFormat="1" ht="15" customHeight="1">
      <c r="B6" s="1573" t="s">
        <v>868</v>
      </c>
      <c r="C6" s="1574"/>
      <c r="D6" s="1574"/>
      <c r="E6" s="1575"/>
      <c r="F6" s="745"/>
      <c r="G6" s="743"/>
      <c r="H6" s="743"/>
      <c r="I6" s="743"/>
      <c r="J6" s="743"/>
      <c r="K6" s="744"/>
      <c r="L6" s="743"/>
      <c r="M6" s="743"/>
      <c r="N6" s="744"/>
      <c r="O6" s="743"/>
      <c r="P6" s="743"/>
      <c r="Q6" s="743"/>
      <c r="R6" s="743"/>
      <c r="S6" s="744"/>
      <c r="T6" s="744"/>
    </row>
    <row r="7" spans="2:20" ht="15" customHeight="1">
      <c r="B7" s="1571" t="s">
        <v>851</v>
      </c>
      <c r="C7" s="1555"/>
      <c r="D7" s="1555"/>
      <c r="E7" s="1572"/>
      <c r="F7" s="287">
        <v>44718799</v>
      </c>
      <c r="G7" s="125"/>
      <c r="H7" s="125">
        <f>+H46</f>
        <v>-12753773</v>
      </c>
      <c r="I7" s="125">
        <f>+I46</f>
        <v>-470807</v>
      </c>
      <c r="J7" s="125"/>
      <c r="K7" s="1275">
        <f>SUM(G7:J7)</f>
        <v>-13224580</v>
      </c>
      <c r="L7" s="125">
        <f>+L46</f>
        <v>96331239</v>
      </c>
      <c r="M7" s="125">
        <v>9920946</v>
      </c>
      <c r="N7" s="1275">
        <f>SUM(L7:M7)</f>
        <v>106252185</v>
      </c>
      <c r="O7" s="125"/>
      <c r="P7" s="125"/>
      <c r="Q7" s="125"/>
      <c r="R7" s="125"/>
      <c r="S7" s="1275">
        <f>SUM(O7:R7)</f>
        <v>0</v>
      </c>
      <c r="T7" s="1275">
        <f>F7+K7+N7+S7</f>
        <v>137746404</v>
      </c>
    </row>
    <row r="8" spans="2:20" ht="15" customHeight="1">
      <c r="B8" s="1576" t="s">
        <v>852</v>
      </c>
      <c r="C8" s="1566"/>
      <c r="D8" s="1566"/>
      <c r="E8" s="1577"/>
      <c r="F8" s="287"/>
      <c r="G8" s="125"/>
      <c r="H8" s="125"/>
      <c r="I8" s="125"/>
      <c r="J8" s="125"/>
      <c r="K8" s="1275">
        <f t="shared" ref="K8:K22" si="0">SUM(G8:J8)</f>
        <v>0</v>
      </c>
      <c r="L8" s="125"/>
      <c r="M8" s="125"/>
      <c r="N8" s="1275">
        <f t="shared" ref="N8:N22" si="1">SUM(L8:M8)</f>
        <v>0</v>
      </c>
      <c r="O8" s="125"/>
      <c r="P8" s="125"/>
      <c r="Q8" s="125"/>
      <c r="R8" s="125"/>
      <c r="S8" s="1275">
        <f t="shared" ref="S8:S22" si="2">SUM(O8:R8)</f>
        <v>0</v>
      </c>
      <c r="T8" s="1275">
        <f t="shared" ref="T8:T22" si="3">F8+K8+N8+S8</f>
        <v>0</v>
      </c>
    </row>
    <row r="9" spans="2:20" ht="15" customHeight="1">
      <c r="B9" s="1576" t="s">
        <v>853</v>
      </c>
      <c r="C9" s="1566"/>
      <c r="D9" s="1566"/>
      <c r="E9" s="1577"/>
      <c r="F9" s="287"/>
      <c r="G9" s="125"/>
      <c r="H9" s="125"/>
      <c r="I9" s="125"/>
      <c r="J9" s="125"/>
      <c r="K9" s="1275">
        <f t="shared" si="0"/>
        <v>0</v>
      </c>
      <c r="L9" s="125"/>
      <c r="M9" s="125"/>
      <c r="N9" s="1275">
        <f t="shared" si="1"/>
        <v>0</v>
      </c>
      <c r="O9" s="125"/>
      <c r="P9" s="125"/>
      <c r="Q9" s="125"/>
      <c r="R9" s="125"/>
      <c r="S9" s="1275">
        <f t="shared" si="2"/>
        <v>0</v>
      </c>
      <c r="T9" s="1275">
        <f t="shared" si="3"/>
        <v>0</v>
      </c>
    </row>
    <row r="10" spans="2:20" s="30" customFormat="1" ht="15" customHeight="1">
      <c r="B10" s="1578" t="s">
        <v>854</v>
      </c>
      <c r="C10" s="1565"/>
      <c r="D10" s="1565"/>
      <c r="E10" s="1579"/>
      <c r="F10" s="1276">
        <f>F7+F8</f>
        <v>44718799</v>
      </c>
      <c r="G10" s="1277">
        <f t="shared" ref="G10:R10" si="4">G7+G8</f>
        <v>0</v>
      </c>
      <c r="H10" s="1277">
        <f t="shared" si="4"/>
        <v>-12753773</v>
      </c>
      <c r="I10" s="1277">
        <f t="shared" si="4"/>
        <v>-470807</v>
      </c>
      <c r="J10" s="1277">
        <f t="shared" si="4"/>
        <v>0</v>
      </c>
      <c r="K10" s="1277">
        <f t="shared" si="4"/>
        <v>-13224580</v>
      </c>
      <c r="L10" s="1277">
        <f t="shared" si="4"/>
        <v>96331239</v>
      </c>
      <c r="M10" s="1277">
        <f t="shared" si="4"/>
        <v>9920946</v>
      </c>
      <c r="N10" s="1277">
        <f t="shared" si="1"/>
        <v>106252185</v>
      </c>
      <c r="O10" s="1277">
        <f t="shared" si="4"/>
        <v>0</v>
      </c>
      <c r="P10" s="1277">
        <f t="shared" si="4"/>
        <v>0</v>
      </c>
      <c r="Q10" s="1277">
        <f t="shared" si="4"/>
        <v>0</v>
      </c>
      <c r="R10" s="1277">
        <f t="shared" si="4"/>
        <v>0</v>
      </c>
      <c r="S10" s="1277">
        <f t="shared" si="2"/>
        <v>0</v>
      </c>
      <c r="T10" s="1277">
        <f>F10+K10+N10+S10</f>
        <v>137746404</v>
      </c>
    </row>
    <row r="11" spans="2:20" s="30" customFormat="1" ht="15" customHeight="1">
      <c r="B11" s="1578" t="s">
        <v>855</v>
      </c>
      <c r="C11" s="1565"/>
      <c r="D11" s="1565"/>
      <c r="E11" s="1579"/>
      <c r="F11" s="1276">
        <f>SUM(F12:F14)</f>
        <v>0</v>
      </c>
      <c r="G11" s="1277">
        <f t="shared" ref="G11:O11" si="5">SUM(G12:G14)</f>
        <v>0</v>
      </c>
      <c r="H11" s="1277">
        <f t="shared" si="5"/>
        <v>0</v>
      </c>
      <c r="I11" s="1277">
        <f t="shared" si="5"/>
        <v>0</v>
      </c>
      <c r="J11" s="1277">
        <f t="shared" si="5"/>
        <v>0</v>
      </c>
      <c r="K11" s="1277">
        <f t="shared" si="0"/>
        <v>0</v>
      </c>
      <c r="L11" s="1277">
        <f>SUM(L12:L14)</f>
        <v>0</v>
      </c>
      <c r="M11" s="1277">
        <f t="shared" si="5"/>
        <v>3197727</v>
      </c>
      <c r="N11" s="1277">
        <f t="shared" si="1"/>
        <v>3197727</v>
      </c>
      <c r="O11" s="1277">
        <f t="shared" si="5"/>
        <v>0</v>
      </c>
      <c r="P11" s="1277">
        <f t="shared" ref="P11" si="6">SUM(P12:P14)</f>
        <v>0</v>
      </c>
      <c r="Q11" s="1277">
        <f t="shared" ref="Q11" si="7">SUM(Q12:Q14)</f>
        <v>0</v>
      </c>
      <c r="R11" s="1277">
        <f t="shared" ref="R11" si="8">SUM(R12:R14)</f>
        <v>0</v>
      </c>
      <c r="S11" s="1277">
        <f t="shared" si="2"/>
        <v>0</v>
      </c>
      <c r="T11" s="1277">
        <f t="shared" si="3"/>
        <v>3197727</v>
      </c>
    </row>
    <row r="12" spans="2:20" ht="15" customHeight="1">
      <c r="B12" s="1576" t="s">
        <v>856</v>
      </c>
      <c r="C12" s="1566"/>
      <c r="D12" s="1566"/>
      <c r="E12" s="1577"/>
      <c r="F12" s="287"/>
      <c r="G12" s="125"/>
      <c r="H12" s="125"/>
      <c r="I12" s="125"/>
      <c r="J12" s="125"/>
      <c r="K12" s="1275">
        <f t="shared" si="0"/>
        <v>0</v>
      </c>
      <c r="L12" s="125"/>
      <c r="M12" s="125">
        <f>3213067-15341+1</f>
        <v>3197727</v>
      </c>
      <c r="N12" s="1275">
        <f t="shared" si="1"/>
        <v>3197727</v>
      </c>
      <c r="O12" s="125"/>
      <c r="P12" s="125"/>
      <c r="Q12" s="125"/>
      <c r="R12" s="125"/>
      <c r="S12" s="1275">
        <f t="shared" si="2"/>
        <v>0</v>
      </c>
      <c r="T12" s="1275">
        <f t="shared" si="3"/>
        <v>3197727</v>
      </c>
    </row>
    <row r="13" spans="2:20" ht="15" customHeight="1">
      <c r="B13" s="1576" t="s">
        <v>857</v>
      </c>
      <c r="C13" s="1566"/>
      <c r="D13" s="1566"/>
      <c r="E13" s="1577"/>
      <c r="F13" s="287"/>
      <c r="G13" s="125"/>
      <c r="H13" s="125"/>
      <c r="I13" s="125"/>
      <c r="J13" s="125"/>
      <c r="K13" s="1275">
        <f t="shared" si="0"/>
        <v>0</v>
      </c>
      <c r="L13" s="125"/>
      <c r="M13" s="125"/>
      <c r="N13" s="1275">
        <f t="shared" si="1"/>
        <v>0</v>
      </c>
      <c r="O13" s="125"/>
      <c r="P13" s="125"/>
      <c r="Q13" s="125"/>
      <c r="R13" s="125"/>
      <c r="S13" s="1275">
        <f t="shared" si="2"/>
        <v>0</v>
      </c>
      <c r="T13" s="1275">
        <f t="shared" si="3"/>
        <v>0</v>
      </c>
    </row>
    <row r="14" spans="2:20" ht="15" customHeight="1">
      <c r="B14" s="1576" t="s">
        <v>858</v>
      </c>
      <c r="C14" s="1566"/>
      <c r="D14" s="1566"/>
      <c r="E14" s="1577"/>
      <c r="F14" s="287"/>
      <c r="G14" s="125"/>
      <c r="H14" s="125"/>
      <c r="I14" s="125"/>
      <c r="J14" s="125"/>
      <c r="K14" s="1275">
        <f t="shared" si="0"/>
        <v>0</v>
      </c>
      <c r="L14" s="125"/>
      <c r="M14" s="125"/>
      <c r="N14" s="1275">
        <f t="shared" si="1"/>
        <v>0</v>
      </c>
      <c r="O14" s="125"/>
      <c r="P14" s="125"/>
      <c r="Q14" s="125"/>
      <c r="R14" s="125"/>
      <c r="S14" s="1275">
        <f t="shared" si="2"/>
        <v>0</v>
      </c>
      <c r="T14" s="1275">
        <f t="shared" si="3"/>
        <v>0</v>
      </c>
    </row>
    <row r="15" spans="2:20" ht="15" customHeight="1">
      <c r="B15" s="1576" t="s">
        <v>859</v>
      </c>
      <c r="C15" s="1566"/>
      <c r="D15" s="1566"/>
      <c r="E15" s="1577"/>
      <c r="F15" s="287"/>
      <c r="G15" s="125"/>
      <c r="H15" s="125"/>
      <c r="I15" s="125"/>
      <c r="J15" s="125"/>
      <c r="K15" s="1275">
        <f t="shared" si="0"/>
        <v>0</v>
      </c>
      <c r="L15" s="125">
        <f>14172781-4251835</f>
        <v>9920946</v>
      </c>
      <c r="M15" s="125">
        <v>-9920946</v>
      </c>
      <c r="N15" s="1275">
        <f t="shared" si="1"/>
        <v>0</v>
      </c>
      <c r="O15" s="125"/>
      <c r="P15" s="125"/>
      <c r="Q15" s="125"/>
      <c r="R15" s="125"/>
      <c r="S15" s="1275">
        <f t="shared" si="2"/>
        <v>0</v>
      </c>
      <c r="T15" s="1275">
        <f t="shared" si="3"/>
        <v>0</v>
      </c>
    </row>
    <row r="16" spans="2:20" s="30" customFormat="1" ht="15" customHeight="1">
      <c r="B16" s="1578" t="s">
        <v>860</v>
      </c>
      <c r="C16" s="1565"/>
      <c r="D16" s="1565"/>
      <c r="E16" s="1579"/>
      <c r="F16" s="1276">
        <f>F17-F18+F19</f>
        <v>0</v>
      </c>
      <c r="G16" s="1277">
        <f t="shared" ref="G16:O16" si="9">G17-G18+G19</f>
        <v>0</v>
      </c>
      <c r="H16" s="1277">
        <f t="shared" si="9"/>
        <v>0</v>
      </c>
      <c r="I16" s="1277">
        <f t="shared" si="9"/>
        <v>0</v>
      </c>
      <c r="J16" s="1277">
        <f t="shared" si="9"/>
        <v>0</v>
      </c>
      <c r="K16" s="1277">
        <f t="shared" si="0"/>
        <v>0</v>
      </c>
      <c r="L16" s="1277">
        <f t="shared" si="9"/>
        <v>0</v>
      </c>
      <c r="M16" s="1277">
        <f t="shared" si="9"/>
        <v>-959318</v>
      </c>
      <c r="N16" s="1277">
        <f t="shared" si="1"/>
        <v>-959318</v>
      </c>
      <c r="O16" s="1277">
        <f t="shared" si="9"/>
        <v>0</v>
      </c>
      <c r="P16" s="1277">
        <f t="shared" ref="P16" si="10">P17-P18+P19</f>
        <v>0</v>
      </c>
      <c r="Q16" s="1277">
        <f t="shared" ref="Q16" si="11">Q17-Q18+Q19</f>
        <v>0</v>
      </c>
      <c r="R16" s="1277">
        <f t="shared" ref="R16" si="12">R17-R18+R19</f>
        <v>0</v>
      </c>
      <c r="S16" s="1277">
        <f t="shared" si="2"/>
        <v>0</v>
      </c>
      <c r="T16" s="1277">
        <f t="shared" si="3"/>
        <v>-959318</v>
      </c>
    </row>
    <row r="17" spans="2:20" ht="15" customHeight="1">
      <c r="B17" s="1576" t="s">
        <v>861</v>
      </c>
      <c r="C17" s="1566"/>
      <c r="D17" s="1566"/>
      <c r="E17" s="1577"/>
      <c r="F17" s="287"/>
      <c r="G17" s="125"/>
      <c r="H17" s="125"/>
      <c r="I17" s="125"/>
      <c r="J17" s="125"/>
      <c r="K17" s="1275">
        <f t="shared" si="0"/>
        <v>0</v>
      </c>
      <c r="L17" s="125"/>
      <c r="M17" s="125"/>
      <c r="N17" s="1275">
        <f t="shared" si="1"/>
        <v>0</v>
      </c>
      <c r="O17" s="125"/>
      <c r="P17" s="125"/>
      <c r="Q17" s="125"/>
      <c r="R17" s="125"/>
      <c r="S17" s="1275">
        <f t="shared" si="2"/>
        <v>0</v>
      </c>
      <c r="T17" s="1275">
        <f t="shared" si="3"/>
        <v>0</v>
      </c>
    </row>
    <row r="18" spans="2:20" ht="15" customHeight="1">
      <c r="B18" s="1576" t="s">
        <v>862</v>
      </c>
      <c r="C18" s="1566"/>
      <c r="D18" s="1566"/>
      <c r="E18" s="1577"/>
      <c r="F18" s="287"/>
      <c r="G18" s="125"/>
      <c r="H18" s="125"/>
      <c r="I18" s="125"/>
      <c r="J18" s="125"/>
      <c r="K18" s="1275">
        <f t="shared" si="0"/>
        <v>0</v>
      </c>
      <c r="L18" s="125"/>
      <c r="M18" s="125">
        <f>963920-4602</f>
        <v>959318</v>
      </c>
      <c r="N18" s="1275">
        <f t="shared" si="1"/>
        <v>959318</v>
      </c>
      <c r="O18" s="125"/>
      <c r="P18" s="125"/>
      <c r="Q18" s="125"/>
      <c r="R18" s="125"/>
      <c r="S18" s="1275">
        <f t="shared" si="2"/>
        <v>0</v>
      </c>
      <c r="T18" s="1275">
        <f>F18+K18+N18+S18</f>
        <v>959318</v>
      </c>
    </row>
    <row r="19" spans="2:20" ht="15" customHeight="1">
      <c r="B19" s="1576" t="s">
        <v>863</v>
      </c>
      <c r="C19" s="1566"/>
      <c r="D19" s="1566"/>
      <c r="E19" s="1577"/>
      <c r="F19" s="287"/>
      <c r="G19" s="125"/>
      <c r="H19" s="125"/>
      <c r="I19" s="125"/>
      <c r="J19" s="125"/>
      <c r="K19" s="1275">
        <f t="shared" si="0"/>
        <v>0</v>
      </c>
      <c r="L19" s="125"/>
      <c r="M19" s="125"/>
      <c r="N19" s="1275">
        <f t="shared" si="1"/>
        <v>0</v>
      </c>
      <c r="O19" s="125"/>
      <c r="P19" s="125"/>
      <c r="Q19" s="125"/>
      <c r="R19" s="125"/>
      <c r="S19" s="1275">
        <f t="shared" si="2"/>
        <v>0</v>
      </c>
      <c r="T19" s="1275">
        <f t="shared" si="3"/>
        <v>0</v>
      </c>
    </row>
    <row r="20" spans="2:20" ht="15" customHeight="1">
      <c r="B20" s="1576" t="s">
        <v>864</v>
      </c>
      <c r="C20" s="1566"/>
      <c r="D20" s="1566"/>
      <c r="E20" s="1577"/>
      <c r="F20" s="287"/>
      <c r="G20" s="125"/>
      <c r="H20" s="1538">
        <v>-1256043</v>
      </c>
      <c r="I20" s="125">
        <v>-24691</v>
      </c>
      <c r="J20" s="125"/>
      <c r="K20" s="1275">
        <f>SUM(G20:J20)</f>
        <v>-1280734</v>
      </c>
      <c r="L20" s="125"/>
      <c r="M20" s="125"/>
      <c r="N20" s="1275">
        <f t="shared" si="1"/>
        <v>0</v>
      </c>
      <c r="O20" s="125"/>
      <c r="P20" s="125"/>
      <c r="Q20" s="125"/>
      <c r="R20" s="125"/>
      <c r="S20" s="1275">
        <f t="shared" si="2"/>
        <v>0</v>
      </c>
      <c r="T20" s="1537">
        <f>F20+K20+N20+S20</f>
        <v>-1280734</v>
      </c>
    </row>
    <row r="21" spans="2:20" ht="15" customHeight="1">
      <c r="B21" s="1576" t="s">
        <v>865</v>
      </c>
      <c r="C21" s="1566"/>
      <c r="D21" s="1566"/>
      <c r="E21" s="1577"/>
      <c r="F21" s="287"/>
      <c r="G21" s="125"/>
      <c r="H21" s="125"/>
      <c r="I21" s="125"/>
      <c r="J21" s="125"/>
      <c r="K21" s="1275">
        <f t="shared" si="0"/>
        <v>0</v>
      </c>
      <c r="L21" s="125"/>
      <c r="M21" s="125"/>
      <c r="N21" s="1275">
        <f t="shared" si="1"/>
        <v>0</v>
      </c>
      <c r="O21" s="125"/>
      <c r="P21" s="125"/>
      <c r="Q21" s="125"/>
      <c r="R21" s="125"/>
      <c r="S21" s="1275">
        <f t="shared" si="2"/>
        <v>0</v>
      </c>
      <c r="T21" s="1275">
        <f t="shared" si="3"/>
        <v>0</v>
      </c>
    </row>
    <row r="22" spans="2:20" ht="15" customHeight="1" thickBot="1">
      <c r="B22" s="1580" t="s">
        <v>866</v>
      </c>
      <c r="C22" s="1581"/>
      <c r="D22" s="1581"/>
      <c r="E22" s="1582"/>
      <c r="F22" s="289"/>
      <c r="G22" s="290"/>
      <c r="H22" s="290"/>
      <c r="I22" s="290"/>
      <c r="J22" s="290"/>
      <c r="K22" s="1278">
        <f t="shared" si="0"/>
        <v>0</v>
      </c>
      <c r="L22" s="290"/>
      <c r="M22" s="290"/>
      <c r="N22" s="1278">
        <f t="shared" si="1"/>
        <v>0</v>
      </c>
      <c r="O22" s="290"/>
      <c r="P22" s="290"/>
      <c r="Q22" s="290"/>
      <c r="R22" s="290"/>
      <c r="S22" s="1278">
        <f t="shared" si="2"/>
        <v>0</v>
      </c>
      <c r="T22" s="1278">
        <f t="shared" si="3"/>
        <v>0</v>
      </c>
    </row>
    <row r="23" spans="2:20" s="30" customFormat="1" ht="15" customHeight="1" thickBot="1">
      <c r="B23" s="1583" t="s">
        <v>867</v>
      </c>
      <c r="C23" s="1583"/>
      <c r="D23" s="1583"/>
      <c r="E23" s="1583"/>
      <c r="F23" s="296">
        <f>F10+F11+F16</f>
        <v>44718799</v>
      </c>
      <c r="G23" s="296">
        <f t="shared" ref="G23:S23" si="13">G10+G11+G16</f>
        <v>0</v>
      </c>
      <c r="H23" s="1545">
        <f>SUM(H10:H22)</f>
        <v>-14009816</v>
      </c>
      <c r="I23" s="296">
        <f>SUM(I10:I22)</f>
        <v>-495498</v>
      </c>
      <c r="J23" s="296">
        <f t="shared" si="13"/>
        <v>0</v>
      </c>
      <c r="K23" s="296">
        <f>K10+K11+K16+K20</f>
        <v>-14505314</v>
      </c>
      <c r="L23" s="296">
        <f>L10+L11+L16+L15</f>
        <v>106252185</v>
      </c>
      <c r="M23" s="296">
        <f>M10+M11+M16+M18+M15</f>
        <v>3197727</v>
      </c>
      <c r="N23" s="296">
        <f t="shared" si="13"/>
        <v>108490594</v>
      </c>
      <c r="O23" s="296">
        <f t="shared" si="13"/>
        <v>0</v>
      </c>
      <c r="P23" s="296">
        <f t="shared" si="13"/>
        <v>0</v>
      </c>
      <c r="Q23" s="296">
        <f t="shared" si="13"/>
        <v>0</v>
      </c>
      <c r="R23" s="296">
        <f t="shared" si="13"/>
        <v>0</v>
      </c>
      <c r="S23" s="296">
        <f t="shared" si="13"/>
        <v>0</v>
      </c>
      <c r="T23" s="1545">
        <f>T10+T11+T16+T20+T21+T22</f>
        <v>138704079</v>
      </c>
    </row>
    <row r="24" spans="2:20">
      <c r="I24" s="192">
        <f>+H23+I23</f>
        <v>-14505314</v>
      </c>
      <c r="T24" s="192"/>
    </row>
    <row r="26" spans="2:20" ht="15.75" thickBot="1">
      <c r="F26" s="1568" t="str">
        <f>'3. Estado de resultados'!H4</f>
        <v>31.12.2017</v>
      </c>
      <c r="G26" s="1568"/>
      <c r="H26" s="1568"/>
      <c r="I26" s="1568"/>
      <c r="J26" s="1568"/>
      <c r="K26" s="1568"/>
      <c r="L26" s="1568"/>
      <c r="M26" s="1568"/>
      <c r="N26" s="1568"/>
      <c r="O26" s="1568"/>
      <c r="P26" s="1568"/>
      <c r="Q26" s="1568"/>
      <c r="R26" s="1568"/>
      <c r="S26" s="1568"/>
      <c r="T26" s="1568"/>
    </row>
    <row r="27" spans="2:20" ht="12.75" customHeight="1">
      <c r="B27" s="130"/>
      <c r="C27" s="130"/>
      <c r="D27" s="130"/>
      <c r="E27" s="130"/>
      <c r="F27" s="1569" t="s">
        <v>2709</v>
      </c>
      <c r="G27" s="1569" t="s">
        <v>2710</v>
      </c>
      <c r="H27" s="1569" t="s">
        <v>2711</v>
      </c>
      <c r="I27" s="1569" t="s">
        <v>500</v>
      </c>
      <c r="J27" s="1569" t="s">
        <v>1525</v>
      </c>
      <c r="K27" s="1569" t="s">
        <v>691</v>
      </c>
      <c r="L27" s="1569" t="s">
        <v>2712</v>
      </c>
      <c r="M27" s="1569" t="s">
        <v>2713</v>
      </c>
      <c r="N27" s="1569" t="s">
        <v>2714</v>
      </c>
      <c r="O27" s="1569" t="s">
        <v>2715</v>
      </c>
      <c r="P27" s="1569" t="s">
        <v>2716</v>
      </c>
      <c r="Q27" s="1569" t="s">
        <v>2717</v>
      </c>
      <c r="R27" s="1569" t="s">
        <v>2718</v>
      </c>
      <c r="S27" s="1569" t="s">
        <v>2719</v>
      </c>
      <c r="T27" s="1569" t="s">
        <v>224</v>
      </c>
    </row>
    <row r="28" spans="2:20" ht="81" customHeight="1" thickBot="1">
      <c r="B28" s="130"/>
      <c r="C28" s="130"/>
      <c r="D28" s="130"/>
      <c r="E28" s="130"/>
      <c r="F28" s="1570"/>
      <c r="G28" s="1570"/>
      <c r="H28" s="1570"/>
      <c r="I28" s="1570"/>
      <c r="J28" s="1570"/>
      <c r="K28" s="1570"/>
      <c r="L28" s="1570"/>
      <c r="M28" s="1570"/>
      <c r="N28" s="1570"/>
      <c r="O28" s="1570"/>
      <c r="P28" s="1570"/>
      <c r="Q28" s="1570"/>
      <c r="R28" s="1570"/>
      <c r="S28" s="1570"/>
      <c r="T28" s="1570"/>
    </row>
    <row r="29" spans="2:20" s="9" customFormat="1" ht="15" customHeight="1">
      <c r="B29" s="1573" t="s">
        <v>868</v>
      </c>
      <c r="C29" s="1574"/>
      <c r="D29" s="1574"/>
      <c r="E29" s="1575"/>
      <c r="F29" s="745"/>
      <c r="G29" s="743"/>
      <c r="H29" s="743"/>
      <c r="I29" s="743"/>
      <c r="J29" s="743"/>
      <c r="K29" s="744"/>
      <c r="L29" s="743"/>
      <c r="M29" s="743"/>
      <c r="N29" s="744"/>
      <c r="O29" s="743"/>
      <c r="P29" s="743"/>
      <c r="Q29" s="743"/>
      <c r="R29" s="743"/>
      <c r="S29" s="744"/>
      <c r="T29" s="744"/>
    </row>
    <row r="30" spans="2:20" ht="15" customHeight="1">
      <c r="B30" s="1571" t="s">
        <v>851</v>
      </c>
      <c r="C30" s="1555"/>
      <c r="D30" s="1555"/>
      <c r="E30" s="1572"/>
      <c r="F30" s="287">
        <v>44718799</v>
      </c>
      <c r="G30" s="125"/>
      <c r="H30" s="125">
        <v>-3862230</v>
      </c>
      <c r="I30" s="125">
        <v>-452835</v>
      </c>
      <c r="J30" s="125"/>
      <c r="K30" s="1275">
        <f>SUM(G30:J30)</f>
        <v>-4315065</v>
      </c>
      <c r="L30" s="125">
        <v>84694417</v>
      </c>
      <c r="M30" s="125">
        <v>11636822</v>
      </c>
      <c r="N30" s="1275">
        <f>SUM(L30:M30)</f>
        <v>96331239</v>
      </c>
      <c r="O30" s="125"/>
      <c r="P30" s="125"/>
      <c r="Q30" s="125"/>
      <c r="R30" s="125"/>
      <c r="S30" s="1275">
        <f>SUM(O30:R30)</f>
        <v>0</v>
      </c>
      <c r="T30" s="1275">
        <f>F30+K30+N30+S30</f>
        <v>136734973</v>
      </c>
    </row>
    <row r="31" spans="2:20" ht="15" customHeight="1">
      <c r="B31" s="1576" t="s">
        <v>852</v>
      </c>
      <c r="C31" s="1566"/>
      <c r="D31" s="1566"/>
      <c r="E31" s="1577"/>
      <c r="F31" s="287"/>
      <c r="G31" s="125"/>
      <c r="H31" s="125"/>
      <c r="I31" s="125"/>
      <c r="J31" s="125"/>
      <c r="K31" s="1275">
        <f t="shared" ref="K31:K32" si="14">SUM(G31:J31)</f>
        <v>0</v>
      </c>
      <c r="L31" s="125"/>
      <c r="M31" s="125"/>
      <c r="N31" s="1275">
        <f t="shared" ref="N31:N45" si="15">SUM(L31:M31)</f>
        <v>0</v>
      </c>
      <c r="O31" s="125"/>
      <c r="P31" s="125"/>
      <c r="Q31" s="125"/>
      <c r="R31" s="125"/>
      <c r="S31" s="1275">
        <f t="shared" ref="S31:S45" si="16">SUM(O31:R31)</f>
        <v>0</v>
      </c>
      <c r="T31" s="1275">
        <f t="shared" ref="T31:T45" si="17">F31+K31+N31+S31</f>
        <v>0</v>
      </c>
    </row>
    <row r="32" spans="2:20" ht="15" customHeight="1">
      <c r="B32" s="1576" t="s">
        <v>853</v>
      </c>
      <c r="C32" s="1566"/>
      <c r="D32" s="1566"/>
      <c r="E32" s="1577"/>
      <c r="F32" s="287"/>
      <c r="G32" s="125"/>
      <c r="H32" s="125"/>
      <c r="I32" s="125"/>
      <c r="J32" s="125"/>
      <c r="K32" s="1275">
        <f t="shared" si="14"/>
        <v>0</v>
      </c>
      <c r="L32" s="125"/>
      <c r="M32" s="125"/>
      <c r="N32" s="1275">
        <f t="shared" si="15"/>
        <v>0</v>
      </c>
      <c r="O32" s="125"/>
      <c r="P32" s="125"/>
      <c r="Q32" s="125"/>
      <c r="R32" s="125"/>
      <c r="S32" s="1275">
        <f t="shared" si="16"/>
        <v>0</v>
      </c>
      <c r="T32" s="1275">
        <f t="shared" si="17"/>
        <v>0</v>
      </c>
    </row>
    <row r="33" spans="2:20" s="30" customFormat="1" ht="15" customHeight="1">
      <c r="B33" s="1578" t="s">
        <v>854</v>
      </c>
      <c r="C33" s="1565"/>
      <c r="D33" s="1565"/>
      <c r="E33" s="1579"/>
      <c r="F33" s="1276">
        <f>F30+F31</f>
        <v>44718799</v>
      </c>
      <c r="G33" s="1277">
        <f t="shared" ref="G33:K33" si="18">G30+G31</f>
        <v>0</v>
      </c>
      <c r="H33" s="1277">
        <f t="shared" si="18"/>
        <v>-3862230</v>
      </c>
      <c r="I33" s="1277">
        <f t="shared" si="18"/>
        <v>-452835</v>
      </c>
      <c r="J33" s="1277">
        <f t="shared" si="18"/>
        <v>0</v>
      </c>
      <c r="K33" s="1277">
        <f t="shared" si="18"/>
        <v>-4315065</v>
      </c>
      <c r="L33" s="1277">
        <f t="shared" ref="L33:M33" si="19">L30+L31</f>
        <v>84694417</v>
      </c>
      <c r="M33" s="1277">
        <f t="shared" si="19"/>
        <v>11636822</v>
      </c>
      <c r="N33" s="1277">
        <f t="shared" si="15"/>
        <v>96331239</v>
      </c>
      <c r="O33" s="1277">
        <f t="shared" ref="O33:R33" si="20">O30+O31</f>
        <v>0</v>
      </c>
      <c r="P33" s="1277">
        <f t="shared" si="20"/>
        <v>0</v>
      </c>
      <c r="Q33" s="1277">
        <f t="shared" si="20"/>
        <v>0</v>
      </c>
      <c r="R33" s="1277">
        <f t="shared" si="20"/>
        <v>0</v>
      </c>
      <c r="S33" s="1277">
        <f t="shared" si="16"/>
        <v>0</v>
      </c>
      <c r="T33" s="1277">
        <f>F33+K33+N33+S33</f>
        <v>136734973</v>
      </c>
    </row>
    <row r="34" spans="2:20" s="30" customFormat="1" ht="15" customHeight="1">
      <c r="B34" s="1578" t="s">
        <v>855</v>
      </c>
      <c r="C34" s="1565"/>
      <c r="D34" s="1565"/>
      <c r="E34" s="1579"/>
      <c r="F34" s="1276">
        <f>SUM(F35:F37)</f>
        <v>0</v>
      </c>
      <c r="G34" s="1277">
        <f t="shared" ref="G34:J34" si="21">SUM(G35:G37)</f>
        <v>0</v>
      </c>
      <c r="H34" s="1277">
        <f t="shared" si="21"/>
        <v>0</v>
      </c>
      <c r="I34" s="1277">
        <f t="shared" si="21"/>
        <v>0</v>
      </c>
      <c r="J34" s="1277">
        <f t="shared" si="21"/>
        <v>0</v>
      </c>
      <c r="K34" s="1277">
        <f t="shared" ref="K34:K44" si="22">SUM(G34:J34)</f>
        <v>0</v>
      </c>
      <c r="L34" s="1277">
        <f t="shared" ref="L34" si="23">SUM(L35:L37)</f>
        <v>0</v>
      </c>
      <c r="M34" s="1277">
        <f>SUM(M35:M37)</f>
        <v>14172781</v>
      </c>
      <c r="N34" s="1277">
        <f t="shared" si="15"/>
        <v>14172781</v>
      </c>
      <c r="O34" s="1277">
        <f t="shared" ref="O34:R34" si="24">SUM(O35:O37)</f>
        <v>0</v>
      </c>
      <c r="P34" s="1277">
        <f t="shared" si="24"/>
        <v>0</v>
      </c>
      <c r="Q34" s="1277">
        <f t="shared" si="24"/>
        <v>0</v>
      </c>
      <c r="R34" s="1277">
        <f t="shared" si="24"/>
        <v>0</v>
      </c>
      <c r="S34" s="1277">
        <f t="shared" si="16"/>
        <v>0</v>
      </c>
      <c r="T34" s="1277">
        <f t="shared" si="17"/>
        <v>14172781</v>
      </c>
    </row>
    <row r="35" spans="2:20" ht="15" customHeight="1">
      <c r="B35" s="1576" t="s">
        <v>856</v>
      </c>
      <c r="C35" s="1566"/>
      <c r="D35" s="1566"/>
      <c r="E35" s="1577"/>
      <c r="F35" s="287"/>
      <c r="G35" s="125"/>
      <c r="H35" s="125"/>
      <c r="I35" s="125"/>
      <c r="J35" s="125"/>
      <c r="K35" s="1275">
        <f t="shared" si="22"/>
        <v>0</v>
      </c>
      <c r="L35" s="125"/>
      <c r="M35" s="125">
        <v>14172781</v>
      </c>
      <c r="N35" s="1275">
        <f t="shared" si="15"/>
        <v>14172781</v>
      </c>
      <c r="O35" s="125"/>
      <c r="P35" s="125"/>
      <c r="Q35" s="125"/>
      <c r="R35" s="125"/>
      <c r="S35" s="1275">
        <f t="shared" si="16"/>
        <v>0</v>
      </c>
      <c r="T35" s="1275">
        <f t="shared" si="17"/>
        <v>14172781</v>
      </c>
    </row>
    <row r="36" spans="2:20" ht="15" customHeight="1">
      <c r="B36" s="1576" t="s">
        <v>857</v>
      </c>
      <c r="C36" s="1566"/>
      <c r="D36" s="1566"/>
      <c r="E36" s="1577"/>
      <c r="F36" s="287"/>
      <c r="G36" s="125"/>
      <c r="H36" s="125"/>
      <c r="I36" s="125"/>
      <c r="J36" s="125"/>
      <c r="K36" s="1275">
        <f t="shared" si="22"/>
        <v>0</v>
      </c>
      <c r="L36" s="125"/>
      <c r="M36" s="125"/>
      <c r="N36" s="1275">
        <f t="shared" si="15"/>
        <v>0</v>
      </c>
      <c r="O36" s="125"/>
      <c r="P36" s="125"/>
      <c r="Q36" s="125"/>
      <c r="R36" s="125"/>
      <c r="S36" s="1275">
        <f t="shared" si="16"/>
        <v>0</v>
      </c>
      <c r="T36" s="1275">
        <f t="shared" si="17"/>
        <v>0</v>
      </c>
    </row>
    <row r="37" spans="2:20" ht="15" customHeight="1">
      <c r="B37" s="1576" t="s">
        <v>858</v>
      </c>
      <c r="C37" s="1566"/>
      <c r="D37" s="1566"/>
      <c r="E37" s="1577"/>
      <c r="F37" s="287"/>
      <c r="G37" s="125"/>
      <c r="H37" s="125"/>
      <c r="I37" s="125"/>
      <c r="J37" s="125"/>
      <c r="K37" s="1275">
        <f t="shared" si="22"/>
        <v>0</v>
      </c>
      <c r="L37" s="125"/>
      <c r="M37" s="125"/>
      <c r="N37" s="1275">
        <f t="shared" si="15"/>
        <v>0</v>
      </c>
      <c r="O37" s="125"/>
      <c r="P37" s="125"/>
      <c r="Q37" s="125"/>
      <c r="R37" s="125"/>
      <c r="S37" s="1275">
        <f t="shared" si="16"/>
        <v>0</v>
      </c>
      <c r="T37" s="1275">
        <f t="shared" si="17"/>
        <v>0</v>
      </c>
    </row>
    <row r="38" spans="2:20" ht="15" customHeight="1">
      <c r="B38" s="1576" t="s">
        <v>859</v>
      </c>
      <c r="C38" s="1566"/>
      <c r="D38" s="1566"/>
      <c r="E38" s="1577"/>
      <c r="F38" s="287"/>
      <c r="G38" s="125"/>
      <c r="H38" s="125"/>
      <c r="I38" s="125"/>
      <c r="J38" s="125"/>
      <c r="K38" s="1275">
        <f t="shared" si="22"/>
        <v>0</v>
      </c>
      <c r="L38" s="125">
        <v>11636822</v>
      </c>
      <c r="M38" s="125">
        <v>-11636822</v>
      </c>
      <c r="N38" s="1275">
        <f t="shared" si="15"/>
        <v>0</v>
      </c>
      <c r="O38" s="125"/>
      <c r="P38" s="125"/>
      <c r="Q38" s="125"/>
      <c r="R38" s="125"/>
      <c r="S38" s="1275">
        <f t="shared" si="16"/>
        <v>0</v>
      </c>
      <c r="T38" s="1275">
        <f t="shared" si="17"/>
        <v>0</v>
      </c>
    </row>
    <row r="39" spans="2:20" s="30" customFormat="1" ht="15" customHeight="1">
      <c r="B39" s="1578" t="s">
        <v>860</v>
      </c>
      <c r="C39" s="1565"/>
      <c r="D39" s="1565"/>
      <c r="E39" s="1579"/>
      <c r="F39" s="1276">
        <f>F40-F41+F42</f>
        <v>0</v>
      </c>
      <c r="G39" s="1277">
        <f>G40-G41+G42</f>
        <v>0</v>
      </c>
      <c r="H39" s="1277">
        <f>H40-H41+H42</f>
        <v>0</v>
      </c>
      <c r="I39" s="1277">
        <f t="shared" ref="I39" si="25">I40-I41+I42</f>
        <v>0</v>
      </c>
      <c r="J39" s="1277">
        <f>J40-J41+J42</f>
        <v>0</v>
      </c>
      <c r="K39" s="1277">
        <f>SUM(G39:J39)</f>
        <v>0</v>
      </c>
      <c r="L39" s="1277">
        <f>L40-L41+L42</f>
        <v>0</v>
      </c>
      <c r="M39" s="1277">
        <f>M40-M41+M42</f>
        <v>-4251835</v>
      </c>
      <c r="N39" s="1277">
        <f t="shared" si="15"/>
        <v>-4251835</v>
      </c>
      <c r="O39" s="1277">
        <f t="shared" ref="O39:R39" si="26">O40-O41+O42</f>
        <v>0</v>
      </c>
      <c r="P39" s="1277">
        <f t="shared" si="26"/>
        <v>0</v>
      </c>
      <c r="Q39" s="1277">
        <f t="shared" si="26"/>
        <v>0</v>
      </c>
      <c r="R39" s="1277">
        <f t="shared" si="26"/>
        <v>0</v>
      </c>
      <c r="S39" s="1277">
        <f t="shared" si="16"/>
        <v>0</v>
      </c>
      <c r="T39" s="1277">
        <f t="shared" si="17"/>
        <v>-4251835</v>
      </c>
    </row>
    <row r="40" spans="2:20" ht="15" customHeight="1">
      <c r="B40" s="1576" t="s">
        <v>861</v>
      </c>
      <c r="C40" s="1566"/>
      <c r="D40" s="1566"/>
      <c r="E40" s="1577"/>
      <c r="F40" s="287"/>
      <c r="G40" s="125"/>
      <c r="H40" s="125"/>
      <c r="I40" s="125"/>
      <c r="J40" s="125"/>
      <c r="K40" s="1275">
        <f t="shared" si="22"/>
        <v>0</v>
      </c>
      <c r="L40" s="125"/>
      <c r="M40" s="125"/>
      <c r="N40" s="1275">
        <f t="shared" si="15"/>
        <v>0</v>
      </c>
      <c r="O40" s="125"/>
      <c r="P40" s="125"/>
      <c r="Q40" s="125"/>
      <c r="R40" s="125"/>
      <c r="S40" s="1275">
        <f t="shared" si="16"/>
        <v>0</v>
      </c>
      <c r="T40" s="1275">
        <f t="shared" si="17"/>
        <v>0</v>
      </c>
    </row>
    <row r="41" spans="2:20" ht="15" customHeight="1">
      <c r="B41" s="1576" t="s">
        <v>862</v>
      </c>
      <c r="C41" s="1566"/>
      <c r="D41" s="1566"/>
      <c r="E41" s="1577"/>
      <c r="F41" s="287"/>
      <c r="G41" s="125"/>
      <c r="H41" s="125"/>
      <c r="I41" s="125"/>
      <c r="J41" s="125"/>
      <c r="K41" s="1275">
        <f t="shared" si="22"/>
        <v>0</v>
      </c>
      <c r="L41" s="125"/>
      <c r="M41" s="125">
        <v>4251835</v>
      </c>
      <c r="N41" s="1275">
        <f t="shared" si="15"/>
        <v>4251835</v>
      </c>
      <c r="O41" s="125"/>
      <c r="P41" s="125"/>
      <c r="Q41" s="125"/>
      <c r="R41" s="125"/>
      <c r="S41" s="1275">
        <f t="shared" si="16"/>
        <v>0</v>
      </c>
      <c r="T41" s="1275">
        <f t="shared" si="17"/>
        <v>4251835</v>
      </c>
    </row>
    <row r="42" spans="2:20" ht="15" customHeight="1">
      <c r="B42" s="1576" t="s">
        <v>863</v>
      </c>
      <c r="C42" s="1566"/>
      <c r="D42" s="1566"/>
      <c r="E42" s="1577"/>
      <c r="F42" s="287"/>
      <c r="G42" s="125"/>
      <c r="H42" s="125"/>
      <c r="I42" s="125"/>
      <c r="J42" s="125"/>
      <c r="K42" s="1275">
        <f t="shared" si="22"/>
        <v>0</v>
      </c>
      <c r="L42" s="125"/>
      <c r="M42" s="125"/>
      <c r="N42" s="1275">
        <f t="shared" si="15"/>
        <v>0</v>
      </c>
      <c r="O42" s="125"/>
      <c r="P42" s="125"/>
      <c r="Q42" s="125"/>
      <c r="R42" s="125"/>
      <c r="S42" s="1275">
        <f t="shared" si="16"/>
        <v>0</v>
      </c>
      <c r="T42" s="1275">
        <f t="shared" si="17"/>
        <v>0</v>
      </c>
    </row>
    <row r="43" spans="2:20" ht="15" customHeight="1">
      <c r="B43" s="1576" t="s">
        <v>864</v>
      </c>
      <c r="C43" s="1566"/>
      <c r="D43" s="1566"/>
      <c r="E43" s="1577"/>
      <c r="F43" s="287"/>
      <c r="G43" s="125"/>
      <c r="H43" s="125">
        <v>-8891543</v>
      </c>
      <c r="I43" s="125">
        <v>-17972</v>
      </c>
      <c r="J43" s="125"/>
      <c r="K43" s="1275">
        <f t="shared" si="22"/>
        <v>-8909515</v>
      </c>
      <c r="L43" s="125"/>
      <c r="M43" s="125"/>
      <c r="N43" s="1275">
        <f t="shared" si="15"/>
        <v>0</v>
      </c>
      <c r="O43" s="125"/>
      <c r="P43" s="125"/>
      <c r="Q43" s="125"/>
      <c r="R43" s="125"/>
      <c r="S43" s="1275">
        <f t="shared" si="16"/>
        <v>0</v>
      </c>
      <c r="T43" s="1275">
        <f>F43+K43+N43+S43</f>
        <v>-8909515</v>
      </c>
    </row>
    <row r="44" spans="2:20" ht="15" customHeight="1">
      <c r="B44" s="1576" t="s">
        <v>865</v>
      </c>
      <c r="C44" s="1566"/>
      <c r="D44" s="1566"/>
      <c r="E44" s="1577"/>
      <c r="F44" s="287"/>
      <c r="G44" s="125"/>
      <c r="H44" s="125"/>
      <c r="I44" s="125"/>
      <c r="J44" s="125"/>
      <c r="K44" s="1275">
        <f t="shared" si="22"/>
        <v>0</v>
      </c>
      <c r="L44" s="125"/>
      <c r="M44" s="125"/>
      <c r="N44" s="1275">
        <f t="shared" si="15"/>
        <v>0</v>
      </c>
      <c r="O44" s="125"/>
      <c r="P44" s="125"/>
      <c r="Q44" s="125"/>
      <c r="R44" s="125"/>
      <c r="S44" s="1275">
        <f t="shared" si="16"/>
        <v>0</v>
      </c>
      <c r="T44" s="1275">
        <f t="shared" si="17"/>
        <v>0</v>
      </c>
    </row>
    <row r="45" spans="2:20" ht="15" customHeight="1" thickBot="1">
      <c r="B45" s="1580" t="s">
        <v>866</v>
      </c>
      <c r="C45" s="1581"/>
      <c r="D45" s="1581"/>
      <c r="E45" s="1582"/>
      <c r="F45" s="289"/>
      <c r="G45" s="290"/>
      <c r="H45" s="290"/>
      <c r="I45" s="290"/>
      <c r="J45" s="290"/>
      <c r="K45" s="1278">
        <f>SUM(G45:J45)</f>
        <v>0</v>
      </c>
      <c r="L45" s="290"/>
      <c r="M45" s="290"/>
      <c r="N45" s="1278">
        <f t="shared" si="15"/>
        <v>0</v>
      </c>
      <c r="O45" s="290"/>
      <c r="P45" s="290"/>
      <c r="Q45" s="290"/>
      <c r="R45" s="290"/>
      <c r="S45" s="1278">
        <f t="shared" si="16"/>
        <v>0</v>
      </c>
      <c r="T45" s="1278">
        <f t="shared" si="17"/>
        <v>0</v>
      </c>
    </row>
    <row r="46" spans="2:20" s="30" customFormat="1" ht="15" customHeight="1" thickBot="1">
      <c r="B46" s="1583" t="s">
        <v>867</v>
      </c>
      <c r="C46" s="1583"/>
      <c r="D46" s="1583"/>
      <c r="E46" s="1583"/>
      <c r="F46" s="296">
        <f t="shared" ref="F46:J46" si="27">F33+F34+F39+F43+F44+F45+F38</f>
        <v>44718799</v>
      </c>
      <c r="G46" s="296">
        <f t="shared" si="27"/>
        <v>0</v>
      </c>
      <c r="H46" s="296">
        <f t="shared" si="27"/>
        <v>-12753773</v>
      </c>
      <c r="I46" s="296">
        <f t="shared" si="27"/>
        <v>-470807</v>
      </c>
      <c r="J46" s="296">
        <f t="shared" si="27"/>
        <v>0</v>
      </c>
      <c r="K46" s="296">
        <f>K33+K34+K39+K43+K44+K45+K38</f>
        <v>-13224580</v>
      </c>
      <c r="L46" s="296">
        <f>L33+L34+L39+L43+L44+L45+L38</f>
        <v>96331239</v>
      </c>
      <c r="M46" s="296">
        <f>+M34</f>
        <v>14172781</v>
      </c>
      <c r="N46" s="296">
        <f>+N33+N34+N39</f>
        <v>106252185</v>
      </c>
      <c r="O46" s="296">
        <f t="shared" ref="O46" si="28">O33+O34+O39+O43+O44+O45</f>
        <v>0</v>
      </c>
      <c r="P46" s="296">
        <f t="shared" ref="P46" si="29">P33+P34+P39+P43+P44+P45</f>
        <v>0</v>
      </c>
      <c r="Q46" s="296">
        <f t="shared" ref="Q46" si="30">Q33+Q34+Q39+Q43+Q44+Q45</f>
        <v>0</v>
      </c>
      <c r="R46" s="296">
        <f t="shared" ref="R46" si="31">R33+R34+R39+R43+R44+R45</f>
        <v>0</v>
      </c>
      <c r="S46" s="296">
        <f t="shared" ref="S46" si="32">S33+S34+S39+S43+S44+S45</f>
        <v>0</v>
      </c>
      <c r="T46" s="296">
        <f t="shared" ref="T46" si="33">T33+T34+T39+T43+T44+T45</f>
        <v>137746404</v>
      </c>
    </row>
    <row r="47" spans="2:20">
      <c r="T47" s="1279"/>
    </row>
  </sheetData>
  <mergeCells count="68">
    <mergeCell ref="F27:F28"/>
    <mergeCell ref="G27:G28"/>
    <mergeCell ref="H27:H28"/>
    <mergeCell ref="I27:I28"/>
    <mergeCell ref="J27:J28"/>
    <mergeCell ref="B44:E44"/>
    <mergeCell ref="B45:E45"/>
    <mergeCell ref="B46:E46"/>
    <mergeCell ref="B37:E37"/>
    <mergeCell ref="B38:E38"/>
    <mergeCell ref="B39:E39"/>
    <mergeCell ref="B40:E40"/>
    <mergeCell ref="B41:E41"/>
    <mergeCell ref="B34:E34"/>
    <mergeCell ref="B35:E35"/>
    <mergeCell ref="B36:E36"/>
    <mergeCell ref="B42:E42"/>
    <mergeCell ref="B43:E43"/>
    <mergeCell ref="B18:E18"/>
    <mergeCell ref="B19:E19"/>
    <mergeCell ref="B20:E20"/>
    <mergeCell ref="B32:E32"/>
    <mergeCell ref="B33:E33"/>
    <mergeCell ref="B21:E21"/>
    <mergeCell ref="B22:E22"/>
    <mergeCell ref="B23:E23"/>
    <mergeCell ref="B29:E29"/>
    <mergeCell ref="B30:E30"/>
    <mergeCell ref="B31:E31"/>
    <mergeCell ref="B13:E13"/>
    <mergeCell ref="B14:E14"/>
    <mergeCell ref="B15:E15"/>
    <mergeCell ref="B16:E16"/>
    <mergeCell ref="B17:E17"/>
    <mergeCell ref="B8:E8"/>
    <mergeCell ref="B9:E9"/>
    <mergeCell ref="B10:E10"/>
    <mergeCell ref="B11:E11"/>
    <mergeCell ref="B12:E12"/>
    <mergeCell ref="T4:T5"/>
    <mergeCell ref="B7:E7"/>
    <mergeCell ref="B6:E6"/>
    <mergeCell ref="F4:F5"/>
    <mergeCell ref="K4:K5"/>
    <mergeCell ref="N4:N5"/>
    <mergeCell ref="S4:S5"/>
    <mergeCell ref="J4:J5"/>
    <mergeCell ref="I4:I5"/>
    <mergeCell ref="H4:H5"/>
    <mergeCell ref="G4:G5"/>
    <mergeCell ref="L4:L5"/>
    <mergeCell ref="M4:M5"/>
    <mergeCell ref="F3:T3"/>
    <mergeCell ref="F26:T26"/>
    <mergeCell ref="P27:P28"/>
    <mergeCell ref="Q27:Q28"/>
    <mergeCell ref="R27:R28"/>
    <mergeCell ref="S27:S28"/>
    <mergeCell ref="T27:T28"/>
    <mergeCell ref="K27:K28"/>
    <mergeCell ref="L27:L28"/>
    <mergeCell ref="M27:M28"/>
    <mergeCell ref="N27:N28"/>
    <mergeCell ref="O27:O28"/>
    <mergeCell ref="O4:O5"/>
    <mergeCell ref="P4:P5"/>
    <mergeCell ref="Q4:Q5"/>
    <mergeCell ref="R4:R5"/>
  </mergeCells>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B1:V26"/>
  <sheetViews>
    <sheetView showGridLines="0" workbookViewId="0">
      <pane xSplit="6" ySplit="5" topLeftCell="N6" activePane="bottomRight" state="frozen"/>
      <selection pane="topRight" activeCell="G1" sqref="G1"/>
      <selection pane="bottomLeft" activeCell="A6" sqref="A6"/>
      <selection pane="bottomRight" activeCell="N21" sqref="N21"/>
    </sheetView>
  </sheetViews>
  <sheetFormatPr baseColWidth="10" defaultColWidth="9.140625" defaultRowHeight="15"/>
  <cols>
    <col min="1" max="5" width="2.42578125" customWidth="1"/>
    <col min="6" max="6" width="55.7109375" customWidth="1"/>
    <col min="7" max="21" width="14.7109375" customWidth="1"/>
  </cols>
  <sheetData>
    <row r="1" spans="2:22" ht="15" customHeight="1"/>
    <row r="2" spans="2:22" s="246" customFormat="1" ht="15" customHeight="1">
      <c r="B2" s="247"/>
    </row>
    <row r="3" spans="2:22" ht="15" customHeight="1">
      <c r="B3" s="1584" t="s">
        <v>2514</v>
      </c>
      <c r="C3" s="1584"/>
      <c r="D3" s="1584"/>
      <c r="E3" s="1584"/>
      <c r="F3" s="1584"/>
    </row>
    <row r="4" spans="2:22" s="315" customFormat="1" ht="12.75" customHeight="1" thickBot="1">
      <c r="B4" s="2"/>
      <c r="C4" s="2"/>
      <c r="D4" s="2"/>
      <c r="E4" s="2"/>
      <c r="F4" s="2"/>
      <c r="G4" s="4"/>
      <c r="H4" s="4"/>
      <c r="I4" s="4"/>
      <c r="J4" s="4"/>
      <c r="K4" s="4"/>
      <c r="L4" s="4"/>
      <c r="M4" s="4"/>
      <c r="N4" s="4"/>
      <c r="O4" s="4"/>
      <c r="P4" s="4"/>
      <c r="Q4" s="4"/>
      <c r="R4" s="4"/>
      <c r="S4" s="4"/>
      <c r="T4" s="4"/>
      <c r="U4" s="4"/>
    </row>
    <row r="5" spans="2:22" s="183" customFormat="1" ht="54.95" customHeight="1" thickBot="1">
      <c r="B5" s="184"/>
      <c r="C5" s="184"/>
      <c r="D5" s="1757"/>
      <c r="E5" s="1758"/>
      <c r="F5" s="1759"/>
      <c r="G5" s="643" t="s">
        <v>2515</v>
      </c>
      <c r="H5" s="643" t="s">
        <v>2516</v>
      </c>
      <c r="I5" s="642" t="s">
        <v>2517</v>
      </c>
      <c r="J5" s="642" t="s">
        <v>2518</v>
      </c>
      <c r="K5" s="642" t="s">
        <v>432</v>
      </c>
      <c r="L5" s="642" t="s">
        <v>2519</v>
      </c>
      <c r="M5" s="642" t="s">
        <v>547</v>
      </c>
      <c r="N5" s="642" t="s">
        <v>2520</v>
      </c>
      <c r="O5" s="642" t="s">
        <v>2521</v>
      </c>
      <c r="P5" s="642" t="s">
        <v>2519</v>
      </c>
      <c r="Q5" s="642" t="s">
        <v>547</v>
      </c>
      <c r="R5" s="642" t="s">
        <v>2523</v>
      </c>
      <c r="S5" s="642" t="s">
        <v>2522</v>
      </c>
      <c r="T5" s="642" t="s">
        <v>2524</v>
      </c>
      <c r="U5" s="642" t="s">
        <v>2525</v>
      </c>
    </row>
    <row r="6" spans="2:22" s="30" customFormat="1" ht="15" customHeight="1">
      <c r="B6" s="25"/>
      <c r="C6" s="25"/>
      <c r="D6" s="1745" t="s">
        <v>2526</v>
      </c>
      <c r="E6" s="1746"/>
      <c r="F6" s="1747"/>
      <c r="G6" s="679">
        <f>G7+G8</f>
        <v>11347348</v>
      </c>
      <c r="H6" s="204">
        <f t="shared" ref="H6:T6" si="0">H7+H8</f>
        <v>29429372</v>
      </c>
      <c r="I6" s="689">
        <f t="shared" si="0"/>
        <v>40776720</v>
      </c>
      <c r="J6" s="353">
        <f t="shared" si="0"/>
        <v>861255</v>
      </c>
      <c r="K6" s="204">
        <f t="shared" si="0"/>
        <v>6170673</v>
      </c>
      <c r="L6" s="689">
        <f t="shared" si="0"/>
        <v>7031928</v>
      </c>
      <c r="M6" s="689">
        <f t="shared" si="0"/>
        <v>4416635</v>
      </c>
      <c r="N6" s="690">
        <f t="shared" si="0"/>
        <v>52225283</v>
      </c>
      <c r="O6" s="689">
        <f t="shared" si="0"/>
        <v>-19843</v>
      </c>
      <c r="P6" s="330">
        <f t="shared" si="0"/>
        <v>251802</v>
      </c>
      <c r="Q6" s="204">
        <f t="shared" si="0"/>
        <v>107057</v>
      </c>
      <c r="R6" s="689">
        <f t="shared" si="0"/>
        <v>358859</v>
      </c>
      <c r="S6" s="690">
        <f t="shared" si="0"/>
        <v>52564299</v>
      </c>
      <c r="T6" s="689">
        <f t="shared" si="0"/>
        <v>39625</v>
      </c>
      <c r="U6" s="689">
        <v>41902869</v>
      </c>
      <c r="V6" s="648"/>
    </row>
    <row r="7" spans="2:22" s="30" customFormat="1" ht="15" customHeight="1">
      <c r="B7" s="25"/>
      <c r="C7" s="25"/>
      <c r="D7" s="1745" t="s">
        <v>2527</v>
      </c>
      <c r="E7" s="1746"/>
      <c r="F7" s="1747"/>
      <c r="G7" s="679">
        <f>+G10</f>
        <v>11676246</v>
      </c>
      <c r="H7" s="679">
        <f>+H10</f>
        <v>9667577</v>
      </c>
      <c r="I7" s="644">
        <f>+G7+H7</f>
        <v>21343823</v>
      </c>
      <c r="J7" s="679">
        <f t="shared" ref="J7:Q7" si="1">+J10</f>
        <v>372503</v>
      </c>
      <c r="K7" s="679">
        <f t="shared" si="1"/>
        <v>2908770</v>
      </c>
      <c r="L7" s="644">
        <f>+J7+K7</f>
        <v>3281273</v>
      </c>
      <c r="M7" s="679">
        <f t="shared" si="1"/>
        <v>2018334</v>
      </c>
      <c r="N7" s="645">
        <f>I7+L7+M7</f>
        <v>26643430</v>
      </c>
      <c r="O7" s="679">
        <f t="shared" si="1"/>
        <v>0</v>
      </c>
      <c r="P7" s="679">
        <f t="shared" si="1"/>
        <v>251802</v>
      </c>
      <c r="Q7" s="679">
        <f t="shared" si="1"/>
        <v>107057</v>
      </c>
      <c r="R7" s="644">
        <f>+P7+Q7</f>
        <v>358859</v>
      </c>
      <c r="S7" s="645">
        <f>N7+O7+R7</f>
        <v>27002289</v>
      </c>
      <c r="T7" s="679">
        <f t="shared" ref="T7" si="2">+T10</f>
        <v>3740</v>
      </c>
      <c r="U7" s="644">
        <f>+S7+T7</f>
        <v>27006029</v>
      </c>
      <c r="V7" s="648"/>
    </row>
    <row r="8" spans="2:22" s="30" customFormat="1" ht="15" customHeight="1">
      <c r="B8" s="25"/>
      <c r="C8" s="25"/>
      <c r="D8" s="1731" t="s">
        <v>2528</v>
      </c>
      <c r="E8" s="1564"/>
      <c r="F8" s="1730"/>
      <c r="G8" s="651">
        <f>G14-G18</f>
        <v>-328898</v>
      </c>
      <c r="H8" s="62">
        <f t="shared" ref="H8:U8" si="3">H14-H18</f>
        <v>19761795</v>
      </c>
      <c r="I8" s="646">
        <f t="shared" si="3"/>
        <v>19432897</v>
      </c>
      <c r="J8" s="61">
        <f t="shared" si="3"/>
        <v>488752</v>
      </c>
      <c r="K8" s="62">
        <f t="shared" si="3"/>
        <v>3261903</v>
      </c>
      <c r="L8" s="646">
        <f t="shared" si="3"/>
        <v>3750655</v>
      </c>
      <c r="M8" s="646">
        <f t="shared" si="3"/>
        <v>2398301</v>
      </c>
      <c r="N8" s="647">
        <f t="shared" si="3"/>
        <v>25581853</v>
      </c>
      <c r="O8" s="646">
        <f t="shared" si="3"/>
        <v>-19843</v>
      </c>
      <c r="P8" s="61">
        <f t="shared" si="3"/>
        <v>0</v>
      </c>
      <c r="Q8" s="62">
        <f t="shared" si="3"/>
        <v>0</v>
      </c>
      <c r="R8" s="646">
        <f t="shared" si="3"/>
        <v>0</v>
      </c>
      <c r="S8" s="647">
        <f t="shared" si="3"/>
        <v>25562010</v>
      </c>
      <c r="T8" s="646">
        <f t="shared" si="3"/>
        <v>35885</v>
      </c>
      <c r="U8" s="646">
        <f t="shared" si="3"/>
        <v>25597895</v>
      </c>
      <c r="V8" s="648"/>
    </row>
    <row r="9" spans="2:22" s="30" customFormat="1" ht="15" customHeight="1">
      <c r="B9" s="25"/>
      <c r="C9" s="25"/>
      <c r="D9" s="1745" t="s">
        <v>2529</v>
      </c>
      <c r="E9" s="1746"/>
      <c r="F9" s="1747"/>
      <c r="G9" s="679">
        <f>G10+G14-G18</f>
        <v>11347348</v>
      </c>
      <c r="H9" s="204">
        <f>H10+H14-H18</f>
        <v>29429372</v>
      </c>
      <c r="I9" s="644">
        <f>+G9+H9</f>
        <v>40776720</v>
      </c>
      <c r="J9" s="353">
        <f>J10+J14-J18</f>
        <v>861255</v>
      </c>
      <c r="K9" s="204">
        <f>K10+K14-K18</f>
        <v>6170673</v>
      </c>
      <c r="L9" s="644">
        <f>+J9+K9</f>
        <v>7031928</v>
      </c>
      <c r="M9" s="644">
        <f>M10+M14-M18</f>
        <v>4416635</v>
      </c>
      <c r="N9" s="645">
        <f>I9+L9+M9</f>
        <v>52225283</v>
      </c>
      <c r="O9" s="644">
        <f>O10+O14-O18</f>
        <v>-19843</v>
      </c>
      <c r="P9" s="353">
        <f>P10+P14-P18</f>
        <v>251802</v>
      </c>
      <c r="Q9" s="204">
        <f>Q10+Q14-Q18</f>
        <v>107057</v>
      </c>
      <c r="R9" s="644">
        <f>R10+R14-R18</f>
        <v>358859</v>
      </c>
      <c r="S9" s="645">
        <f>N9+O9+R9</f>
        <v>52564299</v>
      </c>
      <c r="T9" s="644">
        <f>T10+T14-T18</f>
        <v>39625</v>
      </c>
      <c r="U9" s="644">
        <f>+S9+T9</f>
        <v>52603924</v>
      </c>
      <c r="V9" s="648"/>
    </row>
    <row r="10" spans="2:22" s="30" customFormat="1" ht="15" customHeight="1">
      <c r="B10" s="25"/>
      <c r="C10" s="25"/>
      <c r="D10" s="1731" t="s">
        <v>2530</v>
      </c>
      <c r="E10" s="1564"/>
      <c r="F10" s="1730"/>
      <c r="G10" s="651">
        <f>G11-G12+G13</f>
        <v>11676246</v>
      </c>
      <c r="H10" s="62">
        <f t="shared" ref="H10:U10" si="4">H11-H12+H13</f>
        <v>9667577</v>
      </c>
      <c r="I10" s="646">
        <f t="shared" si="4"/>
        <v>21343823</v>
      </c>
      <c r="J10" s="61">
        <f t="shared" si="4"/>
        <v>372503</v>
      </c>
      <c r="K10" s="62">
        <f t="shared" si="4"/>
        <v>2908770</v>
      </c>
      <c r="L10" s="646">
        <f t="shared" si="4"/>
        <v>3281273</v>
      </c>
      <c r="M10" s="646">
        <f t="shared" si="4"/>
        <v>2018334</v>
      </c>
      <c r="N10" s="647">
        <f t="shared" si="4"/>
        <v>26643430</v>
      </c>
      <c r="O10" s="646">
        <f t="shared" si="4"/>
        <v>0</v>
      </c>
      <c r="P10" s="61">
        <f t="shared" si="4"/>
        <v>251802</v>
      </c>
      <c r="Q10" s="62">
        <f t="shared" si="4"/>
        <v>107057</v>
      </c>
      <c r="R10" s="646">
        <f t="shared" si="4"/>
        <v>358859</v>
      </c>
      <c r="S10" s="647">
        <f t="shared" si="4"/>
        <v>27002289</v>
      </c>
      <c r="T10" s="646">
        <f t="shared" si="4"/>
        <v>3740</v>
      </c>
      <c r="U10" s="646">
        <f t="shared" si="4"/>
        <v>27006029</v>
      </c>
      <c r="V10" s="648"/>
    </row>
    <row r="11" spans="2:22" s="30" customFormat="1" ht="15" customHeight="1">
      <c r="B11" s="25"/>
      <c r="C11" s="25"/>
      <c r="D11" s="1745" t="s">
        <v>2531</v>
      </c>
      <c r="E11" s="1746"/>
      <c r="F11" s="1747"/>
      <c r="G11" s="679">
        <v>11732009</v>
      </c>
      <c r="H11" s="204">
        <v>9667577</v>
      </c>
      <c r="I11" s="644">
        <f t="shared" ref="I11:I13" si="5">+G11+H11</f>
        <v>21399586</v>
      </c>
      <c r="J11" s="353">
        <v>372503</v>
      </c>
      <c r="K11" s="204">
        <v>2908770</v>
      </c>
      <c r="L11" s="644">
        <f t="shared" ref="L11:L13" si="6">+J11+K11</f>
        <v>3281273</v>
      </c>
      <c r="M11" s="644">
        <v>2018334</v>
      </c>
      <c r="N11" s="645">
        <f t="shared" ref="N11:N13" si="7">I11+L11+M11</f>
        <v>26699193</v>
      </c>
      <c r="O11" s="644"/>
      <c r="P11" s="353">
        <v>251802</v>
      </c>
      <c r="Q11" s="204">
        <v>107057</v>
      </c>
      <c r="R11" s="644">
        <f t="shared" ref="R11:R13" si="8">+P11+Q11</f>
        <v>358859</v>
      </c>
      <c r="S11" s="645">
        <f t="shared" ref="S11:S13" si="9">N11+O11+R11</f>
        <v>27058052</v>
      </c>
      <c r="T11" s="644">
        <v>3740</v>
      </c>
      <c r="U11" s="644">
        <f t="shared" ref="U11:U13" si="10">+S11+T11</f>
        <v>27061792</v>
      </c>
      <c r="V11" s="648"/>
    </row>
    <row r="12" spans="2:22" s="30" customFormat="1" ht="15" customHeight="1">
      <c r="B12" s="25"/>
      <c r="C12" s="25"/>
      <c r="D12" s="1745" t="s">
        <v>2532</v>
      </c>
      <c r="E12" s="1746"/>
      <c r="F12" s="1747"/>
      <c r="G12" s="679">
        <v>55763</v>
      </c>
      <c r="H12" s="204">
        <v>0</v>
      </c>
      <c r="I12" s="644">
        <f t="shared" si="5"/>
        <v>55763</v>
      </c>
      <c r="J12" s="353"/>
      <c r="K12" s="204"/>
      <c r="L12" s="644">
        <f t="shared" si="6"/>
        <v>0</v>
      </c>
      <c r="M12" s="644"/>
      <c r="N12" s="645">
        <f t="shared" si="7"/>
        <v>55763</v>
      </c>
      <c r="O12" s="644"/>
      <c r="P12" s="353"/>
      <c r="Q12" s="204"/>
      <c r="R12" s="644">
        <f t="shared" si="8"/>
        <v>0</v>
      </c>
      <c r="S12" s="645">
        <f t="shared" si="9"/>
        <v>55763</v>
      </c>
      <c r="T12" s="644"/>
      <c r="U12" s="644">
        <f t="shared" si="10"/>
        <v>55763</v>
      </c>
      <c r="V12" s="648"/>
    </row>
    <row r="13" spans="2:22" s="30" customFormat="1" ht="15" customHeight="1">
      <c r="B13" s="25"/>
      <c r="C13" s="25"/>
      <c r="D13" s="1745" t="s">
        <v>2533</v>
      </c>
      <c r="E13" s="1746"/>
      <c r="F13" s="1747"/>
      <c r="G13" s="679"/>
      <c r="H13" s="204"/>
      <c r="I13" s="644">
        <f t="shared" si="5"/>
        <v>0</v>
      </c>
      <c r="J13" s="353"/>
      <c r="K13" s="204"/>
      <c r="L13" s="644">
        <f t="shared" si="6"/>
        <v>0</v>
      </c>
      <c r="M13" s="644"/>
      <c r="N13" s="645">
        <f t="shared" si="7"/>
        <v>0</v>
      </c>
      <c r="O13" s="644"/>
      <c r="P13" s="353"/>
      <c r="Q13" s="204"/>
      <c r="R13" s="644">
        <f t="shared" si="8"/>
        <v>0</v>
      </c>
      <c r="S13" s="645">
        <f t="shared" si="9"/>
        <v>0</v>
      </c>
      <c r="T13" s="644"/>
      <c r="U13" s="644">
        <f t="shared" si="10"/>
        <v>0</v>
      </c>
      <c r="V13" s="648"/>
    </row>
    <row r="14" spans="2:22" s="30" customFormat="1" ht="15" customHeight="1">
      <c r="B14" s="25"/>
      <c r="C14" s="25"/>
      <c r="D14" s="1731" t="s">
        <v>2534</v>
      </c>
      <c r="E14" s="1564"/>
      <c r="F14" s="1730"/>
      <c r="G14" s="651">
        <f>G15-G16+G17</f>
        <v>516755597</v>
      </c>
      <c r="H14" s="62">
        <f t="shared" ref="H14:U14" si="11">H15-H16+H17</f>
        <v>573379495</v>
      </c>
      <c r="I14" s="646">
        <f t="shared" si="11"/>
        <v>1090135092</v>
      </c>
      <c r="J14" s="61">
        <f t="shared" si="11"/>
        <v>25973400</v>
      </c>
      <c r="K14" s="62">
        <f t="shared" si="11"/>
        <v>206647771</v>
      </c>
      <c r="L14" s="646">
        <f t="shared" si="11"/>
        <v>232621171</v>
      </c>
      <c r="M14" s="646">
        <f t="shared" si="11"/>
        <v>131120060</v>
      </c>
      <c r="N14" s="647">
        <f t="shared" si="11"/>
        <v>1453876323</v>
      </c>
      <c r="O14" s="646">
        <f t="shared" si="11"/>
        <v>3133447</v>
      </c>
      <c r="P14" s="61">
        <f t="shared" si="11"/>
        <v>0</v>
      </c>
      <c r="Q14" s="62">
        <f t="shared" si="11"/>
        <v>0</v>
      </c>
      <c r="R14" s="646">
        <f t="shared" si="11"/>
        <v>0</v>
      </c>
      <c r="S14" s="647">
        <f t="shared" si="11"/>
        <v>1457009770</v>
      </c>
      <c r="T14" s="646">
        <f t="shared" si="11"/>
        <v>14763120</v>
      </c>
      <c r="U14" s="646">
        <f t="shared" si="11"/>
        <v>1471772890</v>
      </c>
      <c r="V14" s="648"/>
    </row>
    <row r="15" spans="2:22" s="30" customFormat="1" ht="15" customHeight="1">
      <c r="B15" s="25"/>
      <c r="C15" s="25"/>
      <c r="D15" s="1745" t="s">
        <v>2535</v>
      </c>
      <c r="E15" s="1746"/>
      <c r="F15" s="1747"/>
      <c r="G15" s="679">
        <v>535741945</v>
      </c>
      <c r="H15" s="204">
        <v>573880617</v>
      </c>
      <c r="I15" s="644">
        <f t="shared" ref="I15:I18" si="12">+G15+H15</f>
        <v>1109622562</v>
      </c>
      <c r="J15" s="353">
        <v>25973400</v>
      </c>
      <c r="K15" s="204">
        <v>206998968</v>
      </c>
      <c r="L15" s="644">
        <f t="shared" ref="L15:L18" si="13">+J15+K15</f>
        <v>232972368</v>
      </c>
      <c r="M15" s="644">
        <v>131611379</v>
      </c>
      <c r="N15" s="645">
        <f t="shared" ref="N15:N18" si="14">I15+L15+M15</f>
        <v>1474206309</v>
      </c>
      <c r="O15" s="644">
        <v>3133447</v>
      </c>
      <c r="P15" s="353"/>
      <c r="Q15" s="204"/>
      <c r="R15" s="644">
        <f t="shared" ref="R15:R18" si="15">+P15+Q15</f>
        <v>0</v>
      </c>
      <c r="S15" s="645">
        <f t="shared" ref="S15:S18" si="16">N15+O15+R15</f>
        <v>1477339756</v>
      </c>
      <c r="T15" s="644">
        <v>14763120</v>
      </c>
      <c r="U15" s="644">
        <f t="shared" ref="U15:U18" si="17">+S15+T15</f>
        <v>1492102876</v>
      </c>
      <c r="V15" s="648"/>
    </row>
    <row r="16" spans="2:22" s="30" customFormat="1" ht="15" customHeight="1">
      <c r="B16" s="25"/>
      <c r="C16" s="25"/>
      <c r="D16" s="1745" t="s">
        <v>2536</v>
      </c>
      <c r="E16" s="1746"/>
      <c r="F16" s="1747"/>
      <c r="G16" s="679">
        <v>18986348</v>
      </c>
      <c r="H16" s="204">
        <v>501122</v>
      </c>
      <c r="I16" s="644">
        <f t="shared" si="12"/>
        <v>19487470</v>
      </c>
      <c r="J16" s="353">
        <v>0</v>
      </c>
      <c r="K16" s="204">
        <v>351197</v>
      </c>
      <c r="L16" s="644">
        <f t="shared" si="13"/>
        <v>351197</v>
      </c>
      <c r="M16" s="644">
        <v>491319</v>
      </c>
      <c r="N16" s="645">
        <f t="shared" si="14"/>
        <v>20329986</v>
      </c>
      <c r="O16" s="644"/>
      <c r="P16" s="353"/>
      <c r="Q16" s="204"/>
      <c r="R16" s="644">
        <f t="shared" si="15"/>
        <v>0</v>
      </c>
      <c r="S16" s="645">
        <f t="shared" si="16"/>
        <v>20329986</v>
      </c>
      <c r="T16" s="644"/>
      <c r="U16" s="644">
        <f t="shared" si="17"/>
        <v>20329986</v>
      </c>
      <c r="V16" s="648"/>
    </row>
    <row r="17" spans="2:22" s="30" customFormat="1" ht="15" customHeight="1">
      <c r="B17" s="25"/>
      <c r="C17" s="25"/>
      <c r="D17" s="1745" t="s">
        <v>2537</v>
      </c>
      <c r="E17" s="1746"/>
      <c r="F17" s="1747"/>
      <c r="G17" s="679"/>
      <c r="H17" s="204"/>
      <c r="I17" s="644">
        <f t="shared" si="12"/>
        <v>0</v>
      </c>
      <c r="J17" s="353"/>
      <c r="K17" s="204"/>
      <c r="L17" s="644">
        <f t="shared" si="13"/>
        <v>0</v>
      </c>
      <c r="M17" s="644"/>
      <c r="N17" s="645">
        <f t="shared" si="14"/>
        <v>0</v>
      </c>
      <c r="O17" s="644"/>
      <c r="P17" s="353"/>
      <c r="Q17" s="204"/>
      <c r="R17" s="644">
        <f t="shared" si="15"/>
        <v>0</v>
      </c>
      <c r="S17" s="645">
        <f t="shared" si="16"/>
        <v>0</v>
      </c>
      <c r="T17" s="644"/>
      <c r="U17" s="644">
        <f t="shared" si="17"/>
        <v>0</v>
      </c>
      <c r="V17" s="648"/>
    </row>
    <row r="18" spans="2:22" s="30" customFormat="1" ht="15" customHeight="1" thickBot="1">
      <c r="B18" s="25"/>
      <c r="C18" s="25"/>
      <c r="D18" s="1751" t="s">
        <v>2538</v>
      </c>
      <c r="E18" s="1752"/>
      <c r="F18" s="1753"/>
      <c r="G18" s="691">
        <v>517084495</v>
      </c>
      <c r="H18" s="388">
        <v>553617700</v>
      </c>
      <c r="I18" s="649">
        <f t="shared" si="12"/>
        <v>1070702195</v>
      </c>
      <c r="J18" s="654">
        <v>25484648</v>
      </c>
      <c r="K18" s="388">
        <v>203385868</v>
      </c>
      <c r="L18" s="649">
        <f t="shared" si="13"/>
        <v>228870516</v>
      </c>
      <c r="M18" s="649">
        <v>128721759</v>
      </c>
      <c r="N18" s="650">
        <f t="shared" si="14"/>
        <v>1428294470</v>
      </c>
      <c r="O18" s="649">
        <v>3153290</v>
      </c>
      <c r="P18" s="654"/>
      <c r="Q18" s="388"/>
      <c r="R18" s="649">
        <f t="shared" si="15"/>
        <v>0</v>
      </c>
      <c r="S18" s="650">
        <f t="shared" si="16"/>
        <v>1431447760</v>
      </c>
      <c r="T18" s="649">
        <v>14727235</v>
      </c>
      <c r="U18" s="649">
        <f t="shared" si="17"/>
        <v>1446174995</v>
      </c>
      <c r="V18" s="648"/>
    </row>
    <row r="20" spans="2:22">
      <c r="G20" s="498" t="s">
        <v>1769</v>
      </c>
      <c r="H20" s="499">
        <f>H6</f>
        <v>29429372</v>
      </c>
    </row>
    <row r="21" spans="2:22">
      <c r="G21" s="498" t="s">
        <v>2429</v>
      </c>
      <c r="H21" s="499">
        <f>'601'!BE22</f>
        <v>28252256</v>
      </c>
    </row>
    <row r="22" spans="2:22">
      <c r="H22" s="696" t="str">
        <f>IF(H20-H21=0,"OK","ERROR")</f>
        <v>ERROR</v>
      </c>
    </row>
    <row r="24" spans="2:22">
      <c r="G24" s="498" t="s">
        <v>1769</v>
      </c>
      <c r="H24" s="499">
        <f>H9</f>
        <v>29429372</v>
      </c>
    </row>
    <row r="25" spans="2:22">
      <c r="G25" s="498" t="s">
        <v>2429</v>
      </c>
      <c r="H25" s="499">
        <f>'601'!BE22</f>
        <v>28252256</v>
      </c>
    </row>
    <row r="26" spans="2:22">
      <c r="H26" s="696" t="str">
        <f>IF(H24-H25=0,"OK","ERROR")</f>
        <v>ERROR</v>
      </c>
    </row>
  </sheetData>
  <mergeCells count="15">
    <mergeCell ref="B3:F3"/>
    <mergeCell ref="D17:F17"/>
    <mergeCell ref="D18:F18"/>
    <mergeCell ref="D12:F12"/>
    <mergeCell ref="D6:F6"/>
    <mergeCell ref="D7:F7"/>
    <mergeCell ref="D8:F8"/>
    <mergeCell ref="D9:F9"/>
    <mergeCell ref="D10:F10"/>
    <mergeCell ref="D11:F11"/>
    <mergeCell ref="D5:F5"/>
    <mergeCell ref="D13:F13"/>
    <mergeCell ref="D14:F14"/>
    <mergeCell ref="D15:F15"/>
    <mergeCell ref="D16:F16"/>
  </mergeCells>
  <conditionalFormatting sqref="H22">
    <cfRule type="cellIs" dxfId="8" priority="3" operator="equal">
      <formula>"OK"</formula>
    </cfRule>
    <cfRule type="cellIs" dxfId="7" priority="4" operator="equal">
      <formula>"ERROR"</formula>
    </cfRule>
  </conditionalFormatting>
  <conditionalFormatting sqref="H26">
    <cfRule type="cellIs" dxfId="6" priority="1" operator="equal">
      <formula>"OK"</formula>
    </cfRule>
    <cfRule type="cellIs" dxfId="5" priority="2" operator="equal">
      <formula>"ERROR"</formula>
    </cfRule>
  </conditionalFormatting>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B1:BP34"/>
  <sheetViews>
    <sheetView showGridLines="0" topLeftCell="BE4" workbookViewId="0">
      <selection activeCell="BQ16" sqref="BQ16"/>
    </sheetView>
  </sheetViews>
  <sheetFormatPr baseColWidth="10" defaultColWidth="9.140625" defaultRowHeight="15" outlineLevelCol="1"/>
  <cols>
    <col min="1" max="5" width="2.42578125" customWidth="1"/>
    <col min="6" max="6" width="55.7109375" customWidth="1"/>
    <col min="7" max="21" width="14.7109375" customWidth="1" outlineLevel="1"/>
    <col min="22" max="22" width="14.7109375" customWidth="1"/>
    <col min="23" max="37" width="14.7109375" customWidth="1" outlineLevel="1"/>
    <col min="38" max="38" width="14.7109375" customWidth="1"/>
    <col min="39" max="53" width="14.7109375" customWidth="1" outlineLevel="1"/>
    <col min="54" max="54" width="14.7109375" customWidth="1"/>
    <col min="55" max="65" width="14.7109375" customWidth="1" outlineLevel="1"/>
    <col min="66" max="68" width="14.7109375" customWidth="1"/>
  </cols>
  <sheetData>
    <row r="1" spans="2:68" ht="15" customHeight="1"/>
    <row r="2" spans="2:68" s="246" customFormat="1" ht="15" customHeight="1">
      <c r="B2" s="247"/>
    </row>
    <row r="3" spans="2:68" ht="15" customHeight="1">
      <c r="B3" s="1584" t="s">
        <v>2539</v>
      </c>
      <c r="C3" s="1584"/>
      <c r="D3" s="1584"/>
      <c r="E3" s="1584"/>
      <c r="F3" s="1584"/>
    </row>
    <row r="4" spans="2:68" s="315" customFormat="1" ht="12.75" customHeight="1" thickBot="1">
      <c r="B4" s="2"/>
      <c r="C4" s="2"/>
      <c r="D4" s="2"/>
      <c r="E4" s="2"/>
      <c r="F4" s="2"/>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row>
    <row r="5" spans="2:68" s="146" customFormat="1" ht="12.75" customHeight="1" thickBot="1">
      <c r="B5" s="2"/>
      <c r="C5" s="2"/>
      <c r="D5" s="657"/>
      <c r="E5" s="195"/>
      <c r="F5" s="658"/>
      <c r="G5" s="1740" t="s">
        <v>2410</v>
      </c>
      <c r="H5" s="1741"/>
      <c r="I5" s="1741"/>
      <c r="J5" s="1741"/>
      <c r="K5" s="1741"/>
      <c r="L5" s="1741"/>
      <c r="M5" s="1741"/>
      <c r="N5" s="1741"/>
      <c r="O5" s="1741"/>
      <c r="P5" s="1741"/>
      <c r="Q5" s="1741"/>
      <c r="R5" s="1741"/>
      <c r="S5" s="1741"/>
      <c r="T5" s="1741"/>
      <c r="U5" s="1741"/>
      <c r="V5" s="1742"/>
      <c r="W5" s="1743" t="s">
        <v>2412</v>
      </c>
      <c r="X5" s="1743"/>
      <c r="Y5" s="1743"/>
      <c r="Z5" s="1743"/>
      <c r="AA5" s="1743"/>
      <c r="AB5" s="1743"/>
      <c r="AC5" s="1743"/>
      <c r="AD5" s="1743"/>
      <c r="AE5" s="1743"/>
      <c r="AF5" s="1743"/>
      <c r="AG5" s="1743"/>
      <c r="AH5" s="1743"/>
      <c r="AI5" s="1743"/>
      <c r="AJ5" s="1743"/>
      <c r="AK5" s="1743"/>
      <c r="AL5" s="1743"/>
      <c r="AM5" s="1743" t="s">
        <v>2413</v>
      </c>
      <c r="AN5" s="1743"/>
      <c r="AO5" s="1743"/>
      <c r="AP5" s="1743"/>
      <c r="AQ5" s="1743"/>
      <c r="AR5" s="1743"/>
      <c r="AS5" s="1743"/>
      <c r="AT5" s="1743"/>
      <c r="AU5" s="1743"/>
      <c r="AV5" s="1743"/>
      <c r="AW5" s="1743"/>
      <c r="AX5" s="1743"/>
      <c r="AY5" s="1743"/>
      <c r="AZ5" s="1743"/>
      <c r="BA5" s="1743"/>
      <c r="BB5" s="1743"/>
      <c r="BC5" s="1743" t="s">
        <v>2411</v>
      </c>
      <c r="BD5" s="1743"/>
      <c r="BE5" s="1743"/>
      <c r="BF5" s="1743"/>
      <c r="BG5" s="1743"/>
      <c r="BH5" s="1743"/>
      <c r="BI5" s="1743"/>
      <c r="BJ5" s="1743"/>
      <c r="BK5" s="1743"/>
      <c r="BL5" s="1743"/>
      <c r="BM5" s="1743"/>
      <c r="BN5" s="1743"/>
      <c r="BO5" s="1569">
        <v>999</v>
      </c>
    </row>
    <row r="6" spans="2:68" s="183" customFormat="1" ht="54.95" customHeight="1" thickBot="1">
      <c r="B6" s="184"/>
      <c r="C6" s="184"/>
      <c r="D6" s="659"/>
      <c r="E6" s="184"/>
      <c r="F6" s="660"/>
      <c r="G6" s="643">
        <v>101</v>
      </c>
      <c r="H6" s="643" t="s">
        <v>777</v>
      </c>
      <c r="I6" s="642" t="s">
        <v>778</v>
      </c>
      <c r="J6" s="642" t="s">
        <v>779</v>
      </c>
      <c r="K6" s="642" t="s">
        <v>780</v>
      </c>
      <c r="L6" s="642" t="s">
        <v>781</v>
      </c>
      <c r="M6" s="642" t="s">
        <v>782</v>
      </c>
      <c r="N6" s="642" t="s">
        <v>783</v>
      </c>
      <c r="O6" s="642" t="s">
        <v>784</v>
      </c>
      <c r="P6" s="642" t="s">
        <v>785</v>
      </c>
      <c r="Q6" s="642" t="s">
        <v>786</v>
      </c>
      <c r="R6" s="642" t="s">
        <v>787</v>
      </c>
      <c r="S6" s="642" t="s">
        <v>788</v>
      </c>
      <c r="T6" s="642" t="s">
        <v>789</v>
      </c>
      <c r="U6" s="642" t="s">
        <v>790</v>
      </c>
      <c r="V6" s="683">
        <v>100</v>
      </c>
      <c r="W6" s="641" t="s">
        <v>791</v>
      </c>
      <c r="X6" s="641" t="s">
        <v>792</v>
      </c>
      <c r="Y6" s="641" t="s">
        <v>793</v>
      </c>
      <c r="Z6" s="641" t="s">
        <v>794</v>
      </c>
      <c r="AA6" s="641" t="s">
        <v>795</v>
      </c>
      <c r="AB6" s="641" t="s">
        <v>796</v>
      </c>
      <c r="AC6" s="641" t="s">
        <v>797</v>
      </c>
      <c r="AD6" s="641" t="s">
        <v>798</v>
      </c>
      <c r="AE6" s="641" t="s">
        <v>799</v>
      </c>
      <c r="AF6" s="641" t="s">
        <v>800</v>
      </c>
      <c r="AG6" s="641" t="s">
        <v>801</v>
      </c>
      <c r="AH6" s="641" t="s">
        <v>802</v>
      </c>
      <c r="AI6" s="641" t="s">
        <v>803</v>
      </c>
      <c r="AJ6" s="641" t="s">
        <v>804</v>
      </c>
      <c r="AK6" s="641" t="s">
        <v>805</v>
      </c>
      <c r="AL6" s="684">
        <v>200</v>
      </c>
      <c r="AM6" s="641" t="s">
        <v>806</v>
      </c>
      <c r="AN6" s="641" t="s">
        <v>807</v>
      </c>
      <c r="AO6" s="641" t="s">
        <v>808</v>
      </c>
      <c r="AP6" s="641" t="s">
        <v>809</v>
      </c>
      <c r="AQ6" s="641" t="s">
        <v>810</v>
      </c>
      <c r="AR6" s="641" t="s">
        <v>811</v>
      </c>
      <c r="AS6" s="641" t="s">
        <v>812</v>
      </c>
      <c r="AT6" s="641" t="s">
        <v>813</v>
      </c>
      <c r="AU6" s="641" t="s">
        <v>814</v>
      </c>
      <c r="AV6" s="641" t="s">
        <v>815</v>
      </c>
      <c r="AW6" s="641" t="s">
        <v>816</v>
      </c>
      <c r="AX6" s="641" t="s">
        <v>817</v>
      </c>
      <c r="AY6" s="641" t="s">
        <v>818</v>
      </c>
      <c r="AZ6" s="641" t="s">
        <v>819</v>
      </c>
      <c r="BA6" s="641" t="s">
        <v>820</v>
      </c>
      <c r="BB6" s="684">
        <v>300</v>
      </c>
      <c r="BC6" s="1509" t="s">
        <v>821</v>
      </c>
      <c r="BD6" s="641" t="s">
        <v>822</v>
      </c>
      <c r="BE6" s="641" t="s">
        <v>823</v>
      </c>
      <c r="BF6" s="641" t="s">
        <v>824</v>
      </c>
      <c r="BG6" s="641" t="s">
        <v>825</v>
      </c>
      <c r="BH6" s="641" t="s">
        <v>826</v>
      </c>
      <c r="BI6" s="641" t="s">
        <v>827</v>
      </c>
      <c r="BJ6" s="641" t="s">
        <v>828</v>
      </c>
      <c r="BK6" s="641" t="s">
        <v>829</v>
      </c>
      <c r="BL6" s="641" t="s">
        <v>830</v>
      </c>
      <c r="BM6" s="641" t="s">
        <v>831</v>
      </c>
      <c r="BN6" s="684">
        <v>400</v>
      </c>
      <c r="BO6" s="1570"/>
    </row>
    <row r="7" spans="2:68" s="693" customFormat="1" ht="15" customHeight="1">
      <c r="B7" s="25"/>
      <c r="C7" s="25"/>
      <c r="D7" s="661"/>
      <c r="E7" s="1564" t="s">
        <v>2540</v>
      </c>
      <c r="F7" s="1730"/>
      <c r="G7" s="651">
        <f>-G8+G9</f>
        <v>-107426</v>
      </c>
      <c r="H7" s="60">
        <f t="shared" ref="H7:BO7" si="0">-H8+H9</f>
        <v>31573</v>
      </c>
      <c r="I7" s="60">
        <f t="shared" si="0"/>
        <v>-414042</v>
      </c>
      <c r="J7" s="60">
        <f t="shared" si="0"/>
        <v>0</v>
      </c>
      <c r="K7" s="60">
        <f t="shared" si="0"/>
        <v>-649</v>
      </c>
      <c r="L7" s="60">
        <f t="shared" si="0"/>
        <v>0</v>
      </c>
      <c r="M7" s="60">
        <f t="shared" si="0"/>
        <v>-93366</v>
      </c>
      <c r="N7" s="60">
        <f t="shared" si="0"/>
        <v>30547</v>
      </c>
      <c r="O7" s="60">
        <f t="shared" si="0"/>
        <v>312871</v>
      </c>
      <c r="P7" s="60">
        <f t="shared" si="0"/>
        <v>155061</v>
      </c>
      <c r="Q7" s="60">
        <f t="shared" si="0"/>
        <v>0</v>
      </c>
      <c r="R7" s="60">
        <f t="shared" si="0"/>
        <v>0</v>
      </c>
      <c r="S7" s="60">
        <f t="shared" si="0"/>
        <v>0</v>
      </c>
      <c r="T7" s="60">
        <f t="shared" si="0"/>
        <v>0</v>
      </c>
      <c r="U7" s="62">
        <f t="shared" si="0"/>
        <v>0</v>
      </c>
      <c r="V7" s="646">
        <f t="shared" si="0"/>
        <v>-85431</v>
      </c>
      <c r="W7" s="61">
        <f t="shared" si="0"/>
        <v>0</v>
      </c>
      <c r="X7" s="60">
        <f t="shared" si="0"/>
        <v>-2299600</v>
      </c>
      <c r="Y7" s="60">
        <f t="shared" si="0"/>
        <v>0</v>
      </c>
      <c r="Z7" s="60">
        <f t="shared" si="0"/>
        <v>0</v>
      </c>
      <c r="AA7" s="60">
        <f t="shared" si="0"/>
        <v>0</v>
      </c>
      <c r="AB7" s="60">
        <f t="shared" si="0"/>
        <v>0</v>
      </c>
      <c r="AC7" s="60">
        <f t="shared" si="0"/>
        <v>0</v>
      </c>
      <c r="AD7" s="60">
        <f t="shared" si="0"/>
        <v>173157</v>
      </c>
      <c r="AE7" s="60">
        <f t="shared" si="0"/>
        <v>2939201</v>
      </c>
      <c r="AF7" s="60">
        <f t="shared" si="0"/>
        <v>11031</v>
      </c>
      <c r="AG7" s="60">
        <f t="shared" si="0"/>
        <v>0</v>
      </c>
      <c r="AH7" s="60">
        <f t="shared" si="0"/>
        <v>0</v>
      </c>
      <c r="AI7" s="60">
        <f t="shared" si="0"/>
        <v>-20091</v>
      </c>
      <c r="AJ7" s="60">
        <f t="shared" si="0"/>
        <v>0</v>
      </c>
      <c r="AK7" s="62">
        <f t="shared" si="0"/>
        <v>0</v>
      </c>
      <c r="AL7" s="646">
        <f t="shared" si="0"/>
        <v>803698</v>
      </c>
      <c r="AM7" s="61">
        <f t="shared" si="0"/>
        <v>0</v>
      </c>
      <c r="AN7" s="60">
        <f t="shared" si="0"/>
        <v>-6394</v>
      </c>
      <c r="AO7" s="60">
        <f t="shared" si="0"/>
        <v>5071</v>
      </c>
      <c r="AP7" s="60">
        <f t="shared" si="0"/>
        <v>0</v>
      </c>
      <c r="AQ7" s="60">
        <f t="shared" si="0"/>
        <v>0</v>
      </c>
      <c r="AR7" s="60">
        <f t="shared" si="0"/>
        <v>0</v>
      </c>
      <c r="AS7" s="60">
        <f t="shared" si="0"/>
        <v>0</v>
      </c>
      <c r="AT7" s="60">
        <f t="shared" si="0"/>
        <v>739</v>
      </c>
      <c r="AU7" s="60">
        <f t="shared" si="0"/>
        <v>5530</v>
      </c>
      <c r="AV7" s="60">
        <f t="shared" si="0"/>
        <v>15082</v>
      </c>
      <c r="AW7" s="60">
        <f t="shared" si="0"/>
        <v>0</v>
      </c>
      <c r="AX7" s="60">
        <f t="shared" si="0"/>
        <v>0</v>
      </c>
      <c r="AY7" s="60">
        <f t="shared" si="0"/>
        <v>-28646</v>
      </c>
      <c r="AZ7" s="60">
        <f t="shared" si="0"/>
        <v>0</v>
      </c>
      <c r="BA7" s="62">
        <f t="shared" si="0"/>
        <v>0</v>
      </c>
      <c r="BB7" s="646">
        <f t="shared" si="0"/>
        <v>-8618</v>
      </c>
      <c r="BC7" s="61">
        <f t="shared" si="0"/>
        <v>0</v>
      </c>
      <c r="BD7" s="60">
        <f t="shared" si="0"/>
        <v>0</v>
      </c>
      <c r="BE7" s="60">
        <f t="shared" si="0"/>
        <v>0</v>
      </c>
      <c r="BF7" s="60">
        <f t="shared" si="0"/>
        <v>0</v>
      </c>
      <c r="BG7" s="60">
        <f t="shared" si="0"/>
        <v>0</v>
      </c>
      <c r="BH7" s="60">
        <f t="shared" si="0"/>
        <v>0</v>
      </c>
      <c r="BI7" s="60">
        <f t="shared" si="0"/>
        <v>0</v>
      </c>
      <c r="BJ7" s="60">
        <f t="shared" si="0"/>
        <v>0</v>
      </c>
      <c r="BK7" s="60">
        <f t="shared" si="0"/>
        <v>0</v>
      </c>
      <c r="BL7" s="60">
        <f t="shared" si="0"/>
        <v>279</v>
      </c>
      <c r="BM7" s="62">
        <f t="shared" si="0"/>
        <v>0</v>
      </c>
      <c r="BN7" s="646">
        <f t="shared" si="0"/>
        <v>279</v>
      </c>
      <c r="BO7" s="1302">
        <f t="shared" si="0"/>
        <v>709928</v>
      </c>
      <c r="BP7" s="692"/>
    </row>
    <row r="8" spans="2:68" s="9" customFormat="1" ht="15" customHeight="1">
      <c r="B8" s="12"/>
      <c r="C8" s="12"/>
      <c r="D8" s="662"/>
      <c r="E8" s="12"/>
      <c r="F8" s="685" t="s">
        <v>2541</v>
      </c>
      <c r="G8" s="652">
        <v>107426</v>
      </c>
      <c r="H8" s="43">
        <v>0</v>
      </c>
      <c r="I8" s="43">
        <v>732061</v>
      </c>
      <c r="J8" s="43">
        <v>0</v>
      </c>
      <c r="K8" s="43">
        <v>649</v>
      </c>
      <c r="L8" s="43">
        <v>0</v>
      </c>
      <c r="M8" s="43">
        <v>7669938</v>
      </c>
      <c r="N8" s="43">
        <v>0</v>
      </c>
      <c r="O8" s="43">
        <v>8510</v>
      </c>
      <c r="P8" s="43">
        <v>-8850</v>
      </c>
      <c r="Q8" s="43">
        <v>0</v>
      </c>
      <c r="R8" s="43">
        <v>0</v>
      </c>
      <c r="S8" s="43">
        <v>0</v>
      </c>
      <c r="T8" s="43">
        <v>0</v>
      </c>
      <c r="U8" s="44">
        <v>0</v>
      </c>
      <c r="V8" s="644">
        <f t="shared" ref="V8:V9" si="1">SUM(G8:U8)</f>
        <v>8509734</v>
      </c>
      <c r="W8" s="54">
        <v>0</v>
      </c>
      <c r="X8" s="43">
        <v>2908954</v>
      </c>
      <c r="Y8" s="43">
        <v>0</v>
      </c>
      <c r="Z8" s="43">
        <v>0</v>
      </c>
      <c r="AA8" s="43">
        <v>0</v>
      </c>
      <c r="AB8" s="43">
        <v>0</v>
      </c>
      <c r="AC8" s="43">
        <v>0</v>
      </c>
      <c r="AD8" s="43">
        <v>0</v>
      </c>
      <c r="AE8" s="43">
        <v>2368895</v>
      </c>
      <c r="AF8" s="43">
        <v>473238</v>
      </c>
      <c r="AG8" s="43">
        <v>0</v>
      </c>
      <c r="AH8" s="43">
        <v>0</v>
      </c>
      <c r="AI8" s="43">
        <v>204852</v>
      </c>
      <c r="AJ8" s="43">
        <v>0</v>
      </c>
      <c r="AK8" s="44">
        <v>0</v>
      </c>
      <c r="AL8" s="644">
        <f t="shared" ref="AL8:AL9" si="2">0+(SUM(W8:AK8))</f>
        <v>5955939</v>
      </c>
      <c r="AM8" s="353">
        <v>0</v>
      </c>
      <c r="AN8" s="58">
        <v>6443</v>
      </c>
      <c r="AO8" s="58">
        <v>0</v>
      </c>
      <c r="AP8" s="58">
        <v>0</v>
      </c>
      <c r="AQ8" s="58">
        <v>0</v>
      </c>
      <c r="AR8" s="58">
        <v>0</v>
      </c>
      <c r="AS8" s="58">
        <v>0</v>
      </c>
      <c r="AT8" s="58">
        <v>0</v>
      </c>
      <c r="AU8" s="58">
        <v>18482</v>
      </c>
      <c r="AV8" s="58">
        <v>0</v>
      </c>
      <c r="AW8" s="58">
        <v>0</v>
      </c>
      <c r="AX8" s="58">
        <v>0</v>
      </c>
      <c r="AY8" s="58">
        <v>0</v>
      </c>
      <c r="AZ8" s="58">
        <v>0</v>
      </c>
      <c r="BA8" s="204">
        <v>0</v>
      </c>
      <c r="BB8" s="644">
        <f t="shared" ref="BB8:BB9" si="3">0+(SUM(AM8:BA8))</f>
        <v>24925</v>
      </c>
      <c r="BC8" s="353">
        <v>0</v>
      </c>
      <c r="BD8" s="58">
        <v>0</v>
      </c>
      <c r="BE8" s="58">
        <v>0</v>
      </c>
      <c r="BF8" s="58">
        <v>0</v>
      </c>
      <c r="BG8" s="58">
        <v>0</v>
      </c>
      <c r="BH8" s="58">
        <v>0</v>
      </c>
      <c r="BI8" s="58">
        <v>0</v>
      </c>
      <c r="BJ8" s="58">
        <v>0</v>
      </c>
      <c r="BK8" s="58">
        <v>0</v>
      </c>
      <c r="BL8" s="58">
        <v>52759</v>
      </c>
      <c r="BM8" s="204">
        <v>0</v>
      </c>
      <c r="BN8" s="644">
        <f t="shared" ref="BN8:BN9" si="4">BC8+BD8+BG8+BJ8+BK8+BL8+BM8</f>
        <v>52759</v>
      </c>
      <c r="BO8" s="1311">
        <f t="shared" ref="BO8:BO9" si="5">V8+AL8+BB8+BN8</f>
        <v>14543357</v>
      </c>
      <c r="BP8" s="694"/>
    </row>
    <row r="9" spans="2:68" s="9" customFormat="1" ht="15" customHeight="1">
      <c r="B9" s="12"/>
      <c r="C9" s="12"/>
      <c r="D9" s="662"/>
      <c r="E9" s="12"/>
      <c r="F9" s="685" t="s">
        <v>2542</v>
      </c>
      <c r="G9" s="652">
        <v>0</v>
      </c>
      <c r="H9" s="43">
        <v>31573</v>
      </c>
      <c r="I9" s="43">
        <v>318019</v>
      </c>
      <c r="J9" s="43">
        <v>0</v>
      </c>
      <c r="K9" s="43">
        <v>0</v>
      </c>
      <c r="L9" s="43">
        <v>0</v>
      </c>
      <c r="M9" s="43">
        <v>7576572</v>
      </c>
      <c r="N9" s="43">
        <v>30547</v>
      </c>
      <c r="O9" s="43">
        <v>321381</v>
      </c>
      <c r="P9" s="43">
        <v>146211</v>
      </c>
      <c r="Q9" s="43">
        <v>0</v>
      </c>
      <c r="R9" s="43">
        <v>0</v>
      </c>
      <c r="S9" s="43">
        <v>0</v>
      </c>
      <c r="T9" s="43">
        <v>0</v>
      </c>
      <c r="U9" s="44">
        <v>0</v>
      </c>
      <c r="V9" s="644">
        <f t="shared" si="1"/>
        <v>8424303</v>
      </c>
      <c r="W9" s="54">
        <v>0</v>
      </c>
      <c r="X9" s="43">
        <v>609354</v>
      </c>
      <c r="Y9" s="43">
        <v>0</v>
      </c>
      <c r="Z9" s="43">
        <v>0</v>
      </c>
      <c r="AA9" s="43">
        <v>0</v>
      </c>
      <c r="AB9" s="43">
        <v>0</v>
      </c>
      <c r="AC9" s="43">
        <v>0</v>
      </c>
      <c r="AD9" s="43">
        <v>173157</v>
      </c>
      <c r="AE9" s="43">
        <v>5308096</v>
      </c>
      <c r="AF9" s="43">
        <v>484269</v>
      </c>
      <c r="AG9" s="43">
        <v>0</v>
      </c>
      <c r="AH9" s="43">
        <v>0</v>
      </c>
      <c r="AI9" s="43">
        <v>184761</v>
      </c>
      <c r="AJ9" s="43">
        <v>0</v>
      </c>
      <c r="AK9" s="44">
        <v>0</v>
      </c>
      <c r="AL9" s="644">
        <f t="shared" si="2"/>
        <v>6759637</v>
      </c>
      <c r="AM9" s="353">
        <v>0</v>
      </c>
      <c r="AN9" s="58">
        <v>49</v>
      </c>
      <c r="AO9" s="58">
        <v>5071</v>
      </c>
      <c r="AP9" s="58">
        <v>0</v>
      </c>
      <c r="AQ9" s="58">
        <v>0</v>
      </c>
      <c r="AR9" s="58">
        <v>0</v>
      </c>
      <c r="AS9" s="58">
        <v>0</v>
      </c>
      <c r="AT9" s="58">
        <v>739</v>
      </c>
      <c r="AU9" s="58">
        <v>24012</v>
      </c>
      <c r="AV9" s="58">
        <v>15082</v>
      </c>
      <c r="AW9" s="58">
        <v>0</v>
      </c>
      <c r="AX9" s="58">
        <v>0</v>
      </c>
      <c r="AY9" s="58">
        <v>-28646</v>
      </c>
      <c r="AZ9" s="58">
        <v>0</v>
      </c>
      <c r="BA9" s="204">
        <v>0</v>
      </c>
      <c r="BB9" s="644">
        <f t="shared" si="3"/>
        <v>16307</v>
      </c>
      <c r="BC9" s="353">
        <v>0</v>
      </c>
      <c r="BD9" s="58">
        <v>0</v>
      </c>
      <c r="BE9" s="58">
        <v>0</v>
      </c>
      <c r="BF9" s="58">
        <v>0</v>
      </c>
      <c r="BG9" s="58">
        <v>0</v>
      </c>
      <c r="BH9" s="58">
        <v>0</v>
      </c>
      <c r="BI9" s="58">
        <v>0</v>
      </c>
      <c r="BJ9" s="58">
        <v>0</v>
      </c>
      <c r="BK9" s="58">
        <v>0</v>
      </c>
      <c r="BL9" s="58">
        <v>53038</v>
      </c>
      <c r="BM9" s="204">
        <v>0</v>
      </c>
      <c r="BN9" s="644">
        <f t="shared" si="4"/>
        <v>53038</v>
      </c>
      <c r="BO9" s="1311">
        <f t="shared" si="5"/>
        <v>15253285</v>
      </c>
      <c r="BP9" s="694"/>
    </row>
    <row r="10" spans="2:68" s="693" customFormat="1" ht="15" customHeight="1">
      <c r="B10" s="25"/>
      <c r="C10" s="25"/>
      <c r="D10" s="661"/>
      <c r="E10" s="1564" t="s">
        <v>2543</v>
      </c>
      <c r="F10" s="1730"/>
      <c r="G10" s="651">
        <f>-G11+G12</f>
        <v>-30035</v>
      </c>
      <c r="H10" s="60">
        <f t="shared" ref="H10:BO10" si="6">-H11+H12</f>
        <v>50339</v>
      </c>
      <c r="I10" s="60">
        <f t="shared" si="6"/>
        <v>0</v>
      </c>
      <c r="J10" s="60">
        <f t="shared" si="6"/>
        <v>-58321</v>
      </c>
      <c r="K10" s="60">
        <f t="shared" si="6"/>
        <v>-1607533</v>
      </c>
      <c r="L10" s="60">
        <f t="shared" si="6"/>
        <v>-55672</v>
      </c>
      <c r="M10" s="60">
        <f t="shared" si="6"/>
        <v>0</v>
      </c>
      <c r="N10" s="60">
        <f t="shared" si="6"/>
        <v>0</v>
      </c>
      <c r="O10" s="60">
        <f t="shared" si="6"/>
        <v>0</v>
      </c>
      <c r="P10" s="60">
        <f t="shared" si="6"/>
        <v>0</v>
      </c>
      <c r="Q10" s="60">
        <f t="shared" si="6"/>
        <v>0</v>
      </c>
      <c r="R10" s="60">
        <f t="shared" si="6"/>
        <v>0</v>
      </c>
      <c r="S10" s="60">
        <f t="shared" si="6"/>
        <v>0</v>
      </c>
      <c r="T10" s="60">
        <f t="shared" si="6"/>
        <v>0</v>
      </c>
      <c r="U10" s="62">
        <f t="shared" si="6"/>
        <v>0</v>
      </c>
      <c r="V10" s="646">
        <f t="shared" si="6"/>
        <v>-1701222</v>
      </c>
      <c r="W10" s="61">
        <f t="shared" si="6"/>
        <v>0</v>
      </c>
      <c r="X10" s="60">
        <f t="shared" si="6"/>
        <v>0</v>
      </c>
      <c r="Y10" s="60">
        <f t="shared" si="6"/>
        <v>0</v>
      </c>
      <c r="Z10" s="60">
        <f t="shared" si="6"/>
        <v>0</v>
      </c>
      <c r="AA10" s="60">
        <f t="shared" si="6"/>
        <v>0</v>
      </c>
      <c r="AB10" s="60">
        <f t="shared" si="6"/>
        <v>0</v>
      </c>
      <c r="AC10" s="60">
        <f t="shared" si="6"/>
        <v>0</v>
      </c>
      <c r="AD10" s="60">
        <f t="shared" si="6"/>
        <v>0</v>
      </c>
      <c r="AE10" s="60">
        <f t="shared" si="6"/>
        <v>0</v>
      </c>
      <c r="AF10" s="60">
        <f t="shared" si="6"/>
        <v>0</v>
      </c>
      <c r="AG10" s="60">
        <f t="shared" si="6"/>
        <v>0</v>
      </c>
      <c r="AH10" s="60">
        <f t="shared" si="6"/>
        <v>0</v>
      </c>
      <c r="AI10" s="60">
        <f t="shared" si="6"/>
        <v>-6554</v>
      </c>
      <c r="AJ10" s="60">
        <f t="shared" si="6"/>
        <v>0</v>
      </c>
      <c r="AK10" s="62">
        <f t="shared" si="6"/>
        <v>0</v>
      </c>
      <c r="AL10" s="646">
        <f t="shared" si="6"/>
        <v>-6554</v>
      </c>
      <c r="AM10" s="61">
        <f t="shared" si="6"/>
        <v>0</v>
      </c>
      <c r="AN10" s="60">
        <f t="shared" si="6"/>
        <v>0</v>
      </c>
      <c r="AO10" s="60">
        <f t="shared" si="6"/>
        <v>0</v>
      </c>
      <c r="AP10" s="60">
        <f t="shared" si="6"/>
        <v>0</v>
      </c>
      <c r="AQ10" s="60">
        <f t="shared" si="6"/>
        <v>0</v>
      </c>
      <c r="AR10" s="60">
        <f t="shared" si="6"/>
        <v>0</v>
      </c>
      <c r="AS10" s="60">
        <f t="shared" si="6"/>
        <v>0</v>
      </c>
      <c r="AT10" s="60">
        <f t="shared" si="6"/>
        <v>0</v>
      </c>
      <c r="AU10" s="60">
        <f t="shared" si="6"/>
        <v>0</v>
      </c>
      <c r="AV10" s="60">
        <f t="shared" si="6"/>
        <v>0</v>
      </c>
      <c r="AW10" s="60">
        <f t="shared" si="6"/>
        <v>0</v>
      </c>
      <c r="AX10" s="60">
        <f t="shared" si="6"/>
        <v>0</v>
      </c>
      <c r="AY10" s="60">
        <f t="shared" si="6"/>
        <v>1589200</v>
      </c>
      <c r="AZ10" s="60">
        <f t="shared" si="6"/>
        <v>0</v>
      </c>
      <c r="BA10" s="62">
        <f t="shared" si="6"/>
        <v>0</v>
      </c>
      <c r="BB10" s="646">
        <f t="shared" si="6"/>
        <v>1589200</v>
      </c>
      <c r="BC10" s="61">
        <f t="shared" si="6"/>
        <v>0</v>
      </c>
      <c r="BD10" s="60">
        <f t="shared" si="6"/>
        <v>0</v>
      </c>
      <c r="BE10" s="60">
        <f t="shared" si="6"/>
        <v>0</v>
      </c>
      <c r="BF10" s="60">
        <f t="shared" si="6"/>
        <v>0</v>
      </c>
      <c r="BG10" s="60">
        <f t="shared" si="6"/>
        <v>0</v>
      </c>
      <c r="BH10" s="60">
        <f t="shared" si="6"/>
        <v>0</v>
      </c>
      <c r="BI10" s="60">
        <f t="shared" si="6"/>
        <v>0</v>
      </c>
      <c r="BJ10" s="60">
        <f t="shared" si="6"/>
        <v>0</v>
      </c>
      <c r="BK10" s="60">
        <f t="shared" si="6"/>
        <v>0</v>
      </c>
      <c r="BL10" s="60">
        <f t="shared" si="6"/>
        <v>0</v>
      </c>
      <c r="BM10" s="62">
        <f t="shared" si="6"/>
        <v>0</v>
      </c>
      <c r="BN10" s="646">
        <f t="shared" si="6"/>
        <v>0</v>
      </c>
      <c r="BO10" s="1302">
        <f t="shared" si="6"/>
        <v>-118576</v>
      </c>
      <c r="BP10" s="692"/>
    </row>
    <row r="11" spans="2:68" s="9" customFormat="1" ht="15" customHeight="1">
      <c r="B11" s="12"/>
      <c r="C11" s="12"/>
      <c r="D11" s="662"/>
      <c r="E11" s="12"/>
      <c r="F11" s="685" t="s">
        <v>2544</v>
      </c>
      <c r="G11" s="652">
        <v>2824383</v>
      </c>
      <c r="H11" s="43">
        <v>2156623</v>
      </c>
      <c r="I11" s="43">
        <v>0</v>
      </c>
      <c r="J11" s="43">
        <v>6170502</v>
      </c>
      <c r="K11" s="43">
        <v>1607533</v>
      </c>
      <c r="L11" s="43">
        <v>21629280</v>
      </c>
      <c r="M11" s="43">
        <v>0</v>
      </c>
      <c r="N11" s="43">
        <v>0</v>
      </c>
      <c r="O11" s="43">
        <v>0</v>
      </c>
      <c r="P11" s="43">
        <v>0</v>
      </c>
      <c r="Q11" s="43">
        <v>0</v>
      </c>
      <c r="R11" s="43">
        <v>0</v>
      </c>
      <c r="S11" s="43">
        <v>0</v>
      </c>
      <c r="T11" s="43">
        <v>0</v>
      </c>
      <c r="U11" s="44">
        <v>0</v>
      </c>
      <c r="V11" s="644">
        <f t="shared" ref="V11:V12" si="7">SUM(G11:U11)</f>
        <v>34388321</v>
      </c>
      <c r="W11" s="54">
        <v>0</v>
      </c>
      <c r="X11" s="43">
        <v>0</v>
      </c>
      <c r="Y11" s="43">
        <v>0</v>
      </c>
      <c r="Z11" s="43">
        <v>0</v>
      </c>
      <c r="AA11" s="43">
        <v>0</v>
      </c>
      <c r="AB11" s="43">
        <v>0</v>
      </c>
      <c r="AC11" s="43">
        <v>0</v>
      </c>
      <c r="AD11" s="43">
        <v>0</v>
      </c>
      <c r="AE11" s="43">
        <v>0</v>
      </c>
      <c r="AF11" s="43">
        <v>0</v>
      </c>
      <c r="AG11" s="43">
        <v>0</v>
      </c>
      <c r="AH11" s="43">
        <v>0</v>
      </c>
      <c r="AI11" s="43">
        <v>355751</v>
      </c>
      <c r="AJ11" s="43">
        <v>0</v>
      </c>
      <c r="AK11" s="44">
        <v>0</v>
      </c>
      <c r="AL11" s="644">
        <f t="shared" ref="AL11:AL12" si="8">0+(SUM(W11:AK11))</f>
        <v>355751</v>
      </c>
      <c r="AM11" s="353">
        <v>0</v>
      </c>
      <c r="AN11" s="58">
        <v>0</v>
      </c>
      <c r="AO11" s="58">
        <v>0</v>
      </c>
      <c r="AP11" s="58">
        <v>0</v>
      </c>
      <c r="AQ11" s="58">
        <v>0</v>
      </c>
      <c r="AR11" s="58">
        <v>0</v>
      </c>
      <c r="AS11" s="58">
        <v>0</v>
      </c>
      <c r="AT11" s="58">
        <v>0</v>
      </c>
      <c r="AU11" s="58">
        <v>0</v>
      </c>
      <c r="AV11" s="58">
        <v>0</v>
      </c>
      <c r="AW11" s="58">
        <v>0</v>
      </c>
      <c r="AX11" s="58">
        <v>0</v>
      </c>
      <c r="AY11" s="58">
        <v>0</v>
      </c>
      <c r="AZ11" s="58">
        <v>0</v>
      </c>
      <c r="BA11" s="204">
        <v>0</v>
      </c>
      <c r="BB11" s="644">
        <f t="shared" ref="BB11:BB12" si="9">0+(SUM(AM11:BA11))</f>
        <v>0</v>
      </c>
      <c r="BC11" s="353"/>
      <c r="BD11" s="58"/>
      <c r="BE11" s="58"/>
      <c r="BF11" s="58"/>
      <c r="BG11" s="58"/>
      <c r="BH11" s="58"/>
      <c r="BI11" s="58"/>
      <c r="BJ11" s="58"/>
      <c r="BK11" s="58"/>
      <c r="BL11" s="58"/>
      <c r="BM11" s="204"/>
      <c r="BN11" s="644">
        <f t="shared" ref="BN11:BN12" si="10">BC11+BD11+BG11+BJ11+BK11+BL11+BM11</f>
        <v>0</v>
      </c>
      <c r="BO11" s="1311">
        <f t="shared" ref="BO11:BO12" si="11">V11+AL11+BB11+BN11</f>
        <v>34744072</v>
      </c>
      <c r="BP11" s="694"/>
    </row>
    <row r="12" spans="2:68" s="9" customFormat="1" ht="15" customHeight="1">
      <c r="B12" s="12"/>
      <c r="C12" s="12"/>
      <c r="D12" s="662"/>
      <c r="E12" s="12"/>
      <c r="F12" s="685" t="s">
        <v>2545</v>
      </c>
      <c r="G12" s="652">
        <v>2794348</v>
      </c>
      <c r="H12" s="43">
        <v>2206962</v>
      </c>
      <c r="I12" s="43">
        <v>0</v>
      </c>
      <c r="J12" s="43">
        <v>6112181</v>
      </c>
      <c r="K12" s="43">
        <v>0</v>
      </c>
      <c r="L12" s="43">
        <v>21573608</v>
      </c>
      <c r="M12" s="43">
        <v>0</v>
      </c>
      <c r="N12" s="43">
        <v>0</v>
      </c>
      <c r="O12" s="43">
        <v>0</v>
      </c>
      <c r="P12" s="43">
        <v>0</v>
      </c>
      <c r="Q12" s="43">
        <v>0</v>
      </c>
      <c r="R12" s="43">
        <v>0</v>
      </c>
      <c r="S12" s="43">
        <v>0</v>
      </c>
      <c r="T12" s="43">
        <v>0</v>
      </c>
      <c r="U12" s="44">
        <v>0</v>
      </c>
      <c r="V12" s="644">
        <f t="shared" si="7"/>
        <v>32687099</v>
      </c>
      <c r="W12" s="54">
        <v>0</v>
      </c>
      <c r="X12" s="43">
        <v>0</v>
      </c>
      <c r="Y12" s="43">
        <v>0</v>
      </c>
      <c r="Z12" s="43">
        <v>0</v>
      </c>
      <c r="AA12" s="43">
        <v>0</v>
      </c>
      <c r="AB12" s="43">
        <v>0</v>
      </c>
      <c r="AC12" s="43">
        <v>0</v>
      </c>
      <c r="AD12" s="43">
        <v>0</v>
      </c>
      <c r="AE12" s="43">
        <v>0</v>
      </c>
      <c r="AF12" s="43">
        <v>0</v>
      </c>
      <c r="AG12" s="43">
        <v>0</v>
      </c>
      <c r="AH12" s="43">
        <v>0</v>
      </c>
      <c r="AI12" s="43">
        <v>349197</v>
      </c>
      <c r="AJ12" s="43">
        <v>0</v>
      </c>
      <c r="AK12" s="44">
        <v>0</v>
      </c>
      <c r="AL12" s="644">
        <f t="shared" si="8"/>
        <v>349197</v>
      </c>
      <c r="AM12" s="353">
        <v>0</v>
      </c>
      <c r="AN12" s="58">
        <v>0</v>
      </c>
      <c r="AO12" s="58">
        <v>0</v>
      </c>
      <c r="AP12" s="58">
        <v>0</v>
      </c>
      <c r="AQ12" s="58">
        <v>0</v>
      </c>
      <c r="AR12" s="58">
        <v>0</v>
      </c>
      <c r="AS12" s="58">
        <v>0</v>
      </c>
      <c r="AT12" s="58">
        <v>0</v>
      </c>
      <c r="AU12" s="58">
        <v>0</v>
      </c>
      <c r="AV12" s="58">
        <v>0</v>
      </c>
      <c r="AW12" s="58">
        <v>0</v>
      </c>
      <c r="AX12" s="58">
        <v>0</v>
      </c>
      <c r="AY12" s="58">
        <v>1589200</v>
      </c>
      <c r="AZ12" s="58">
        <v>0</v>
      </c>
      <c r="BA12" s="204">
        <v>0</v>
      </c>
      <c r="BB12" s="644">
        <f t="shared" si="9"/>
        <v>1589200</v>
      </c>
      <c r="BC12" s="353"/>
      <c r="BD12" s="58"/>
      <c r="BE12" s="58"/>
      <c r="BF12" s="58"/>
      <c r="BG12" s="58"/>
      <c r="BH12" s="58"/>
      <c r="BI12" s="58"/>
      <c r="BJ12" s="58"/>
      <c r="BK12" s="58"/>
      <c r="BL12" s="58"/>
      <c r="BM12" s="204"/>
      <c r="BN12" s="644">
        <f t="shared" si="10"/>
        <v>0</v>
      </c>
      <c r="BO12" s="1311">
        <f t="shared" si="11"/>
        <v>34625496</v>
      </c>
      <c r="BP12" s="694"/>
    </row>
    <row r="13" spans="2:68" s="693" customFormat="1" ht="15" customHeight="1">
      <c r="B13" s="25"/>
      <c r="C13" s="25"/>
      <c r="D13" s="661"/>
      <c r="E13" s="1564" t="s">
        <v>2546</v>
      </c>
      <c r="F13" s="1730"/>
      <c r="G13" s="651">
        <f>-G14+G15</f>
        <v>0</v>
      </c>
      <c r="H13" s="60">
        <f t="shared" ref="H13:BO13" si="12">-H14+H15</f>
        <v>0</v>
      </c>
      <c r="I13" s="60">
        <f t="shared" si="12"/>
        <v>648671</v>
      </c>
      <c r="J13" s="60">
        <f t="shared" si="12"/>
        <v>0</v>
      </c>
      <c r="K13" s="60">
        <f t="shared" si="12"/>
        <v>0</v>
      </c>
      <c r="L13" s="60">
        <f t="shared" si="12"/>
        <v>0</v>
      </c>
      <c r="M13" s="60">
        <f t="shared" si="12"/>
        <v>0</v>
      </c>
      <c r="N13" s="60">
        <f t="shared" si="12"/>
        <v>0</v>
      </c>
      <c r="O13" s="60">
        <f t="shared" si="12"/>
        <v>0</v>
      </c>
      <c r="P13" s="60">
        <f t="shared" si="12"/>
        <v>0</v>
      </c>
      <c r="Q13" s="60">
        <f t="shared" si="12"/>
        <v>0</v>
      </c>
      <c r="R13" s="60">
        <f t="shared" si="12"/>
        <v>0</v>
      </c>
      <c r="S13" s="60">
        <f t="shared" si="12"/>
        <v>0</v>
      </c>
      <c r="T13" s="60">
        <f t="shared" si="12"/>
        <v>0</v>
      </c>
      <c r="U13" s="62">
        <f t="shared" si="12"/>
        <v>0</v>
      </c>
      <c r="V13" s="646">
        <f t="shared" si="12"/>
        <v>648671</v>
      </c>
      <c r="W13" s="61">
        <f t="shared" si="12"/>
        <v>0</v>
      </c>
      <c r="X13" s="60">
        <f t="shared" si="12"/>
        <v>0</v>
      </c>
      <c r="Y13" s="60">
        <f t="shared" si="12"/>
        <v>0</v>
      </c>
      <c r="Z13" s="60">
        <f t="shared" si="12"/>
        <v>0</v>
      </c>
      <c r="AA13" s="60">
        <f t="shared" si="12"/>
        <v>0</v>
      </c>
      <c r="AB13" s="60">
        <f t="shared" si="12"/>
        <v>0</v>
      </c>
      <c r="AC13" s="60">
        <f t="shared" si="12"/>
        <v>0</v>
      </c>
      <c r="AD13" s="60">
        <f t="shared" si="12"/>
        <v>0</v>
      </c>
      <c r="AE13" s="60">
        <f t="shared" si="12"/>
        <v>0</v>
      </c>
      <c r="AF13" s="60">
        <f t="shared" si="12"/>
        <v>0</v>
      </c>
      <c r="AG13" s="60">
        <f t="shared" si="12"/>
        <v>0</v>
      </c>
      <c r="AH13" s="60">
        <f t="shared" si="12"/>
        <v>0</v>
      </c>
      <c r="AI13" s="60">
        <f t="shared" si="12"/>
        <v>0</v>
      </c>
      <c r="AJ13" s="60">
        <f t="shared" si="12"/>
        <v>0</v>
      </c>
      <c r="AK13" s="62">
        <f t="shared" si="12"/>
        <v>0</v>
      </c>
      <c r="AL13" s="646">
        <f t="shared" si="12"/>
        <v>0</v>
      </c>
      <c r="AM13" s="61">
        <f t="shared" si="12"/>
        <v>0</v>
      </c>
      <c r="AN13" s="60">
        <f t="shared" si="12"/>
        <v>0</v>
      </c>
      <c r="AO13" s="60">
        <f t="shared" si="12"/>
        <v>-1915118</v>
      </c>
      <c r="AP13" s="60">
        <f t="shared" si="12"/>
        <v>0</v>
      </c>
      <c r="AQ13" s="60">
        <f t="shared" si="12"/>
        <v>0</v>
      </c>
      <c r="AR13" s="60">
        <f t="shared" si="12"/>
        <v>0</v>
      </c>
      <c r="AS13" s="60">
        <f t="shared" si="12"/>
        <v>0</v>
      </c>
      <c r="AT13" s="60">
        <f t="shared" si="12"/>
        <v>0</v>
      </c>
      <c r="AU13" s="60">
        <f t="shared" si="12"/>
        <v>0</v>
      </c>
      <c r="AV13" s="60">
        <f t="shared" si="12"/>
        <v>0</v>
      </c>
      <c r="AW13" s="60">
        <f t="shared" si="12"/>
        <v>0</v>
      </c>
      <c r="AX13" s="60">
        <f t="shared" si="12"/>
        <v>0</v>
      </c>
      <c r="AY13" s="60">
        <f t="shared" si="12"/>
        <v>0</v>
      </c>
      <c r="AZ13" s="60">
        <f t="shared" si="12"/>
        <v>0</v>
      </c>
      <c r="BA13" s="62">
        <f t="shared" si="12"/>
        <v>0</v>
      </c>
      <c r="BB13" s="646">
        <f t="shared" si="12"/>
        <v>-1915118</v>
      </c>
      <c r="BC13" s="61">
        <f t="shared" si="12"/>
        <v>0</v>
      </c>
      <c r="BD13" s="60">
        <f t="shared" si="12"/>
        <v>0</v>
      </c>
      <c r="BE13" s="60">
        <f t="shared" si="12"/>
        <v>0</v>
      </c>
      <c r="BF13" s="60">
        <f t="shared" si="12"/>
        <v>0</v>
      </c>
      <c r="BG13" s="60">
        <f t="shared" si="12"/>
        <v>0</v>
      </c>
      <c r="BH13" s="60">
        <f t="shared" si="12"/>
        <v>0</v>
      </c>
      <c r="BI13" s="60">
        <f t="shared" si="12"/>
        <v>0</v>
      </c>
      <c r="BJ13" s="60">
        <f t="shared" si="12"/>
        <v>0</v>
      </c>
      <c r="BK13" s="60">
        <f t="shared" si="12"/>
        <v>0</v>
      </c>
      <c r="BL13" s="60">
        <f t="shared" si="12"/>
        <v>68396</v>
      </c>
      <c r="BM13" s="62">
        <f t="shared" si="12"/>
        <v>0</v>
      </c>
      <c r="BN13" s="646">
        <f t="shared" si="12"/>
        <v>68396</v>
      </c>
      <c r="BO13" s="1302">
        <f t="shared" si="12"/>
        <v>-1198051</v>
      </c>
      <c r="BP13" s="692"/>
    </row>
    <row r="14" spans="2:68" s="9" customFormat="1" ht="15" customHeight="1">
      <c r="B14" s="12"/>
      <c r="C14" s="12"/>
      <c r="D14" s="662"/>
      <c r="E14" s="12"/>
      <c r="F14" s="685" t="s">
        <v>2547</v>
      </c>
      <c r="G14" s="652">
        <v>0</v>
      </c>
      <c r="H14" s="43">
        <v>0</v>
      </c>
      <c r="I14" s="43">
        <v>139900089</v>
      </c>
      <c r="J14" s="43">
        <v>0</v>
      </c>
      <c r="K14" s="43">
        <v>0</v>
      </c>
      <c r="L14" s="43">
        <v>0</v>
      </c>
      <c r="M14" s="43">
        <v>0</v>
      </c>
      <c r="N14" s="43">
        <v>0</v>
      </c>
      <c r="O14" s="43">
        <v>0</v>
      </c>
      <c r="P14" s="43">
        <v>0</v>
      </c>
      <c r="Q14" s="43">
        <v>0</v>
      </c>
      <c r="R14" s="43">
        <v>0</v>
      </c>
      <c r="S14" s="43">
        <v>0</v>
      </c>
      <c r="T14" s="43">
        <v>0</v>
      </c>
      <c r="U14" s="44">
        <v>0</v>
      </c>
      <c r="V14" s="644">
        <f t="shared" ref="V14:V15" si="13">SUM(G14:U14)</f>
        <v>139900089</v>
      </c>
      <c r="W14" s="54"/>
      <c r="X14" s="43"/>
      <c r="Y14" s="43"/>
      <c r="Z14" s="43"/>
      <c r="AA14" s="43"/>
      <c r="AB14" s="43"/>
      <c r="AC14" s="43"/>
      <c r="AD14" s="43"/>
      <c r="AE14" s="43"/>
      <c r="AF14" s="43"/>
      <c r="AG14" s="43"/>
      <c r="AH14" s="43"/>
      <c r="AI14" s="43"/>
      <c r="AJ14" s="43"/>
      <c r="AK14" s="44"/>
      <c r="AL14" s="644">
        <f t="shared" ref="AL14:AL15" si="14">0+(SUM(W14:AK14))</f>
        <v>0</v>
      </c>
      <c r="AM14" s="353">
        <v>0</v>
      </c>
      <c r="AN14" s="58">
        <v>0</v>
      </c>
      <c r="AO14" s="58">
        <v>49336247</v>
      </c>
      <c r="AP14" s="58">
        <v>0</v>
      </c>
      <c r="AQ14" s="58">
        <v>0</v>
      </c>
      <c r="AR14" s="58">
        <v>0</v>
      </c>
      <c r="AS14" s="58">
        <v>0</v>
      </c>
      <c r="AT14" s="58">
        <v>0</v>
      </c>
      <c r="AU14" s="58">
        <v>0</v>
      </c>
      <c r="AV14" s="58">
        <v>0</v>
      </c>
      <c r="AW14" s="58">
        <v>0</v>
      </c>
      <c r="AX14" s="58">
        <v>0</v>
      </c>
      <c r="AY14" s="58">
        <v>0</v>
      </c>
      <c r="AZ14" s="58">
        <v>0</v>
      </c>
      <c r="BA14" s="204">
        <v>0</v>
      </c>
      <c r="BB14" s="644">
        <f t="shared" ref="BB14:BB15" si="15">0+(SUM(AM14:BA14))</f>
        <v>49336247</v>
      </c>
      <c r="BC14" s="353">
        <v>0</v>
      </c>
      <c r="BD14" s="58">
        <v>0</v>
      </c>
      <c r="BE14" s="58">
        <v>0</v>
      </c>
      <c r="BF14" s="58">
        <v>0</v>
      </c>
      <c r="BG14" s="58">
        <v>0</v>
      </c>
      <c r="BH14" s="58">
        <v>0</v>
      </c>
      <c r="BI14" s="58">
        <v>0</v>
      </c>
      <c r="BJ14" s="58">
        <v>0</v>
      </c>
      <c r="BK14" s="58">
        <v>0</v>
      </c>
      <c r="BL14" s="58">
        <v>49104752</v>
      </c>
      <c r="BM14" s="204">
        <v>0</v>
      </c>
      <c r="BN14" s="644">
        <f t="shared" ref="BN14:BN15" si="16">BC14+BD14+BG14+BJ14+BK14+BL14+BM14</f>
        <v>49104752</v>
      </c>
      <c r="BO14" s="1311">
        <f t="shared" ref="BO14:BO15" si="17">V14+AL14+BB14+BN14</f>
        <v>238341088</v>
      </c>
      <c r="BP14" s="694"/>
    </row>
    <row r="15" spans="2:68" s="9" customFormat="1" ht="15" customHeight="1">
      <c r="B15" s="12"/>
      <c r="C15" s="12"/>
      <c r="D15" s="662"/>
      <c r="E15" s="12"/>
      <c r="F15" s="685" t="s">
        <v>2548</v>
      </c>
      <c r="G15" s="652">
        <v>0</v>
      </c>
      <c r="H15" s="43">
        <v>0</v>
      </c>
      <c r="I15" s="43">
        <v>140548760</v>
      </c>
      <c r="J15" s="43">
        <v>0</v>
      </c>
      <c r="K15" s="43">
        <v>0</v>
      </c>
      <c r="L15" s="43">
        <v>0</v>
      </c>
      <c r="M15" s="43">
        <v>0</v>
      </c>
      <c r="N15" s="43">
        <v>0</v>
      </c>
      <c r="O15" s="43">
        <v>0</v>
      </c>
      <c r="P15" s="43">
        <v>0</v>
      </c>
      <c r="Q15" s="43">
        <v>0</v>
      </c>
      <c r="R15" s="43">
        <v>0</v>
      </c>
      <c r="S15" s="43">
        <v>0</v>
      </c>
      <c r="T15" s="43">
        <v>0</v>
      </c>
      <c r="U15" s="44">
        <v>0</v>
      </c>
      <c r="V15" s="644">
        <f t="shared" si="13"/>
        <v>140548760</v>
      </c>
      <c r="W15" s="54"/>
      <c r="X15" s="43"/>
      <c r="Y15" s="43"/>
      <c r="Z15" s="43"/>
      <c r="AA15" s="43"/>
      <c r="AB15" s="43"/>
      <c r="AC15" s="43"/>
      <c r="AD15" s="43"/>
      <c r="AE15" s="43"/>
      <c r="AF15" s="43"/>
      <c r="AG15" s="43"/>
      <c r="AH15" s="43"/>
      <c r="AI15" s="43"/>
      <c r="AJ15" s="43"/>
      <c r="AK15" s="44"/>
      <c r="AL15" s="644">
        <f t="shared" si="14"/>
        <v>0</v>
      </c>
      <c r="AM15" s="353">
        <v>0</v>
      </c>
      <c r="AN15" s="58">
        <v>0</v>
      </c>
      <c r="AO15" s="58">
        <v>47421129</v>
      </c>
      <c r="AP15" s="58">
        <v>0</v>
      </c>
      <c r="AQ15" s="58">
        <v>0</v>
      </c>
      <c r="AR15" s="58">
        <v>0</v>
      </c>
      <c r="AS15" s="58">
        <v>0</v>
      </c>
      <c r="AT15" s="58">
        <v>0</v>
      </c>
      <c r="AU15" s="58">
        <v>0</v>
      </c>
      <c r="AV15" s="58">
        <v>0</v>
      </c>
      <c r="AW15" s="58">
        <v>0</v>
      </c>
      <c r="AX15" s="58">
        <v>0</v>
      </c>
      <c r="AY15" s="58">
        <v>0</v>
      </c>
      <c r="AZ15" s="58">
        <v>0</v>
      </c>
      <c r="BA15" s="204">
        <v>0</v>
      </c>
      <c r="BB15" s="644">
        <f t="shared" si="15"/>
        <v>47421129</v>
      </c>
      <c r="BC15" s="353">
        <v>0</v>
      </c>
      <c r="BD15" s="58">
        <v>0</v>
      </c>
      <c r="BE15" s="58">
        <v>0</v>
      </c>
      <c r="BF15" s="58">
        <v>0</v>
      </c>
      <c r="BG15" s="58">
        <v>0</v>
      </c>
      <c r="BH15" s="58">
        <v>0</v>
      </c>
      <c r="BI15" s="58">
        <v>0</v>
      </c>
      <c r="BJ15" s="58">
        <v>0</v>
      </c>
      <c r="BK15" s="58">
        <v>0</v>
      </c>
      <c r="BL15" s="58">
        <v>49173148</v>
      </c>
      <c r="BM15" s="204">
        <v>0</v>
      </c>
      <c r="BN15" s="644">
        <f t="shared" si="16"/>
        <v>49173148</v>
      </c>
      <c r="BO15" s="1311">
        <f t="shared" si="17"/>
        <v>237143037</v>
      </c>
      <c r="BP15" s="694"/>
    </row>
    <row r="16" spans="2:68" s="693" customFormat="1" ht="15" customHeight="1">
      <c r="B16" s="25"/>
      <c r="C16" s="25"/>
      <c r="D16" s="661"/>
      <c r="E16" s="1564" t="s">
        <v>2549</v>
      </c>
      <c r="F16" s="1730"/>
      <c r="G16" s="651">
        <f>-G17+G18</f>
        <v>0</v>
      </c>
      <c r="H16" s="60">
        <f t="shared" ref="H16:BO16" si="18">-H17+H18</f>
        <v>0</v>
      </c>
      <c r="I16" s="60">
        <f t="shared" si="18"/>
        <v>0</v>
      </c>
      <c r="J16" s="60">
        <f t="shared" si="18"/>
        <v>0</v>
      </c>
      <c r="K16" s="60">
        <f t="shared" si="18"/>
        <v>0</v>
      </c>
      <c r="L16" s="60">
        <f t="shared" si="18"/>
        <v>0</v>
      </c>
      <c r="M16" s="60">
        <f t="shared" si="18"/>
        <v>0</v>
      </c>
      <c r="N16" s="60">
        <f t="shared" si="18"/>
        <v>0</v>
      </c>
      <c r="O16" s="60">
        <f t="shared" si="18"/>
        <v>0</v>
      </c>
      <c r="P16" s="60">
        <f t="shared" si="18"/>
        <v>0</v>
      </c>
      <c r="Q16" s="60">
        <f t="shared" si="18"/>
        <v>0</v>
      </c>
      <c r="R16" s="60">
        <f t="shared" si="18"/>
        <v>0</v>
      </c>
      <c r="S16" s="60">
        <f t="shared" si="18"/>
        <v>0</v>
      </c>
      <c r="T16" s="60">
        <f t="shared" si="18"/>
        <v>0</v>
      </c>
      <c r="U16" s="62">
        <f t="shared" si="18"/>
        <v>0</v>
      </c>
      <c r="V16" s="646">
        <f t="shared" si="18"/>
        <v>0</v>
      </c>
      <c r="W16" s="61">
        <f t="shared" si="18"/>
        <v>0</v>
      </c>
      <c r="X16" s="60">
        <f t="shared" si="18"/>
        <v>0</v>
      </c>
      <c r="Y16" s="60">
        <f t="shared" si="18"/>
        <v>0</v>
      </c>
      <c r="Z16" s="60">
        <f t="shared" si="18"/>
        <v>0</v>
      </c>
      <c r="AA16" s="60">
        <f t="shared" si="18"/>
        <v>0</v>
      </c>
      <c r="AB16" s="60">
        <f t="shared" si="18"/>
        <v>0</v>
      </c>
      <c r="AC16" s="60">
        <f t="shared" si="18"/>
        <v>0</v>
      </c>
      <c r="AD16" s="60">
        <f t="shared" si="18"/>
        <v>0</v>
      </c>
      <c r="AE16" s="60">
        <f t="shared" si="18"/>
        <v>0</v>
      </c>
      <c r="AF16" s="60">
        <f t="shared" si="18"/>
        <v>0</v>
      </c>
      <c r="AG16" s="60">
        <f t="shared" si="18"/>
        <v>0</v>
      </c>
      <c r="AH16" s="60">
        <f t="shared" si="18"/>
        <v>0</v>
      </c>
      <c r="AI16" s="60">
        <f t="shared" si="18"/>
        <v>0</v>
      </c>
      <c r="AJ16" s="60">
        <f t="shared" si="18"/>
        <v>0</v>
      </c>
      <c r="AK16" s="62">
        <f t="shared" si="18"/>
        <v>0</v>
      </c>
      <c r="AL16" s="646">
        <f t="shared" si="18"/>
        <v>0</v>
      </c>
      <c r="AM16" s="61">
        <f t="shared" si="18"/>
        <v>0</v>
      </c>
      <c r="AN16" s="60">
        <f t="shared" si="18"/>
        <v>0</v>
      </c>
      <c r="AO16" s="60">
        <f t="shared" si="18"/>
        <v>0</v>
      </c>
      <c r="AP16" s="60">
        <f t="shared" si="18"/>
        <v>0</v>
      </c>
      <c r="AQ16" s="60">
        <f t="shared" si="18"/>
        <v>0</v>
      </c>
      <c r="AR16" s="60">
        <f t="shared" si="18"/>
        <v>0</v>
      </c>
      <c r="AS16" s="60">
        <f t="shared" si="18"/>
        <v>0</v>
      </c>
      <c r="AT16" s="60">
        <f t="shared" si="18"/>
        <v>0</v>
      </c>
      <c r="AU16" s="60">
        <f t="shared" si="18"/>
        <v>0</v>
      </c>
      <c r="AV16" s="60">
        <f t="shared" si="18"/>
        <v>0</v>
      </c>
      <c r="AW16" s="60">
        <f t="shared" si="18"/>
        <v>0</v>
      </c>
      <c r="AX16" s="60">
        <f t="shared" si="18"/>
        <v>0</v>
      </c>
      <c r="AY16" s="60">
        <f t="shared" si="18"/>
        <v>0</v>
      </c>
      <c r="AZ16" s="60">
        <f t="shared" si="18"/>
        <v>0</v>
      </c>
      <c r="BA16" s="62">
        <f t="shared" si="18"/>
        <v>0</v>
      </c>
      <c r="BB16" s="646">
        <f t="shared" si="18"/>
        <v>0</v>
      </c>
      <c r="BC16" s="1515">
        <f t="shared" si="18"/>
        <v>-545288</v>
      </c>
      <c r="BD16" s="60">
        <f t="shared" si="18"/>
        <v>0</v>
      </c>
      <c r="BE16" s="60">
        <f t="shared" si="18"/>
        <v>0</v>
      </c>
      <c r="BF16" s="60">
        <f t="shared" si="18"/>
        <v>0</v>
      </c>
      <c r="BG16" s="60">
        <f t="shared" si="18"/>
        <v>0</v>
      </c>
      <c r="BH16" s="60">
        <f t="shared" si="18"/>
        <v>0</v>
      </c>
      <c r="BI16" s="60">
        <f t="shared" si="18"/>
        <v>0</v>
      </c>
      <c r="BJ16" s="60">
        <f t="shared" si="18"/>
        <v>0</v>
      </c>
      <c r="BK16" s="60">
        <f t="shared" si="18"/>
        <v>0</v>
      </c>
      <c r="BL16" s="60">
        <f t="shared" si="18"/>
        <v>0</v>
      </c>
      <c r="BM16" s="62">
        <f t="shared" si="18"/>
        <v>0</v>
      </c>
      <c r="BN16" s="1513">
        <f t="shared" si="18"/>
        <v>-545288</v>
      </c>
      <c r="BO16" s="1508">
        <f t="shared" si="18"/>
        <v>-545288</v>
      </c>
      <c r="BP16" s="692"/>
    </row>
    <row r="17" spans="2:68" s="9" customFormat="1" ht="15" customHeight="1">
      <c r="B17" s="12"/>
      <c r="C17" s="12"/>
      <c r="D17" s="662"/>
      <c r="E17" s="12"/>
      <c r="F17" s="685" t="s">
        <v>2550</v>
      </c>
      <c r="G17" s="652"/>
      <c r="H17" s="43"/>
      <c r="I17" s="43"/>
      <c r="J17" s="43"/>
      <c r="K17" s="43"/>
      <c r="L17" s="43"/>
      <c r="M17" s="43"/>
      <c r="N17" s="43"/>
      <c r="O17" s="43"/>
      <c r="P17" s="43"/>
      <c r="Q17" s="43"/>
      <c r="R17" s="43"/>
      <c r="S17" s="43"/>
      <c r="T17" s="43"/>
      <c r="U17" s="44"/>
      <c r="V17" s="644">
        <f t="shared" ref="V17:V18" si="19">SUM(G17:U17)</f>
        <v>0</v>
      </c>
      <c r="W17" s="54"/>
      <c r="X17" s="43"/>
      <c r="Y17" s="43"/>
      <c r="Z17" s="43"/>
      <c r="AA17" s="43"/>
      <c r="AB17" s="43"/>
      <c r="AC17" s="43"/>
      <c r="AD17" s="43"/>
      <c r="AE17" s="43"/>
      <c r="AF17" s="43"/>
      <c r="AG17" s="43"/>
      <c r="AH17" s="43"/>
      <c r="AI17" s="43"/>
      <c r="AJ17" s="43"/>
      <c r="AK17" s="44"/>
      <c r="AL17" s="644">
        <f t="shared" ref="AL17:AL18" si="20">0+(SUM(W17:AK17))</f>
        <v>0</v>
      </c>
      <c r="AM17" s="353"/>
      <c r="AN17" s="58"/>
      <c r="AO17" s="58"/>
      <c r="AP17" s="58"/>
      <c r="AQ17" s="58"/>
      <c r="AR17" s="58"/>
      <c r="AS17" s="58"/>
      <c r="AT17" s="58"/>
      <c r="AU17" s="58"/>
      <c r="AV17" s="58"/>
      <c r="AW17" s="58"/>
      <c r="AX17" s="58"/>
      <c r="AY17" s="58"/>
      <c r="AZ17" s="58"/>
      <c r="BA17" s="204"/>
      <c r="BB17" s="644">
        <f t="shared" ref="BB17:BB18" si="21">0+(SUM(AM17:BA17))</f>
        <v>0</v>
      </c>
      <c r="BC17" s="353">
        <v>983671</v>
      </c>
      <c r="BD17" s="58">
        <v>0</v>
      </c>
      <c r="BE17" s="58">
        <v>0</v>
      </c>
      <c r="BF17" s="58">
        <v>0</v>
      </c>
      <c r="BG17" s="58">
        <v>0</v>
      </c>
      <c r="BH17" s="58">
        <v>0</v>
      </c>
      <c r="BI17" s="58">
        <v>0</v>
      </c>
      <c r="BJ17" s="58">
        <v>0</v>
      </c>
      <c r="BK17" s="58">
        <v>0</v>
      </c>
      <c r="BL17" s="58">
        <v>0</v>
      </c>
      <c r="BM17" s="204">
        <v>0</v>
      </c>
      <c r="BN17" s="644">
        <f t="shared" ref="BN17:BN18" si="22">BC17+BD17+BG17+BJ17+BK17+BL17+BM17</f>
        <v>983671</v>
      </c>
      <c r="BO17" s="1311">
        <f t="shared" ref="BO17:BO18" si="23">V17+AL17+BB17+BN17</f>
        <v>983671</v>
      </c>
      <c r="BP17" s="694"/>
    </row>
    <row r="18" spans="2:68" s="9" customFormat="1" ht="15" customHeight="1" thickBot="1">
      <c r="B18" s="12"/>
      <c r="C18" s="12"/>
      <c r="D18" s="664"/>
      <c r="E18" s="52"/>
      <c r="F18" s="687" t="s">
        <v>2551</v>
      </c>
      <c r="G18" s="653"/>
      <c r="H18" s="45"/>
      <c r="I18" s="45"/>
      <c r="J18" s="45"/>
      <c r="K18" s="45"/>
      <c r="L18" s="45"/>
      <c r="M18" s="45"/>
      <c r="N18" s="45"/>
      <c r="O18" s="45"/>
      <c r="P18" s="45"/>
      <c r="Q18" s="45"/>
      <c r="R18" s="45"/>
      <c r="S18" s="45"/>
      <c r="T18" s="45"/>
      <c r="U18" s="46"/>
      <c r="V18" s="649">
        <f t="shared" si="19"/>
        <v>0</v>
      </c>
      <c r="W18" s="55"/>
      <c r="X18" s="45"/>
      <c r="Y18" s="45"/>
      <c r="Z18" s="45"/>
      <c r="AA18" s="45"/>
      <c r="AB18" s="45"/>
      <c r="AC18" s="45"/>
      <c r="AD18" s="45"/>
      <c r="AE18" s="45"/>
      <c r="AF18" s="45"/>
      <c r="AG18" s="45"/>
      <c r="AH18" s="45"/>
      <c r="AI18" s="45"/>
      <c r="AJ18" s="45"/>
      <c r="AK18" s="46"/>
      <c r="AL18" s="649">
        <f t="shared" si="20"/>
        <v>0</v>
      </c>
      <c r="AM18" s="654"/>
      <c r="AN18" s="59"/>
      <c r="AO18" s="59"/>
      <c r="AP18" s="59"/>
      <c r="AQ18" s="59"/>
      <c r="AR18" s="59"/>
      <c r="AS18" s="59"/>
      <c r="AT18" s="59"/>
      <c r="AU18" s="59"/>
      <c r="AV18" s="59"/>
      <c r="AW18" s="59"/>
      <c r="AX18" s="59"/>
      <c r="AY18" s="59"/>
      <c r="AZ18" s="59"/>
      <c r="BA18" s="388"/>
      <c r="BB18" s="649">
        <f t="shared" si="21"/>
        <v>0</v>
      </c>
      <c r="BC18" s="1510">
        <v>438383</v>
      </c>
      <c r="BD18" s="59">
        <v>0</v>
      </c>
      <c r="BE18" s="59">
        <v>0</v>
      </c>
      <c r="BF18" s="59">
        <v>0</v>
      </c>
      <c r="BG18" s="59">
        <v>0</v>
      </c>
      <c r="BH18" s="59">
        <v>0</v>
      </c>
      <c r="BI18" s="59">
        <v>0</v>
      </c>
      <c r="BJ18" s="59">
        <v>0</v>
      </c>
      <c r="BK18" s="59">
        <v>0</v>
      </c>
      <c r="BL18" s="59">
        <v>0</v>
      </c>
      <c r="BM18" s="388">
        <v>0</v>
      </c>
      <c r="BN18" s="1511">
        <f t="shared" si="22"/>
        <v>438383</v>
      </c>
      <c r="BO18" s="1512">
        <f t="shared" si="23"/>
        <v>438383</v>
      </c>
      <c r="BP18" s="694"/>
    </row>
    <row r="19" spans="2:68">
      <c r="BC19" s="192"/>
    </row>
    <row r="20" spans="2:68">
      <c r="BC20" s="192"/>
      <c r="BN20">
        <f>983671-438383</f>
        <v>545288</v>
      </c>
    </row>
    <row r="23" spans="2:68">
      <c r="B23" s="1584" t="s">
        <v>2552</v>
      </c>
      <c r="C23" s="1584"/>
      <c r="D23" s="1584"/>
      <c r="E23" s="1584"/>
      <c r="F23" s="1584"/>
    </row>
    <row r="24" spans="2:68" ht="15.75" thickBot="1"/>
    <row r="25" spans="2:68" s="146" customFormat="1" ht="12.75" customHeight="1" thickBot="1">
      <c r="B25" s="2"/>
      <c r="C25" s="2"/>
      <c r="D25" s="657"/>
      <c r="E25" s="195"/>
      <c r="F25" s="658"/>
      <c r="G25" s="1741" t="s">
        <v>2410</v>
      </c>
      <c r="H25" s="1741"/>
      <c r="I25" s="1741"/>
      <c r="J25" s="1741"/>
      <c r="K25" s="1741"/>
      <c r="L25" s="1741"/>
      <c r="M25" s="1741"/>
      <c r="N25" s="1741"/>
      <c r="O25" s="1741"/>
      <c r="P25" s="1741"/>
      <c r="Q25" s="1741"/>
      <c r="R25" s="1741"/>
      <c r="S25" s="1741"/>
      <c r="T25" s="1741"/>
      <c r="U25" s="1741"/>
      <c r="V25" s="1742"/>
      <c r="W25" s="1743" t="s">
        <v>2412</v>
      </c>
      <c r="X25" s="1743"/>
      <c r="Y25" s="1743"/>
      <c r="Z25" s="1743"/>
      <c r="AA25" s="1743"/>
      <c r="AB25" s="1743"/>
      <c r="AC25" s="1743"/>
      <c r="AD25" s="1743"/>
      <c r="AE25" s="1743"/>
      <c r="AF25" s="1743"/>
      <c r="AG25" s="1743"/>
      <c r="AH25" s="1743"/>
      <c r="AI25" s="1743"/>
      <c r="AJ25" s="1743"/>
      <c r="AK25" s="1743"/>
      <c r="AL25" s="1743"/>
      <c r="AM25" s="1743" t="s">
        <v>2413</v>
      </c>
      <c r="AN25" s="1743"/>
      <c r="AO25" s="1743"/>
      <c r="AP25" s="1743"/>
      <c r="AQ25" s="1743"/>
      <c r="AR25" s="1743"/>
      <c r="AS25" s="1743"/>
      <c r="AT25" s="1743"/>
      <c r="AU25" s="1743"/>
      <c r="AV25" s="1743"/>
      <c r="AW25" s="1743"/>
      <c r="AX25" s="1743"/>
      <c r="AY25" s="1743"/>
      <c r="AZ25" s="1743"/>
      <c r="BA25" s="1743"/>
      <c r="BB25" s="1743"/>
      <c r="BC25" s="1743" t="s">
        <v>2411</v>
      </c>
      <c r="BD25" s="1743"/>
      <c r="BE25" s="1743"/>
      <c r="BF25" s="1743"/>
      <c r="BG25" s="1743"/>
      <c r="BH25" s="1743"/>
      <c r="BI25" s="1743"/>
      <c r="BJ25" s="1743"/>
      <c r="BK25" s="1743"/>
      <c r="BL25" s="1743"/>
      <c r="BM25" s="1743"/>
      <c r="BN25" s="1743"/>
      <c r="BO25" s="1569">
        <v>999</v>
      </c>
    </row>
    <row r="26" spans="2:68" s="183" customFormat="1" ht="54.95" customHeight="1" thickBot="1">
      <c r="B26" s="184"/>
      <c r="C26" s="184"/>
      <c r="D26" s="659"/>
      <c r="E26" s="184"/>
      <c r="F26" s="660"/>
      <c r="G26" s="695">
        <v>101</v>
      </c>
      <c r="H26" s="643" t="s">
        <v>777</v>
      </c>
      <c r="I26" s="642" t="s">
        <v>778</v>
      </c>
      <c r="J26" s="642" t="s">
        <v>779</v>
      </c>
      <c r="K26" s="642" t="s">
        <v>780</v>
      </c>
      <c r="L26" s="642" t="s">
        <v>781</v>
      </c>
      <c r="M26" s="642" t="s">
        <v>782</v>
      </c>
      <c r="N26" s="642" t="s">
        <v>783</v>
      </c>
      <c r="O26" s="642" t="s">
        <v>784</v>
      </c>
      <c r="P26" s="642" t="s">
        <v>785</v>
      </c>
      <c r="Q26" s="642" t="s">
        <v>786</v>
      </c>
      <c r="R26" s="642" t="s">
        <v>787</v>
      </c>
      <c r="S26" s="642" t="s">
        <v>788</v>
      </c>
      <c r="T26" s="642" t="s">
        <v>789</v>
      </c>
      <c r="U26" s="642" t="s">
        <v>790</v>
      </c>
      <c r="V26" s="683">
        <v>100</v>
      </c>
      <c r="W26" s="641" t="s">
        <v>791</v>
      </c>
      <c r="X26" s="641" t="s">
        <v>792</v>
      </c>
      <c r="Y26" s="641" t="s">
        <v>793</v>
      </c>
      <c r="Z26" s="641" t="s">
        <v>794</v>
      </c>
      <c r="AA26" s="641" t="s">
        <v>795</v>
      </c>
      <c r="AB26" s="641" t="s">
        <v>796</v>
      </c>
      <c r="AC26" s="641" t="s">
        <v>797</v>
      </c>
      <c r="AD26" s="641" t="s">
        <v>798</v>
      </c>
      <c r="AE26" s="641" t="s">
        <v>799</v>
      </c>
      <c r="AF26" s="641" t="s">
        <v>800</v>
      </c>
      <c r="AG26" s="641" t="s">
        <v>801</v>
      </c>
      <c r="AH26" s="641" t="s">
        <v>802</v>
      </c>
      <c r="AI26" s="641" t="s">
        <v>803</v>
      </c>
      <c r="AJ26" s="641" t="s">
        <v>804</v>
      </c>
      <c r="AK26" s="641" t="s">
        <v>805</v>
      </c>
      <c r="AL26" s="684">
        <v>200</v>
      </c>
      <c r="AM26" s="641" t="s">
        <v>806</v>
      </c>
      <c r="AN26" s="641" t="s">
        <v>807</v>
      </c>
      <c r="AO26" s="641" t="s">
        <v>808</v>
      </c>
      <c r="AP26" s="641" t="s">
        <v>809</v>
      </c>
      <c r="AQ26" s="641" t="s">
        <v>810</v>
      </c>
      <c r="AR26" s="641" t="s">
        <v>811</v>
      </c>
      <c r="AS26" s="641" t="s">
        <v>812</v>
      </c>
      <c r="AT26" s="641" t="s">
        <v>813</v>
      </c>
      <c r="AU26" s="641" t="s">
        <v>814</v>
      </c>
      <c r="AV26" s="641" t="s">
        <v>815</v>
      </c>
      <c r="AW26" s="641" t="s">
        <v>816</v>
      </c>
      <c r="AX26" s="641" t="s">
        <v>817</v>
      </c>
      <c r="AY26" s="641" t="s">
        <v>818</v>
      </c>
      <c r="AZ26" s="641" t="s">
        <v>819</v>
      </c>
      <c r="BA26" s="641" t="s">
        <v>820</v>
      </c>
      <c r="BB26" s="684">
        <v>300</v>
      </c>
      <c r="BC26" s="641" t="s">
        <v>821</v>
      </c>
      <c r="BD26" s="641" t="s">
        <v>822</v>
      </c>
      <c r="BE26" s="641" t="s">
        <v>823</v>
      </c>
      <c r="BF26" s="641" t="s">
        <v>824</v>
      </c>
      <c r="BG26" s="641" t="s">
        <v>825</v>
      </c>
      <c r="BH26" s="641" t="s">
        <v>826</v>
      </c>
      <c r="BI26" s="641" t="s">
        <v>827</v>
      </c>
      <c r="BJ26" s="641" t="s">
        <v>828</v>
      </c>
      <c r="BK26" s="641" t="s">
        <v>829</v>
      </c>
      <c r="BL26" s="641" t="s">
        <v>830</v>
      </c>
      <c r="BM26" s="641" t="s">
        <v>831</v>
      </c>
      <c r="BN26" s="684">
        <v>400</v>
      </c>
      <c r="BO26" s="1570"/>
    </row>
    <row r="27" spans="2:68" s="30" customFormat="1" ht="15" customHeight="1">
      <c r="B27" s="25"/>
      <c r="C27" s="25"/>
      <c r="D27" s="1731" t="s">
        <v>2553</v>
      </c>
      <c r="E27" s="1564"/>
      <c r="F27" s="1730"/>
      <c r="G27" s="668">
        <f>G28+G31+G32</f>
        <v>0</v>
      </c>
      <c r="H27" s="665">
        <f t="shared" ref="H27:BO27" si="24">H28+H31+H32</f>
        <v>0</v>
      </c>
      <c r="I27" s="665">
        <f t="shared" si="24"/>
        <v>0</v>
      </c>
      <c r="J27" s="665">
        <f t="shared" si="24"/>
        <v>0</v>
      </c>
      <c r="K27" s="665">
        <f t="shared" si="24"/>
        <v>0</v>
      </c>
      <c r="L27" s="665">
        <f t="shared" si="24"/>
        <v>0</v>
      </c>
      <c r="M27" s="665">
        <f t="shared" si="24"/>
        <v>0</v>
      </c>
      <c r="N27" s="665">
        <f t="shared" si="24"/>
        <v>0</v>
      </c>
      <c r="O27" s="665">
        <f t="shared" si="24"/>
        <v>0</v>
      </c>
      <c r="P27" s="665">
        <f t="shared" si="24"/>
        <v>0</v>
      </c>
      <c r="Q27" s="665">
        <f t="shared" si="24"/>
        <v>0</v>
      </c>
      <c r="R27" s="665">
        <f t="shared" si="24"/>
        <v>0</v>
      </c>
      <c r="S27" s="665">
        <f t="shared" si="24"/>
        <v>0</v>
      </c>
      <c r="T27" s="665">
        <f t="shared" si="24"/>
        <v>0</v>
      </c>
      <c r="U27" s="666">
        <f t="shared" si="24"/>
        <v>0</v>
      </c>
      <c r="V27" s="667">
        <f t="shared" si="24"/>
        <v>0</v>
      </c>
      <c r="W27" s="668">
        <f t="shared" si="24"/>
        <v>0</v>
      </c>
      <c r="X27" s="665">
        <f t="shared" si="24"/>
        <v>0</v>
      </c>
      <c r="Y27" s="665">
        <f t="shared" si="24"/>
        <v>0</v>
      </c>
      <c r="Z27" s="665">
        <f t="shared" si="24"/>
        <v>0</v>
      </c>
      <c r="AA27" s="665">
        <f t="shared" si="24"/>
        <v>0</v>
      </c>
      <c r="AB27" s="665">
        <f t="shared" si="24"/>
        <v>0</v>
      </c>
      <c r="AC27" s="665">
        <f t="shared" si="24"/>
        <v>0</v>
      </c>
      <c r="AD27" s="665">
        <f t="shared" si="24"/>
        <v>0</v>
      </c>
      <c r="AE27" s="665">
        <f t="shared" si="24"/>
        <v>0</v>
      </c>
      <c r="AF27" s="665">
        <f t="shared" si="24"/>
        <v>0</v>
      </c>
      <c r="AG27" s="665">
        <f t="shared" si="24"/>
        <v>0</v>
      </c>
      <c r="AH27" s="665">
        <f t="shared" si="24"/>
        <v>0</v>
      </c>
      <c r="AI27" s="665">
        <f t="shared" si="24"/>
        <v>0</v>
      </c>
      <c r="AJ27" s="665">
        <f t="shared" si="24"/>
        <v>0</v>
      </c>
      <c r="AK27" s="666">
        <f t="shared" si="24"/>
        <v>0</v>
      </c>
      <c r="AL27" s="667">
        <f t="shared" si="24"/>
        <v>0</v>
      </c>
      <c r="AM27" s="668">
        <f t="shared" si="24"/>
        <v>0</v>
      </c>
      <c r="AN27" s="665">
        <f t="shared" si="24"/>
        <v>0</v>
      </c>
      <c r="AO27" s="665">
        <f t="shared" si="24"/>
        <v>0</v>
      </c>
      <c r="AP27" s="665">
        <f t="shared" si="24"/>
        <v>0</v>
      </c>
      <c r="AQ27" s="665">
        <f t="shared" si="24"/>
        <v>0</v>
      </c>
      <c r="AR27" s="665">
        <f t="shared" si="24"/>
        <v>0</v>
      </c>
      <c r="AS27" s="665">
        <f t="shared" si="24"/>
        <v>0</v>
      </c>
      <c r="AT27" s="665">
        <f t="shared" si="24"/>
        <v>0</v>
      </c>
      <c r="AU27" s="665">
        <f t="shared" si="24"/>
        <v>0</v>
      </c>
      <c r="AV27" s="665">
        <f t="shared" si="24"/>
        <v>0</v>
      </c>
      <c r="AW27" s="665">
        <f t="shared" si="24"/>
        <v>0</v>
      </c>
      <c r="AX27" s="665">
        <f t="shared" si="24"/>
        <v>0</v>
      </c>
      <c r="AY27" s="665">
        <f t="shared" si="24"/>
        <v>0</v>
      </c>
      <c r="AZ27" s="665">
        <f t="shared" si="24"/>
        <v>0</v>
      </c>
      <c r="BA27" s="666">
        <f t="shared" si="24"/>
        <v>0</v>
      </c>
      <c r="BB27" s="667">
        <f t="shared" si="24"/>
        <v>0</v>
      </c>
      <c r="BC27" s="668">
        <f t="shared" si="24"/>
        <v>0</v>
      </c>
      <c r="BD27" s="665">
        <f t="shared" si="24"/>
        <v>0</v>
      </c>
      <c r="BE27" s="665">
        <f t="shared" si="24"/>
        <v>0</v>
      </c>
      <c r="BF27" s="665">
        <f t="shared" si="24"/>
        <v>0</v>
      </c>
      <c r="BG27" s="665">
        <f t="shared" si="24"/>
        <v>0</v>
      </c>
      <c r="BH27" s="665">
        <f t="shared" si="24"/>
        <v>0</v>
      </c>
      <c r="BI27" s="665">
        <f t="shared" si="24"/>
        <v>0</v>
      </c>
      <c r="BJ27" s="665">
        <f t="shared" si="24"/>
        <v>0</v>
      </c>
      <c r="BK27" s="665">
        <f t="shared" si="24"/>
        <v>0</v>
      </c>
      <c r="BL27" s="665">
        <f t="shared" si="24"/>
        <v>0</v>
      </c>
      <c r="BM27" s="666">
        <f t="shared" si="24"/>
        <v>0</v>
      </c>
      <c r="BN27" s="667">
        <f t="shared" si="24"/>
        <v>0</v>
      </c>
      <c r="BO27" s="669">
        <f t="shared" si="24"/>
        <v>0</v>
      </c>
      <c r="BP27" s="648"/>
    </row>
    <row r="28" spans="2:68" s="30" customFormat="1" ht="15" customHeight="1">
      <c r="B28" s="25"/>
      <c r="C28" s="25"/>
      <c r="D28" s="1731" t="s">
        <v>2554</v>
      </c>
      <c r="E28" s="1564"/>
      <c r="F28" s="1730"/>
      <c r="G28" s="61">
        <f>-G29+G30</f>
        <v>0</v>
      </c>
      <c r="H28" s="60">
        <f t="shared" ref="H28:BO28" si="25">-H29+H30</f>
        <v>0</v>
      </c>
      <c r="I28" s="60">
        <f t="shared" si="25"/>
        <v>0</v>
      </c>
      <c r="J28" s="60">
        <f t="shared" si="25"/>
        <v>0</v>
      </c>
      <c r="K28" s="60">
        <f t="shared" si="25"/>
        <v>0</v>
      </c>
      <c r="L28" s="60">
        <f t="shared" si="25"/>
        <v>0</v>
      </c>
      <c r="M28" s="60">
        <f t="shared" si="25"/>
        <v>0</v>
      </c>
      <c r="N28" s="60">
        <f t="shared" si="25"/>
        <v>0</v>
      </c>
      <c r="O28" s="60">
        <f t="shared" si="25"/>
        <v>0</v>
      </c>
      <c r="P28" s="60">
        <f t="shared" si="25"/>
        <v>0</v>
      </c>
      <c r="Q28" s="60">
        <f t="shared" si="25"/>
        <v>0</v>
      </c>
      <c r="R28" s="60">
        <f t="shared" si="25"/>
        <v>0</v>
      </c>
      <c r="S28" s="60">
        <f t="shared" si="25"/>
        <v>0</v>
      </c>
      <c r="T28" s="60">
        <f t="shared" si="25"/>
        <v>0</v>
      </c>
      <c r="U28" s="62">
        <f t="shared" si="25"/>
        <v>0</v>
      </c>
      <c r="V28" s="646">
        <f t="shared" si="25"/>
        <v>0</v>
      </c>
      <c r="W28" s="61">
        <f t="shared" si="25"/>
        <v>0</v>
      </c>
      <c r="X28" s="60">
        <f t="shared" si="25"/>
        <v>0</v>
      </c>
      <c r="Y28" s="60">
        <f t="shared" si="25"/>
        <v>0</v>
      </c>
      <c r="Z28" s="60">
        <f t="shared" si="25"/>
        <v>0</v>
      </c>
      <c r="AA28" s="60">
        <f t="shared" si="25"/>
        <v>0</v>
      </c>
      <c r="AB28" s="60">
        <f t="shared" si="25"/>
        <v>0</v>
      </c>
      <c r="AC28" s="60">
        <f t="shared" si="25"/>
        <v>0</v>
      </c>
      <c r="AD28" s="60">
        <f t="shared" si="25"/>
        <v>0</v>
      </c>
      <c r="AE28" s="60">
        <f t="shared" si="25"/>
        <v>0</v>
      </c>
      <c r="AF28" s="60">
        <f t="shared" si="25"/>
        <v>0</v>
      </c>
      <c r="AG28" s="60">
        <f t="shared" si="25"/>
        <v>0</v>
      </c>
      <c r="AH28" s="60">
        <f t="shared" si="25"/>
        <v>0</v>
      </c>
      <c r="AI28" s="60">
        <f t="shared" si="25"/>
        <v>0</v>
      </c>
      <c r="AJ28" s="60">
        <f t="shared" si="25"/>
        <v>0</v>
      </c>
      <c r="AK28" s="62">
        <f t="shared" si="25"/>
        <v>0</v>
      </c>
      <c r="AL28" s="646">
        <f t="shared" si="25"/>
        <v>0</v>
      </c>
      <c r="AM28" s="61">
        <f t="shared" si="25"/>
        <v>0</v>
      </c>
      <c r="AN28" s="60">
        <f t="shared" si="25"/>
        <v>0</v>
      </c>
      <c r="AO28" s="60">
        <f t="shared" si="25"/>
        <v>0</v>
      </c>
      <c r="AP28" s="60">
        <f t="shared" si="25"/>
        <v>0</v>
      </c>
      <c r="AQ28" s="60">
        <f t="shared" si="25"/>
        <v>0</v>
      </c>
      <c r="AR28" s="60">
        <f t="shared" si="25"/>
        <v>0</v>
      </c>
      <c r="AS28" s="60">
        <f t="shared" si="25"/>
        <v>0</v>
      </c>
      <c r="AT28" s="60">
        <f t="shared" si="25"/>
        <v>0</v>
      </c>
      <c r="AU28" s="60">
        <f t="shared" si="25"/>
        <v>0</v>
      </c>
      <c r="AV28" s="60">
        <f t="shared" si="25"/>
        <v>0</v>
      </c>
      <c r="AW28" s="60">
        <f t="shared" si="25"/>
        <v>0</v>
      </c>
      <c r="AX28" s="60">
        <f t="shared" si="25"/>
        <v>0</v>
      </c>
      <c r="AY28" s="60">
        <f t="shared" si="25"/>
        <v>0</v>
      </c>
      <c r="AZ28" s="60">
        <f t="shared" si="25"/>
        <v>0</v>
      </c>
      <c r="BA28" s="62">
        <f t="shared" si="25"/>
        <v>0</v>
      </c>
      <c r="BB28" s="646">
        <f t="shared" si="25"/>
        <v>0</v>
      </c>
      <c r="BC28" s="61">
        <f t="shared" si="25"/>
        <v>0</v>
      </c>
      <c r="BD28" s="60">
        <f t="shared" si="25"/>
        <v>0</v>
      </c>
      <c r="BE28" s="60">
        <f t="shared" si="25"/>
        <v>0</v>
      </c>
      <c r="BF28" s="60">
        <f t="shared" si="25"/>
        <v>0</v>
      </c>
      <c r="BG28" s="60">
        <f t="shared" si="25"/>
        <v>0</v>
      </c>
      <c r="BH28" s="60">
        <f t="shared" si="25"/>
        <v>0</v>
      </c>
      <c r="BI28" s="60">
        <f t="shared" si="25"/>
        <v>0</v>
      </c>
      <c r="BJ28" s="60">
        <f t="shared" si="25"/>
        <v>0</v>
      </c>
      <c r="BK28" s="60">
        <f t="shared" si="25"/>
        <v>0</v>
      </c>
      <c r="BL28" s="60">
        <f t="shared" si="25"/>
        <v>0</v>
      </c>
      <c r="BM28" s="62">
        <f t="shared" si="25"/>
        <v>0</v>
      </c>
      <c r="BN28" s="646">
        <f t="shared" si="25"/>
        <v>0</v>
      </c>
      <c r="BO28" s="647">
        <f t="shared" si="25"/>
        <v>0</v>
      </c>
      <c r="BP28" s="648"/>
    </row>
    <row r="29" spans="2:68" ht="15" customHeight="1">
      <c r="B29" s="12"/>
      <c r="C29" s="12"/>
      <c r="D29" s="662"/>
      <c r="E29" s="1555" t="s">
        <v>2555</v>
      </c>
      <c r="F29" s="1572"/>
      <c r="G29" s="54"/>
      <c r="H29" s="43"/>
      <c r="I29" s="43"/>
      <c r="J29" s="43"/>
      <c r="K29" s="43"/>
      <c r="L29" s="43"/>
      <c r="M29" s="43"/>
      <c r="N29" s="43"/>
      <c r="O29" s="43"/>
      <c r="P29" s="43"/>
      <c r="Q29" s="43"/>
      <c r="R29" s="43"/>
      <c r="S29" s="43"/>
      <c r="T29" s="43"/>
      <c r="U29" s="44"/>
      <c r="V29" s="644">
        <f t="shared" ref="V29:V31" si="26">SUM(G29:U29)</f>
        <v>0</v>
      </c>
      <c r="W29" s="54"/>
      <c r="X29" s="43"/>
      <c r="Y29" s="43"/>
      <c r="Z29" s="43"/>
      <c r="AA29" s="43"/>
      <c r="AB29" s="43"/>
      <c r="AC29" s="43"/>
      <c r="AD29" s="43"/>
      <c r="AE29" s="43"/>
      <c r="AF29" s="43"/>
      <c r="AG29" s="43"/>
      <c r="AH29" s="43"/>
      <c r="AI29" s="43"/>
      <c r="AJ29" s="43"/>
      <c r="AK29" s="44"/>
      <c r="AL29" s="644">
        <f t="shared" ref="AL29:AL31" si="27">0+(SUM(W29:AK29))</f>
        <v>0</v>
      </c>
      <c r="AM29" s="353"/>
      <c r="AN29" s="58"/>
      <c r="AO29" s="58"/>
      <c r="AP29" s="58"/>
      <c r="AQ29" s="58"/>
      <c r="AR29" s="58"/>
      <c r="AS29" s="58"/>
      <c r="AT29" s="58"/>
      <c r="AU29" s="58"/>
      <c r="AV29" s="58"/>
      <c r="AW29" s="58"/>
      <c r="AX29" s="58"/>
      <c r="AY29" s="58"/>
      <c r="AZ29" s="58"/>
      <c r="BA29" s="204"/>
      <c r="BB29" s="644">
        <f t="shared" ref="BB29:BB31" si="28">0+(SUM(AM29:BA29))</f>
        <v>0</v>
      </c>
      <c r="BC29" s="353"/>
      <c r="BD29" s="58">
        <f t="shared" ref="BD29:BD31" si="29">BE29+BF29</f>
        <v>0</v>
      </c>
      <c r="BE29" s="58"/>
      <c r="BF29" s="58"/>
      <c r="BG29" s="58">
        <f t="shared" ref="BG29:BG31" si="30">BH29+BI29</f>
        <v>0</v>
      </c>
      <c r="BH29" s="58"/>
      <c r="BI29" s="58"/>
      <c r="BJ29" s="58"/>
      <c r="BK29" s="58"/>
      <c r="BL29" s="58"/>
      <c r="BM29" s="204"/>
      <c r="BN29" s="644">
        <f t="shared" ref="BN29:BN31" si="31">BC29+BD29+BG29+BJ29+BK29+BL29+BM29</f>
        <v>0</v>
      </c>
      <c r="BO29" s="645">
        <f t="shared" ref="BO29:BO31" si="32">V29+AL29+BB29+BN29</f>
        <v>0</v>
      </c>
      <c r="BP29" s="146"/>
    </row>
    <row r="30" spans="2:68" ht="15" customHeight="1">
      <c r="B30" s="12"/>
      <c r="C30" s="12"/>
      <c r="D30" s="662"/>
      <c r="E30" s="1555" t="s">
        <v>2556</v>
      </c>
      <c r="F30" s="1572" t="s">
        <v>2446</v>
      </c>
      <c r="G30" s="54"/>
      <c r="H30" s="43"/>
      <c r="I30" s="43"/>
      <c r="J30" s="43"/>
      <c r="K30" s="43"/>
      <c r="L30" s="43"/>
      <c r="M30" s="43"/>
      <c r="N30" s="43"/>
      <c r="O30" s="43"/>
      <c r="P30" s="43"/>
      <c r="Q30" s="43"/>
      <c r="R30" s="43"/>
      <c r="S30" s="43"/>
      <c r="T30" s="43"/>
      <c r="U30" s="44"/>
      <c r="V30" s="644">
        <f t="shared" si="26"/>
        <v>0</v>
      </c>
      <c r="W30" s="54"/>
      <c r="X30" s="43"/>
      <c r="Y30" s="43"/>
      <c r="Z30" s="43"/>
      <c r="AA30" s="43"/>
      <c r="AB30" s="43"/>
      <c r="AC30" s="43"/>
      <c r="AD30" s="43"/>
      <c r="AE30" s="43"/>
      <c r="AF30" s="43"/>
      <c r="AG30" s="43"/>
      <c r="AH30" s="43"/>
      <c r="AI30" s="43"/>
      <c r="AJ30" s="43"/>
      <c r="AK30" s="44"/>
      <c r="AL30" s="644">
        <f t="shared" si="27"/>
        <v>0</v>
      </c>
      <c r="AM30" s="353"/>
      <c r="AN30" s="58"/>
      <c r="AO30" s="58"/>
      <c r="AP30" s="58"/>
      <c r="AQ30" s="58"/>
      <c r="AR30" s="58"/>
      <c r="AS30" s="58"/>
      <c r="AT30" s="58"/>
      <c r="AU30" s="58"/>
      <c r="AV30" s="58"/>
      <c r="AW30" s="58"/>
      <c r="AX30" s="58"/>
      <c r="AY30" s="58"/>
      <c r="AZ30" s="58"/>
      <c r="BA30" s="204"/>
      <c r="BB30" s="644">
        <f t="shared" si="28"/>
        <v>0</v>
      </c>
      <c r="BC30" s="353"/>
      <c r="BD30" s="58">
        <f t="shared" si="29"/>
        <v>0</v>
      </c>
      <c r="BE30" s="58"/>
      <c r="BF30" s="58"/>
      <c r="BG30" s="58">
        <f t="shared" si="30"/>
        <v>0</v>
      </c>
      <c r="BH30" s="58"/>
      <c r="BI30" s="58"/>
      <c r="BJ30" s="58"/>
      <c r="BK30" s="58"/>
      <c r="BL30" s="58"/>
      <c r="BM30" s="204"/>
      <c r="BN30" s="644">
        <f t="shared" si="31"/>
        <v>0</v>
      </c>
      <c r="BO30" s="645">
        <f t="shared" si="32"/>
        <v>0</v>
      </c>
      <c r="BP30" s="146"/>
    </row>
    <row r="31" spans="2:68" ht="15" customHeight="1">
      <c r="B31" s="12"/>
      <c r="C31" s="12"/>
      <c r="D31" s="1571" t="s">
        <v>2557</v>
      </c>
      <c r="E31" s="1555"/>
      <c r="F31" s="1572"/>
      <c r="G31" s="54"/>
      <c r="H31" s="43"/>
      <c r="I31" s="43"/>
      <c r="J31" s="43"/>
      <c r="K31" s="43"/>
      <c r="L31" s="43"/>
      <c r="M31" s="43"/>
      <c r="N31" s="43"/>
      <c r="O31" s="43"/>
      <c r="P31" s="43"/>
      <c r="Q31" s="43"/>
      <c r="R31" s="43"/>
      <c r="S31" s="43"/>
      <c r="T31" s="43"/>
      <c r="U31" s="44"/>
      <c r="V31" s="644">
        <f t="shared" si="26"/>
        <v>0</v>
      </c>
      <c r="W31" s="54"/>
      <c r="X31" s="43"/>
      <c r="Y31" s="43"/>
      <c r="Z31" s="43"/>
      <c r="AA31" s="43"/>
      <c r="AB31" s="43"/>
      <c r="AC31" s="43"/>
      <c r="AD31" s="43"/>
      <c r="AE31" s="43"/>
      <c r="AF31" s="43"/>
      <c r="AG31" s="43"/>
      <c r="AH31" s="43"/>
      <c r="AI31" s="43"/>
      <c r="AJ31" s="43"/>
      <c r="AK31" s="44"/>
      <c r="AL31" s="644">
        <f t="shared" si="27"/>
        <v>0</v>
      </c>
      <c r="AM31" s="353"/>
      <c r="AN31" s="58"/>
      <c r="AO31" s="58"/>
      <c r="AP31" s="58"/>
      <c r="AQ31" s="58"/>
      <c r="AR31" s="58"/>
      <c r="AS31" s="58"/>
      <c r="AT31" s="58"/>
      <c r="AU31" s="58"/>
      <c r="AV31" s="58"/>
      <c r="AW31" s="58"/>
      <c r="AX31" s="58"/>
      <c r="AY31" s="58"/>
      <c r="AZ31" s="58"/>
      <c r="BA31" s="204"/>
      <c r="BB31" s="644">
        <f t="shared" si="28"/>
        <v>0</v>
      </c>
      <c r="BC31" s="353"/>
      <c r="BD31" s="58">
        <f t="shared" si="29"/>
        <v>0</v>
      </c>
      <c r="BE31" s="58"/>
      <c r="BF31" s="58"/>
      <c r="BG31" s="58">
        <f t="shared" si="30"/>
        <v>0</v>
      </c>
      <c r="BH31" s="58"/>
      <c r="BI31" s="58"/>
      <c r="BJ31" s="58"/>
      <c r="BK31" s="58"/>
      <c r="BL31" s="58"/>
      <c r="BM31" s="204"/>
      <c r="BN31" s="644">
        <f t="shared" si="31"/>
        <v>0</v>
      </c>
      <c r="BO31" s="645">
        <f t="shared" si="32"/>
        <v>0</v>
      </c>
      <c r="BP31" s="146"/>
    </row>
    <row r="32" spans="2:68" s="30" customFormat="1" ht="15" customHeight="1">
      <c r="B32" s="25"/>
      <c r="C32" s="25"/>
      <c r="D32" s="1760" t="s">
        <v>2558</v>
      </c>
      <c r="E32" s="1557" t="s">
        <v>2448</v>
      </c>
      <c r="F32" s="1761"/>
      <c r="G32" s="61">
        <f>-G33+G34</f>
        <v>0</v>
      </c>
      <c r="H32" s="60">
        <f t="shared" ref="H32:BO32" si="33">-H33+H34</f>
        <v>0</v>
      </c>
      <c r="I32" s="60">
        <f t="shared" si="33"/>
        <v>0</v>
      </c>
      <c r="J32" s="60">
        <f t="shared" si="33"/>
        <v>0</v>
      </c>
      <c r="K32" s="60">
        <f t="shared" si="33"/>
        <v>0</v>
      </c>
      <c r="L32" s="60">
        <f t="shared" si="33"/>
        <v>0</v>
      </c>
      <c r="M32" s="60">
        <f t="shared" si="33"/>
        <v>0</v>
      </c>
      <c r="N32" s="60">
        <f t="shared" si="33"/>
        <v>0</v>
      </c>
      <c r="O32" s="60">
        <f t="shared" si="33"/>
        <v>0</v>
      </c>
      <c r="P32" s="60">
        <f t="shared" si="33"/>
        <v>0</v>
      </c>
      <c r="Q32" s="60">
        <f t="shared" si="33"/>
        <v>0</v>
      </c>
      <c r="R32" s="60">
        <f t="shared" si="33"/>
        <v>0</v>
      </c>
      <c r="S32" s="60">
        <f t="shared" si="33"/>
        <v>0</v>
      </c>
      <c r="T32" s="60">
        <f t="shared" si="33"/>
        <v>0</v>
      </c>
      <c r="U32" s="62">
        <f t="shared" si="33"/>
        <v>0</v>
      </c>
      <c r="V32" s="646">
        <f t="shared" si="33"/>
        <v>0</v>
      </c>
      <c r="W32" s="61">
        <f t="shared" si="33"/>
        <v>0</v>
      </c>
      <c r="X32" s="60">
        <f t="shared" si="33"/>
        <v>0</v>
      </c>
      <c r="Y32" s="60">
        <f t="shared" si="33"/>
        <v>0</v>
      </c>
      <c r="Z32" s="60">
        <f t="shared" si="33"/>
        <v>0</v>
      </c>
      <c r="AA32" s="60">
        <f t="shared" si="33"/>
        <v>0</v>
      </c>
      <c r="AB32" s="60">
        <f t="shared" si="33"/>
        <v>0</v>
      </c>
      <c r="AC32" s="60">
        <f t="shared" si="33"/>
        <v>0</v>
      </c>
      <c r="AD32" s="60">
        <f t="shared" si="33"/>
        <v>0</v>
      </c>
      <c r="AE32" s="60">
        <f t="shared" si="33"/>
        <v>0</v>
      </c>
      <c r="AF32" s="60">
        <f t="shared" si="33"/>
        <v>0</v>
      </c>
      <c r="AG32" s="60">
        <f t="shared" si="33"/>
        <v>0</v>
      </c>
      <c r="AH32" s="60">
        <f t="shared" si="33"/>
        <v>0</v>
      </c>
      <c r="AI32" s="60">
        <f t="shared" si="33"/>
        <v>0</v>
      </c>
      <c r="AJ32" s="60">
        <f t="shared" si="33"/>
        <v>0</v>
      </c>
      <c r="AK32" s="62">
        <f t="shared" si="33"/>
        <v>0</v>
      </c>
      <c r="AL32" s="646">
        <f t="shared" si="33"/>
        <v>0</v>
      </c>
      <c r="AM32" s="61">
        <f t="shared" si="33"/>
        <v>0</v>
      </c>
      <c r="AN32" s="60">
        <f t="shared" si="33"/>
        <v>0</v>
      </c>
      <c r="AO32" s="60">
        <f t="shared" si="33"/>
        <v>0</v>
      </c>
      <c r="AP32" s="60">
        <f t="shared" si="33"/>
        <v>0</v>
      </c>
      <c r="AQ32" s="60">
        <f t="shared" si="33"/>
        <v>0</v>
      </c>
      <c r="AR32" s="60">
        <f t="shared" si="33"/>
        <v>0</v>
      </c>
      <c r="AS32" s="60">
        <f t="shared" si="33"/>
        <v>0</v>
      </c>
      <c r="AT32" s="60">
        <f t="shared" si="33"/>
        <v>0</v>
      </c>
      <c r="AU32" s="60">
        <f t="shared" si="33"/>
        <v>0</v>
      </c>
      <c r="AV32" s="60">
        <f t="shared" si="33"/>
        <v>0</v>
      </c>
      <c r="AW32" s="60">
        <f t="shared" si="33"/>
        <v>0</v>
      </c>
      <c r="AX32" s="60">
        <f t="shared" si="33"/>
        <v>0</v>
      </c>
      <c r="AY32" s="60">
        <f t="shared" si="33"/>
        <v>0</v>
      </c>
      <c r="AZ32" s="60">
        <f t="shared" si="33"/>
        <v>0</v>
      </c>
      <c r="BA32" s="62">
        <f t="shared" si="33"/>
        <v>0</v>
      </c>
      <c r="BB32" s="646">
        <f t="shared" si="33"/>
        <v>0</v>
      </c>
      <c r="BC32" s="61">
        <f t="shared" si="33"/>
        <v>0</v>
      </c>
      <c r="BD32" s="60">
        <f t="shared" si="33"/>
        <v>0</v>
      </c>
      <c r="BE32" s="60">
        <f t="shared" si="33"/>
        <v>0</v>
      </c>
      <c r="BF32" s="60">
        <f t="shared" si="33"/>
        <v>0</v>
      </c>
      <c r="BG32" s="60">
        <f t="shared" si="33"/>
        <v>0</v>
      </c>
      <c r="BH32" s="60">
        <f t="shared" si="33"/>
        <v>0</v>
      </c>
      <c r="BI32" s="60">
        <f t="shared" si="33"/>
        <v>0</v>
      </c>
      <c r="BJ32" s="60">
        <f t="shared" si="33"/>
        <v>0</v>
      </c>
      <c r="BK32" s="60">
        <f t="shared" si="33"/>
        <v>0</v>
      </c>
      <c r="BL32" s="60">
        <f t="shared" si="33"/>
        <v>0</v>
      </c>
      <c r="BM32" s="62">
        <f t="shared" si="33"/>
        <v>0</v>
      </c>
      <c r="BN32" s="646">
        <f t="shared" si="33"/>
        <v>0</v>
      </c>
      <c r="BO32" s="647">
        <f t="shared" si="33"/>
        <v>0</v>
      </c>
      <c r="BP32" s="648"/>
    </row>
    <row r="33" spans="2:68" ht="15" customHeight="1">
      <c r="B33" s="12"/>
      <c r="C33" s="12"/>
      <c r="D33" s="662"/>
      <c r="E33" s="1555" t="s">
        <v>2559</v>
      </c>
      <c r="F33" s="1572"/>
      <c r="G33" s="54"/>
      <c r="H33" s="43"/>
      <c r="I33" s="43"/>
      <c r="J33" s="43"/>
      <c r="K33" s="43"/>
      <c r="L33" s="43"/>
      <c r="M33" s="43"/>
      <c r="N33" s="43"/>
      <c r="O33" s="43"/>
      <c r="P33" s="43"/>
      <c r="Q33" s="43"/>
      <c r="R33" s="43"/>
      <c r="S33" s="43"/>
      <c r="T33" s="43"/>
      <c r="U33" s="44"/>
      <c r="V33" s="644">
        <f t="shared" ref="V33:V34" si="34">SUM(G33:U33)</f>
        <v>0</v>
      </c>
      <c r="W33" s="54"/>
      <c r="X33" s="43"/>
      <c r="Y33" s="43"/>
      <c r="Z33" s="43"/>
      <c r="AA33" s="43"/>
      <c r="AB33" s="43"/>
      <c r="AC33" s="43"/>
      <c r="AD33" s="43"/>
      <c r="AE33" s="43"/>
      <c r="AF33" s="43"/>
      <c r="AG33" s="43"/>
      <c r="AH33" s="43"/>
      <c r="AI33" s="43"/>
      <c r="AJ33" s="43"/>
      <c r="AK33" s="44"/>
      <c r="AL33" s="644">
        <f t="shared" ref="AL33:AL34" si="35">0+(SUM(W33:AK33))</f>
        <v>0</v>
      </c>
      <c r="AM33" s="353"/>
      <c r="AN33" s="58"/>
      <c r="AO33" s="58"/>
      <c r="AP33" s="58"/>
      <c r="AQ33" s="58"/>
      <c r="AR33" s="58"/>
      <c r="AS33" s="58"/>
      <c r="AT33" s="58"/>
      <c r="AU33" s="58"/>
      <c r="AV33" s="58"/>
      <c r="AW33" s="58"/>
      <c r="AX33" s="58"/>
      <c r="AY33" s="58"/>
      <c r="AZ33" s="58"/>
      <c r="BA33" s="204"/>
      <c r="BB33" s="644">
        <f t="shared" ref="BB33:BB34" si="36">0+(SUM(AM33:BA33))</f>
        <v>0</v>
      </c>
      <c r="BC33" s="353"/>
      <c r="BD33" s="58">
        <f t="shared" ref="BD33:BD34" si="37">BE33+BF33</f>
        <v>0</v>
      </c>
      <c r="BE33" s="58"/>
      <c r="BF33" s="58"/>
      <c r="BG33" s="58">
        <f t="shared" ref="BG33:BG34" si="38">BH33+BI33</f>
        <v>0</v>
      </c>
      <c r="BH33" s="58"/>
      <c r="BI33" s="58"/>
      <c r="BJ33" s="58"/>
      <c r="BK33" s="58"/>
      <c r="BL33" s="58"/>
      <c r="BM33" s="204"/>
      <c r="BN33" s="644">
        <f t="shared" ref="BN33:BN34" si="39">BC33+BD33+BG33+BJ33+BK33+BL33+BM33</f>
        <v>0</v>
      </c>
      <c r="BO33" s="645">
        <f t="shared" ref="BO33:BO34" si="40">V33+AL33+BB33+BN33</f>
        <v>0</v>
      </c>
      <c r="BP33" s="146"/>
    </row>
    <row r="34" spans="2:68" ht="15" customHeight="1" thickBot="1">
      <c r="B34" s="12"/>
      <c r="C34" s="12"/>
      <c r="D34" s="664"/>
      <c r="E34" s="1618" t="s">
        <v>2560</v>
      </c>
      <c r="F34" s="1744" t="s">
        <v>2560</v>
      </c>
      <c r="G34" s="653"/>
      <c r="H34" s="45"/>
      <c r="I34" s="45"/>
      <c r="J34" s="45"/>
      <c r="K34" s="45"/>
      <c r="L34" s="45"/>
      <c r="M34" s="45"/>
      <c r="N34" s="45"/>
      <c r="O34" s="45"/>
      <c r="P34" s="45"/>
      <c r="Q34" s="45"/>
      <c r="R34" s="45"/>
      <c r="S34" s="45"/>
      <c r="T34" s="45"/>
      <c r="U34" s="46"/>
      <c r="V34" s="649">
        <f t="shared" si="34"/>
        <v>0</v>
      </c>
      <c r="W34" s="55"/>
      <c r="X34" s="45"/>
      <c r="Y34" s="45"/>
      <c r="Z34" s="45"/>
      <c r="AA34" s="45"/>
      <c r="AB34" s="45"/>
      <c r="AC34" s="45"/>
      <c r="AD34" s="45"/>
      <c r="AE34" s="45"/>
      <c r="AF34" s="45"/>
      <c r="AG34" s="45"/>
      <c r="AH34" s="45"/>
      <c r="AI34" s="45"/>
      <c r="AJ34" s="45"/>
      <c r="AK34" s="46"/>
      <c r="AL34" s="649">
        <f t="shared" si="35"/>
        <v>0</v>
      </c>
      <c r="AM34" s="654"/>
      <c r="AN34" s="59"/>
      <c r="AO34" s="59"/>
      <c r="AP34" s="59"/>
      <c r="AQ34" s="59"/>
      <c r="AR34" s="59"/>
      <c r="AS34" s="59"/>
      <c r="AT34" s="59"/>
      <c r="AU34" s="59"/>
      <c r="AV34" s="59"/>
      <c r="AW34" s="59"/>
      <c r="AX34" s="59"/>
      <c r="AY34" s="59"/>
      <c r="AZ34" s="59"/>
      <c r="BA34" s="388"/>
      <c r="BB34" s="649">
        <f t="shared" si="36"/>
        <v>0</v>
      </c>
      <c r="BC34" s="654"/>
      <c r="BD34" s="59">
        <f t="shared" si="37"/>
        <v>0</v>
      </c>
      <c r="BE34" s="59"/>
      <c r="BF34" s="59"/>
      <c r="BG34" s="59">
        <f t="shared" si="38"/>
        <v>0</v>
      </c>
      <c r="BH34" s="59"/>
      <c r="BI34" s="59"/>
      <c r="BJ34" s="59"/>
      <c r="BK34" s="59"/>
      <c r="BL34" s="59"/>
      <c r="BM34" s="388"/>
      <c r="BN34" s="649">
        <f t="shared" si="39"/>
        <v>0</v>
      </c>
      <c r="BO34" s="650">
        <f t="shared" si="40"/>
        <v>0</v>
      </c>
      <c r="BP34" s="146"/>
    </row>
  </sheetData>
  <mergeCells count="24">
    <mergeCell ref="BO5:BO6"/>
    <mergeCell ref="B3:F3"/>
    <mergeCell ref="G5:V5"/>
    <mergeCell ref="W5:AL5"/>
    <mergeCell ref="AM5:BB5"/>
    <mergeCell ref="BC5:BN5"/>
    <mergeCell ref="B23:F23"/>
    <mergeCell ref="G25:V25"/>
    <mergeCell ref="W25:AL25"/>
    <mergeCell ref="E7:F7"/>
    <mergeCell ref="E10:F10"/>
    <mergeCell ref="E16:F16"/>
    <mergeCell ref="E13:F13"/>
    <mergeCell ref="E33:F33"/>
    <mergeCell ref="E34:F34"/>
    <mergeCell ref="AM25:BB25"/>
    <mergeCell ref="BC25:BN25"/>
    <mergeCell ref="BO25:BO26"/>
    <mergeCell ref="D27:F27"/>
    <mergeCell ref="D28:F28"/>
    <mergeCell ref="E29:F29"/>
    <mergeCell ref="D31:F31"/>
    <mergeCell ref="D32:F32"/>
    <mergeCell ref="E30:F30"/>
  </mergeCells>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B1:BP30"/>
  <sheetViews>
    <sheetView showGridLines="0" topLeftCell="A4" workbookViewId="0">
      <selection activeCell="A28" sqref="A28"/>
    </sheetView>
  </sheetViews>
  <sheetFormatPr baseColWidth="10" defaultColWidth="9.140625" defaultRowHeight="15" outlineLevelCol="1"/>
  <cols>
    <col min="1" max="5" width="2.42578125" customWidth="1"/>
    <col min="6" max="6" width="55.7109375" customWidth="1"/>
    <col min="7" max="21" width="14.7109375" customWidth="1" outlineLevel="1"/>
    <col min="22" max="22" width="14.7109375" customWidth="1"/>
    <col min="23" max="37" width="14.7109375" customWidth="1" outlineLevel="1"/>
    <col min="38" max="38" width="14.7109375" customWidth="1"/>
    <col min="39" max="53" width="14.7109375" customWidth="1" outlineLevel="1"/>
    <col min="54" max="54" width="14.7109375" customWidth="1"/>
    <col min="55" max="65" width="14.7109375" customWidth="1" outlineLevel="1"/>
    <col min="66" max="68" width="14.7109375" customWidth="1"/>
  </cols>
  <sheetData>
    <row r="1" spans="2:68" ht="15" customHeight="1"/>
    <row r="2" spans="2:68" s="246" customFormat="1" ht="15" customHeight="1">
      <c r="B2" s="247"/>
    </row>
    <row r="3" spans="2:68" ht="15" customHeight="1">
      <c r="B3" s="1584" t="s">
        <v>2561</v>
      </c>
      <c r="C3" s="1584"/>
      <c r="D3" s="1584"/>
      <c r="E3" s="1584"/>
      <c r="F3" s="1584"/>
    </row>
    <row r="4" spans="2:68" s="315" customFormat="1" ht="12.75" customHeight="1" thickBot="1">
      <c r="B4" s="2"/>
      <c r="C4" s="2"/>
      <c r="D4" s="2"/>
      <c r="E4" s="2"/>
      <c r="F4" s="2"/>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row>
    <row r="5" spans="2:68" s="146" customFormat="1" ht="12.75" customHeight="1" thickBot="1">
      <c r="B5" s="2"/>
      <c r="C5" s="2"/>
      <c r="D5" s="657"/>
      <c r="E5" s="195"/>
      <c r="F5" s="658"/>
      <c r="G5" s="1740" t="s">
        <v>2410</v>
      </c>
      <c r="H5" s="1741"/>
      <c r="I5" s="1741"/>
      <c r="J5" s="1741"/>
      <c r="K5" s="1741"/>
      <c r="L5" s="1741"/>
      <c r="M5" s="1741"/>
      <c r="N5" s="1741"/>
      <c r="O5" s="1741"/>
      <c r="P5" s="1741"/>
      <c r="Q5" s="1741"/>
      <c r="R5" s="1741"/>
      <c r="S5" s="1741"/>
      <c r="T5" s="1741"/>
      <c r="U5" s="1741"/>
      <c r="V5" s="1742"/>
      <c r="W5" s="1743" t="s">
        <v>2412</v>
      </c>
      <c r="X5" s="1743"/>
      <c r="Y5" s="1743"/>
      <c r="Z5" s="1743"/>
      <c r="AA5" s="1743"/>
      <c r="AB5" s="1743"/>
      <c r="AC5" s="1743"/>
      <c r="AD5" s="1743"/>
      <c r="AE5" s="1743"/>
      <c r="AF5" s="1743"/>
      <c r="AG5" s="1743"/>
      <c r="AH5" s="1743"/>
      <c r="AI5" s="1743"/>
      <c r="AJ5" s="1743"/>
      <c r="AK5" s="1743"/>
      <c r="AL5" s="1743"/>
      <c r="AM5" s="1743" t="s">
        <v>2413</v>
      </c>
      <c r="AN5" s="1743"/>
      <c r="AO5" s="1743"/>
      <c r="AP5" s="1743"/>
      <c r="AQ5" s="1743"/>
      <c r="AR5" s="1743"/>
      <c r="AS5" s="1743"/>
      <c r="AT5" s="1743"/>
      <c r="AU5" s="1743"/>
      <c r="AV5" s="1743"/>
      <c r="AW5" s="1743"/>
      <c r="AX5" s="1743"/>
      <c r="AY5" s="1743"/>
      <c r="AZ5" s="1743"/>
      <c r="BA5" s="1743"/>
      <c r="BB5" s="1743"/>
      <c r="BC5" s="1743" t="s">
        <v>2411</v>
      </c>
      <c r="BD5" s="1743"/>
      <c r="BE5" s="1743"/>
      <c r="BF5" s="1743"/>
      <c r="BG5" s="1743"/>
      <c r="BH5" s="1743"/>
      <c r="BI5" s="1743"/>
      <c r="BJ5" s="1743"/>
      <c r="BK5" s="1743"/>
      <c r="BL5" s="1743"/>
      <c r="BM5" s="1743"/>
      <c r="BN5" s="1743"/>
      <c r="BO5" s="1569">
        <v>999</v>
      </c>
    </row>
    <row r="6" spans="2:68" s="183" customFormat="1" ht="54.95" customHeight="1" thickBot="1">
      <c r="B6" s="184"/>
      <c r="C6" s="184"/>
      <c r="D6" s="659"/>
      <c r="E6" s="184"/>
      <c r="F6" s="660"/>
      <c r="G6" s="643">
        <v>101</v>
      </c>
      <c r="H6" s="643" t="s">
        <v>777</v>
      </c>
      <c r="I6" s="642" t="s">
        <v>778</v>
      </c>
      <c r="J6" s="642" t="s">
        <v>779</v>
      </c>
      <c r="K6" s="642" t="s">
        <v>780</v>
      </c>
      <c r="L6" s="642" t="s">
        <v>781</v>
      </c>
      <c r="M6" s="642" t="s">
        <v>782</v>
      </c>
      <c r="N6" s="642" t="s">
        <v>783</v>
      </c>
      <c r="O6" s="642" t="s">
        <v>784</v>
      </c>
      <c r="P6" s="642" t="s">
        <v>785</v>
      </c>
      <c r="Q6" s="642" t="s">
        <v>786</v>
      </c>
      <c r="R6" s="642" t="s">
        <v>787</v>
      </c>
      <c r="S6" s="642" t="s">
        <v>788</v>
      </c>
      <c r="T6" s="642" t="s">
        <v>789</v>
      </c>
      <c r="U6" s="642" t="s">
        <v>790</v>
      </c>
      <c r="V6" s="683">
        <v>100</v>
      </c>
      <c r="W6" s="641" t="s">
        <v>791</v>
      </c>
      <c r="X6" s="641" t="s">
        <v>792</v>
      </c>
      <c r="Y6" s="641" t="s">
        <v>793</v>
      </c>
      <c r="Z6" s="641" t="s">
        <v>794</v>
      </c>
      <c r="AA6" s="641" t="s">
        <v>795</v>
      </c>
      <c r="AB6" s="641" t="s">
        <v>796</v>
      </c>
      <c r="AC6" s="641" t="s">
        <v>797</v>
      </c>
      <c r="AD6" s="641" t="s">
        <v>798</v>
      </c>
      <c r="AE6" s="641" t="s">
        <v>799</v>
      </c>
      <c r="AF6" s="641" t="s">
        <v>800</v>
      </c>
      <c r="AG6" s="641" t="s">
        <v>801</v>
      </c>
      <c r="AH6" s="641" t="s">
        <v>802</v>
      </c>
      <c r="AI6" s="641" t="s">
        <v>803</v>
      </c>
      <c r="AJ6" s="641" t="s">
        <v>804</v>
      </c>
      <c r="AK6" s="641" t="s">
        <v>805</v>
      </c>
      <c r="AL6" s="684">
        <v>200</v>
      </c>
      <c r="AM6" s="641" t="s">
        <v>806</v>
      </c>
      <c r="AN6" s="641" t="s">
        <v>807</v>
      </c>
      <c r="AO6" s="641" t="s">
        <v>808</v>
      </c>
      <c r="AP6" s="641" t="s">
        <v>809</v>
      </c>
      <c r="AQ6" s="641" t="s">
        <v>810</v>
      </c>
      <c r="AR6" s="641" t="s">
        <v>811</v>
      </c>
      <c r="AS6" s="641" t="s">
        <v>812</v>
      </c>
      <c r="AT6" s="641" t="s">
        <v>813</v>
      </c>
      <c r="AU6" s="641" t="s">
        <v>814</v>
      </c>
      <c r="AV6" s="641" t="s">
        <v>815</v>
      </c>
      <c r="AW6" s="641" t="s">
        <v>816</v>
      </c>
      <c r="AX6" s="641" t="s">
        <v>817</v>
      </c>
      <c r="AY6" s="641" t="s">
        <v>818</v>
      </c>
      <c r="AZ6" s="641" t="s">
        <v>819</v>
      </c>
      <c r="BA6" s="641" t="s">
        <v>820</v>
      </c>
      <c r="BB6" s="684">
        <v>300</v>
      </c>
      <c r="BC6" s="641" t="s">
        <v>821</v>
      </c>
      <c r="BD6" s="641" t="s">
        <v>822</v>
      </c>
      <c r="BE6" s="641" t="s">
        <v>823</v>
      </c>
      <c r="BF6" s="641" t="s">
        <v>824</v>
      </c>
      <c r="BG6" s="641" t="s">
        <v>825</v>
      </c>
      <c r="BH6" s="641" t="s">
        <v>826</v>
      </c>
      <c r="BI6" s="641" t="s">
        <v>827</v>
      </c>
      <c r="BJ6" s="641" t="s">
        <v>828</v>
      </c>
      <c r="BK6" s="641" t="s">
        <v>829</v>
      </c>
      <c r="BL6" s="641" t="s">
        <v>830</v>
      </c>
      <c r="BM6" s="641" t="s">
        <v>831</v>
      </c>
      <c r="BN6" s="684">
        <v>400</v>
      </c>
      <c r="BO6" s="1570"/>
    </row>
    <row r="7" spans="2:68" s="30" customFormat="1" ht="15" customHeight="1">
      <c r="B7" s="25"/>
      <c r="C7" s="25"/>
      <c r="D7" s="661"/>
      <c r="E7" s="1564" t="s">
        <v>2575</v>
      </c>
      <c r="F7" s="1730"/>
      <c r="G7" s="651"/>
      <c r="H7" s="60"/>
      <c r="I7" s="60"/>
      <c r="J7" s="60"/>
      <c r="K7" s="60"/>
      <c r="L7" s="60"/>
      <c r="M7" s="60"/>
      <c r="N7" s="60"/>
      <c r="O7" s="60"/>
      <c r="P7" s="60"/>
      <c r="Q7" s="60"/>
      <c r="R7" s="60"/>
      <c r="S7" s="60"/>
      <c r="T7" s="60"/>
      <c r="U7" s="62"/>
      <c r="V7" s="646">
        <f t="shared" ref="V7:V10" si="0">SUM(G7:U7)</f>
        <v>0</v>
      </c>
      <c r="W7" s="61"/>
      <c r="X7" s="60"/>
      <c r="Y7" s="60"/>
      <c r="Z7" s="60"/>
      <c r="AA7" s="60"/>
      <c r="AB7" s="60"/>
      <c r="AC7" s="60"/>
      <c r="AD7" s="60"/>
      <c r="AE7" s="60"/>
      <c r="AF7" s="60"/>
      <c r="AG7" s="60"/>
      <c r="AH7" s="60"/>
      <c r="AI7" s="60"/>
      <c r="AJ7" s="60"/>
      <c r="AK7" s="62"/>
      <c r="AL7" s="646">
        <f t="shared" ref="AL7:AL10" si="1">SUM(W7:AK7)</f>
        <v>0</v>
      </c>
      <c r="AM7" s="61"/>
      <c r="AN7" s="60"/>
      <c r="AO7" s="60"/>
      <c r="AP7" s="60"/>
      <c r="AQ7" s="60"/>
      <c r="AR7" s="60"/>
      <c r="AS7" s="60"/>
      <c r="AT7" s="60"/>
      <c r="AU7" s="60"/>
      <c r="AV7" s="60"/>
      <c r="AW7" s="60"/>
      <c r="AX7" s="60"/>
      <c r="AY7" s="60"/>
      <c r="AZ7" s="60"/>
      <c r="BA7" s="62"/>
      <c r="BB7" s="646">
        <f t="shared" ref="BB7:BB10" si="2">SUM(AM7:BA7)</f>
        <v>0</v>
      </c>
      <c r="BC7" s="61"/>
      <c r="BD7" s="58">
        <f t="shared" ref="BD7" si="3">BE7+BF7</f>
        <v>0</v>
      </c>
      <c r="BE7" s="60"/>
      <c r="BF7" s="60"/>
      <c r="BG7" s="58">
        <f t="shared" ref="BG7" si="4">BH7+BI7</f>
        <v>0</v>
      </c>
      <c r="BH7" s="60"/>
      <c r="BI7" s="60"/>
      <c r="BJ7" s="60"/>
      <c r="BK7" s="60"/>
      <c r="BL7" s="60"/>
      <c r="BM7" s="62"/>
      <c r="BN7" s="646">
        <f t="shared" ref="BN7:BN10" si="5">BC7+BD7+BG7+BJ7+BK7+BL7+BM7</f>
        <v>0</v>
      </c>
      <c r="BO7" s="647">
        <f t="shared" ref="BO7:BO10" si="6">V7+AL7+BB7+BN7</f>
        <v>0</v>
      </c>
      <c r="BP7" s="648"/>
    </row>
    <row r="8" spans="2:68" ht="15" customHeight="1">
      <c r="B8" s="12"/>
      <c r="C8" s="12"/>
      <c r="D8" s="662"/>
      <c r="E8" s="12"/>
      <c r="F8" s="685" t="s">
        <v>2563</v>
      </c>
      <c r="G8" s="652">
        <v>0</v>
      </c>
      <c r="H8" s="43">
        <v>54285</v>
      </c>
      <c r="I8" s="43">
        <v>1712861</v>
      </c>
      <c r="J8" s="43">
        <v>0</v>
      </c>
      <c r="K8" s="43">
        <v>0</v>
      </c>
      <c r="L8" s="43">
        <v>10</v>
      </c>
      <c r="M8" s="43">
        <v>1763607</v>
      </c>
      <c r="N8" s="43">
        <v>35580</v>
      </c>
      <c r="O8" s="43">
        <v>23831</v>
      </c>
      <c r="P8" s="43">
        <v>65368</v>
      </c>
      <c r="Q8" s="43">
        <v>0</v>
      </c>
      <c r="R8" s="43">
        <v>0</v>
      </c>
      <c r="S8" s="43">
        <v>0</v>
      </c>
      <c r="T8" s="43">
        <v>0</v>
      </c>
      <c r="U8" s="44">
        <v>0</v>
      </c>
      <c r="V8" s="644">
        <f t="shared" si="0"/>
        <v>3655542</v>
      </c>
      <c r="W8" s="54">
        <v>0</v>
      </c>
      <c r="X8" s="43">
        <v>0</v>
      </c>
      <c r="Y8" s="43">
        <v>0</v>
      </c>
      <c r="Z8" s="43">
        <v>0</v>
      </c>
      <c r="AA8" s="43">
        <v>0</v>
      </c>
      <c r="AB8" s="43">
        <v>0</v>
      </c>
      <c r="AC8" s="43">
        <v>0</v>
      </c>
      <c r="AD8" s="43">
        <v>0</v>
      </c>
      <c r="AE8" s="43">
        <v>3794160</v>
      </c>
      <c r="AF8" s="43">
        <v>40763</v>
      </c>
      <c r="AG8" s="43">
        <v>0</v>
      </c>
      <c r="AH8" s="43">
        <v>0</v>
      </c>
      <c r="AI8" s="43">
        <v>0</v>
      </c>
      <c r="AJ8" s="43">
        <v>0</v>
      </c>
      <c r="AK8" s="44">
        <v>0</v>
      </c>
      <c r="AL8" s="644">
        <f t="shared" si="1"/>
        <v>3834923</v>
      </c>
      <c r="AM8" s="353">
        <v>0</v>
      </c>
      <c r="AN8" s="58">
        <v>0</v>
      </c>
      <c r="AO8" s="58">
        <v>906824</v>
      </c>
      <c r="AP8" s="58">
        <v>0</v>
      </c>
      <c r="AQ8" s="58">
        <v>0</v>
      </c>
      <c r="AR8" s="58">
        <v>0</v>
      </c>
      <c r="AS8" s="58">
        <v>0</v>
      </c>
      <c r="AT8" s="58">
        <v>0</v>
      </c>
      <c r="AU8" s="58">
        <v>0</v>
      </c>
      <c r="AV8" s="58">
        <v>19178</v>
      </c>
      <c r="AW8" s="58">
        <v>0</v>
      </c>
      <c r="AX8" s="58">
        <v>0</v>
      </c>
      <c r="AY8" s="58">
        <v>0</v>
      </c>
      <c r="AZ8" s="58">
        <v>0</v>
      </c>
      <c r="BA8" s="204">
        <v>0</v>
      </c>
      <c r="BB8" s="644">
        <f t="shared" si="2"/>
        <v>926002</v>
      </c>
      <c r="BC8" s="353">
        <v>0</v>
      </c>
      <c r="BD8" s="58">
        <v>0</v>
      </c>
      <c r="BE8" s="58">
        <v>0</v>
      </c>
      <c r="BF8" s="58">
        <v>0</v>
      </c>
      <c r="BG8" s="58">
        <v>0</v>
      </c>
      <c r="BH8" s="58">
        <v>0</v>
      </c>
      <c r="BI8" s="58">
        <v>0</v>
      </c>
      <c r="BJ8" s="58">
        <v>0</v>
      </c>
      <c r="BK8" s="58">
        <v>0</v>
      </c>
      <c r="BL8" s="58">
        <v>1433445</v>
      </c>
      <c r="BM8" s="204">
        <v>0</v>
      </c>
      <c r="BN8" s="644">
        <f t="shared" si="5"/>
        <v>1433445</v>
      </c>
      <c r="BO8" s="645">
        <f t="shared" si="6"/>
        <v>9849912</v>
      </c>
      <c r="BP8" s="146"/>
    </row>
    <row r="9" spans="2:68" ht="15" customHeight="1">
      <c r="B9" s="12"/>
      <c r="C9" s="12"/>
      <c r="D9" s="662"/>
      <c r="E9" s="12"/>
      <c r="F9" s="685" t="s">
        <v>2564</v>
      </c>
      <c r="G9" s="652"/>
      <c r="H9" s="43"/>
      <c r="I9" s="43"/>
      <c r="J9" s="43"/>
      <c r="K9" s="43"/>
      <c r="L9" s="43"/>
      <c r="M9" s="43"/>
      <c r="N9" s="43"/>
      <c r="O9" s="43"/>
      <c r="P9" s="43"/>
      <c r="Q9" s="43"/>
      <c r="R9" s="43"/>
      <c r="S9" s="43"/>
      <c r="T9" s="43"/>
      <c r="U9" s="44"/>
      <c r="V9" s="644">
        <f t="shared" si="0"/>
        <v>0</v>
      </c>
      <c r="W9" s="54"/>
      <c r="X9" s="43"/>
      <c r="Y9" s="43"/>
      <c r="Z9" s="43"/>
      <c r="AA9" s="43"/>
      <c r="AB9" s="43"/>
      <c r="AC9" s="43"/>
      <c r="AD9" s="43"/>
      <c r="AE9" s="43"/>
      <c r="AF9" s="43"/>
      <c r="AG9" s="43"/>
      <c r="AH9" s="43"/>
      <c r="AI9" s="43"/>
      <c r="AJ9" s="43"/>
      <c r="AK9" s="44"/>
      <c r="AL9" s="644">
        <f t="shared" si="1"/>
        <v>0</v>
      </c>
      <c r="AM9" s="353"/>
      <c r="AN9" s="58"/>
      <c r="AO9" s="58"/>
      <c r="AP9" s="58"/>
      <c r="AQ9" s="58"/>
      <c r="AR9" s="58"/>
      <c r="AS9" s="58"/>
      <c r="AT9" s="58"/>
      <c r="AU9" s="58"/>
      <c r="AV9" s="58"/>
      <c r="AW9" s="58"/>
      <c r="AX9" s="58"/>
      <c r="AY9" s="58"/>
      <c r="AZ9" s="58"/>
      <c r="BA9" s="204"/>
      <c r="BB9" s="644">
        <f t="shared" si="2"/>
        <v>0</v>
      </c>
      <c r="BC9" s="353"/>
      <c r="BD9" s="58"/>
      <c r="BE9" s="58"/>
      <c r="BF9" s="58"/>
      <c r="BG9" s="58"/>
      <c r="BH9" s="58"/>
      <c r="BI9" s="58"/>
      <c r="BJ9" s="58"/>
      <c r="BK9" s="58"/>
      <c r="BL9" s="58"/>
      <c r="BM9" s="204"/>
      <c r="BN9" s="644">
        <f t="shared" si="5"/>
        <v>0</v>
      </c>
      <c r="BO9" s="645">
        <f t="shared" si="6"/>
        <v>0</v>
      </c>
      <c r="BP9" s="146"/>
    </row>
    <row r="10" spans="2:68" ht="15" customHeight="1">
      <c r="B10" s="12"/>
      <c r="C10" s="12"/>
      <c r="D10" s="662"/>
      <c r="E10" s="12"/>
      <c r="F10" s="685" t="s">
        <v>2565</v>
      </c>
      <c r="G10" s="652">
        <v>0</v>
      </c>
      <c r="H10" s="43">
        <v>15263</v>
      </c>
      <c r="I10" s="43">
        <v>2188</v>
      </c>
      <c r="J10" s="43"/>
      <c r="K10" s="43">
        <v>0</v>
      </c>
      <c r="L10" s="43">
        <v>0</v>
      </c>
      <c r="M10" s="43">
        <v>25095</v>
      </c>
      <c r="N10" s="43">
        <v>375</v>
      </c>
      <c r="O10" s="43">
        <v>10467</v>
      </c>
      <c r="P10" s="43">
        <v>11042</v>
      </c>
      <c r="Q10" s="43">
        <v>0</v>
      </c>
      <c r="R10" s="43">
        <v>0</v>
      </c>
      <c r="S10" s="43">
        <v>0</v>
      </c>
      <c r="T10" s="43">
        <v>0</v>
      </c>
      <c r="U10" s="44">
        <v>0</v>
      </c>
      <c r="V10" s="644">
        <f t="shared" si="0"/>
        <v>64430</v>
      </c>
      <c r="W10" s="54">
        <v>0</v>
      </c>
      <c r="X10" s="43">
        <v>0</v>
      </c>
      <c r="Y10" s="43">
        <v>0</v>
      </c>
      <c r="Z10" s="43">
        <v>0</v>
      </c>
      <c r="AA10" s="43">
        <v>0</v>
      </c>
      <c r="AB10" s="43">
        <v>0</v>
      </c>
      <c r="AC10" s="43">
        <v>0</v>
      </c>
      <c r="AD10" s="43">
        <v>0</v>
      </c>
      <c r="AE10" s="43">
        <v>4345</v>
      </c>
      <c r="AF10" s="43">
        <v>18770</v>
      </c>
      <c r="AG10" s="43">
        <v>0</v>
      </c>
      <c r="AH10" s="43">
        <v>0</v>
      </c>
      <c r="AI10" s="43">
        <v>0</v>
      </c>
      <c r="AJ10" s="43">
        <v>0</v>
      </c>
      <c r="AK10" s="44">
        <v>0</v>
      </c>
      <c r="AL10" s="644">
        <f t="shared" si="1"/>
        <v>23115</v>
      </c>
      <c r="AM10" s="353">
        <v>0</v>
      </c>
      <c r="AN10" s="58">
        <v>0</v>
      </c>
      <c r="AO10" s="58">
        <v>25112</v>
      </c>
      <c r="AP10" s="58">
        <v>0</v>
      </c>
      <c r="AQ10" s="58">
        <v>0</v>
      </c>
      <c r="AR10" s="58">
        <v>0</v>
      </c>
      <c r="AS10" s="58">
        <v>0</v>
      </c>
      <c r="AT10" s="58">
        <v>0</v>
      </c>
      <c r="AU10" s="58">
        <v>0</v>
      </c>
      <c r="AV10" s="58">
        <v>0</v>
      </c>
      <c r="AW10" s="58">
        <v>0</v>
      </c>
      <c r="AX10" s="58">
        <v>0</v>
      </c>
      <c r="AY10" s="58">
        <v>0</v>
      </c>
      <c r="AZ10" s="58">
        <v>0</v>
      </c>
      <c r="BA10" s="204">
        <v>0</v>
      </c>
      <c r="BB10" s="644">
        <f t="shared" si="2"/>
        <v>25112</v>
      </c>
      <c r="BC10" s="353">
        <v>0</v>
      </c>
      <c r="BD10" s="58">
        <v>0</v>
      </c>
      <c r="BE10" s="58">
        <v>0</v>
      </c>
      <c r="BF10" s="58">
        <v>0</v>
      </c>
      <c r="BG10" s="58">
        <v>0</v>
      </c>
      <c r="BH10" s="58">
        <v>0</v>
      </c>
      <c r="BI10" s="58">
        <v>0</v>
      </c>
      <c r="BJ10" s="58">
        <v>0</v>
      </c>
      <c r="BK10" s="58">
        <v>0</v>
      </c>
      <c r="BL10" s="58">
        <v>672</v>
      </c>
      <c r="BM10" s="204">
        <v>0</v>
      </c>
      <c r="BN10" s="644">
        <f t="shared" si="5"/>
        <v>672</v>
      </c>
      <c r="BO10" s="645">
        <f t="shared" si="6"/>
        <v>113329</v>
      </c>
      <c r="BP10" s="146"/>
    </row>
    <row r="11" spans="2:68" s="30" customFormat="1" ht="15" customHeight="1">
      <c r="B11" s="25"/>
      <c r="C11" s="25"/>
      <c r="D11" s="661"/>
      <c r="E11" s="25"/>
      <c r="F11" s="686" t="s">
        <v>2566</v>
      </c>
      <c r="G11" s="651">
        <f>G8+G9-G10</f>
        <v>0</v>
      </c>
      <c r="H11" s="60">
        <f t="shared" ref="H11:BO11" si="7">H8+H9-H10</f>
        <v>39022</v>
      </c>
      <c r="I11" s="60">
        <f t="shared" si="7"/>
        <v>1710673</v>
      </c>
      <c r="J11" s="60">
        <f t="shared" si="7"/>
        <v>0</v>
      </c>
      <c r="K11" s="60">
        <f t="shared" si="7"/>
        <v>0</v>
      </c>
      <c r="L11" s="60">
        <f t="shared" si="7"/>
        <v>10</v>
      </c>
      <c r="M11" s="60">
        <f t="shared" si="7"/>
        <v>1738512</v>
      </c>
      <c r="N11" s="60">
        <f t="shared" si="7"/>
        <v>35205</v>
      </c>
      <c r="O11" s="60">
        <f t="shared" si="7"/>
        <v>13364</v>
      </c>
      <c r="P11" s="60">
        <f t="shared" si="7"/>
        <v>54326</v>
      </c>
      <c r="Q11" s="60">
        <f t="shared" si="7"/>
        <v>0</v>
      </c>
      <c r="R11" s="60">
        <f t="shared" si="7"/>
        <v>0</v>
      </c>
      <c r="S11" s="60">
        <f t="shared" si="7"/>
        <v>0</v>
      </c>
      <c r="T11" s="60">
        <f t="shared" si="7"/>
        <v>0</v>
      </c>
      <c r="U11" s="62">
        <f t="shared" si="7"/>
        <v>0</v>
      </c>
      <c r="V11" s="646">
        <f t="shared" si="7"/>
        <v>3591112</v>
      </c>
      <c r="W11" s="61">
        <f t="shared" si="7"/>
        <v>0</v>
      </c>
      <c r="X11" s="60">
        <f t="shared" si="7"/>
        <v>0</v>
      </c>
      <c r="Y11" s="60">
        <f t="shared" si="7"/>
        <v>0</v>
      </c>
      <c r="Z11" s="60">
        <f t="shared" si="7"/>
        <v>0</v>
      </c>
      <c r="AA11" s="60">
        <f t="shared" si="7"/>
        <v>0</v>
      </c>
      <c r="AB11" s="60">
        <f t="shared" si="7"/>
        <v>0</v>
      </c>
      <c r="AC11" s="60">
        <f t="shared" si="7"/>
        <v>0</v>
      </c>
      <c r="AD11" s="60">
        <f t="shared" si="7"/>
        <v>0</v>
      </c>
      <c r="AE11" s="60">
        <f t="shared" si="7"/>
        <v>3789815</v>
      </c>
      <c r="AF11" s="60">
        <f t="shared" si="7"/>
        <v>21993</v>
      </c>
      <c r="AG11" s="60">
        <f t="shared" si="7"/>
        <v>0</v>
      </c>
      <c r="AH11" s="60">
        <f t="shared" si="7"/>
        <v>0</v>
      </c>
      <c r="AI11" s="60">
        <f t="shared" si="7"/>
        <v>0</v>
      </c>
      <c r="AJ11" s="60">
        <f t="shared" si="7"/>
        <v>0</v>
      </c>
      <c r="AK11" s="62">
        <f t="shared" si="7"/>
        <v>0</v>
      </c>
      <c r="AL11" s="646">
        <f t="shared" si="7"/>
        <v>3811808</v>
      </c>
      <c r="AM11" s="61">
        <f t="shared" si="7"/>
        <v>0</v>
      </c>
      <c r="AN11" s="60">
        <f t="shared" si="7"/>
        <v>0</v>
      </c>
      <c r="AO11" s="60">
        <f t="shared" si="7"/>
        <v>881712</v>
      </c>
      <c r="AP11" s="60">
        <f t="shared" si="7"/>
        <v>0</v>
      </c>
      <c r="AQ11" s="60">
        <f t="shared" si="7"/>
        <v>0</v>
      </c>
      <c r="AR11" s="60">
        <f t="shared" si="7"/>
        <v>0</v>
      </c>
      <c r="AS11" s="60">
        <f t="shared" si="7"/>
        <v>0</v>
      </c>
      <c r="AT11" s="60">
        <f t="shared" si="7"/>
        <v>0</v>
      </c>
      <c r="AU11" s="60">
        <f t="shared" si="7"/>
        <v>0</v>
      </c>
      <c r="AV11" s="60">
        <f t="shared" si="7"/>
        <v>19178</v>
      </c>
      <c r="AW11" s="60">
        <f t="shared" si="7"/>
        <v>0</v>
      </c>
      <c r="AX11" s="60">
        <f t="shared" si="7"/>
        <v>0</v>
      </c>
      <c r="AY11" s="60">
        <f t="shared" si="7"/>
        <v>0</v>
      </c>
      <c r="AZ11" s="60">
        <f t="shared" si="7"/>
        <v>0</v>
      </c>
      <c r="BA11" s="62">
        <f t="shared" si="7"/>
        <v>0</v>
      </c>
      <c r="BB11" s="646">
        <f t="shared" si="7"/>
        <v>900890</v>
      </c>
      <c r="BC11" s="61">
        <f t="shared" si="7"/>
        <v>0</v>
      </c>
      <c r="BD11" s="60">
        <f t="shared" si="7"/>
        <v>0</v>
      </c>
      <c r="BE11" s="60">
        <f t="shared" si="7"/>
        <v>0</v>
      </c>
      <c r="BF11" s="60">
        <f t="shared" si="7"/>
        <v>0</v>
      </c>
      <c r="BG11" s="60">
        <f t="shared" si="7"/>
        <v>0</v>
      </c>
      <c r="BH11" s="60">
        <f t="shared" si="7"/>
        <v>0</v>
      </c>
      <c r="BI11" s="60">
        <f t="shared" si="7"/>
        <v>0</v>
      </c>
      <c r="BJ11" s="60">
        <f t="shared" si="7"/>
        <v>0</v>
      </c>
      <c r="BK11" s="60">
        <f t="shared" si="7"/>
        <v>0</v>
      </c>
      <c r="BL11" s="60">
        <f t="shared" si="7"/>
        <v>1432773</v>
      </c>
      <c r="BM11" s="62">
        <f t="shared" si="7"/>
        <v>0</v>
      </c>
      <c r="BN11" s="646">
        <f t="shared" si="7"/>
        <v>1432773</v>
      </c>
      <c r="BO11" s="647">
        <f t="shared" si="7"/>
        <v>9736583</v>
      </c>
      <c r="BP11" s="648"/>
    </row>
    <row r="12" spans="2:68" s="30" customFormat="1" ht="15" customHeight="1">
      <c r="B12" s="25"/>
      <c r="C12" s="25"/>
      <c r="D12" s="661"/>
      <c r="E12" s="1564" t="s">
        <v>2576</v>
      </c>
      <c r="F12" s="1730"/>
      <c r="G12" s="651"/>
      <c r="H12" s="60"/>
      <c r="I12" s="60"/>
      <c r="J12" s="60"/>
      <c r="K12" s="60"/>
      <c r="L12" s="60"/>
      <c r="M12" s="60"/>
      <c r="N12" s="60"/>
      <c r="O12" s="60"/>
      <c r="P12" s="60"/>
      <c r="Q12" s="60"/>
      <c r="R12" s="60"/>
      <c r="S12" s="60"/>
      <c r="T12" s="60"/>
      <c r="U12" s="62"/>
      <c r="V12" s="646">
        <f t="shared" ref="V12:V15" si="8">SUM(G12:U12)</f>
        <v>0</v>
      </c>
      <c r="W12" s="61"/>
      <c r="X12" s="60"/>
      <c r="Y12" s="60"/>
      <c r="Z12" s="60"/>
      <c r="AA12" s="60"/>
      <c r="AB12" s="60"/>
      <c r="AC12" s="60"/>
      <c r="AD12" s="60"/>
      <c r="AE12" s="60"/>
      <c r="AF12" s="60"/>
      <c r="AG12" s="60"/>
      <c r="AH12" s="60"/>
      <c r="AI12" s="60"/>
      <c r="AJ12" s="60"/>
      <c r="AK12" s="62"/>
      <c r="AL12" s="646">
        <f t="shared" ref="AL12:AL15" si="9">SUM(W12:AK12)</f>
        <v>0</v>
      </c>
      <c r="AM12" s="61"/>
      <c r="AN12" s="60"/>
      <c r="AO12" s="60"/>
      <c r="AP12" s="60"/>
      <c r="AQ12" s="60"/>
      <c r="AR12" s="60"/>
      <c r="AS12" s="60"/>
      <c r="AT12" s="60"/>
      <c r="AU12" s="60"/>
      <c r="AV12" s="60"/>
      <c r="AW12" s="60"/>
      <c r="AX12" s="60"/>
      <c r="AY12" s="60"/>
      <c r="AZ12" s="60"/>
      <c r="BA12" s="62"/>
      <c r="BB12" s="646">
        <f t="shared" ref="BB12:BB15" si="10">SUM(AM12:BA12)</f>
        <v>0</v>
      </c>
      <c r="BC12" s="61"/>
      <c r="BD12" s="58">
        <v>0</v>
      </c>
      <c r="BE12" s="60">
        <v>0</v>
      </c>
      <c r="BF12" s="60">
        <v>0</v>
      </c>
      <c r="BG12" s="58">
        <v>0</v>
      </c>
      <c r="BH12" s="60">
        <v>0</v>
      </c>
      <c r="BI12" s="60">
        <v>0</v>
      </c>
      <c r="BJ12" s="60">
        <v>0</v>
      </c>
      <c r="BK12" s="60"/>
      <c r="BL12" s="60"/>
      <c r="BM12" s="62"/>
      <c r="BN12" s="646">
        <f>BC12+BD12+BG12+BJ12+BK12+BL12+BM12</f>
        <v>0</v>
      </c>
      <c r="BO12" s="647">
        <f t="shared" ref="BO12:BO15" si="11">V12+AL12+BB12+BN12</f>
        <v>0</v>
      </c>
      <c r="BP12" s="648"/>
    </row>
    <row r="13" spans="2:68" ht="15" customHeight="1">
      <c r="B13" s="12"/>
      <c r="C13" s="12"/>
      <c r="D13" s="662"/>
      <c r="E13" s="12"/>
      <c r="F13" s="685" t="s">
        <v>2567</v>
      </c>
      <c r="G13" s="652"/>
      <c r="H13" s="43"/>
      <c r="I13" s="43"/>
      <c r="J13" s="43"/>
      <c r="K13" s="43"/>
      <c r="L13" s="43"/>
      <c r="M13" s="43"/>
      <c r="N13" s="43"/>
      <c r="O13" s="43"/>
      <c r="P13" s="43"/>
      <c r="Q13" s="43"/>
      <c r="R13" s="43"/>
      <c r="S13" s="43"/>
      <c r="T13" s="43"/>
      <c r="U13" s="44"/>
      <c r="V13" s="644">
        <f t="shared" si="8"/>
        <v>0</v>
      </c>
      <c r="W13" s="54"/>
      <c r="X13" s="43"/>
      <c r="Y13" s="43"/>
      <c r="Z13" s="43"/>
      <c r="AA13" s="43"/>
      <c r="AB13" s="43"/>
      <c r="AC13" s="43"/>
      <c r="AD13" s="43"/>
      <c r="AE13" s="43"/>
      <c r="AF13" s="43"/>
      <c r="AG13" s="43"/>
      <c r="AH13" s="43"/>
      <c r="AI13" s="43"/>
      <c r="AJ13" s="43"/>
      <c r="AK13" s="44"/>
      <c r="AL13" s="644">
        <f t="shared" si="9"/>
        <v>0</v>
      </c>
      <c r="AM13" s="353"/>
      <c r="AN13" s="58"/>
      <c r="AO13" s="58"/>
      <c r="AP13" s="58"/>
      <c r="AQ13" s="58"/>
      <c r="AR13" s="58"/>
      <c r="AS13" s="58"/>
      <c r="AT13" s="58"/>
      <c r="AU13" s="58"/>
      <c r="AV13" s="58"/>
      <c r="AW13" s="58"/>
      <c r="AX13" s="58"/>
      <c r="AY13" s="58"/>
      <c r="AZ13" s="58"/>
      <c r="BA13" s="204"/>
      <c r="BB13" s="644">
        <f t="shared" si="10"/>
        <v>0</v>
      </c>
      <c r="BC13" s="353"/>
      <c r="BD13" s="58">
        <v>23224844</v>
      </c>
      <c r="BE13" s="58">
        <v>19676603</v>
      </c>
      <c r="BF13" s="58">
        <v>3548241</v>
      </c>
      <c r="BG13" s="58">
        <v>6128778</v>
      </c>
      <c r="BH13" s="58">
        <v>5161076</v>
      </c>
      <c r="BI13" s="58">
        <v>967702</v>
      </c>
      <c r="BJ13" s="58">
        <v>0</v>
      </c>
      <c r="BK13" s="58"/>
      <c r="BL13" s="58"/>
      <c r="BM13" s="204"/>
      <c r="BN13" s="644">
        <f>BC13+BD13+BG13+BJ13+BK13+BL13+BM13</f>
        <v>29353622</v>
      </c>
      <c r="BO13" s="645">
        <f t="shared" si="11"/>
        <v>29353622</v>
      </c>
      <c r="BP13" s="146"/>
    </row>
    <row r="14" spans="2:68" ht="15" customHeight="1">
      <c r="B14" s="12"/>
      <c r="C14" s="12"/>
      <c r="D14" s="662"/>
      <c r="E14" s="12"/>
      <c r="F14" s="685" t="s">
        <v>2568</v>
      </c>
      <c r="G14" s="652"/>
      <c r="H14" s="43"/>
      <c r="I14" s="43"/>
      <c r="J14" s="43"/>
      <c r="K14" s="43"/>
      <c r="L14" s="43"/>
      <c r="M14" s="43"/>
      <c r="N14" s="43"/>
      <c r="O14" s="43"/>
      <c r="P14" s="43"/>
      <c r="Q14" s="43"/>
      <c r="R14" s="43"/>
      <c r="S14" s="43"/>
      <c r="T14" s="43"/>
      <c r="U14" s="44"/>
      <c r="V14" s="644">
        <f t="shared" si="8"/>
        <v>0</v>
      </c>
      <c r="W14" s="54"/>
      <c r="X14" s="43"/>
      <c r="Y14" s="43"/>
      <c r="Z14" s="43"/>
      <c r="AA14" s="43"/>
      <c r="AB14" s="43"/>
      <c r="AC14" s="43"/>
      <c r="AD14" s="43"/>
      <c r="AE14" s="43"/>
      <c r="AF14" s="43"/>
      <c r="AG14" s="43"/>
      <c r="AH14" s="43"/>
      <c r="AI14" s="43"/>
      <c r="AJ14" s="43"/>
      <c r="AK14" s="44"/>
      <c r="AL14" s="644">
        <f t="shared" si="9"/>
        <v>0</v>
      </c>
      <c r="AM14" s="353"/>
      <c r="AN14" s="58"/>
      <c r="AO14" s="58"/>
      <c r="AP14" s="58"/>
      <c r="AQ14" s="58"/>
      <c r="AR14" s="58"/>
      <c r="AS14" s="58"/>
      <c r="AT14" s="58"/>
      <c r="AU14" s="58"/>
      <c r="AV14" s="58"/>
      <c r="AW14" s="58"/>
      <c r="AX14" s="58"/>
      <c r="AY14" s="58"/>
      <c r="AZ14" s="58"/>
      <c r="BA14" s="204"/>
      <c r="BB14" s="644">
        <f t="shared" si="10"/>
        <v>0</v>
      </c>
      <c r="BC14" s="353"/>
      <c r="BD14" s="58"/>
      <c r="BE14" s="58"/>
      <c r="BF14" s="58"/>
      <c r="BG14" s="58"/>
      <c r="BH14" s="58"/>
      <c r="BI14" s="58"/>
      <c r="BJ14" s="58"/>
      <c r="BK14" s="58"/>
      <c r="BL14" s="58"/>
      <c r="BM14" s="204"/>
      <c r="BN14" s="644">
        <f t="shared" ref="BN14:BN15" si="12">BC14+BD14+BG14+BJ14+BK14+BL14+BM14</f>
        <v>0</v>
      </c>
      <c r="BO14" s="645">
        <f t="shared" si="11"/>
        <v>0</v>
      </c>
      <c r="BP14" s="146"/>
    </row>
    <row r="15" spans="2:68" ht="15" customHeight="1">
      <c r="B15" s="12"/>
      <c r="C15" s="12"/>
      <c r="D15" s="662"/>
      <c r="E15" s="12"/>
      <c r="F15" s="685" t="s">
        <v>2569</v>
      </c>
      <c r="G15" s="652"/>
      <c r="H15" s="43"/>
      <c r="I15" s="43"/>
      <c r="J15" s="43"/>
      <c r="K15" s="43"/>
      <c r="L15" s="43"/>
      <c r="M15" s="43"/>
      <c r="N15" s="43"/>
      <c r="O15" s="43"/>
      <c r="P15" s="43"/>
      <c r="Q15" s="43"/>
      <c r="R15" s="43"/>
      <c r="S15" s="43"/>
      <c r="T15" s="43"/>
      <c r="U15" s="44"/>
      <c r="V15" s="644">
        <f t="shared" si="8"/>
        <v>0</v>
      </c>
      <c r="W15" s="54"/>
      <c r="X15" s="43"/>
      <c r="Y15" s="43"/>
      <c r="Z15" s="43"/>
      <c r="AA15" s="43"/>
      <c r="AB15" s="43"/>
      <c r="AC15" s="43"/>
      <c r="AD15" s="43"/>
      <c r="AE15" s="43"/>
      <c r="AF15" s="43"/>
      <c r="AG15" s="43"/>
      <c r="AH15" s="43"/>
      <c r="AI15" s="43"/>
      <c r="AJ15" s="43"/>
      <c r="AK15" s="44"/>
      <c r="AL15" s="644">
        <f t="shared" si="9"/>
        <v>0</v>
      </c>
      <c r="AM15" s="353"/>
      <c r="AN15" s="58"/>
      <c r="AO15" s="58"/>
      <c r="AP15" s="58"/>
      <c r="AQ15" s="58"/>
      <c r="AR15" s="58"/>
      <c r="AS15" s="58"/>
      <c r="AT15" s="58"/>
      <c r="AU15" s="58"/>
      <c r="AV15" s="58"/>
      <c r="AW15" s="58"/>
      <c r="AX15" s="58"/>
      <c r="AY15" s="58"/>
      <c r="AZ15" s="58"/>
      <c r="BA15" s="204"/>
      <c r="BB15" s="644">
        <f t="shared" si="10"/>
        <v>0</v>
      </c>
      <c r="BC15" s="353"/>
      <c r="BD15" s="58"/>
      <c r="BE15" s="58"/>
      <c r="BF15" s="58"/>
      <c r="BG15" s="58"/>
      <c r="BH15" s="58"/>
      <c r="BI15" s="58"/>
      <c r="BJ15" s="58"/>
      <c r="BK15" s="58"/>
      <c r="BL15" s="58"/>
      <c r="BM15" s="204"/>
      <c r="BN15" s="644">
        <f t="shared" si="12"/>
        <v>0</v>
      </c>
      <c r="BO15" s="645">
        <f t="shared" si="11"/>
        <v>0</v>
      </c>
      <c r="BP15" s="146"/>
    </row>
    <row r="16" spans="2:68" s="30" customFormat="1" ht="15" customHeight="1">
      <c r="B16" s="25"/>
      <c r="C16" s="25"/>
      <c r="D16" s="661"/>
      <c r="E16" s="25"/>
      <c r="F16" s="686" t="s">
        <v>2570</v>
      </c>
      <c r="G16" s="651">
        <f>G13+G14-G15</f>
        <v>0</v>
      </c>
      <c r="H16" s="60">
        <f t="shared" ref="H16:BO16" si="13">H13+H14-H15</f>
        <v>0</v>
      </c>
      <c r="I16" s="60">
        <f t="shared" si="13"/>
        <v>0</v>
      </c>
      <c r="J16" s="60">
        <f t="shared" si="13"/>
        <v>0</v>
      </c>
      <c r="K16" s="60">
        <f t="shared" si="13"/>
        <v>0</v>
      </c>
      <c r="L16" s="60">
        <f t="shared" si="13"/>
        <v>0</v>
      </c>
      <c r="M16" s="60">
        <f t="shared" si="13"/>
        <v>0</v>
      </c>
      <c r="N16" s="60">
        <f t="shared" si="13"/>
        <v>0</v>
      </c>
      <c r="O16" s="60">
        <f t="shared" si="13"/>
        <v>0</v>
      </c>
      <c r="P16" s="60">
        <f t="shared" si="13"/>
        <v>0</v>
      </c>
      <c r="Q16" s="60">
        <f t="shared" si="13"/>
        <v>0</v>
      </c>
      <c r="R16" s="60">
        <f t="shared" si="13"/>
        <v>0</v>
      </c>
      <c r="S16" s="60">
        <f t="shared" si="13"/>
        <v>0</v>
      </c>
      <c r="T16" s="60">
        <f t="shared" si="13"/>
        <v>0</v>
      </c>
      <c r="U16" s="62">
        <f t="shared" si="13"/>
        <v>0</v>
      </c>
      <c r="V16" s="646">
        <f t="shared" si="13"/>
        <v>0</v>
      </c>
      <c r="W16" s="61">
        <f t="shared" si="13"/>
        <v>0</v>
      </c>
      <c r="X16" s="60">
        <f t="shared" si="13"/>
        <v>0</v>
      </c>
      <c r="Y16" s="60">
        <f t="shared" si="13"/>
        <v>0</v>
      </c>
      <c r="Z16" s="60">
        <f t="shared" si="13"/>
        <v>0</v>
      </c>
      <c r="AA16" s="60">
        <f t="shared" si="13"/>
        <v>0</v>
      </c>
      <c r="AB16" s="60">
        <f t="shared" si="13"/>
        <v>0</v>
      </c>
      <c r="AC16" s="60">
        <f t="shared" si="13"/>
        <v>0</v>
      </c>
      <c r="AD16" s="60">
        <f t="shared" si="13"/>
        <v>0</v>
      </c>
      <c r="AE16" s="60">
        <f t="shared" si="13"/>
        <v>0</v>
      </c>
      <c r="AF16" s="60">
        <f t="shared" si="13"/>
        <v>0</v>
      </c>
      <c r="AG16" s="60">
        <f t="shared" si="13"/>
        <v>0</v>
      </c>
      <c r="AH16" s="60">
        <f t="shared" si="13"/>
        <v>0</v>
      </c>
      <c r="AI16" s="60">
        <f t="shared" si="13"/>
        <v>0</v>
      </c>
      <c r="AJ16" s="60">
        <f t="shared" si="13"/>
        <v>0</v>
      </c>
      <c r="AK16" s="62">
        <f t="shared" si="13"/>
        <v>0</v>
      </c>
      <c r="AL16" s="646">
        <f t="shared" si="13"/>
        <v>0</v>
      </c>
      <c r="AM16" s="61">
        <f t="shared" si="13"/>
        <v>0</v>
      </c>
      <c r="AN16" s="60">
        <f t="shared" si="13"/>
        <v>0</v>
      </c>
      <c r="AO16" s="60">
        <f t="shared" si="13"/>
        <v>0</v>
      </c>
      <c r="AP16" s="60">
        <f t="shared" si="13"/>
        <v>0</v>
      </c>
      <c r="AQ16" s="60">
        <f t="shared" si="13"/>
        <v>0</v>
      </c>
      <c r="AR16" s="60">
        <f t="shared" si="13"/>
        <v>0</v>
      </c>
      <c r="AS16" s="60">
        <f t="shared" si="13"/>
        <v>0</v>
      </c>
      <c r="AT16" s="60">
        <f t="shared" si="13"/>
        <v>0</v>
      </c>
      <c r="AU16" s="60">
        <f t="shared" si="13"/>
        <v>0</v>
      </c>
      <c r="AV16" s="60">
        <f t="shared" si="13"/>
        <v>0</v>
      </c>
      <c r="AW16" s="60">
        <f t="shared" si="13"/>
        <v>0</v>
      </c>
      <c r="AX16" s="60">
        <f t="shared" si="13"/>
        <v>0</v>
      </c>
      <c r="AY16" s="60">
        <f t="shared" si="13"/>
        <v>0</v>
      </c>
      <c r="AZ16" s="60">
        <f t="shared" si="13"/>
        <v>0</v>
      </c>
      <c r="BA16" s="62">
        <f t="shared" si="13"/>
        <v>0</v>
      </c>
      <c r="BB16" s="646">
        <f t="shared" si="13"/>
        <v>0</v>
      </c>
      <c r="BC16" s="61">
        <f t="shared" si="13"/>
        <v>0</v>
      </c>
      <c r="BD16" s="60">
        <f>BD13+BD14-BD15</f>
        <v>23224844</v>
      </c>
      <c r="BE16" s="60">
        <f t="shared" si="13"/>
        <v>19676603</v>
      </c>
      <c r="BF16" s="60">
        <f t="shared" si="13"/>
        <v>3548241</v>
      </c>
      <c r="BG16" s="60">
        <f t="shared" si="13"/>
        <v>6128778</v>
      </c>
      <c r="BH16" s="60">
        <f t="shared" si="13"/>
        <v>5161076</v>
      </c>
      <c r="BI16" s="60">
        <f t="shared" si="13"/>
        <v>967702</v>
      </c>
      <c r="BJ16" s="60">
        <f t="shared" si="13"/>
        <v>0</v>
      </c>
      <c r="BK16" s="60">
        <f t="shared" si="13"/>
        <v>0</v>
      </c>
      <c r="BL16" s="60">
        <f t="shared" si="13"/>
        <v>0</v>
      </c>
      <c r="BM16" s="62">
        <f t="shared" si="13"/>
        <v>0</v>
      </c>
      <c r="BN16" s="646">
        <f t="shared" si="13"/>
        <v>29353622</v>
      </c>
      <c r="BO16" s="647">
        <f t="shared" si="13"/>
        <v>29353622</v>
      </c>
      <c r="BP16" s="648"/>
    </row>
    <row r="17" spans="2:68" s="30" customFormat="1" ht="15" customHeight="1">
      <c r="B17" s="25"/>
      <c r="C17" s="25"/>
      <c r="D17" s="661"/>
      <c r="E17" s="1564" t="s">
        <v>2577</v>
      </c>
      <c r="F17" s="1730"/>
      <c r="G17" s="651"/>
      <c r="H17" s="60"/>
      <c r="I17" s="60"/>
      <c r="J17" s="60"/>
      <c r="K17" s="60"/>
      <c r="L17" s="60"/>
      <c r="M17" s="60"/>
      <c r="N17" s="60"/>
      <c r="O17" s="60"/>
      <c r="P17" s="60"/>
      <c r="Q17" s="60"/>
      <c r="R17" s="60"/>
      <c r="S17" s="60"/>
      <c r="T17" s="60"/>
      <c r="U17" s="62"/>
      <c r="V17" s="646">
        <f t="shared" ref="V17:V20" si="14">SUM(G17:U17)</f>
        <v>0</v>
      </c>
      <c r="W17" s="61"/>
      <c r="X17" s="60"/>
      <c r="Y17" s="60"/>
      <c r="Z17" s="60"/>
      <c r="AA17" s="60"/>
      <c r="AB17" s="60"/>
      <c r="AC17" s="60"/>
      <c r="AD17" s="60"/>
      <c r="AE17" s="60"/>
      <c r="AF17" s="60"/>
      <c r="AG17" s="60"/>
      <c r="AH17" s="60"/>
      <c r="AI17" s="60"/>
      <c r="AJ17" s="60"/>
      <c r="AK17" s="62"/>
      <c r="AL17" s="646">
        <f t="shared" ref="AL17:AL20" si="15">SUM(W17:AK17)</f>
        <v>0</v>
      </c>
      <c r="AM17" s="61"/>
      <c r="AN17" s="60"/>
      <c r="AO17" s="60"/>
      <c r="AP17" s="60"/>
      <c r="AQ17" s="60"/>
      <c r="AR17" s="60"/>
      <c r="AS17" s="60"/>
      <c r="AT17" s="60"/>
      <c r="AU17" s="60"/>
      <c r="AV17" s="60"/>
      <c r="AW17" s="60"/>
      <c r="AX17" s="60"/>
      <c r="AY17" s="60"/>
      <c r="AZ17" s="60"/>
      <c r="BA17" s="62"/>
      <c r="BB17" s="646">
        <f t="shared" ref="BB17:BB20" si="16">SUM(AM17:BA17)</f>
        <v>0</v>
      </c>
      <c r="BC17" s="61"/>
      <c r="BD17" s="58">
        <f t="shared" ref="BD17" si="17">BE17+BF17</f>
        <v>0</v>
      </c>
      <c r="BE17" s="60"/>
      <c r="BF17" s="60"/>
      <c r="BG17" s="58">
        <f t="shared" ref="BG17" si="18">BH17+BI17</f>
        <v>0</v>
      </c>
      <c r="BH17" s="60"/>
      <c r="BI17" s="60"/>
      <c r="BJ17" s="60"/>
      <c r="BK17" s="60"/>
      <c r="BL17" s="60"/>
      <c r="BM17" s="62"/>
      <c r="BN17" s="646">
        <f t="shared" ref="BN17:BN20" si="19">BC17+BD17+BG17+BJ17+BK17+BL17+BM17</f>
        <v>0</v>
      </c>
      <c r="BO17" s="647">
        <f t="shared" ref="BO17:BO20" si="20">V17+AL17+BB17+BN17</f>
        <v>0</v>
      </c>
      <c r="BP17" s="648"/>
    </row>
    <row r="18" spans="2:68" ht="15" customHeight="1">
      <c r="B18" s="12"/>
      <c r="C18" s="12"/>
      <c r="D18" s="662"/>
      <c r="E18" s="12"/>
      <c r="F18" s="685" t="s">
        <v>2571</v>
      </c>
      <c r="G18" s="652">
        <v>25360</v>
      </c>
      <c r="H18" s="43">
        <v>232959</v>
      </c>
      <c r="I18" s="43">
        <v>4721933</v>
      </c>
      <c r="J18" s="43">
        <v>33929</v>
      </c>
      <c r="K18" s="43">
        <v>0</v>
      </c>
      <c r="L18" s="43">
        <v>143358</v>
      </c>
      <c r="M18" s="43">
        <v>7502416</v>
      </c>
      <c r="N18" s="43">
        <v>115399</v>
      </c>
      <c r="O18" s="43">
        <v>1302626</v>
      </c>
      <c r="P18" s="43">
        <v>741842</v>
      </c>
      <c r="Q18" s="43">
        <v>0</v>
      </c>
      <c r="R18" s="43">
        <v>0</v>
      </c>
      <c r="S18" s="43">
        <v>1306</v>
      </c>
      <c r="T18" s="43">
        <v>0</v>
      </c>
      <c r="U18" s="44">
        <v>0</v>
      </c>
      <c r="V18" s="644">
        <f t="shared" si="14"/>
        <v>14821128</v>
      </c>
      <c r="W18" s="54">
        <v>0</v>
      </c>
      <c r="X18" s="43">
        <v>1156196</v>
      </c>
      <c r="Y18" s="43">
        <v>0</v>
      </c>
      <c r="Z18" s="43">
        <v>0</v>
      </c>
      <c r="AA18" s="43">
        <v>0</v>
      </c>
      <c r="AB18" s="43">
        <v>0</v>
      </c>
      <c r="AC18" s="43">
        <v>0</v>
      </c>
      <c r="AD18" s="43">
        <v>333803</v>
      </c>
      <c r="AE18" s="43">
        <v>11435077</v>
      </c>
      <c r="AF18" s="43">
        <v>1032986</v>
      </c>
      <c r="AG18" s="43">
        <v>0</v>
      </c>
      <c r="AH18" s="43">
        <v>0</v>
      </c>
      <c r="AI18" s="43">
        <v>6611</v>
      </c>
      <c r="AJ18" s="43">
        <v>0</v>
      </c>
      <c r="AK18" s="44">
        <v>0</v>
      </c>
      <c r="AL18" s="644">
        <f t="shared" si="15"/>
        <v>13964673</v>
      </c>
      <c r="AM18" s="353">
        <v>0</v>
      </c>
      <c r="AN18" s="58">
        <v>147</v>
      </c>
      <c r="AO18" s="58">
        <v>3286</v>
      </c>
      <c r="AP18" s="58">
        <v>0</v>
      </c>
      <c r="AQ18" s="58">
        <v>0</v>
      </c>
      <c r="AR18" s="58">
        <v>0</v>
      </c>
      <c r="AS18" s="58">
        <v>0</v>
      </c>
      <c r="AT18" s="58">
        <v>1541</v>
      </c>
      <c r="AU18" s="58">
        <v>17925</v>
      </c>
      <c r="AV18" s="58">
        <v>22080</v>
      </c>
      <c r="AW18" s="58">
        <v>0</v>
      </c>
      <c r="AX18" s="58">
        <v>0</v>
      </c>
      <c r="AY18" s="58">
        <v>519933</v>
      </c>
      <c r="AZ18" s="58">
        <v>0</v>
      </c>
      <c r="BA18" s="204">
        <v>0</v>
      </c>
      <c r="BB18" s="644">
        <f t="shared" si="16"/>
        <v>564912</v>
      </c>
      <c r="BC18" s="353">
        <v>48061046</v>
      </c>
      <c r="BD18" s="58">
        <v>0</v>
      </c>
      <c r="BE18" s="58">
        <v>0</v>
      </c>
      <c r="BF18" s="58">
        <v>0</v>
      </c>
      <c r="BG18" s="58">
        <v>0</v>
      </c>
      <c r="BH18" s="58">
        <v>0</v>
      </c>
      <c r="BI18" s="58">
        <v>0</v>
      </c>
      <c r="BJ18" s="58">
        <v>0</v>
      </c>
      <c r="BK18" s="58">
        <v>0</v>
      </c>
      <c r="BL18" s="58">
        <v>2077381</v>
      </c>
      <c r="BM18" s="204">
        <v>0</v>
      </c>
      <c r="BN18" s="644">
        <f t="shared" si="19"/>
        <v>50138427</v>
      </c>
      <c r="BO18" s="645">
        <f t="shared" si="20"/>
        <v>79489140</v>
      </c>
      <c r="BP18" s="146"/>
    </row>
    <row r="19" spans="2:68" ht="15" customHeight="1">
      <c r="B19" s="12"/>
      <c r="C19" s="12"/>
      <c r="D19" s="662"/>
      <c r="E19" s="12"/>
      <c r="F19" s="685" t="s">
        <v>2572</v>
      </c>
      <c r="G19" s="652"/>
      <c r="H19" s="43"/>
      <c r="I19" s="43"/>
      <c r="J19" s="43"/>
      <c r="K19" s="43"/>
      <c r="L19" s="43"/>
      <c r="M19" s="43"/>
      <c r="N19" s="43"/>
      <c r="O19" s="43"/>
      <c r="P19" s="43"/>
      <c r="Q19" s="43"/>
      <c r="R19" s="43"/>
      <c r="S19" s="43"/>
      <c r="T19" s="43"/>
      <c r="U19" s="44"/>
      <c r="V19" s="644">
        <f t="shared" si="14"/>
        <v>0</v>
      </c>
      <c r="W19" s="54"/>
      <c r="X19" s="43"/>
      <c r="Y19" s="43"/>
      <c r="Z19" s="43"/>
      <c r="AA19" s="43"/>
      <c r="AB19" s="43"/>
      <c r="AC19" s="43"/>
      <c r="AD19" s="43"/>
      <c r="AE19" s="43"/>
      <c r="AF19" s="43"/>
      <c r="AG19" s="43"/>
      <c r="AH19" s="43"/>
      <c r="AI19" s="43"/>
      <c r="AJ19" s="43"/>
      <c r="AK19" s="44"/>
      <c r="AL19" s="644">
        <f t="shared" si="15"/>
        <v>0</v>
      </c>
      <c r="AM19" s="353"/>
      <c r="AN19" s="58"/>
      <c r="AO19" s="58"/>
      <c r="AP19" s="58"/>
      <c r="AQ19" s="58"/>
      <c r="AR19" s="58"/>
      <c r="AS19" s="58"/>
      <c r="AT19" s="58"/>
      <c r="AU19" s="58"/>
      <c r="AV19" s="58"/>
      <c r="AW19" s="58"/>
      <c r="AX19" s="58"/>
      <c r="AY19" s="58"/>
      <c r="AZ19" s="58"/>
      <c r="BA19" s="204"/>
      <c r="BB19" s="644">
        <f t="shared" si="16"/>
        <v>0</v>
      </c>
      <c r="BC19" s="353"/>
      <c r="BD19" s="58"/>
      <c r="BE19" s="58"/>
      <c r="BF19" s="58"/>
      <c r="BG19" s="58"/>
      <c r="BH19" s="58"/>
      <c r="BI19" s="58"/>
      <c r="BJ19" s="58"/>
      <c r="BK19" s="58"/>
      <c r="BL19" s="58"/>
      <c r="BM19" s="204"/>
      <c r="BN19" s="644">
        <f t="shared" si="19"/>
        <v>0</v>
      </c>
      <c r="BO19" s="645">
        <f t="shared" si="20"/>
        <v>0</v>
      </c>
      <c r="BP19" s="146"/>
    </row>
    <row r="20" spans="2:68" ht="15" customHeight="1">
      <c r="B20" s="12"/>
      <c r="C20" s="12"/>
      <c r="D20" s="662"/>
      <c r="E20" s="12"/>
      <c r="F20" s="685" t="s">
        <v>2573</v>
      </c>
      <c r="G20" s="652">
        <v>0</v>
      </c>
      <c r="H20" s="43">
        <v>46364</v>
      </c>
      <c r="I20" s="43">
        <v>32729</v>
      </c>
      <c r="J20" s="43">
        <v>0</v>
      </c>
      <c r="K20" s="43">
        <v>0</v>
      </c>
      <c r="L20" s="43">
        <v>0</v>
      </c>
      <c r="M20" s="43">
        <v>55</v>
      </c>
      <c r="N20" s="43">
        <v>1053</v>
      </c>
      <c r="O20" s="43">
        <v>167604</v>
      </c>
      <c r="P20" s="43">
        <v>80836</v>
      </c>
      <c r="Q20" s="43">
        <v>0</v>
      </c>
      <c r="R20" s="43">
        <v>0</v>
      </c>
      <c r="S20" s="43">
        <v>66</v>
      </c>
      <c r="T20" s="43">
        <v>0</v>
      </c>
      <c r="U20" s="44">
        <v>0</v>
      </c>
      <c r="V20" s="644">
        <f t="shared" si="14"/>
        <v>328707</v>
      </c>
      <c r="W20" s="54">
        <v>0</v>
      </c>
      <c r="X20" s="43">
        <v>512850</v>
      </c>
      <c r="Y20" s="43">
        <v>0</v>
      </c>
      <c r="Z20" s="43">
        <v>0</v>
      </c>
      <c r="AA20" s="43">
        <v>0</v>
      </c>
      <c r="AB20" s="43">
        <v>0</v>
      </c>
      <c r="AC20" s="43">
        <v>0</v>
      </c>
      <c r="AD20" s="43">
        <v>152947</v>
      </c>
      <c r="AE20" s="43">
        <v>286181</v>
      </c>
      <c r="AF20" s="43">
        <v>108824</v>
      </c>
      <c r="AG20" s="43">
        <v>0</v>
      </c>
      <c r="AH20" s="43">
        <v>0</v>
      </c>
      <c r="AI20" s="43">
        <v>168</v>
      </c>
      <c r="AJ20" s="43">
        <v>0</v>
      </c>
      <c r="AK20" s="44">
        <v>0</v>
      </c>
      <c r="AL20" s="644">
        <f t="shared" si="15"/>
        <v>1060970</v>
      </c>
      <c r="AM20" s="353">
        <v>0</v>
      </c>
      <c r="AN20" s="58">
        <v>0</v>
      </c>
      <c r="AO20" s="58">
        <v>236</v>
      </c>
      <c r="AP20" s="58">
        <v>0</v>
      </c>
      <c r="AQ20" s="58">
        <v>0</v>
      </c>
      <c r="AR20" s="58">
        <v>0</v>
      </c>
      <c r="AS20" s="58">
        <v>0</v>
      </c>
      <c r="AT20" s="58">
        <v>0</v>
      </c>
      <c r="AU20" s="58">
        <v>0</v>
      </c>
      <c r="AV20" s="58">
        <v>21</v>
      </c>
      <c r="AW20" s="58">
        <v>0</v>
      </c>
      <c r="AX20" s="58">
        <v>0</v>
      </c>
      <c r="AY20" s="58">
        <v>0</v>
      </c>
      <c r="AZ20" s="58">
        <v>0</v>
      </c>
      <c r="BA20" s="204">
        <v>0</v>
      </c>
      <c r="BB20" s="644">
        <f t="shared" si="16"/>
        <v>257</v>
      </c>
      <c r="BC20" s="353">
        <v>19200469</v>
      </c>
      <c r="BD20" s="58">
        <v>0</v>
      </c>
      <c r="BE20" s="58">
        <v>0</v>
      </c>
      <c r="BF20" s="58">
        <v>0</v>
      </c>
      <c r="BG20" s="58">
        <v>0</v>
      </c>
      <c r="BH20" s="58">
        <v>0</v>
      </c>
      <c r="BI20" s="58">
        <v>0</v>
      </c>
      <c r="BJ20" s="58">
        <v>0</v>
      </c>
      <c r="BK20" s="58">
        <v>0</v>
      </c>
      <c r="BL20" s="58">
        <v>5000</v>
      </c>
      <c r="BM20" s="204">
        <v>0</v>
      </c>
      <c r="BN20" s="644">
        <f t="shared" si="19"/>
        <v>19205469</v>
      </c>
      <c r="BO20" s="645">
        <f t="shared" si="20"/>
        <v>20595403</v>
      </c>
      <c r="BP20" s="146"/>
    </row>
    <row r="21" spans="2:68" s="30" customFormat="1" ht="15" customHeight="1">
      <c r="B21" s="25"/>
      <c r="C21" s="25"/>
      <c r="D21" s="661"/>
      <c r="E21" s="25"/>
      <c r="F21" s="686" t="s">
        <v>2574</v>
      </c>
      <c r="G21" s="651">
        <f>G18+G19-G20</f>
        <v>25360</v>
      </c>
      <c r="H21" s="60">
        <f t="shared" ref="H21:BO21" si="21">H18+H19-H20</f>
        <v>186595</v>
      </c>
      <c r="I21" s="60">
        <f t="shared" si="21"/>
        <v>4689204</v>
      </c>
      <c r="J21" s="60">
        <f t="shared" si="21"/>
        <v>33929</v>
      </c>
      <c r="K21" s="60">
        <f t="shared" si="21"/>
        <v>0</v>
      </c>
      <c r="L21" s="60">
        <f t="shared" si="21"/>
        <v>143358</v>
      </c>
      <c r="M21" s="60">
        <f t="shared" si="21"/>
        <v>7502361</v>
      </c>
      <c r="N21" s="60">
        <f t="shared" si="21"/>
        <v>114346</v>
      </c>
      <c r="O21" s="60">
        <f t="shared" si="21"/>
        <v>1135022</v>
      </c>
      <c r="P21" s="60">
        <f t="shared" si="21"/>
        <v>661006</v>
      </c>
      <c r="Q21" s="60">
        <f t="shared" si="21"/>
        <v>0</v>
      </c>
      <c r="R21" s="60">
        <f t="shared" si="21"/>
        <v>0</v>
      </c>
      <c r="S21" s="60">
        <f t="shared" si="21"/>
        <v>1240</v>
      </c>
      <c r="T21" s="60">
        <f t="shared" si="21"/>
        <v>0</v>
      </c>
      <c r="U21" s="62">
        <f t="shared" si="21"/>
        <v>0</v>
      </c>
      <c r="V21" s="646">
        <f t="shared" si="21"/>
        <v>14492421</v>
      </c>
      <c r="W21" s="61">
        <f t="shared" si="21"/>
        <v>0</v>
      </c>
      <c r="X21" s="60">
        <f t="shared" si="21"/>
        <v>643346</v>
      </c>
      <c r="Y21" s="60">
        <f t="shared" si="21"/>
        <v>0</v>
      </c>
      <c r="Z21" s="60">
        <f t="shared" si="21"/>
        <v>0</v>
      </c>
      <c r="AA21" s="60">
        <f t="shared" si="21"/>
        <v>0</v>
      </c>
      <c r="AB21" s="60">
        <f t="shared" si="21"/>
        <v>0</v>
      </c>
      <c r="AC21" s="60">
        <f t="shared" si="21"/>
        <v>0</v>
      </c>
      <c r="AD21" s="60">
        <f t="shared" si="21"/>
        <v>180856</v>
      </c>
      <c r="AE21" s="60">
        <f t="shared" si="21"/>
        <v>11148896</v>
      </c>
      <c r="AF21" s="60">
        <f t="shared" si="21"/>
        <v>924162</v>
      </c>
      <c r="AG21" s="60">
        <f t="shared" si="21"/>
        <v>0</v>
      </c>
      <c r="AH21" s="60">
        <f t="shared" si="21"/>
        <v>0</v>
      </c>
      <c r="AI21" s="60">
        <f t="shared" si="21"/>
        <v>6443</v>
      </c>
      <c r="AJ21" s="60">
        <f t="shared" si="21"/>
        <v>0</v>
      </c>
      <c r="AK21" s="62">
        <f t="shared" si="21"/>
        <v>0</v>
      </c>
      <c r="AL21" s="646">
        <f t="shared" si="21"/>
        <v>12903703</v>
      </c>
      <c r="AM21" s="61">
        <f t="shared" si="21"/>
        <v>0</v>
      </c>
      <c r="AN21" s="60">
        <f t="shared" si="21"/>
        <v>147</v>
      </c>
      <c r="AO21" s="60">
        <f t="shared" si="21"/>
        <v>3050</v>
      </c>
      <c r="AP21" s="60">
        <f t="shared" si="21"/>
        <v>0</v>
      </c>
      <c r="AQ21" s="60">
        <f t="shared" si="21"/>
        <v>0</v>
      </c>
      <c r="AR21" s="60">
        <f t="shared" si="21"/>
        <v>0</v>
      </c>
      <c r="AS21" s="60">
        <f t="shared" si="21"/>
        <v>0</v>
      </c>
      <c r="AT21" s="60">
        <f t="shared" si="21"/>
        <v>1541</v>
      </c>
      <c r="AU21" s="60">
        <f t="shared" si="21"/>
        <v>17925</v>
      </c>
      <c r="AV21" s="60">
        <f t="shared" si="21"/>
        <v>22059</v>
      </c>
      <c r="AW21" s="60">
        <f t="shared" si="21"/>
        <v>0</v>
      </c>
      <c r="AX21" s="60">
        <f t="shared" si="21"/>
        <v>0</v>
      </c>
      <c r="AY21" s="60">
        <f t="shared" si="21"/>
        <v>519933</v>
      </c>
      <c r="AZ21" s="60">
        <f t="shared" si="21"/>
        <v>0</v>
      </c>
      <c r="BA21" s="62">
        <f t="shared" si="21"/>
        <v>0</v>
      </c>
      <c r="BB21" s="646">
        <f t="shared" si="21"/>
        <v>564655</v>
      </c>
      <c r="BC21" s="61">
        <f t="shared" si="21"/>
        <v>28860577</v>
      </c>
      <c r="BD21" s="60">
        <f t="shared" si="21"/>
        <v>0</v>
      </c>
      <c r="BE21" s="60">
        <f t="shared" si="21"/>
        <v>0</v>
      </c>
      <c r="BF21" s="60">
        <f t="shared" si="21"/>
        <v>0</v>
      </c>
      <c r="BG21" s="60">
        <f t="shared" si="21"/>
        <v>0</v>
      </c>
      <c r="BH21" s="60">
        <f t="shared" si="21"/>
        <v>0</v>
      </c>
      <c r="BI21" s="60">
        <f t="shared" si="21"/>
        <v>0</v>
      </c>
      <c r="BJ21" s="60">
        <f t="shared" si="21"/>
        <v>0</v>
      </c>
      <c r="BK21" s="60">
        <f t="shared" si="21"/>
        <v>0</v>
      </c>
      <c r="BL21" s="60">
        <f t="shared" si="21"/>
        <v>2072381</v>
      </c>
      <c r="BM21" s="62">
        <f t="shared" si="21"/>
        <v>0</v>
      </c>
      <c r="BN21" s="646">
        <f t="shared" si="21"/>
        <v>30932958</v>
      </c>
      <c r="BO21" s="647">
        <f t="shared" si="21"/>
        <v>58893737</v>
      </c>
      <c r="BP21" s="648"/>
    </row>
    <row r="22" spans="2:68" s="30" customFormat="1" ht="15" customHeight="1" thickBot="1">
      <c r="B22" s="25"/>
      <c r="C22" s="25"/>
      <c r="D22" s="670"/>
      <c r="E22" s="1749" t="s">
        <v>2562</v>
      </c>
      <c r="F22" s="1750"/>
      <c r="G22" s="671">
        <f>G8+G13+G18</f>
        <v>25360</v>
      </c>
      <c r="H22" s="133">
        <f t="shared" ref="H22:BO22" si="22">H8+H13+H18</f>
        <v>287244</v>
      </c>
      <c r="I22" s="133">
        <f t="shared" si="22"/>
        <v>6434794</v>
      </c>
      <c r="J22" s="133">
        <f t="shared" si="22"/>
        <v>33929</v>
      </c>
      <c r="K22" s="133">
        <f t="shared" si="22"/>
        <v>0</v>
      </c>
      <c r="L22" s="133">
        <f t="shared" si="22"/>
        <v>143368</v>
      </c>
      <c r="M22" s="133">
        <f t="shared" si="22"/>
        <v>9266023</v>
      </c>
      <c r="N22" s="133">
        <f t="shared" si="22"/>
        <v>150979</v>
      </c>
      <c r="O22" s="133">
        <f t="shared" si="22"/>
        <v>1326457</v>
      </c>
      <c r="P22" s="133">
        <f t="shared" si="22"/>
        <v>807210</v>
      </c>
      <c r="Q22" s="133">
        <f t="shared" si="22"/>
        <v>0</v>
      </c>
      <c r="R22" s="133">
        <f t="shared" si="22"/>
        <v>0</v>
      </c>
      <c r="S22" s="133">
        <f t="shared" si="22"/>
        <v>1306</v>
      </c>
      <c r="T22" s="133">
        <f t="shared" si="22"/>
        <v>0</v>
      </c>
      <c r="U22" s="423">
        <f t="shared" si="22"/>
        <v>0</v>
      </c>
      <c r="V22" s="672">
        <f t="shared" si="22"/>
        <v>18476670</v>
      </c>
      <c r="W22" s="422">
        <f t="shared" si="22"/>
        <v>0</v>
      </c>
      <c r="X22" s="133">
        <f t="shared" si="22"/>
        <v>1156196</v>
      </c>
      <c r="Y22" s="133">
        <f t="shared" si="22"/>
        <v>0</v>
      </c>
      <c r="Z22" s="133">
        <f t="shared" si="22"/>
        <v>0</v>
      </c>
      <c r="AA22" s="133">
        <f t="shared" si="22"/>
        <v>0</v>
      </c>
      <c r="AB22" s="133">
        <f t="shared" si="22"/>
        <v>0</v>
      </c>
      <c r="AC22" s="133">
        <f t="shared" si="22"/>
        <v>0</v>
      </c>
      <c r="AD22" s="133">
        <f t="shared" si="22"/>
        <v>333803</v>
      </c>
      <c r="AE22" s="133">
        <f t="shared" si="22"/>
        <v>15229237</v>
      </c>
      <c r="AF22" s="133">
        <f t="shared" si="22"/>
        <v>1073749</v>
      </c>
      <c r="AG22" s="133">
        <f t="shared" si="22"/>
        <v>0</v>
      </c>
      <c r="AH22" s="133">
        <f t="shared" si="22"/>
        <v>0</v>
      </c>
      <c r="AI22" s="133">
        <f t="shared" si="22"/>
        <v>6611</v>
      </c>
      <c r="AJ22" s="133">
        <f t="shared" si="22"/>
        <v>0</v>
      </c>
      <c r="AK22" s="423">
        <f t="shared" si="22"/>
        <v>0</v>
      </c>
      <c r="AL22" s="672">
        <f t="shared" si="22"/>
        <v>17799596</v>
      </c>
      <c r="AM22" s="422">
        <f t="shared" si="22"/>
        <v>0</v>
      </c>
      <c r="AN22" s="133">
        <f t="shared" si="22"/>
        <v>147</v>
      </c>
      <c r="AO22" s="133">
        <f t="shared" si="22"/>
        <v>910110</v>
      </c>
      <c r="AP22" s="133">
        <f t="shared" si="22"/>
        <v>0</v>
      </c>
      <c r="AQ22" s="133">
        <f t="shared" si="22"/>
        <v>0</v>
      </c>
      <c r="AR22" s="133">
        <f t="shared" si="22"/>
        <v>0</v>
      </c>
      <c r="AS22" s="133">
        <f t="shared" si="22"/>
        <v>0</v>
      </c>
      <c r="AT22" s="133">
        <f t="shared" si="22"/>
        <v>1541</v>
      </c>
      <c r="AU22" s="133">
        <f t="shared" si="22"/>
        <v>17925</v>
      </c>
      <c r="AV22" s="133">
        <f t="shared" si="22"/>
        <v>41258</v>
      </c>
      <c r="AW22" s="133">
        <f t="shared" si="22"/>
        <v>0</v>
      </c>
      <c r="AX22" s="133">
        <f t="shared" si="22"/>
        <v>0</v>
      </c>
      <c r="AY22" s="133">
        <f t="shared" si="22"/>
        <v>519933</v>
      </c>
      <c r="AZ22" s="133">
        <f t="shared" si="22"/>
        <v>0</v>
      </c>
      <c r="BA22" s="423">
        <f t="shared" si="22"/>
        <v>0</v>
      </c>
      <c r="BB22" s="672">
        <f t="shared" si="22"/>
        <v>1490914</v>
      </c>
      <c r="BC22" s="422">
        <f t="shared" si="22"/>
        <v>48061046</v>
      </c>
      <c r="BD22" s="133">
        <f>BD8+BD13+BD18</f>
        <v>23224844</v>
      </c>
      <c r="BE22" s="133">
        <f t="shared" si="22"/>
        <v>19676603</v>
      </c>
      <c r="BF22" s="133">
        <f t="shared" si="22"/>
        <v>3548241</v>
      </c>
      <c r="BG22" s="133">
        <f t="shared" si="22"/>
        <v>6128778</v>
      </c>
      <c r="BH22" s="133">
        <f t="shared" si="22"/>
        <v>5161076</v>
      </c>
      <c r="BI22" s="133">
        <f t="shared" si="22"/>
        <v>967702</v>
      </c>
      <c r="BJ22" s="133">
        <f t="shared" si="22"/>
        <v>0</v>
      </c>
      <c r="BK22" s="133">
        <f t="shared" si="22"/>
        <v>0</v>
      </c>
      <c r="BL22" s="133">
        <f t="shared" si="22"/>
        <v>3510826</v>
      </c>
      <c r="BM22" s="423">
        <f t="shared" si="22"/>
        <v>0</v>
      </c>
      <c r="BN22" s="672">
        <f t="shared" si="22"/>
        <v>80925494</v>
      </c>
      <c r="BO22" s="673">
        <f t="shared" si="22"/>
        <v>118692674</v>
      </c>
      <c r="BP22" s="648"/>
    </row>
    <row r="24" spans="2:68">
      <c r="F24" s="498" t="s">
        <v>1769</v>
      </c>
      <c r="G24" s="499">
        <f>G11+G16+G21</f>
        <v>25360</v>
      </c>
      <c r="H24" s="499">
        <f t="shared" ref="H24:BO24" si="23">H11+H16+H21</f>
        <v>225617</v>
      </c>
      <c r="I24" s="499">
        <f t="shared" si="23"/>
        <v>6399877</v>
      </c>
      <c r="J24" s="499">
        <f t="shared" si="23"/>
        <v>33929</v>
      </c>
      <c r="K24" s="499">
        <f t="shared" si="23"/>
        <v>0</v>
      </c>
      <c r="L24" s="499">
        <f t="shared" si="23"/>
        <v>143368</v>
      </c>
      <c r="M24" s="499">
        <f t="shared" si="23"/>
        <v>9240873</v>
      </c>
      <c r="N24" s="499">
        <f t="shared" si="23"/>
        <v>149551</v>
      </c>
      <c r="O24" s="499">
        <f t="shared" si="23"/>
        <v>1148386</v>
      </c>
      <c r="P24" s="499">
        <f t="shared" si="23"/>
        <v>715332</v>
      </c>
      <c r="Q24" s="499">
        <f t="shared" si="23"/>
        <v>0</v>
      </c>
      <c r="R24" s="499">
        <f t="shared" si="23"/>
        <v>0</v>
      </c>
      <c r="S24" s="499">
        <f t="shared" si="23"/>
        <v>1240</v>
      </c>
      <c r="T24" s="499">
        <f t="shared" si="23"/>
        <v>0</v>
      </c>
      <c r="U24" s="499">
        <f t="shared" si="23"/>
        <v>0</v>
      </c>
      <c r="V24" s="499">
        <f t="shared" si="23"/>
        <v>18083533</v>
      </c>
      <c r="W24" s="499">
        <f t="shared" si="23"/>
        <v>0</v>
      </c>
      <c r="X24" s="499">
        <f t="shared" si="23"/>
        <v>643346</v>
      </c>
      <c r="Y24" s="499">
        <f t="shared" si="23"/>
        <v>0</v>
      </c>
      <c r="Z24" s="499">
        <f t="shared" si="23"/>
        <v>0</v>
      </c>
      <c r="AA24" s="499">
        <f t="shared" si="23"/>
        <v>0</v>
      </c>
      <c r="AB24" s="499">
        <f t="shared" si="23"/>
        <v>0</v>
      </c>
      <c r="AC24" s="499">
        <f t="shared" si="23"/>
        <v>0</v>
      </c>
      <c r="AD24" s="499">
        <f t="shared" si="23"/>
        <v>180856</v>
      </c>
      <c r="AE24" s="499">
        <f t="shared" si="23"/>
        <v>14938711</v>
      </c>
      <c r="AF24" s="499">
        <f t="shared" si="23"/>
        <v>946155</v>
      </c>
      <c r="AG24" s="499">
        <f t="shared" si="23"/>
        <v>0</v>
      </c>
      <c r="AH24" s="499">
        <f t="shared" si="23"/>
        <v>0</v>
      </c>
      <c r="AI24" s="499">
        <f t="shared" si="23"/>
        <v>6443</v>
      </c>
      <c r="AJ24" s="499">
        <f t="shared" si="23"/>
        <v>0</v>
      </c>
      <c r="AK24" s="499">
        <f t="shared" si="23"/>
        <v>0</v>
      </c>
      <c r="AL24" s="499">
        <f t="shared" si="23"/>
        <v>16715511</v>
      </c>
      <c r="AM24" s="499">
        <f t="shared" si="23"/>
        <v>0</v>
      </c>
      <c r="AN24" s="499">
        <f t="shared" si="23"/>
        <v>147</v>
      </c>
      <c r="AO24" s="499">
        <f t="shared" si="23"/>
        <v>884762</v>
      </c>
      <c r="AP24" s="499">
        <f t="shared" si="23"/>
        <v>0</v>
      </c>
      <c r="AQ24" s="499">
        <f t="shared" si="23"/>
        <v>0</v>
      </c>
      <c r="AR24" s="499">
        <f t="shared" si="23"/>
        <v>0</v>
      </c>
      <c r="AS24" s="499">
        <f t="shared" si="23"/>
        <v>0</v>
      </c>
      <c r="AT24" s="499">
        <f t="shared" si="23"/>
        <v>1541</v>
      </c>
      <c r="AU24" s="499">
        <f t="shared" si="23"/>
        <v>17925</v>
      </c>
      <c r="AV24" s="499">
        <f t="shared" si="23"/>
        <v>41237</v>
      </c>
      <c r="AW24" s="499">
        <f t="shared" si="23"/>
        <v>0</v>
      </c>
      <c r="AX24" s="499">
        <f t="shared" si="23"/>
        <v>0</v>
      </c>
      <c r="AY24" s="499">
        <f t="shared" si="23"/>
        <v>519933</v>
      </c>
      <c r="AZ24" s="499">
        <f t="shared" si="23"/>
        <v>0</v>
      </c>
      <c r="BA24" s="499">
        <f t="shared" si="23"/>
        <v>0</v>
      </c>
      <c r="BB24" s="499">
        <f t="shared" si="23"/>
        <v>1465545</v>
      </c>
      <c r="BC24" s="499">
        <f t="shared" si="23"/>
        <v>28860577</v>
      </c>
      <c r="BD24" s="499">
        <f t="shared" si="23"/>
        <v>23224844</v>
      </c>
      <c r="BE24" s="499">
        <f t="shared" si="23"/>
        <v>19676603</v>
      </c>
      <c r="BF24" s="499">
        <f t="shared" si="23"/>
        <v>3548241</v>
      </c>
      <c r="BG24" s="499">
        <f t="shared" si="23"/>
        <v>6128778</v>
      </c>
      <c r="BH24" s="499">
        <f t="shared" si="23"/>
        <v>5161076</v>
      </c>
      <c r="BI24" s="499">
        <f t="shared" si="23"/>
        <v>967702</v>
      </c>
      <c r="BJ24" s="499">
        <f t="shared" si="23"/>
        <v>0</v>
      </c>
      <c r="BK24" s="499">
        <f t="shared" si="23"/>
        <v>0</v>
      </c>
      <c r="BL24" s="499">
        <f t="shared" si="23"/>
        <v>3505154</v>
      </c>
      <c r="BM24" s="499">
        <f t="shared" si="23"/>
        <v>0</v>
      </c>
      <c r="BN24" s="499">
        <f t="shared" si="23"/>
        <v>61719353</v>
      </c>
      <c r="BO24" s="499">
        <f t="shared" si="23"/>
        <v>97983942</v>
      </c>
    </row>
    <row r="25" spans="2:68">
      <c r="F25" s="498" t="s">
        <v>2415</v>
      </c>
      <c r="G25" s="499">
        <f>'601'!G8</f>
        <v>25360</v>
      </c>
      <c r="H25" s="499">
        <f>'601'!H8</f>
        <v>225617</v>
      </c>
      <c r="I25" s="499">
        <f>'601'!I8</f>
        <v>6399877</v>
      </c>
      <c r="J25" s="499">
        <f>'601'!J8</f>
        <v>33929</v>
      </c>
      <c r="K25" s="499">
        <f>'601'!K8</f>
        <v>0</v>
      </c>
      <c r="L25" s="499">
        <f>'601'!L8</f>
        <v>143368</v>
      </c>
      <c r="M25" s="499">
        <f>'601'!M8</f>
        <v>9240873</v>
      </c>
      <c r="N25" s="499">
        <f>'601'!N8</f>
        <v>149551</v>
      </c>
      <c r="O25" s="499">
        <f>'601'!O8</f>
        <v>1148386</v>
      </c>
      <c r="P25" s="499">
        <f>'601'!P8</f>
        <v>715332</v>
      </c>
      <c r="Q25" s="499">
        <f>'601'!Q8</f>
        <v>0</v>
      </c>
      <c r="R25" s="499">
        <f>'601'!R8</f>
        <v>0</v>
      </c>
      <c r="S25" s="499">
        <f>'601'!S8</f>
        <v>1240</v>
      </c>
      <c r="T25" s="499">
        <f>'601'!T8</f>
        <v>0</v>
      </c>
      <c r="U25" s="499">
        <f>'601'!U8</f>
        <v>0</v>
      </c>
      <c r="V25" s="499">
        <f>'601'!V8</f>
        <v>18083533</v>
      </c>
      <c r="W25" s="499">
        <f>'601'!W8</f>
        <v>0</v>
      </c>
      <c r="X25" s="499">
        <f>'601'!X8</f>
        <v>643346</v>
      </c>
      <c r="Y25" s="499">
        <f>'601'!Y8</f>
        <v>0</v>
      </c>
      <c r="Z25" s="499">
        <f>'601'!Z8</f>
        <v>0</v>
      </c>
      <c r="AA25" s="499">
        <f>'601'!AA8</f>
        <v>0</v>
      </c>
      <c r="AB25" s="499">
        <f>'601'!AB8</f>
        <v>0</v>
      </c>
      <c r="AC25" s="499">
        <f>'601'!AC8</f>
        <v>0</v>
      </c>
      <c r="AD25" s="499">
        <f>'601'!AD8</f>
        <v>180856</v>
      </c>
      <c r="AE25" s="499">
        <f>'601'!AE8</f>
        <v>14938711</v>
      </c>
      <c r="AF25" s="499">
        <f>'601'!AF8</f>
        <v>946155</v>
      </c>
      <c r="AG25" s="499">
        <f>'601'!AG8</f>
        <v>0</v>
      </c>
      <c r="AH25" s="499">
        <f>'601'!AH8</f>
        <v>0</v>
      </c>
      <c r="AI25" s="499">
        <f>'601'!AI8</f>
        <v>6443</v>
      </c>
      <c r="AJ25" s="499">
        <f>'601'!AJ8</f>
        <v>0</v>
      </c>
      <c r="AK25" s="499">
        <f>'601'!AK8</f>
        <v>0</v>
      </c>
      <c r="AL25" s="499">
        <f>'601'!AL8</f>
        <v>16715511</v>
      </c>
      <c r="AM25" s="499">
        <f>'601'!AM8</f>
        <v>0</v>
      </c>
      <c r="AN25" s="499">
        <f>'601'!AN8</f>
        <v>147</v>
      </c>
      <c r="AO25" s="499">
        <f>'601'!AO8</f>
        <v>884762</v>
      </c>
      <c r="AP25" s="499">
        <f>'601'!AP8</f>
        <v>0</v>
      </c>
      <c r="AQ25" s="499">
        <f>'601'!AQ8</f>
        <v>0</v>
      </c>
      <c r="AR25" s="499">
        <f>'601'!AR8</f>
        <v>0</v>
      </c>
      <c r="AS25" s="499">
        <f>'601'!AS8</f>
        <v>0</v>
      </c>
      <c r="AT25" s="499">
        <f>'601'!AT8</f>
        <v>1541</v>
      </c>
      <c r="AU25" s="499">
        <f>'601'!AU8</f>
        <v>17925</v>
      </c>
      <c r="AV25" s="499">
        <f>'601'!AV8</f>
        <v>41237</v>
      </c>
      <c r="AW25" s="499">
        <f>'601'!AW8</f>
        <v>0</v>
      </c>
      <c r="AX25" s="499">
        <f>'601'!AX8</f>
        <v>0</v>
      </c>
      <c r="AY25" s="499">
        <f>'601'!AY8</f>
        <v>519933</v>
      </c>
      <c r="AZ25" s="499">
        <f>'601'!AZ8</f>
        <v>0</v>
      </c>
      <c r="BA25" s="499">
        <f>'601'!BA8</f>
        <v>0</v>
      </c>
      <c r="BB25" s="499">
        <f>'601'!BB8</f>
        <v>1465545</v>
      </c>
      <c r="BC25" s="499">
        <f>'601'!BC8</f>
        <v>28860577</v>
      </c>
      <c r="BD25" s="499">
        <f>'601'!BD8</f>
        <v>23224844</v>
      </c>
      <c r="BE25" s="499">
        <f>'601'!BE8</f>
        <v>19676603</v>
      </c>
      <c r="BF25" s="499">
        <f>'601'!BF8</f>
        <v>3548241</v>
      </c>
      <c r="BG25" s="499">
        <f>'601'!BG8</f>
        <v>6128778</v>
      </c>
      <c r="BH25" s="499">
        <f>'601'!BH8</f>
        <v>5161076</v>
      </c>
      <c r="BI25" s="499">
        <f>'601'!BI8</f>
        <v>967702</v>
      </c>
      <c r="BJ25" s="499">
        <f>'601'!BJ8</f>
        <v>0</v>
      </c>
      <c r="BK25" s="499">
        <f>'601'!BK8</f>
        <v>0</v>
      </c>
      <c r="BL25" s="499">
        <f>'601'!BL8</f>
        <v>3505154</v>
      </c>
      <c r="BM25" s="499">
        <f>'601'!BM8</f>
        <v>0</v>
      </c>
      <c r="BN25" s="499">
        <f>'601'!BN8</f>
        <v>61719353</v>
      </c>
      <c r="BO25" s="499">
        <f>'601'!BO8</f>
        <v>97983942</v>
      </c>
    </row>
    <row r="26" spans="2:68">
      <c r="G26" s="696" t="str">
        <f>IF(G24-G25=0,"OK","ERROR")</f>
        <v>OK</v>
      </c>
      <c r="H26" s="696" t="str">
        <f t="shared" ref="H26:BO26" si="24">IF(H24-H25=0,"OK","ERROR")</f>
        <v>OK</v>
      </c>
      <c r="I26" s="696" t="str">
        <f t="shared" si="24"/>
        <v>OK</v>
      </c>
      <c r="J26" s="696" t="str">
        <f t="shared" si="24"/>
        <v>OK</v>
      </c>
      <c r="K26" s="696" t="str">
        <f t="shared" si="24"/>
        <v>OK</v>
      </c>
      <c r="L26" s="696" t="str">
        <f t="shared" si="24"/>
        <v>OK</v>
      </c>
      <c r="M26" s="696" t="str">
        <f t="shared" si="24"/>
        <v>OK</v>
      </c>
      <c r="N26" s="696" t="str">
        <f t="shared" si="24"/>
        <v>OK</v>
      </c>
      <c r="O26" s="696" t="str">
        <f t="shared" si="24"/>
        <v>OK</v>
      </c>
      <c r="P26" s="696" t="str">
        <f t="shared" si="24"/>
        <v>OK</v>
      </c>
      <c r="Q26" s="696" t="str">
        <f t="shared" si="24"/>
        <v>OK</v>
      </c>
      <c r="R26" s="696" t="str">
        <f t="shared" si="24"/>
        <v>OK</v>
      </c>
      <c r="S26" s="696" t="str">
        <f t="shared" si="24"/>
        <v>OK</v>
      </c>
      <c r="T26" s="696" t="str">
        <f t="shared" si="24"/>
        <v>OK</v>
      </c>
      <c r="U26" s="696" t="str">
        <f t="shared" si="24"/>
        <v>OK</v>
      </c>
      <c r="V26" s="696" t="str">
        <f t="shared" si="24"/>
        <v>OK</v>
      </c>
      <c r="W26" s="696" t="str">
        <f t="shared" si="24"/>
        <v>OK</v>
      </c>
      <c r="X26" s="696" t="str">
        <f t="shared" si="24"/>
        <v>OK</v>
      </c>
      <c r="Y26" s="696" t="str">
        <f t="shared" si="24"/>
        <v>OK</v>
      </c>
      <c r="Z26" s="696" t="str">
        <f t="shared" si="24"/>
        <v>OK</v>
      </c>
      <c r="AA26" s="696" t="str">
        <f t="shared" si="24"/>
        <v>OK</v>
      </c>
      <c r="AB26" s="696" t="str">
        <f t="shared" si="24"/>
        <v>OK</v>
      </c>
      <c r="AC26" s="696" t="str">
        <f t="shared" si="24"/>
        <v>OK</v>
      </c>
      <c r="AD26" s="696" t="str">
        <f t="shared" si="24"/>
        <v>OK</v>
      </c>
      <c r="AE26" s="696" t="str">
        <f t="shared" si="24"/>
        <v>OK</v>
      </c>
      <c r="AF26" s="696" t="str">
        <f t="shared" si="24"/>
        <v>OK</v>
      </c>
      <c r="AG26" s="696" t="str">
        <f t="shared" si="24"/>
        <v>OK</v>
      </c>
      <c r="AH26" s="696" t="str">
        <f t="shared" si="24"/>
        <v>OK</v>
      </c>
      <c r="AI26" s="696" t="str">
        <f t="shared" si="24"/>
        <v>OK</v>
      </c>
      <c r="AJ26" s="696" t="str">
        <f t="shared" si="24"/>
        <v>OK</v>
      </c>
      <c r="AK26" s="696" t="str">
        <f t="shared" si="24"/>
        <v>OK</v>
      </c>
      <c r="AL26" s="696" t="str">
        <f t="shared" si="24"/>
        <v>OK</v>
      </c>
      <c r="AM26" s="696" t="str">
        <f t="shared" si="24"/>
        <v>OK</v>
      </c>
      <c r="AN26" s="696" t="str">
        <f t="shared" si="24"/>
        <v>OK</v>
      </c>
      <c r="AO26" s="696" t="str">
        <f t="shared" si="24"/>
        <v>OK</v>
      </c>
      <c r="AP26" s="696" t="str">
        <f t="shared" si="24"/>
        <v>OK</v>
      </c>
      <c r="AQ26" s="696" t="str">
        <f t="shared" si="24"/>
        <v>OK</v>
      </c>
      <c r="AR26" s="696" t="str">
        <f t="shared" si="24"/>
        <v>OK</v>
      </c>
      <c r="AS26" s="696" t="str">
        <f t="shared" si="24"/>
        <v>OK</v>
      </c>
      <c r="AT26" s="696" t="str">
        <f t="shared" si="24"/>
        <v>OK</v>
      </c>
      <c r="AU26" s="696" t="str">
        <f t="shared" si="24"/>
        <v>OK</v>
      </c>
      <c r="AV26" s="696" t="str">
        <f t="shared" si="24"/>
        <v>OK</v>
      </c>
      <c r="AW26" s="696" t="str">
        <f t="shared" si="24"/>
        <v>OK</v>
      </c>
      <c r="AX26" s="696" t="str">
        <f t="shared" si="24"/>
        <v>OK</v>
      </c>
      <c r="AY26" s="696" t="str">
        <f t="shared" si="24"/>
        <v>OK</v>
      </c>
      <c r="AZ26" s="696" t="str">
        <f t="shared" si="24"/>
        <v>OK</v>
      </c>
      <c r="BA26" s="696" t="str">
        <f t="shared" si="24"/>
        <v>OK</v>
      </c>
      <c r="BB26" s="696" t="str">
        <f t="shared" si="24"/>
        <v>OK</v>
      </c>
      <c r="BC26" s="696" t="str">
        <f t="shared" si="24"/>
        <v>OK</v>
      </c>
      <c r="BD26" s="696" t="str">
        <f t="shared" si="24"/>
        <v>OK</v>
      </c>
      <c r="BE26" s="696" t="str">
        <f t="shared" si="24"/>
        <v>OK</v>
      </c>
      <c r="BF26" s="696" t="str">
        <f t="shared" si="24"/>
        <v>OK</v>
      </c>
      <c r="BG26" s="696" t="str">
        <f t="shared" si="24"/>
        <v>OK</v>
      </c>
      <c r="BH26" s="696" t="str">
        <f t="shared" si="24"/>
        <v>OK</v>
      </c>
      <c r="BI26" s="696" t="str">
        <f t="shared" si="24"/>
        <v>OK</v>
      </c>
      <c r="BJ26" s="696" t="str">
        <f t="shared" si="24"/>
        <v>OK</v>
      </c>
      <c r="BK26" s="696" t="str">
        <f t="shared" si="24"/>
        <v>OK</v>
      </c>
      <c r="BL26" s="696" t="str">
        <f t="shared" si="24"/>
        <v>OK</v>
      </c>
      <c r="BM26" s="696" t="str">
        <f t="shared" si="24"/>
        <v>OK</v>
      </c>
      <c r="BN26" s="696" t="str">
        <f t="shared" si="24"/>
        <v>OK</v>
      </c>
      <c r="BO26" s="696" t="str">
        <f t="shared" si="24"/>
        <v>OK</v>
      </c>
    </row>
    <row r="28" spans="2:68">
      <c r="F28" s="498" t="s">
        <v>1769</v>
      </c>
      <c r="G28" s="499">
        <f>G10+G15+G20</f>
        <v>0</v>
      </c>
      <c r="H28" s="499">
        <f t="shared" ref="H28:BO28" si="25">H10+H15+H20</f>
        <v>61627</v>
      </c>
      <c r="I28" s="499">
        <f t="shared" si="25"/>
        <v>34917</v>
      </c>
      <c r="J28" s="499">
        <f t="shared" si="25"/>
        <v>0</v>
      </c>
      <c r="K28" s="499">
        <f t="shared" si="25"/>
        <v>0</v>
      </c>
      <c r="L28" s="499">
        <f t="shared" si="25"/>
        <v>0</v>
      </c>
      <c r="M28" s="499">
        <f t="shared" si="25"/>
        <v>25150</v>
      </c>
      <c r="N28" s="499">
        <f t="shared" si="25"/>
        <v>1428</v>
      </c>
      <c r="O28" s="499">
        <f t="shared" si="25"/>
        <v>178071</v>
      </c>
      <c r="P28" s="499">
        <f t="shared" si="25"/>
        <v>91878</v>
      </c>
      <c r="Q28" s="499">
        <f t="shared" si="25"/>
        <v>0</v>
      </c>
      <c r="R28" s="499">
        <f t="shared" si="25"/>
        <v>0</v>
      </c>
      <c r="S28" s="499">
        <f t="shared" si="25"/>
        <v>66</v>
      </c>
      <c r="T28" s="499">
        <f t="shared" si="25"/>
        <v>0</v>
      </c>
      <c r="U28" s="499">
        <f t="shared" si="25"/>
        <v>0</v>
      </c>
      <c r="V28" s="499">
        <f t="shared" si="25"/>
        <v>393137</v>
      </c>
      <c r="W28" s="499">
        <f t="shared" si="25"/>
        <v>0</v>
      </c>
      <c r="X28" s="499">
        <f t="shared" si="25"/>
        <v>512850</v>
      </c>
      <c r="Y28" s="499">
        <f t="shared" si="25"/>
        <v>0</v>
      </c>
      <c r="Z28" s="499">
        <f t="shared" si="25"/>
        <v>0</v>
      </c>
      <c r="AA28" s="499">
        <f t="shared" si="25"/>
        <v>0</v>
      </c>
      <c r="AB28" s="499">
        <f t="shared" si="25"/>
        <v>0</v>
      </c>
      <c r="AC28" s="499">
        <f t="shared" si="25"/>
        <v>0</v>
      </c>
      <c r="AD28" s="499">
        <f t="shared" si="25"/>
        <v>152947</v>
      </c>
      <c r="AE28" s="499">
        <f t="shared" si="25"/>
        <v>290526</v>
      </c>
      <c r="AF28" s="499">
        <f t="shared" si="25"/>
        <v>127594</v>
      </c>
      <c r="AG28" s="499">
        <f t="shared" si="25"/>
        <v>0</v>
      </c>
      <c r="AH28" s="499">
        <f t="shared" si="25"/>
        <v>0</v>
      </c>
      <c r="AI28" s="499">
        <f t="shared" si="25"/>
        <v>168</v>
      </c>
      <c r="AJ28" s="499">
        <f t="shared" si="25"/>
        <v>0</v>
      </c>
      <c r="AK28" s="499">
        <f t="shared" si="25"/>
        <v>0</v>
      </c>
      <c r="AL28" s="499">
        <f t="shared" si="25"/>
        <v>1084085</v>
      </c>
      <c r="AM28" s="499">
        <f t="shared" si="25"/>
        <v>0</v>
      </c>
      <c r="AN28" s="499">
        <f t="shared" si="25"/>
        <v>0</v>
      </c>
      <c r="AO28" s="499">
        <f t="shared" si="25"/>
        <v>25348</v>
      </c>
      <c r="AP28" s="499">
        <f t="shared" si="25"/>
        <v>0</v>
      </c>
      <c r="AQ28" s="499">
        <f t="shared" si="25"/>
        <v>0</v>
      </c>
      <c r="AR28" s="499">
        <f t="shared" si="25"/>
        <v>0</v>
      </c>
      <c r="AS28" s="499">
        <f t="shared" si="25"/>
        <v>0</v>
      </c>
      <c r="AT28" s="499">
        <f t="shared" si="25"/>
        <v>0</v>
      </c>
      <c r="AU28" s="499">
        <f t="shared" si="25"/>
        <v>0</v>
      </c>
      <c r="AV28" s="499">
        <f t="shared" si="25"/>
        <v>21</v>
      </c>
      <c r="AW28" s="499">
        <f t="shared" si="25"/>
        <v>0</v>
      </c>
      <c r="AX28" s="499">
        <f t="shared" si="25"/>
        <v>0</v>
      </c>
      <c r="AY28" s="499">
        <f t="shared" si="25"/>
        <v>0</v>
      </c>
      <c r="AZ28" s="499">
        <f t="shared" si="25"/>
        <v>0</v>
      </c>
      <c r="BA28" s="499">
        <f t="shared" si="25"/>
        <v>0</v>
      </c>
      <c r="BB28" s="499">
        <f t="shared" si="25"/>
        <v>25369</v>
      </c>
      <c r="BC28" s="499">
        <f t="shared" si="25"/>
        <v>19200469</v>
      </c>
      <c r="BD28" s="499">
        <f t="shared" si="25"/>
        <v>0</v>
      </c>
      <c r="BE28" s="499">
        <f t="shared" si="25"/>
        <v>0</v>
      </c>
      <c r="BF28" s="499">
        <f t="shared" si="25"/>
        <v>0</v>
      </c>
      <c r="BG28" s="499">
        <f t="shared" si="25"/>
        <v>0</v>
      </c>
      <c r="BH28" s="499">
        <f t="shared" si="25"/>
        <v>0</v>
      </c>
      <c r="BI28" s="499">
        <f t="shared" si="25"/>
        <v>0</v>
      </c>
      <c r="BJ28" s="499">
        <f t="shared" si="25"/>
        <v>0</v>
      </c>
      <c r="BK28" s="499">
        <f t="shared" si="25"/>
        <v>0</v>
      </c>
      <c r="BL28" s="499">
        <f t="shared" si="25"/>
        <v>5672</v>
      </c>
      <c r="BM28" s="499">
        <f t="shared" si="25"/>
        <v>0</v>
      </c>
      <c r="BN28" s="499">
        <f t="shared" si="25"/>
        <v>19206141</v>
      </c>
      <c r="BO28" s="499">
        <f t="shared" si="25"/>
        <v>20708732</v>
      </c>
    </row>
    <row r="29" spans="2:68">
      <c r="F29" s="498" t="s">
        <v>2418</v>
      </c>
      <c r="G29" s="499">
        <f>'601'!G11</f>
        <v>0</v>
      </c>
      <c r="H29" s="499">
        <f>'601'!H11</f>
        <v>61627</v>
      </c>
      <c r="I29" s="499">
        <f>'601'!I11</f>
        <v>34917</v>
      </c>
      <c r="J29" s="499">
        <f>'601'!J11</f>
        <v>0</v>
      </c>
      <c r="K29" s="499">
        <f>'601'!K11</f>
        <v>0</v>
      </c>
      <c r="L29" s="499">
        <f>'601'!L11</f>
        <v>0</v>
      </c>
      <c r="M29" s="499">
        <f>'601'!M11</f>
        <v>25150</v>
      </c>
      <c r="N29" s="499">
        <f>'601'!N11</f>
        <v>1428</v>
      </c>
      <c r="O29" s="499">
        <f>'601'!O11</f>
        <v>178071</v>
      </c>
      <c r="P29" s="499">
        <f>'601'!P11</f>
        <v>91878</v>
      </c>
      <c r="Q29" s="499">
        <f>'601'!Q11</f>
        <v>0</v>
      </c>
      <c r="R29" s="499">
        <f>'601'!R11</f>
        <v>0</v>
      </c>
      <c r="S29" s="499">
        <f>'601'!S11</f>
        <v>66</v>
      </c>
      <c r="T29" s="499">
        <f>'601'!T11</f>
        <v>0</v>
      </c>
      <c r="U29" s="499">
        <f>'601'!U11</f>
        <v>0</v>
      </c>
      <c r="V29" s="499">
        <f>'601'!V11</f>
        <v>393137</v>
      </c>
      <c r="W29" s="499">
        <f>'601'!W11</f>
        <v>0</v>
      </c>
      <c r="X29" s="499">
        <f>'601'!X11</f>
        <v>512850</v>
      </c>
      <c r="Y29" s="499">
        <f>'601'!Y11</f>
        <v>0</v>
      </c>
      <c r="Z29" s="499">
        <f>'601'!Z11</f>
        <v>0</v>
      </c>
      <c r="AA29" s="499">
        <f>'601'!AA11</f>
        <v>0</v>
      </c>
      <c r="AB29" s="499">
        <f>'601'!AB11</f>
        <v>0</v>
      </c>
      <c r="AC29" s="499">
        <f>'601'!AC11</f>
        <v>0</v>
      </c>
      <c r="AD29" s="499">
        <f>'601'!AD11</f>
        <v>152947</v>
      </c>
      <c r="AE29" s="499">
        <f>'601'!AE11</f>
        <v>290526</v>
      </c>
      <c r="AF29" s="499">
        <f>'601'!AF11</f>
        <v>127594</v>
      </c>
      <c r="AG29" s="499">
        <f>'601'!AG11</f>
        <v>0</v>
      </c>
      <c r="AH29" s="499">
        <f>'601'!AH11</f>
        <v>0</v>
      </c>
      <c r="AI29" s="499">
        <f>'601'!AI11</f>
        <v>168</v>
      </c>
      <c r="AJ29" s="499">
        <f>'601'!AJ11</f>
        <v>0</v>
      </c>
      <c r="AK29" s="499">
        <f>'601'!AK11</f>
        <v>0</v>
      </c>
      <c r="AL29" s="499">
        <f>'601'!AL11</f>
        <v>1084085</v>
      </c>
      <c r="AM29" s="499">
        <f>'601'!AM11</f>
        <v>0</v>
      </c>
      <c r="AN29" s="499">
        <f>'601'!AN11</f>
        <v>0</v>
      </c>
      <c r="AO29" s="499">
        <f>'601'!AO11</f>
        <v>25348</v>
      </c>
      <c r="AP29" s="499">
        <f>'601'!AP11</f>
        <v>0</v>
      </c>
      <c r="AQ29" s="499">
        <f>'601'!AQ11</f>
        <v>0</v>
      </c>
      <c r="AR29" s="499">
        <f>'601'!AR11</f>
        <v>0</v>
      </c>
      <c r="AS29" s="499">
        <f>'601'!AS11</f>
        <v>0</v>
      </c>
      <c r="AT29" s="499">
        <f>'601'!AT11</f>
        <v>0</v>
      </c>
      <c r="AU29" s="499">
        <f>'601'!AU11</f>
        <v>0</v>
      </c>
      <c r="AV29" s="499">
        <f>'601'!AV11</f>
        <v>21</v>
      </c>
      <c r="AW29" s="499">
        <f>'601'!AW11</f>
        <v>0</v>
      </c>
      <c r="AX29" s="499">
        <f>'601'!AX11</f>
        <v>0</v>
      </c>
      <c r="AY29" s="499">
        <f>'601'!AY11</f>
        <v>0</v>
      </c>
      <c r="AZ29" s="499">
        <f>'601'!AZ11</f>
        <v>0</v>
      </c>
      <c r="BA29" s="499">
        <f>'601'!BA11</f>
        <v>0</v>
      </c>
      <c r="BB29" s="499">
        <f>'601'!BB11</f>
        <v>25369</v>
      </c>
      <c r="BC29" s="499">
        <f>'601'!BC11</f>
        <v>19200469</v>
      </c>
      <c r="BD29" s="499">
        <f>'601'!BD11</f>
        <v>0</v>
      </c>
      <c r="BE29" s="499">
        <f>'601'!BE11</f>
        <v>0</v>
      </c>
      <c r="BF29" s="499">
        <f>'601'!BF11</f>
        <v>0</v>
      </c>
      <c r="BG29" s="499">
        <f>'601'!BG11</f>
        <v>0</v>
      </c>
      <c r="BH29" s="499">
        <f>'601'!BH11</f>
        <v>0</v>
      </c>
      <c r="BI29" s="499">
        <f>'601'!BI11</f>
        <v>0</v>
      </c>
      <c r="BJ29" s="499">
        <f>'601'!BJ11</f>
        <v>0</v>
      </c>
      <c r="BK29" s="499">
        <f>'601'!BK11</f>
        <v>0</v>
      </c>
      <c r="BL29" s="499">
        <f>'601'!BL11</f>
        <v>5672</v>
      </c>
      <c r="BM29" s="499">
        <f>'601'!BM11</f>
        <v>0</v>
      </c>
      <c r="BN29" s="499">
        <f>'601'!BN11</f>
        <v>19206141</v>
      </c>
      <c r="BO29" s="499">
        <f>'601'!BO11</f>
        <v>20708732</v>
      </c>
    </row>
    <row r="30" spans="2:68">
      <c r="G30" s="696" t="str">
        <f>IF(G28-G29=0,"OK","ERROR")</f>
        <v>OK</v>
      </c>
      <c r="H30" s="696" t="str">
        <f t="shared" ref="H30" si="26">IF(H28-H29=0,"OK","ERROR")</f>
        <v>OK</v>
      </c>
      <c r="I30" s="696" t="str">
        <f t="shared" ref="I30" si="27">IF(I28-I29=0,"OK","ERROR")</f>
        <v>OK</v>
      </c>
      <c r="J30" s="696" t="str">
        <f t="shared" ref="J30" si="28">IF(J28-J29=0,"OK","ERROR")</f>
        <v>OK</v>
      </c>
      <c r="K30" s="696" t="str">
        <f t="shared" ref="K30" si="29">IF(K28-K29=0,"OK","ERROR")</f>
        <v>OK</v>
      </c>
      <c r="L30" s="696" t="str">
        <f t="shared" ref="L30" si="30">IF(L28-L29=0,"OK","ERROR")</f>
        <v>OK</v>
      </c>
      <c r="M30" s="696" t="str">
        <f t="shared" ref="M30" si="31">IF(M28-M29=0,"OK","ERROR")</f>
        <v>OK</v>
      </c>
      <c r="N30" s="696" t="str">
        <f t="shared" ref="N30" si="32">IF(N28-N29=0,"OK","ERROR")</f>
        <v>OK</v>
      </c>
      <c r="O30" s="696" t="str">
        <f t="shared" ref="O30" si="33">IF(O28-O29=0,"OK","ERROR")</f>
        <v>OK</v>
      </c>
      <c r="P30" s="696" t="str">
        <f t="shared" ref="P30" si="34">IF(P28-P29=0,"OK","ERROR")</f>
        <v>OK</v>
      </c>
      <c r="Q30" s="696" t="str">
        <f t="shared" ref="Q30" si="35">IF(Q28-Q29=0,"OK","ERROR")</f>
        <v>OK</v>
      </c>
      <c r="R30" s="696" t="str">
        <f t="shared" ref="R30" si="36">IF(R28-R29=0,"OK","ERROR")</f>
        <v>OK</v>
      </c>
      <c r="S30" s="696" t="str">
        <f t="shared" ref="S30" si="37">IF(S28-S29=0,"OK","ERROR")</f>
        <v>OK</v>
      </c>
      <c r="T30" s="696" t="str">
        <f t="shared" ref="T30" si="38">IF(T28-T29=0,"OK","ERROR")</f>
        <v>OK</v>
      </c>
      <c r="U30" s="696" t="str">
        <f t="shared" ref="U30" si="39">IF(U28-U29=0,"OK","ERROR")</f>
        <v>OK</v>
      </c>
      <c r="V30" s="696" t="str">
        <f t="shared" ref="V30" si="40">IF(V28-V29=0,"OK","ERROR")</f>
        <v>OK</v>
      </c>
      <c r="W30" s="696" t="str">
        <f t="shared" ref="W30" si="41">IF(W28-W29=0,"OK","ERROR")</f>
        <v>OK</v>
      </c>
      <c r="X30" s="696" t="str">
        <f t="shared" ref="X30" si="42">IF(X28-X29=0,"OK","ERROR")</f>
        <v>OK</v>
      </c>
      <c r="Y30" s="696" t="str">
        <f t="shared" ref="Y30" si="43">IF(Y28-Y29=0,"OK","ERROR")</f>
        <v>OK</v>
      </c>
      <c r="Z30" s="696" t="str">
        <f t="shared" ref="Z30" si="44">IF(Z28-Z29=0,"OK","ERROR")</f>
        <v>OK</v>
      </c>
      <c r="AA30" s="696" t="str">
        <f t="shared" ref="AA30" si="45">IF(AA28-AA29=0,"OK","ERROR")</f>
        <v>OK</v>
      </c>
      <c r="AB30" s="696" t="str">
        <f t="shared" ref="AB30" si="46">IF(AB28-AB29=0,"OK","ERROR")</f>
        <v>OK</v>
      </c>
      <c r="AC30" s="696" t="str">
        <f t="shared" ref="AC30" si="47">IF(AC28-AC29=0,"OK","ERROR")</f>
        <v>OK</v>
      </c>
      <c r="AD30" s="696" t="str">
        <f t="shared" ref="AD30" si="48">IF(AD28-AD29=0,"OK","ERROR")</f>
        <v>OK</v>
      </c>
      <c r="AE30" s="696" t="str">
        <f t="shared" ref="AE30" si="49">IF(AE28-AE29=0,"OK","ERROR")</f>
        <v>OK</v>
      </c>
      <c r="AF30" s="696" t="str">
        <f t="shared" ref="AF30" si="50">IF(AF28-AF29=0,"OK","ERROR")</f>
        <v>OK</v>
      </c>
      <c r="AG30" s="696" t="str">
        <f t="shared" ref="AG30" si="51">IF(AG28-AG29=0,"OK","ERROR")</f>
        <v>OK</v>
      </c>
      <c r="AH30" s="696" t="str">
        <f t="shared" ref="AH30" si="52">IF(AH28-AH29=0,"OK","ERROR")</f>
        <v>OK</v>
      </c>
      <c r="AI30" s="696" t="str">
        <f t="shared" ref="AI30" si="53">IF(AI28-AI29=0,"OK","ERROR")</f>
        <v>OK</v>
      </c>
      <c r="AJ30" s="696" t="str">
        <f t="shared" ref="AJ30" si="54">IF(AJ28-AJ29=0,"OK","ERROR")</f>
        <v>OK</v>
      </c>
      <c r="AK30" s="696" t="str">
        <f t="shared" ref="AK30" si="55">IF(AK28-AK29=0,"OK","ERROR")</f>
        <v>OK</v>
      </c>
      <c r="AL30" s="696" t="str">
        <f t="shared" ref="AL30" si="56">IF(AL28-AL29=0,"OK","ERROR")</f>
        <v>OK</v>
      </c>
      <c r="AM30" s="696" t="str">
        <f t="shared" ref="AM30" si="57">IF(AM28-AM29=0,"OK","ERROR")</f>
        <v>OK</v>
      </c>
      <c r="AN30" s="696" t="str">
        <f t="shared" ref="AN30" si="58">IF(AN28-AN29=0,"OK","ERROR")</f>
        <v>OK</v>
      </c>
      <c r="AO30" s="696" t="str">
        <f t="shared" ref="AO30" si="59">IF(AO28-AO29=0,"OK","ERROR")</f>
        <v>OK</v>
      </c>
      <c r="AP30" s="696" t="str">
        <f t="shared" ref="AP30" si="60">IF(AP28-AP29=0,"OK","ERROR")</f>
        <v>OK</v>
      </c>
      <c r="AQ30" s="696" t="str">
        <f t="shared" ref="AQ30" si="61">IF(AQ28-AQ29=0,"OK","ERROR")</f>
        <v>OK</v>
      </c>
      <c r="AR30" s="696" t="str">
        <f t="shared" ref="AR30" si="62">IF(AR28-AR29=0,"OK","ERROR")</f>
        <v>OK</v>
      </c>
      <c r="AS30" s="696" t="str">
        <f t="shared" ref="AS30" si="63">IF(AS28-AS29=0,"OK","ERROR")</f>
        <v>OK</v>
      </c>
      <c r="AT30" s="696" t="str">
        <f t="shared" ref="AT30" si="64">IF(AT28-AT29=0,"OK","ERROR")</f>
        <v>OK</v>
      </c>
      <c r="AU30" s="696" t="str">
        <f t="shared" ref="AU30" si="65">IF(AU28-AU29=0,"OK","ERROR")</f>
        <v>OK</v>
      </c>
      <c r="AV30" s="696" t="str">
        <f t="shared" ref="AV30" si="66">IF(AV28-AV29=0,"OK","ERROR")</f>
        <v>OK</v>
      </c>
      <c r="AW30" s="696" t="str">
        <f t="shared" ref="AW30" si="67">IF(AW28-AW29=0,"OK","ERROR")</f>
        <v>OK</v>
      </c>
      <c r="AX30" s="696" t="str">
        <f t="shared" ref="AX30" si="68">IF(AX28-AX29=0,"OK","ERROR")</f>
        <v>OK</v>
      </c>
      <c r="AY30" s="696" t="str">
        <f t="shared" ref="AY30" si="69">IF(AY28-AY29=0,"OK","ERROR")</f>
        <v>OK</v>
      </c>
      <c r="AZ30" s="696" t="str">
        <f t="shared" ref="AZ30" si="70">IF(AZ28-AZ29=0,"OK","ERROR")</f>
        <v>OK</v>
      </c>
      <c r="BA30" s="696" t="str">
        <f t="shared" ref="BA30" si="71">IF(BA28-BA29=0,"OK","ERROR")</f>
        <v>OK</v>
      </c>
      <c r="BB30" s="696" t="str">
        <f t="shared" ref="BB30" si="72">IF(BB28-BB29=0,"OK","ERROR")</f>
        <v>OK</v>
      </c>
      <c r="BC30" s="696" t="str">
        <f t="shared" ref="BC30" si="73">IF(BC28-BC29=0,"OK","ERROR")</f>
        <v>OK</v>
      </c>
      <c r="BD30" s="696" t="str">
        <f t="shared" ref="BD30" si="74">IF(BD28-BD29=0,"OK","ERROR")</f>
        <v>OK</v>
      </c>
      <c r="BE30" s="696" t="str">
        <f t="shared" ref="BE30" si="75">IF(BE28-BE29=0,"OK","ERROR")</f>
        <v>OK</v>
      </c>
      <c r="BF30" s="696" t="str">
        <f t="shared" ref="BF30" si="76">IF(BF28-BF29=0,"OK","ERROR")</f>
        <v>OK</v>
      </c>
      <c r="BG30" s="696" t="str">
        <f t="shared" ref="BG30" si="77">IF(BG28-BG29=0,"OK","ERROR")</f>
        <v>OK</v>
      </c>
      <c r="BH30" s="696" t="str">
        <f t="shared" ref="BH30" si="78">IF(BH28-BH29=0,"OK","ERROR")</f>
        <v>OK</v>
      </c>
      <c r="BI30" s="696" t="str">
        <f t="shared" ref="BI30" si="79">IF(BI28-BI29=0,"OK","ERROR")</f>
        <v>OK</v>
      </c>
      <c r="BJ30" s="696" t="str">
        <f t="shared" ref="BJ30" si="80">IF(BJ28-BJ29=0,"OK","ERROR")</f>
        <v>OK</v>
      </c>
      <c r="BK30" s="696" t="str">
        <f t="shared" ref="BK30" si="81">IF(BK28-BK29=0,"OK","ERROR")</f>
        <v>OK</v>
      </c>
      <c r="BL30" s="696" t="str">
        <f t="shared" ref="BL30" si="82">IF(BL28-BL29=0,"OK","ERROR")</f>
        <v>OK</v>
      </c>
      <c r="BM30" s="696" t="str">
        <f t="shared" ref="BM30" si="83">IF(BM28-BM29=0,"OK","ERROR")</f>
        <v>OK</v>
      </c>
      <c r="BN30" s="696" t="str">
        <f t="shared" ref="BN30" si="84">IF(BN28-BN29=0,"OK","ERROR")</f>
        <v>OK</v>
      </c>
      <c r="BO30" s="696" t="str">
        <f t="shared" ref="BO30" si="85">IF(BO28-BO29=0,"OK","ERROR")</f>
        <v>OK</v>
      </c>
    </row>
  </sheetData>
  <mergeCells count="10">
    <mergeCell ref="G5:V5"/>
    <mergeCell ref="W5:AL5"/>
    <mergeCell ref="AM5:BB5"/>
    <mergeCell ref="BC5:BN5"/>
    <mergeCell ref="BO5:BO6"/>
    <mergeCell ref="E7:F7"/>
    <mergeCell ref="E12:F12"/>
    <mergeCell ref="E17:F17"/>
    <mergeCell ref="E22:F22"/>
    <mergeCell ref="B3:F3"/>
  </mergeCells>
  <conditionalFormatting sqref="G26:BO26">
    <cfRule type="cellIs" dxfId="4" priority="3" operator="equal">
      <formula>"OK"</formula>
    </cfRule>
    <cfRule type="cellIs" dxfId="3" priority="4" operator="equal">
      <formula>"ERROR"</formula>
    </cfRule>
  </conditionalFormatting>
  <conditionalFormatting sqref="G30:BO30">
    <cfRule type="cellIs" dxfId="2" priority="1" operator="equal">
      <formula>"OK"</formula>
    </cfRule>
    <cfRule type="cellIs" dxfId="1" priority="2" operator="equal">
      <formula>"ERROR"</formula>
    </cfRule>
  </conditionalFormatting>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B1:BP56"/>
  <sheetViews>
    <sheetView showGridLines="0" topLeftCell="C10" zoomScale="120" zoomScaleNormal="120" workbookViewId="0">
      <selection activeCell="M27" sqref="M27"/>
    </sheetView>
  </sheetViews>
  <sheetFormatPr baseColWidth="10" defaultColWidth="9.140625" defaultRowHeight="15" outlineLevelCol="1"/>
  <cols>
    <col min="1" max="5" width="2.42578125" customWidth="1"/>
    <col min="6" max="6" width="55.7109375" customWidth="1"/>
    <col min="7" max="21" width="14.7109375" customWidth="1" outlineLevel="1"/>
    <col min="22" max="22" width="14.7109375" customWidth="1"/>
    <col min="23" max="37" width="14.7109375" customWidth="1" outlineLevel="1"/>
    <col min="38" max="38" width="14.7109375" customWidth="1"/>
    <col min="39" max="53" width="14.7109375" customWidth="1" outlineLevel="1"/>
    <col min="54" max="54" width="14.7109375" customWidth="1"/>
    <col min="55" max="65" width="14.7109375" customWidth="1" outlineLevel="1"/>
    <col min="66" max="68" width="14.7109375" customWidth="1"/>
  </cols>
  <sheetData>
    <row r="1" spans="2:68" ht="15" customHeight="1"/>
    <row r="2" spans="2:68" s="246" customFormat="1" ht="15" customHeight="1">
      <c r="B2" s="247"/>
    </row>
    <row r="3" spans="2:68" ht="15" customHeight="1">
      <c r="B3" s="1584" t="s">
        <v>2578</v>
      </c>
      <c r="C3" s="1584"/>
      <c r="D3" s="1584"/>
      <c r="E3" s="1584"/>
      <c r="F3" s="1584"/>
    </row>
    <row r="4" spans="2:68" s="315" customFormat="1" ht="12.75" customHeight="1" thickBot="1">
      <c r="B4" s="2"/>
      <c r="C4" s="2"/>
      <c r="D4" s="2"/>
      <c r="E4" s="2"/>
      <c r="F4" s="2"/>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row>
    <row r="5" spans="2:68" s="146" customFormat="1" ht="12.75" customHeight="1" thickBot="1">
      <c r="B5" s="2"/>
      <c r="C5" s="2"/>
      <c r="D5" s="657"/>
      <c r="E5" s="195"/>
      <c r="F5" s="658"/>
      <c r="G5" s="1740" t="s">
        <v>2410</v>
      </c>
      <c r="H5" s="1741"/>
      <c r="I5" s="1741"/>
      <c r="J5" s="1741"/>
      <c r="K5" s="1741"/>
      <c r="L5" s="1741"/>
      <c r="M5" s="1741"/>
      <c r="N5" s="1741"/>
      <c r="O5" s="1741"/>
      <c r="P5" s="1741"/>
      <c r="Q5" s="1741"/>
      <c r="R5" s="1741"/>
      <c r="S5" s="1741"/>
      <c r="T5" s="1741"/>
      <c r="U5" s="1741"/>
      <c r="V5" s="1742"/>
      <c r="W5" s="1743" t="s">
        <v>2412</v>
      </c>
      <c r="X5" s="1743"/>
      <c r="Y5" s="1743"/>
      <c r="Z5" s="1743"/>
      <c r="AA5" s="1743"/>
      <c r="AB5" s="1743"/>
      <c r="AC5" s="1743"/>
      <c r="AD5" s="1743"/>
      <c r="AE5" s="1743"/>
      <c r="AF5" s="1743"/>
      <c r="AG5" s="1743"/>
      <c r="AH5" s="1743"/>
      <c r="AI5" s="1743"/>
      <c r="AJ5" s="1743"/>
      <c r="AK5" s="1706"/>
      <c r="AL5" s="1708"/>
      <c r="AM5" s="1743" t="s">
        <v>2413</v>
      </c>
      <c r="AN5" s="1743"/>
      <c r="AO5" s="1743"/>
      <c r="AP5" s="1743"/>
      <c r="AQ5" s="1743"/>
      <c r="AR5" s="1743"/>
      <c r="AS5" s="1743"/>
      <c r="AT5" s="1743"/>
      <c r="AU5" s="1743"/>
      <c r="AV5" s="1743"/>
      <c r="AW5" s="1743"/>
      <c r="AX5" s="1743"/>
      <c r="AY5" s="1743"/>
      <c r="AZ5" s="1743"/>
      <c r="BA5" s="1743"/>
      <c r="BB5" s="1743"/>
      <c r="BC5" s="1743" t="s">
        <v>2411</v>
      </c>
      <c r="BD5" s="1743"/>
      <c r="BE5" s="1743"/>
      <c r="BF5" s="1743"/>
      <c r="BG5" s="1743"/>
      <c r="BH5" s="1743"/>
      <c r="BI5" s="1743"/>
      <c r="BJ5" s="1743"/>
      <c r="BK5" s="1743"/>
      <c r="BL5" s="1743"/>
      <c r="BM5" s="1743"/>
      <c r="BN5" s="1743"/>
      <c r="BO5" s="1569">
        <v>999</v>
      </c>
    </row>
    <row r="6" spans="2:68" s="183" customFormat="1" ht="54.95" customHeight="1" thickBot="1">
      <c r="B6" s="184"/>
      <c r="C6" s="184"/>
      <c r="D6" s="659"/>
      <c r="E6" s="184"/>
      <c r="F6" s="660"/>
      <c r="G6" s="643">
        <v>101</v>
      </c>
      <c r="H6" s="643" t="s">
        <v>777</v>
      </c>
      <c r="I6" s="642" t="s">
        <v>778</v>
      </c>
      <c r="J6" s="642" t="s">
        <v>779</v>
      </c>
      <c r="K6" s="642" t="s">
        <v>780</v>
      </c>
      <c r="L6" s="642" t="s">
        <v>781</v>
      </c>
      <c r="M6" s="642" t="s">
        <v>782</v>
      </c>
      <c r="N6" s="642" t="s">
        <v>783</v>
      </c>
      <c r="O6" s="642" t="s">
        <v>784</v>
      </c>
      <c r="P6" s="642" t="s">
        <v>785</v>
      </c>
      <c r="Q6" s="642" t="s">
        <v>786</v>
      </c>
      <c r="R6" s="642" t="s">
        <v>787</v>
      </c>
      <c r="S6" s="642" t="s">
        <v>788</v>
      </c>
      <c r="T6" s="642" t="s">
        <v>789</v>
      </c>
      <c r="U6" s="642" t="s">
        <v>790</v>
      </c>
      <c r="V6" s="683">
        <v>100</v>
      </c>
      <c r="W6" s="641" t="s">
        <v>791</v>
      </c>
      <c r="X6" s="641" t="s">
        <v>792</v>
      </c>
      <c r="Y6" s="641" t="s">
        <v>793</v>
      </c>
      <c r="Z6" s="641" t="s">
        <v>794</v>
      </c>
      <c r="AA6" s="641" t="s">
        <v>795</v>
      </c>
      <c r="AB6" s="641" t="s">
        <v>796</v>
      </c>
      <c r="AC6" s="641" t="s">
        <v>797</v>
      </c>
      <c r="AD6" s="641" t="s">
        <v>798</v>
      </c>
      <c r="AE6" s="641" t="s">
        <v>799</v>
      </c>
      <c r="AF6" s="641" t="s">
        <v>800</v>
      </c>
      <c r="AG6" s="641" t="s">
        <v>801</v>
      </c>
      <c r="AH6" s="641" t="s">
        <v>802</v>
      </c>
      <c r="AI6" s="641" t="s">
        <v>803</v>
      </c>
      <c r="AJ6" s="641" t="s">
        <v>804</v>
      </c>
      <c r="AK6" s="641" t="s">
        <v>805</v>
      </c>
      <c r="AL6" s="684">
        <v>200</v>
      </c>
      <c r="AM6" s="641" t="s">
        <v>806</v>
      </c>
      <c r="AN6" s="641" t="s">
        <v>807</v>
      </c>
      <c r="AO6" s="641" t="s">
        <v>808</v>
      </c>
      <c r="AP6" s="641" t="s">
        <v>809</v>
      </c>
      <c r="AQ6" s="641" t="s">
        <v>810</v>
      </c>
      <c r="AR6" s="641" t="s">
        <v>811</v>
      </c>
      <c r="AS6" s="641" t="s">
        <v>812</v>
      </c>
      <c r="AT6" s="641" t="s">
        <v>813</v>
      </c>
      <c r="AU6" s="641" t="s">
        <v>814</v>
      </c>
      <c r="AV6" s="641" t="s">
        <v>815</v>
      </c>
      <c r="AW6" s="641" t="s">
        <v>816</v>
      </c>
      <c r="AX6" s="641" t="s">
        <v>817</v>
      </c>
      <c r="AY6" s="641" t="s">
        <v>818</v>
      </c>
      <c r="AZ6" s="641" t="s">
        <v>819</v>
      </c>
      <c r="BA6" s="641" t="s">
        <v>820</v>
      </c>
      <c r="BB6" s="684">
        <v>300</v>
      </c>
      <c r="BC6" s="641" t="s">
        <v>821</v>
      </c>
      <c r="BD6" s="641" t="s">
        <v>822</v>
      </c>
      <c r="BE6" s="641" t="s">
        <v>823</v>
      </c>
      <c r="BF6" s="641" t="s">
        <v>824</v>
      </c>
      <c r="BG6" s="641" t="s">
        <v>825</v>
      </c>
      <c r="BH6" s="641" t="s">
        <v>826</v>
      </c>
      <c r="BI6" s="641" t="s">
        <v>827</v>
      </c>
      <c r="BJ6" s="641" t="s">
        <v>828</v>
      </c>
      <c r="BK6" s="641" t="s">
        <v>829</v>
      </c>
      <c r="BL6" s="641" t="s">
        <v>830</v>
      </c>
      <c r="BM6" s="641" t="s">
        <v>831</v>
      </c>
      <c r="BN6" s="684">
        <v>400</v>
      </c>
      <c r="BO6" s="1570"/>
    </row>
    <row r="7" spans="2:68" s="30" customFormat="1" ht="15" customHeight="1">
      <c r="B7" s="25"/>
      <c r="C7" s="25"/>
      <c r="D7" s="1745" t="s">
        <v>2579</v>
      </c>
      <c r="E7" s="1746"/>
      <c r="F7" s="1747"/>
      <c r="G7" s="651">
        <v>2</v>
      </c>
      <c r="H7" s="60">
        <v>1</v>
      </c>
      <c r="I7" s="60">
        <v>5</v>
      </c>
      <c r="J7" s="60">
        <v>0</v>
      </c>
      <c r="K7" s="60">
        <v>0</v>
      </c>
      <c r="L7" s="60">
        <v>0</v>
      </c>
      <c r="M7" s="60">
        <v>7293</v>
      </c>
      <c r="N7" s="60">
        <v>1</v>
      </c>
      <c r="O7" s="60">
        <v>320</v>
      </c>
      <c r="P7" s="60">
        <v>0</v>
      </c>
      <c r="Q7" s="60">
        <v>0</v>
      </c>
      <c r="R7" s="60">
        <v>0</v>
      </c>
      <c r="S7" s="60">
        <v>0</v>
      </c>
      <c r="T7" s="60">
        <v>0</v>
      </c>
      <c r="U7" s="62">
        <v>0</v>
      </c>
      <c r="V7" s="646">
        <f t="shared" ref="V7:V20" si="0">SUM(G7:U7)</f>
        <v>7622</v>
      </c>
      <c r="W7" s="61">
        <v>0</v>
      </c>
      <c r="X7" s="60">
        <v>1422</v>
      </c>
      <c r="Y7" s="60">
        <v>0</v>
      </c>
      <c r="Z7" s="60">
        <v>0</v>
      </c>
      <c r="AA7" s="60">
        <v>0</v>
      </c>
      <c r="AB7" s="60">
        <v>0</v>
      </c>
      <c r="AC7" s="60">
        <v>0</v>
      </c>
      <c r="AD7" s="60">
        <v>1607</v>
      </c>
      <c r="AE7" s="60">
        <v>438314</v>
      </c>
      <c r="AF7" s="60">
        <v>2</v>
      </c>
      <c r="AG7" s="60">
        <v>0</v>
      </c>
      <c r="AH7" s="60">
        <v>0</v>
      </c>
      <c r="AI7" s="60">
        <v>649</v>
      </c>
      <c r="AJ7" s="60">
        <v>0</v>
      </c>
      <c r="AK7" s="62">
        <v>13</v>
      </c>
      <c r="AL7" s="646">
        <f t="shared" ref="AL7:AL20" si="1">SUM(W7:AK7)</f>
        <v>442007</v>
      </c>
      <c r="AM7" s="61">
        <v>0</v>
      </c>
      <c r="AN7" s="60">
        <v>0</v>
      </c>
      <c r="AO7" s="60">
        <v>0</v>
      </c>
      <c r="AP7" s="60">
        <v>0</v>
      </c>
      <c r="AQ7" s="60">
        <v>0</v>
      </c>
      <c r="AR7" s="60">
        <v>0</v>
      </c>
      <c r="AS7" s="60">
        <v>0</v>
      </c>
      <c r="AT7" s="60">
        <v>0</v>
      </c>
      <c r="AU7" s="60">
        <v>0</v>
      </c>
      <c r="AV7" s="60">
        <v>1</v>
      </c>
      <c r="AW7" s="60">
        <v>0</v>
      </c>
      <c r="AX7" s="60">
        <v>0</v>
      </c>
      <c r="AY7" s="60">
        <v>174</v>
      </c>
      <c r="AZ7" s="60">
        <v>0</v>
      </c>
      <c r="BA7" s="62">
        <v>0</v>
      </c>
      <c r="BB7" s="646">
        <f t="shared" ref="BB7:BB20" si="2">SUM(AM7:BA7)</f>
        <v>175</v>
      </c>
      <c r="BC7" s="61">
        <v>12101</v>
      </c>
      <c r="BD7" s="58">
        <f t="shared" ref="BD7:BD20" si="3">BE7+BF7</f>
        <v>0</v>
      </c>
      <c r="BE7" s="60">
        <v>0</v>
      </c>
      <c r="BF7" s="60">
        <v>0</v>
      </c>
      <c r="BG7" s="58">
        <f t="shared" ref="BG7:BG20" si="4">BH7+BI7</f>
        <v>0</v>
      </c>
      <c r="BH7" s="60">
        <v>0</v>
      </c>
      <c r="BI7" s="60">
        <v>0</v>
      </c>
      <c r="BJ7" s="60">
        <v>0</v>
      </c>
      <c r="BK7" s="60">
        <v>0</v>
      </c>
      <c r="BL7" s="60">
        <v>0</v>
      </c>
      <c r="BM7" s="62">
        <v>0</v>
      </c>
      <c r="BN7" s="655">
        <f t="shared" ref="BN7:BN20" si="5">BC7+BD7+BG7+BJ7+BK7+BL7+BM7</f>
        <v>12101</v>
      </c>
      <c r="BO7" s="656">
        <f t="shared" ref="BO7:BO20" si="6">V7+AL7+BB7+BN7</f>
        <v>461905</v>
      </c>
      <c r="BP7" s="648"/>
    </row>
    <row r="8" spans="2:68" s="30" customFormat="1" ht="15" customHeight="1">
      <c r="B8" s="25"/>
      <c r="C8" s="25"/>
      <c r="D8" s="1745" t="s">
        <v>2580</v>
      </c>
      <c r="E8" s="1746" t="s">
        <v>2415</v>
      </c>
      <c r="F8" s="1747"/>
      <c r="G8" s="651">
        <v>0</v>
      </c>
      <c r="H8" s="60">
        <v>0</v>
      </c>
      <c r="I8" s="60">
        <v>0</v>
      </c>
      <c r="J8" s="60">
        <v>0</v>
      </c>
      <c r="K8" s="60">
        <v>0</v>
      </c>
      <c r="L8" s="60">
        <v>0</v>
      </c>
      <c r="M8" s="60">
        <v>0</v>
      </c>
      <c r="N8" s="60">
        <v>0</v>
      </c>
      <c r="O8" s="60">
        <v>0</v>
      </c>
      <c r="P8" s="60">
        <v>0</v>
      </c>
      <c r="Q8" s="60">
        <v>0</v>
      </c>
      <c r="R8" s="60">
        <v>0</v>
      </c>
      <c r="S8" s="60">
        <v>0</v>
      </c>
      <c r="T8" s="60">
        <v>0</v>
      </c>
      <c r="U8" s="62">
        <v>0</v>
      </c>
      <c r="V8" s="646">
        <f t="shared" si="0"/>
        <v>0</v>
      </c>
      <c r="W8" s="61">
        <v>0</v>
      </c>
      <c r="X8" s="60">
        <v>0</v>
      </c>
      <c r="Y8" s="60">
        <v>0</v>
      </c>
      <c r="Z8" s="60">
        <v>0</v>
      </c>
      <c r="AA8" s="60">
        <v>0</v>
      </c>
      <c r="AB8" s="60">
        <v>0</v>
      </c>
      <c r="AC8" s="60">
        <v>0</v>
      </c>
      <c r="AD8" s="60">
        <v>0</v>
      </c>
      <c r="AE8" s="60">
        <v>0</v>
      </c>
      <c r="AF8" s="60">
        <v>0</v>
      </c>
      <c r="AG8" s="60">
        <v>0</v>
      </c>
      <c r="AH8" s="60">
        <v>0</v>
      </c>
      <c r="AI8" s="60">
        <v>0</v>
      </c>
      <c r="AJ8" s="60">
        <v>0</v>
      </c>
      <c r="AK8" s="62">
        <v>0</v>
      </c>
      <c r="AL8" s="646">
        <f t="shared" si="1"/>
        <v>0</v>
      </c>
      <c r="AM8" s="61">
        <v>0</v>
      </c>
      <c r="AN8" s="60">
        <v>0</v>
      </c>
      <c r="AO8" s="60">
        <v>0</v>
      </c>
      <c r="AP8" s="60">
        <v>0</v>
      </c>
      <c r="AQ8" s="60">
        <v>0</v>
      </c>
      <c r="AR8" s="60">
        <v>0</v>
      </c>
      <c r="AS8" s="60">
        <v>0</v>
      </c>
      <c r="AT8" s="60">
        <v>0</v>
      </c>
      <c r="AU8" s="60">
        <v>0</v>
      </c>
      <c r="AV8" s="60">
        <v>0</v>
      </c>
      <c r="AW8" s="60">
        <v>0</v>
      </c>
      <c r="AX8" s="60">
        <v>0</v>
      </c>
      <c r="AY8" s="60">
        <v>0</v>
      </c>
      <c r="AZ8" s="60">
        <v>0</v>
      </c>
      <c r="BA8" s="62">
        <v>0</v>
      </c>
      <c r="BB8" s="646">
        <f t="shared" si="2"/>
        <v>0</v>
      </c>
      <c r="BC8" s="61">
        <v>0</v>
      </c>
      <c r="BD8" s="58">
        <f t="shared" si="3"/>
        <v>394</v>
      </c>
      <c r="BE8" s="60">
        <v>378</v>
      </c>
      <c r="BF8" s="60">
        <v>16</v>
      </c>
      <c r="BG8" s="58">
        <f t="shared" si="4"/>
        <v>60</v>
      </c>
      <c r="BH8" s="60">
        <v>53</v>
      </c>
      <c r="BI8" s="60">
        <v>7</v>
      </c>
      <c r="BJ8" s="60">
        <v>40</v>
      </c>
      <c r="BK8" s="60">
        <v>216</v>
      </c>
      <c r="BL8" s="60"/>
      <c r="BM8" s="62">
        <v>0</v>
      </c>
      <c r="BN8" s="646">
        <f t="shared" si="5"/>
        <v>710</v>
      </c>
      <c r="BO8" s="647">
        <f t="shared" si="6"/>
        <v>710</v>
      </c>
      <c r="BP8" s="648"/>
    </row>
    <row r="9" spans="2:68" ht="15" customHeight="1">
      <c r="B9" s="12"/>
      <c r="C9" s="12"/>
      <c r="D9" s="1768" t="s">
        <v>2581</v>
      </c>
      <c r="E9" s="1769"/>
      <c r="F9" s="1770" t="s">
        <v>2416</v>
      </c>
      <c r="G9" s="1486">
        <v>43</v>
      </c>
      <c r="H9" s="1487">
        <v>0</v>
      </c>
      <c r="I9" s="1487">
        <v>430</v>
      </c>
      <c r="J9" s="1487">
        <v>0</v>
      </c>
      <c r="K9" s="1487">
        <v>0</v>
      </c>
      <c r="L9" s="1487">
        <v>0</v>
      </c>
      <c r="M9" s="1487">
        <v>0</v>
      </c>
      <c r="N9" s="1487">
        <v>0</v>
      </c>
      <c r="O9" s="1487">
        <v>0</v>
      </c>
      <c r="P9" s="1487">
        <v>0</v>
      </c>
      <c r="Q9" s="1487">
        <v>0</v>
      </c>
      <c r="R9" s="1487">
        <v>0</v>
      </c>
      <c r="S9" s="1487">
        <v>0</v>
      </c>
      <c r="T9" s="1487">
        <v>0</v>
      </c>
      <c r="U9" s="1488">
        <v>0</v>
      </c>
      <c r="V9" s="1489">
        <f t="shared" si="0"/>
        <v>473</v>
      </c>
      <c r="W9" s="1490">
        <v>0</v>
      </c>
      <c r="X9" s="1487">
        <v>0</v>
      </c>
      <c r="Y9" s="1487">
        <v>0</v>
      </c>
      <c r="Z9" s="1487">
        <v>0</v>
      </c>
      <c r="AA9" s="1487">
        <v>0</v>
      </c>
      <c r="AB9" s="1487">
        <v>0</v>
      </c>
      <c r="AC9" s="1487">
        <v>0</v>
      </c>
      <c r="AD9" s="1487">
        <v>0</v>
      </c>
      <c r="AE9" s="1487">
        <v>0</v>
      </c>
      <c r="AF9" s="1487">
        <v>0</v>
      </c>
      <c r="AG9" s="1487">
        <v>0</v>
      </c>
      <c r="AH9" s="1487">
        <v>0</v>
      </c>
      <c r="AI9" s="1487">
        <v>0</v>
      </c>
      <c r="AJ9" s="1487">
        <v>0</v>
      </c>
      <c r="AK9" s="1488">
        <v>0</v>
      </c>
      <c r="AL9" s="1491">
        <f t="shared" si="1"/>
        <v>0</v>
      </c>
      <c r="AM9" s="1492">
        <v>0</v>
      </c>
      <c r="AN9" s="1493">
        <v>0</v>
      </c>
      <c r="AO9" s="1493">
        <v>23</v>
      </c>
      <c r="AP9" s="1493">
        <v>0</v>
      </c>
      <c r="AQ9" s="1493">
        <v>0</v>
      </c>
      <c r="AR9" s="1493">
        <v>0</v>
      </c>
      <c r="AS9" s="1493">
        <v>0</v>
      </c>
      <c r="AT9" s="1493">
        <v>0</v>
      </c>
      <c r="AU9" s="1493">
        <v>0</v>
      </c>
      <c r="AV9" s="1493">
        <v>0</v>
      </c>
      <c r="AW9" s="1493">
        <v>0</v>
      </c>
      <c r="AX9" s="1493">
        <v>0</v>
      </c>
      <c r="AY9" s="1493">
        <v>0</v>
      </c>
      <c r="AZ9" s="1493">
        <v>0</v>
      </c>
      <c r="BA9" s="1494">
        <v>0</v>
      </c>
      <c r="BB9" s="1491">
        <f t="shared" si="2"/>
        <v>23</v>
      </c>
      <c r="BC9" s="1492">
        <v>0</v>
      </c>
      <c r="BD9" s="1493">
        <v>0</v>
      </c>
      <c r="BE9" s="1493">
        <v>0</v>
      </c>
      <c r="BF9" s="1493">
        <v>0</v>
      </c>
      <c r="BG9" s="1493">
        <v>0</v>
      </c>
      <c r="BH9" s="1493">
        <v>0</v>
      </c>
      <c r="BI9" s="1493">
        <v>0</v>
      </c>
      <c r="BJ9" s="1493">
        <v>0</v>
      </c>
      <c r="BK9" s="1493">
        <v>0</v>
      </c>
      <c r="BL9" s="1493">
        <v>317</v>
      </c>
      <c r="BM9" s="1494">
        <v>0</v>
      </c>
      <c r="BN9" s="1489">
        <f t="shared" si="5"/>
        <v>317</v>
      </c>
      <c r="BO9" s="1495">
        <f t="shared" si="6"/>
        <v>813</v>
      </c>
      <c r="BP9" s="146"/>
    </row>
    <row r="10" spans="2:68" ht="15" customHeight="1">
      <c r="B10" s="12"/>
      <c r="C10" s="12"/>
      <c r="D10" s="1768" t="s">
        <v>2582</v>
      </c>
      <c r="E10" s="1769"/>
      <c r="F10" s="1770" t="s">
        <v>2417</v>
      </c>
      <c r="G10" s="1486">
        <v>47</v>
      </c>
      <c r="H10" s="1487">
        <v>0</v>
      </c>
      <c r="I10" s="1487">
        <v>1004</v>
      </c>
      <c r="J10" s="1487">
        <v>4</v>
      </c>
      <c r="K10" s="1487">
        <v>0</v>
      </c>
      <c r="L10" s="1487">
        <v>0</v>
      </c>
      <c r="M10" s="1487">
        <v>0</v>
      </c>
      <c r="N10" s="1487">
        <v>0</v>
      </c>
      <c r="O10" s="1487">
        <v>0</v>
      </c>
      <c r="P10" s="1487">
        <v>14</v>
      </c>
      <c r="Q10" s="1487">
        <v>0</v>
      </c>
      <c r="R10" s="1487">
        <v>0</v>
      </c>
      <c r="S10" s="1487">
        <v>0</v>
      </c>
      <c r="T10" s="1487">
        <v>0</v>
      </c>
      <c r="U10" s="1488">
        <v>0</v>
      </c>
      <c r="V10" s="1489">
        <f t="shared" si="0"/>
        <v>1069</v>
      </c>
      <c r="W10" s="1490">
        <v>0</v>
      </c>
      <c r="X10" s="1487">
        <v>0</v>
      </c>
      <c r="Y10" s="1487">
        <v>0</v>
      </c>
      <c r="Z10" s="1487">
        <v>0</v>
      </c>
      <c r="AA10" s="1487">
        <v>0</v>
      </c>
      <c r="AB10" s="1487">
        <v>0</v>
      </c>
      <c r="AC10" s="1487">
        <v>0</v>
      </c>
      <c r="AD10" s="1487">
        <v>0</v>
      </c>
      <c r="AE10" s="1487">
        <v>0</v>
      </c>
      <c r="AF10" s="1487">
        <v>0</v>
      </c>
      <c r="AG10" s="1487">
        <v>0</v>
      </c>
      <c r="AH10" s="1487">
        <v>0</v>
      </c>
      <c r="AI10" s="1487">
        <v>0</v>
      </c>
      <c r="AJ10" s="1487">
        <v>0</v>
      </c>
      <c r="AK10" s="1488">
        <v>0</v>
      </c>
      <c r="AL10" s="1491">
        <f t="shared" si="1"/>
        <v>0</v>
      </c>
      <c r="AM10" s="1492">
        <v>0</v>
      </c>
      <c r="AN10" s="1493">
        <v>0</v>
      </c>
      <c r="AO10" s="1493">
        <v>10</v>
      </c>
      <c r="AP10" s="1493">
        <v>0</v>
      </c>
      <c r="AQ10" s="1493">
        <v>0</v>
      </c>
      <c r="AR10" s="1493">
        <v>0</v>
      </c>
      <c r="AS10" s="1493">
        <v>0</v>
      </c>
      <c r="AT10" s="1493">
        <v>0</v>
      </c>
      <c r="AU10" s="1493">
        <v>0</v>
      </c>
      <c r="AV10" s="1493">
        <v>0</v>
      </c>
      <c r="AW10" s="1493">
        <v>0</v>
      </c>
      <c r="AX10" s="1493">
        <v>0</v>
      </c>
      <c r="AY10" s="1493">
        <v>0</v>
      </c>
      <c r="AZ10" s="1493">
        <v>0</v>
      </c>
      <c r="BA10" s="1494">
        <v>0</v>
      </c>
      <c r="BB10" s="1491">
        <f t="shared" si="2"/>
        <v>10</v>
      </c>
      <c r="BC10" s="1492">
        <v>0</v>
      </c>
      <c r="BD10" s="1493">
        <v>0</v>
      </c>
      <c r="BE10" s="1493">
        <v>0</v>
      </c>
      <c r="BF10" s="1493">
        <v>0</v>
      </c>
      <c r="BG10" s="1493">
        <v>0</v>
      </c>
      <c r="BH10" s="1493">
        <v>0</v>
      </c>
      <c r="BI10" s="1493">
        <v>0</v>
      </c>
      <c r="BJ10" s="1493">
        <v>0</v>
      </c>
      <c r="BK10" s="1493">
        <v>0</v>
      </c>
      <c r="BL10" s="1493">
        <v>170</v>
      </c>
      <c r="BM10" s="1494">
        <v>0</v>
      </c>
      <c r="BN10" s="1489">
        <f t="shared" si="5"/>
        <v>170</v>
      </c>
      <c r="BO10" s="1495">
        <f t="shared" si="6"/>
        <v>1249</v>
      </c>
      <c r="BP10" s="146"/>
    </row>
    <row r="11" spans="2:68" ht="15" customHeight="1">
      <c r="B11" s="12"/>
      <c r="C11" s="12"/>
      <c r="D11" s="1768" t="s">
        <v>2583</v>
      </c>
      <c r="E11" s="1769"/>
      <c r="F11" s="1770" t="s">
        <v>2418</v>
      </c>
      <c r="G11" s="1486">
        <v>0</v>
      </c>
      <c r="H11" s="1487">
        <v>0</v>
      </c>
      <c r="I11" s="1487">
        <v>0</v>
      </c>
      <c r="J11" s="1487">
        <v>7</v>
      </c>
      <c r="K11" s="1487">
        <v>0</v>
      </c>
      <c r="L11" s="1487">
        <v>0</v>
      </c>
      <c r="M11" s="1487">
        <v>0</v>
      </c>
      <c r="N11" s="1487">
        <v>0</v>
      </c>
      <c r="O11" s="1487">
        <v>0</v>
      </c>
      <c r="P11" s="1487">
        <v>6</v>
      </c>
      <c r="Q11" s="1487">
        <v>0</v>
      </c>
      <c r="R11" s="1487">
        <v>0</v>
      </c>
      <c r="S11" s="1487">
        <v>0</v>
      </c>
      <c r="T11" s="1487">
        <v>0</v>
      </c>
      <c r="U11" s="1488">
        <v>0</v>
      </c>
      <c r="V11" s="1489">
        <f t="shared" si="0"/>
        <v>13</v>
      </c>
      <c r="W11" s="1490">
        <v>0</v>
      </c>
      <c r="X11" s="1487">
        <v>0</v>
      </c>
      <c r="Y11" s="1487">
        <v>0</v>
      </c>
      <c r="Z11" s="1487">
        <v>0</v>
      </c>
      <c r="AA11" s="1487">
        <v>0</v>
      </c>
      <c r="AB11" s="1487">
        <v>0</v>
      </c>
      <c r="AC11" s="1487">
        <v>0</v>
      </c>
      <c r="AD11" s="1487">
        <v>0</v>
      </c>
      <c r="AE11" s="1487">
        <v>0</v>
      </c>
      <c r="AF11" s="1487">
        <v>0</v>
      </c>
      <c r="AG11" s="1487">
        <v>0</v>
      </c>
      <c r="AH11" s="1487">
        <v>0</v>
      </c>
      <c r="AI11" s="1487">
        <v>0</v>
      </c>
      <c r="AJ11" s="1487">
        <v>0</v>
      </c>
      <c r="AK11" s="1488">
        <v>0</v>
      </c>
      <c r="AL11" s="1491">
        <f t="shared" si="1"/>
        <v>0</v>
      </c>
      <c r="AM11" s="1492">
        <v>0</v>
      </c>
      <c r="AN11" s="1493">
        <v>0</v>
      </c>
      <c r="AO11" s="1493">
        <v>0</v>
      </c>
      <c r="AP11" s="1493">
        <v>0</v>
      </c>
      <c r="AQ11" s="1493">
        <v>0</v>
      </c>
      <c r="AR11" s="1493">
        <v>0</v>
      </c>
      <c r="AS11" s="1493">
        <v>0</v>
      </c>
      <c r="AT11" s="1493">
        <v>0</v>
      </c>
      <c r="AU11" s="1493">
        <v>0</v>
      </c>
      <c r="AV11" s="1493">
        <v>0</v>
      </c>
      <c r="AW11" s="1493">
        <v>0</v>
      </c>
      <c r="AX11" s="1493">
        <v>0</v>
      </c>
      <c r="AY11" s="1493">
        <v>0</v>
      </c>
      <c r="AZ11" s="1493">
        <v>0</v>
      </c>
      <c r="BA11" s="1494">
        <v>0</v>
      </c>
      <c r="BB11" s="1491">
        <f t="shared" si="2"/>
        <v>0</v>
      </c>
      <c r="BC11" s="1492">
        <v>0</v>
      </c>
      <c r="BD11" s="1493">
        <v>0</v>
      </c>
      <c r="BE11" s="1493">
        <v>0</v>
      </c>
      <c r="BF11" s="1493">
        <v>0</v>
      </c>
      <c r="BG11" s="1493">
        <v>0</v>
      </c>
      <c r="BH11" s="1493">
        <v>0</v>
      </c>
      <c r="BI11" s="1493">
        <v>0</v>
      </c>
      <c r="BJ11" s="1493">
        <v>0</v>
      </c>
      <c r="BK11" s="1493">
        <v>0</v>
      </c>
      <c r="BL11" s="1493">
        <v>0</v>
      </c>
      <c r="BM11" s="1494">
        <v>0</v>
      </c>
      <c r="BN11" s="1489">
        <f t="shared" si="5"/>
        <v>0</v>
      </c>
      <c r="BO11" s="1495">
        <f t="shared" si="6"/>
        <v>13</v>
      </c>
      <c r="BP11" s="146"/>
    </row>
    <row r="12" spans="2:68" s="30" customFormat="1" ht="15" customHeight="1">
      <c r="B12" s="25"/>
      <c r="C12" s="25"/>
      <c r="D12" s="1745" t="s">
        <v>2584</v>
      </c>
      <c r="E12" s="1746" t="s">
        <v>2419</v>
      </c>
      <c r="F12" s="1747"/>
      <c r="G12" s="651">
        <v>0</v>
      </c>
      <c r="H12" s="60">
        <v>89</v>
      </c>
      <c r="I12" s="60">
        <v>470</v>
      </c>
      <c r="J12" s="60">
        <v>0</v>
      </c>
      <c r="K12" s="60">
        <v>0</v>
      </c>
      <c r="L12" s="60">
        <v>0</v>
      </c>
      <c r="M12" s="60">
        <v>12851</v>
      </c>
      <c r="N12" s="60">
        <v>0</v>
      </c>
      <c r="O12" s="60">
        <v>0</v>
      </c>
      <c r="P12" s="60">
        <v>30</v>
      </c>
      <c r="Q12" s="60">
        <v>0</v>
      </c>
      <c r="R12" s="60">
        <v>0</v>
      </c>
      <c r="S12" s="60">
        <v>0</v>
      </c>
      <c r="T12" s="60">
        <v>0</v>
      </c>
      <c r="U12" s="62">
        <v>0</v>
      </c>
      <c r="V12" s="646">
        <f t="shared" si="0"/>
        <v>13440</v>
      </c>
      <c r="W12" s="61">
        <v>0</v>
      </c>
      <c r="X12" s="60">
        <v>59</v>
      </c>
      <c r="Y12" s="60">
        <v>0</v>
      </c>
      <c r="Z12" s="60">
        <v>0</v>
      </c>
      <c r="AA12" s="60">
        <v>0</v>
      </c>
      <c r="AB12" s="60">
        <v>0</v>
      </c>
      <c r="AC12" s="60">
        <v>0</v>
      </c>
      <c r="AD12" s="60">
        <v>0</v>
      </c>
      <c r="AE12" s="60">
        <v>63</v>
      </c>
      <c r="AF12" s="60">
        <v>2</v>
      </c>
      <c r="AG12" s="60">
        <v>0</v>
      </c>
      <c r="AH12" s="60">
        <v>0</v>
      </c>
      <c r="AI12" s="60">
        <v>0</v>
      </c>
      <c r="AJ12" s="60">
        <v>0</v>
      </c>
      <c r="AK12" s="62">
        <v>0</v>
      </c>
      <c r="AL12" s="646">
        <f t="shared" si="1"/>
        <v>124</v>
      </c>
      <c r="AM12" s="61">
        <v>0</v>
      </c>
      <c r="AN12" s="60">
        <v>0</v>
      </c>
      <c r="AO12" s="60">
        <v>0</v>
      </c>
      <c r="AP12" s="60">
        <v>0</v>
      </c>
      <c r="AQ12" s="60">
        <v>0</v>
      </c>
      <c r="AR12" s="60">
        <v>0</v>
      </c>
      <c r="AS12" s="60">
        <v>0</v>
      </c>
      <c r="AT12" s="60">
        <v>0</v>
      </c>
      <c r="AU12" s="60">
        <v>0</v>
      </c>
      <c r="AV12" s="60">
        <v>0</v>
      </c>
      <c r="AW12" s="60">
        <v>0</v>
      </c>
      <c r="AX12" s="60">
        <v>0</v>
      </c>
      <c r="AY12" s="60">
        <v>1</v>
      </c>
      <c r="AZ12" s="60">
        <v>0</v>
      </c>
      <c r="BA12" s="62">
        <v>0</v>
      </c>
      <c r="BB12" s="646">
        <f t="shared" si="2"/>
        <v>1</v>
      </c>
      <c r="BC12" s="61">
        <v>1</v>
      </c>
      <c r="BD12" s="58">
        <f t="shared" si="3"/>
        <v>394</v>
      </c>
      <c r="BE12" s="60">
        <v>378</v>
      </c>
      <c r="BF12" s="60">
        <v>16</v>
      </c>
      <c r="BG12" s="58">
        <f t="shared" si="4"/>
        <v>60</v>
      </c>
      <c r="BH12" s="60">
        <v>53</v>
      </c>
      <c r="BI12" s="60">
        <v>7</v>
      </c>
      <c r="BJ12" s="60">
        <v>40</v>
      </c>
      <c r="BK12" s="60">
        <v>216</v>
      </c>
      <c r="BL12" s="60">
        <v>0</v>
      </c>
      <c r="BM12" s="62">
        <v>0</v>
      </c>
      <c r="BN12" s="646">
        <f t="shared" si="5"/>
        <v>711</v>
      </c>
      <c r="BO12" s="647">
        <f t="shared" si="6"/>
        <v>14276</v>
      </c>
      <c r="BP12" s="648"/>
    </row>
    <row r="13" spans="2:68" ht="15" customHeight="1">
      <c r="B13" s="12"/>
      <c r="C13" s="12"/>
      <c r="D13" s="1745" t="s">
        <v>2585</v>
      </c>
      <c r="E13" s="1746"/>
      <c r="F13" s="1747" t="s">
        <v>2420</v>
      </c>
      <c r="G13" s="652">
        <v>761</v>
      </c>
      <c r="H13" s="43">
        <v>2204</v>
      </c>
      <c r="I13" s="43">
        <v>23794</v>
      </c>
      <c r="J13" s="43">
        <v>1604</v>
      </c>
      <c r="K13" s="43">
        <v>37</v>
      </c>
      <c r="L13" s="43">
        <v>1461</v>
      </c>
      <c r="M13" s="43">
        <v>253909</v>
      </c>
      <c r="N13" s="43">
        <v>0</v>
      </c>
      <c r="O13" s="43">
        <v>156</v>
      </c>
      <c r="P13" s="43">
        <v>357</v>
      </c>
      <c r="Q13" s="43">
        <v>0</v>
      </c>
      <c r="R13" s="43">
        <v>13</v>
      </c>
      <c r="S13" s="43">
        <v>0</v>
      </c>
      <c r="T13" s="43">
        <v>0</v>
      </c>
      <c r="U13" s="44">
        <v>0</v>
      </c>
      <c r="V13" s="646">
        <f t="shared" si="0"/>
        <v>284296</v>
      </c>
      <c r="W13" s="54">
        <v>0</v>
      </c>
      <c r="X13" s="43">
        <v>1285</v>
      </c>
      <c r="Y13" s="43">
        <v>0</v>
      </c>
      <c r="Z13" s="43">
        <v>0</v>
      </c>
      <c r="AA13" s="43">
        <v>0</v>
      </c>
      <c r="AB13" s="43">
        <v>0</v>
      </c>
      <c r="AC13" s="43">
        <v>0</v>
      </c>
      <c r="AD13" s="43">
        <v>0</v>
      </c>
      <c r="AE13" s="43">
        <v>608</v>
      </c>
      <c r="AF13" s="43">
        <v>77</v>
      </c>
      <c r="AG13" s="43">
        <v>0</v>
      </c>
      <c r="AH13" s="43">
        <v>0</v>
      </c>
      <c r="AI13" s="43">
        <v>0</v>
      </c>
      <c r="AJ13" s="43">
        <v>0</v>
      </c>
      <c r="AK13" s="44">
        <v>0</v>
      </c>
      <c r="AL13" s="644">
        <f t="shared" si="1"/>
        <v>1970</v>
      </c>
      <c r="AM13" s="353">
        <v>0</v>
      </c>
      <c r="AN13" s="58">
        <v>0</v>
      </c>
      <c r="AO13" s="58">
        <v>0</v>
      </c>
      <c r="AP13" s="58">
        <v>0</v>
      </c>
      <c r="AQ13" s="58">
        <v>0</v>
      </c>
      <c r="AR13" s="58">
        <v>0</v>
      </c>
      <c r="AS13" s="58">
        <v>0</v>
      </c>
      <c r="AT13" s="58">
        <v>0</v>
      </c>
      <c r="AU13" s="58">
        <v>3</v>
      </c>
      <c r="AV13" s="58">
        <v>1</v>
      </c>
      <c r="AW13" s="58">
        <v>0</v>
      </c>
      <c r="AX13" s="58">
        <v>0</v>
      </c>
      <c r="AY13" s="58">
        <v>12</v>
      </c>
      <c r="AZ13" s="58">
        <v>0</v>
      </c>
      <c r="BA13" s="204">
        <v>0</v>
      </c>
      <c r="BB13" s="644">
        <f t="shared" si="2"/>
        <v>16</v>
      </c>
      <c r="BC13" s="353">
        <v>0</v>
      </c>
      <c r="BD13" s="58">
        <f t="shared" si="3"/>
        <v>27797</v>
      </c>
      <c r="BE13" s="58">
        <v>13124</v>
      </c>
      <c r="BF13" s="58">
        <v>14673</v>
      </c>
      <c r="BG13" s="58">
        <f t="shared" si="4"/>
        <v>4033</v>
      </c>
      <c r="BH13" s="58">
        <v>3594</v>
      </c>
      <c r="BI13" s="58">
        <v>439</v>
      </c>
      <c r="BJ13" s="58">
        <v>3197</v>
      </c>
      <c r="BK13" s="58">
        <v>213</v>
      </c>
      <c r="BL13" s="58">
        <v>0</v>
      </c>
      <c r="BM13" s="204">
        <v>0</v>
      </c>
      <c r="BN13" s="646">
        <f t="shared" si="5"/>
        <v>35240</v>
      </c>
      <c r="BO13" s="647">
        <f t="shared" si="6"/>
        <v>321522</v>
      </c>
      <c r="BP13" s="146"/>
    </row>
    <row r="14" spans="2:68" ht="15" customHeight="1">
      <c r="B14" s="12"/>
      <c r="C14" s="12"/>
      <c r="D14" s="1745" t="s">
        <v>2586</v>
      </c>
      <c r="E14" s="1746"/>
      <c r="F14" s="1747" t="s">
        <v>2421</v>
      </c>
      <c r="G14" s="652">
        <v>0</v>
      </c>
      <c r="H14" s="43">
        <v>89</v>
      </c>
      <c r="I14" s="43">
        <v>470</v>
      </c>
      <c r="J14" s="43">
        <v>0</v>
      </c>
      <c r="K14" s="43">
        <v>0</v>
      </c>
      <c r="L14" s="43">
        <v>0</v>
      </c>
      <c r="M14" s="43">
        <v>12851</v>
      </c>
      <c r="N14" s="43">
        <v>0</v>
      </c>
      <c r="O14" s="43">
        <v>0</v>
      </c>
      <c r="P14" s="43">
        <v>30</v>
      </c>
      <c r="Q14" s="43">
        <v>0</v>
      </c>
      <c r="R14" s="43">
        <v>0</v>
      </c>
      <c r="S14" s="43">
        <v>0</v>
      </c>
      <c r="T14" s="43">
        <v>0</v>
      </c>
      <c r="U14" s="44">
        <v>0</v>
      </c>
      <c r="V14" s="646">
        <f t="shared" si="0"/>
        <v>13440</v>
      </c>
      <c r="W14" s="54">
        <v>0</v>
      </c>
      <c r="X14" s="43">
        <v>59</v>
      </c>
      <c r="Y14" s="43">
        <v>0</v>
      </c>
      <c r="Z14" s="43">
        <v>0</v>
      </c>
      <c r="AA14" s="43">
        <v>0</v>
      </c>
      <c r="AB14" s="43">
        <v>0</v>
      </c>
      <c r="AC14" s="43">
        <v>0</v>
      </c>
      <c r="AD14" s="43">
        <v>0</v>
      </c>
      <c r="AE14" s="43">
        <v>63</v>
      </c>
      <c r="AF14" s="43">
        <v>2</v>
      </c>
      <c r="AG14" s="43">
        <v>0</v>
      </c>
      <c r="AH14" s="43">
        <v>0</v>
      </c>
      <c r="AI14" s="43">
        <v>0</v>
      </c>
      <c r="AJ14" s="43">
        <v>0</v>
      </c>
      <c r="AK14" s="44">
        <v>0</v>
      </c>
      <c r="AL14" s="644">
        <f t="shared" si="1"/>
        <v>124</v>
      </c>
      <c r="AM14" s="353">
        <v>0</v>
      </c>
      <c r="AN14" s="58">
        <v>0</v>
      </c>
      <c r="AO14" s="58">
        <v>0</v>
      </c>
      <c r="AP14" s="58">
        <v>0</v>
      </c>
      <c r="AQ14" s="58">
        <v>0</v>
      </c>
      <c r="AR14" s="58">
        <v>0</v>
      </c>
      <c r="AS14" s="58">
        <v>0</v>
      </c>
      <c r="AT14" s="58">
        <v>0</v>
      </c>
      <c r="AU14" s="58">
        <v>0</v>
      </c>
      <c r="AV14" s="58">
        <v>0</v>
      </c>
      <c r="AW14" s="58">
        <v>0</v>
      </c>
      <c r="AX14" s="58">
        <v>0</v>
      </c>
      <c r="AY14" s="58">
        <v>1</v>
      </c>
      <c r="AZ14" s="58">
        <v>0</v>
      </c>
      <c r="BA14" s="204">
        <v>0</v>
      </c>
      <c r="BB14" s="644">
        <f t="shared" si="2"/>
        <v>1</v>
      </c>
      <c r="BC14" s="353">
        <v>1</v>
      </c>
      <c r="BD14" s="58">
        <f t="shared" si="3"/>
        <v>394</v>
      </c>
      <c r="BE14" s="58">
        <v>378</v>
      </c>
      <c r="BF14" s="58">
        <v>16</v>
      </c>
      <c r="BG14" s="58">
        <f t="shared" si="4"/>
        <v>60</v>
      </c>
      <c r="BH14" s="58">
        <v>53</v>
      </c>
      <c r="BI14" s="58">
        <v>7</v>
      </c>
      <c r="BJ14" s="58">
        <v>40</v>
      </c>
      <c r="BK14" s="58">
        <v>216</v>
      </c>
      <c r="BL14" s="58">
        <v>0</v>
      </c>
      <c r="BM14" s="204">
        <v>0</v>
      </c>
      <c r="BN14" s="646">
        <f t="shared" si="5"/>
        <v>711</v>
      </c>
      <c r="BO14" s="647">
        <f t="shared" si="6"/>
        <v>14276</v>
      </c>
      <c r="BP14" s="146"/>
    </row>
    <row r="15" spans="2:68" ht="15" customHeight="1">
      <c r="B15" s="12"/>
      <c r="C15" s="12"/>
      <c r="D15" s="1745" t="s">
        <v>2587</v>
      </c>
      <c r="E15" s="1746"/>
      <c r="F15" s="1747" t="s">
        <v>2422</v>
      </c>
      <c r="G15" s="652">
        <v>761</v>
      </c>
      <c r="H15" s="43">
        <v>2204</v>
      </c>
      <c r="I15" s="43">
        <v>23794</v>
      </c>
      <c r="J15" s="43">
        <v>1604</v>
      </c>
      <c r="K15" s="43">
        <v>37</v>
      </c>
      <c r="L15" s="43">
        <v>1461</v>
      </c>
      <c r="M15" s="43">
        <v>253909</v>
      </c>
      <c r="N15" s="43">
        <v>0</v>
      </c>
      <c r="O15" s="43">
        <v>156</v>
      </c>
      <c r="P15" s="43">
        <v>357</v>
      </c>
      <c r="Q15" s="43">
        <v>0</v>
      </c>
      <c r="R15" s="43">
        <v>13</v>
      </c>
      <c r="S15" s="43">
        <v>0</v>
      </c>
      <c r="T15" s="43">
        <v>0</v>
      </c>
      <c r="U15" s="44">
        <v>0</v>
      </c>
      <c r="V15" s="646">
        <f t="shared" si="0"/>
        <v>284296</v>
      </c>
      <c r="W15" s="54">
        <v>0</v>
      </c>
      <c r="X15" s="43">
        <v>1285</v>
      </c>
      <c r="Y15" s="43">
        <v>0</v>
      </c>
      <c r="Z15" s="43">
        <v>0</v>
      </c>
      <c r="AA15" s="43">
        <v>0</v>
      </c>
      <c r="AB15" s="43">
        <v>0</v>
      </c>
      <c r="AC15" s="43">
        <v>0</v>
      </c>
      <c r="AD15" s="43">
        <v>0</v>
      </c>
      <c r="AE15" s="43">
        <v>608</v>
      </c>
      <c r="AF15" s="43">
        <v>77</v>
      </c>
      <c r="AG15" s="43">
        <v>0</v>
      </c>
      <c r="AH15" s="43">
        <v>0</v>
      </c>
      <c r="AI15" s="43">
        <v>0</v>
      </c>
      <c r="AJ15" s="43">
        <v>0</v>
      </c>
      <c r="AK15" s="44">
        <v>0</v>
      </c>
      <c r="AL15" s="644">
        <f t="shared" si="1"/>
        <v>1970</v>
      </c>
      <c r="AM15" s="353">
        <v>0</v>
      </c>
      <c r="AN15" s="58">
        <v>0</v>
      </c>
      <c r="AO15" s="58">
        <v>0</v>
      </c>
      <c r="AP15" s="58">
        <v>0</v>
      </c>
      <c r="AQ15" s="58">
        <v>0</v>
      </c>
      <c r="AR15" s="58">
        <v>0</v>
      </c>
      <c r="AS15" s="58">
        <v>0</v>
      </c>
      <c r="AT15" s="58">
        <v>0</v>
      </c>
      <c r="AU15" s="58">
        <v>3</v>
      </c>
      <c r="AV15" s="58">
        <v>1</v>
      </c>
      <c r="AW15" s="58">
        <v>0</v>
      </c>
      <c r="AX15" s="58">
        <v>0</v>
      </c>
      <c r="AY15" s="58">
        <v>12</v>
      </c>
      <c r="AZ15" s="58">
        <v>0</v>
      </c>
      <c r="BA15" s="204">
        <v>0</v>
      </c>
      <c r="BB15" s="644">
        <f t="shared" si="2"/>
        <v>16</v>
      </c>
      <c r="BC15" s="353">
        <v>0</v>
      </c>
      <c r="BD15" s="58">
        <f t="shared" si="3"/>
        <v>27797</v>
      </c>
      <c r="BE15" s="58">
        <v>13124</v>
      </c>
      <c r="BF15" s="58">
        <v>14673</v>
      </c>
      <c r="BG15" s="58">
        <f t="shared" si="4"/>
        <v>4033</v>
      </c>
      <c r="BH15" s="58">
        <v>3594</v>
      </c>
      <c r="BI15" s="58">
        <v>439</v>
      </c>
      <c r="BJ15" s="58">
        <v>3197</v>
      </c>
      <c r="BK15" s="58">
        <v>213</v>
      </c>
      <c r="BL15" s="58">
        <v>0</v>
      </c>
      <c r="BM15" s="204">
        <v>0</v>
      </c>
      <c r="BN15" s="646">
        <f t="shared" si="5"/>
        <v>35240</v>
      </c>
      <c r="BO15" s="647">
        <f t="shared" si="6"/>
        <v>321522</v>
      </c>
      <c r="BP15" s="146"/>
    </row>
    <row r="16" spans="2:68" ht="15" customHeight="1">
      <c r="B16" s="12"/>
      <c r="C16" s="12"/>
      <c r="D16" s="1745" t="s">
        <v>2588</v>
      </c>
      <c r="E16" s="1746"/>
      <c r="F16" s="1747" t="s">
        <v>2423</v>
      </c>
      <c r="G16" s="652"/>
      <c r="H16" s="43"/>
      <c r="I16" s="43"/>
      <c r="J16" s="43"/>
      <c r="K16" s="43"/>
      <c r="L16" s="43"/>
      <c r="M16" s="43"/>
      <c r="N16" s="43"/>
      <c r="O16" s="43"/>
      <c r="P16" s="43"/>
      <c r="Q16" s="43"/>
      <c r="R16" s="43"/>
      <c r="S16" s="43"/>
      <c r="T16" s="43"/>
      <c r="U16" s="44"/>
      <c r="V16" s="646">
        <f t="shared" si="0"/>
        <v>0</v>
      </c>
      <c r="W16" s="54"/>
      <c r="X16" s="43"/>
      <c r="Y16" s="43"/>
      <c r="Z16" s="43"/>
      <c r="AA16" s="43"/>
      <c r="AB16" s="43"/>
      <c r="AC16" s="43"/>
      <c r="AD16" s="43"/>
      <c r="AE16" s="43"/>
      <c r="AF16" s="43"/>
      <c r="AG16" s="43"/>
      <c r="AH16" s="43"/>
      <c r="AI16" s="43"/>
      <c r="AJ16" s="43"/>
      <c r="AK16" s="44"/>
      <c r="AL16" s="644">
        <f t="shared" si="1"/>
        <v>0</v>
      </c>
      <c r="AM16" s="353"/>
      <c r="AN16" s="58"/>
      <c r="AO16" s="58"/>
      <c r="AP16" s="58"/>
      <c r="AQ16" s="58"/>
      <c r="AR16" s="58"/>
      <c r="AS16" s="58"/>
      <c r="AT16" s="58"/>
      <c r="AU16" s="58"/>
      <c r="AV16" s="58"/>
      <c r="AW16" s="58"/>
      <c r="AX16" s="58"/>
      <c r="AY16" s="58"/>
      <c r="AZ16" s="58"/>
      <c r="BA16" s="204"/>
      <c r="BB16" s="644">
        <f t="shared" si="2"/>
        <v>0</v>
      </c>
      <c r="BC16" s="353">
        <v>0</v>
      </c>
      <c r="BD16" s="58">
        <f t="shared" si="3"/>
        <v>77</v>
      </c>
      <c r="BE16" s="58">
        <v>42</v>
      </c>
      <c r="BF16" s="58">
        <v>35</v>
      </c>
      <c r="BG16" s="58">
        <f t="shared" si="4"/>
        <v>8</v>
      </c>
      <c r="BH16" s="58">
        <v>8</v>
      </c>
      <c r="BI16" s="58">
        <v>0</v>
      </c>
      <c r="BJ16" s="58">
        <v>8</v>
      </c>
      <c r="BK16" s="58">
        <v>0</v>
      </c>
      <c r="BL16" s="58">
        <v>0</v>
      </c>
      <c r="BM16" s="204">
        <v>0</v>
      </c>
      <c r="BN16" s="646">
        <f t="shared" si="5"/>
        <v>93</v>
      </c>
      <c r="BO16" s="647">
        <f t="shared" si="6"/>
        <v>93</v>
      </c>
      <c r="BP16" s="146"/>
    </row>
    <row r="17" spans="2:68" ht="15" customHeight="1">
      <c r="B17" s="12"/>
      <c r="C17" s="12"/>
      <c r="D17" s="1745" t="s">
        <v>2589</v>
      </c>
      <c r="E17" s="1746"/>
      <c r="F17" s="1747" t="s">
        <v>2424</v>
      </c>
      <c r="G17" s="652">
        <v>0</v>
      </c>
      <c r="H17" s="43">
        <v>89</v>
      </c>
      <c r="I17" s="43">
        <v>470</v>
      </c>
      <c r="J17" s="43">
        <v>0</v>
      </c>
      <c r="K17" s="43">
        <v>0</v>
      </c>
      <c r="L17" s="43">
        <v>0</v>
      </c>
      <c r="M17" s="43">
        <v>12851</v>
      </c>
      <c r="N17" s="43">
        <v>0</v>
      </c>
      <c r="O17" s="43">
        <v>0</v>
      </c>
      <c r="P17" s="43">
        <v>30</v>
      </c>
      <c r="Q17" s="43">
        <v>0</v>
      </c>
      <c r="R17" s="43">
        <v>0</v>
      </c>
      <c r="S17" s="43">
        <v>0</v>
      </c>
      <c r="T17" s="43">
        <v>0</v>
      </c>
      <c r="U17" s="44">
        <v>0</v>
      </c>
      <c r="V17" s="646">
        <f t="shared" si="0"/>
        <v>13440</v>
      </c>
      <c r="W17" s="54">
        <v>0</v>
      </c>
      <c r="X17" s="43">
        <v>59</v>
      </c>
      <c r="Y17" s="43">
        <v>0</v>
      </c>
      <c r="Z17" s="43">
        <v>0</v>
      </c>
      <c r="AA17" s="43">
        <v>0</v>
      </c>
      <c r="AB17" s="43">
        <v>0</v>
      </c>
      <c r="AC17" s="43">
        <v>0</v>
      </c>
      <c r="AD17" s="43">
        <v>0</v>
      </c>
      <c r="AE17" s="43">
        <v>63</v>
      </c>
      <c r="AF17" s="43">
        <v>2</v>
      </c>
      <c r="AG17" s="43">
        <v>0</v>
      </c>
      <c r="AH17" s="43">
        <v>0</v>
      </c>
      <c r="AI17" s="43">
        <v>0</v>
      </c>
      <c r="AJ17" s="43">
        <v>0</v>
      </c>
      <c r="AK17" s="44">
        <v>0</v>
      </c>
      <c r="AL17" s="644">
        <f t="shared" si="1"/>
        <v>124</v>
      </c>
      <c r="AM17" s="353">
        <v>0</v>
      </c>
      <c r="AN17" s="58">
        <v>0</v>
      </c>
      <c r="AO17" s="58">
        <v>0</v>
      </c>
      <c r="AP17" s="58">
        <v>0</v>
      </c>
      <c r="AQ17" s="58">
        <v>0</v>
      </c>
      <c r="AR17" s="58">
        <v>0</v>
      </c>
      <c r="AS17" s="58">
        <v>0</v>
      </c>
      <c r="AT17" s="58">
        <v>0</v>
      </c>
      <c r="AU17" s="58">
        <v>0</v>
      </c>
      <c r="AV17" s="58">
        <v>0</v>
      </c>
      <c r="AW17" s="58">
        <v>0</v>
      </c>
      <c r="AX17" s="58">
        <v>0</v>
      </c>
      <c r="AY17" s="58">
        <v>1</v>
      </c>
      <c r="AZ17" s="58">
        <v>0</v>
      </c>
      <c r="BA17" s="204">
        <v>0</v>
      </c>
      <c r="BB17" s="644">
        <f t="shared" si="2"/>
        <v>1</v>
      </c>
      <c r="BC17" s="353">
        <v>1</v>
      </c>
      <c r="BD17" s="58">
        <f t="shared" si="3"/>
        <v>394</v>
      </c>
      <c r="BE17" s="58">
        <v>378</v>
      </c>
      <c r="BF17" s="58">
        <v>16</v>
      </c>
      <c r="BG17" s="58">
        <f t="shared" si="4"/>
        <v>60</v>
      </c>
      <c r="BH17" s="58">
        <v>53</v>
      </c>
      <c r="BI17" s="58">
        <v>7</v>
      </c>
      <c r="BJ17" s="58">
        <v>109</v>
      </c>
      <c r="BK17" s="58">
        <v>0</v>
      </c>
      <c r="BL17" s="58">
        <v>0</v>
      </c>
      <c r="BM17" s="204">
        <v>0</v>
      </c>
      <c r="BN17" s="646">
        <f t="shared" si="5"/>
        <v>564</v>
      </c>
      <c r="BO17" s="647">
        <f t="shared" si="6"/>
        <v>14129</v>
      </c>
      <c r="BP17" s="146"/>
    </row>
    <row r="18" spans="2:68" s="30" customFormat="1" ht="15" customHeight="1">
      <c r="B18" s="25"/>
      <c r="C18" s="25"/>
      <c r="D18" s="1745" t="s">
        <v>2590</v>
      </c>
      <c r="E18" s="1746" t="s">
        <v>2425</v>
      </c>
      <c r="F18" s="1747"/>
      <c r="G18" s="651">
        <v>1967</v>
      </c>
      <c r="H18" s="60">
        <v>3909</v>
      </c>
      <c r="I18" s="60">
        <v>46586</v>
      </c>
      <c r="J18" s="60">
        <v>2838</v>
      </c>
      <c r="K18" s="60">
        <v>38</v>
      </c>
      <c r="L18" s="60">
        <v>3307</v>
      </c>
      <c r="M18" s="60">
        <v>635639</v>
      </c>
      <c r="N18" s="60">
        <v>0</v>
      </c>
      <c r="O18" s="60">
        <v>415</v>
      </c>
      <c r="P18" s="60">
        <v>461</v>
      </c>
      <c r="Q18" s="60">
        <v>0</v>
      </c>
      <c r="R18" s="60">
        <v>13</v>
      </c>
      <c r="S18" s="60">
        <v>0</v>
      </c>
      <c r="T18" s="60">
        <v>0</v>
      </c>
      <c r="U18" s="62">
        <v>0</v>
      </c>
      <c r="V18" s="646">
        <f t="shared" si="0"/>
        <v>695173</v>
      </c>
      <c r="W18" s="61">
        <v>0</v>
      </c>
      <c r="X18" s="60">
        <v>240190</v>
      </c>
      <c r="Y18" s="60">
        <v>0</v>
      </c>
      <c r="Z18" s="60">
        <v>0</v>
      </c>
      <c r="AA18" s="60">
        <v>0</v>
      </c>
      <c r="AB18" s="60">
        <v>0</v>
      </c>
      <c r="AC18" s="60">
        <v>0</v>
      </c>
      <c r="AD18" s="60">
        <v>0</v>
      </c>
      <c r="AE18" s="60">
        <v>258467</v>
      </c>
      <c r="AF18" s="60">
        <v>26145</v>
      </c>
      <c r="AG18" s="60">
        <v>0</v>
      </c>
      <c r="AH18" s="60">
        <v>0</v>
      </c>
      <c r="AI18" s="60">
        <v>0</v>
      </c>
      <c r="AJ18" s="60">
        <v>0</v>
      </c>
      <c r="AK18" s="62">
        <v>0</v>
      </c>
      <c r="AL18" s="646">
        <f t="shared" si="1"/>
        <v>524802</v>
      </c>
      <c r="AM18" s="61">
        <v>0</v>
      </c>
      <c r="AN18" s="60">
        <v>0</v>
      </c>
      <c r="AO18" s="60">
        <v>0</v>
      </c>
      <c r="AP18" s="60">
        <v>0</v>
      </c>
      <c r="AQ18" s="60">
        <v>0</v>
      </c>
      <c r="AR18" s="60">
        <v>0</v>
      </c>
      <c r="AS18" s="60">
        <v>0</v>
      </c>
      <c r="AT18" s="60">
        <v>0</v>
      </c>
      <c r="AU18" s="60">
        <v>13359</v>
      </c>
      <c r="AV18" s="60">
        <v>1</v>
      </c>
      <c r="AW18" s="60">
        <v>0</v>
      </c>
      <c r="AX18" s="60">
        <v>0</v>
      </c>
      <c r="AY18" s="60">
        <v>23925</v>
      </c>
      <c r="AZ18" s="60">
        <v>0</v>
      </c>
      <c r="BA18" s="62">
        <v>0</v>
      </c>
      <c r="BB18" s="646">
        <f t="shared" si="2"/>
        <v>37285</v>
      </c>
      <c r="BC18" s="61">
        <v>1327</v>
      </c>
      <c r="BD18" s="58">
        <f t="shared" si="3"/>
        <v>24306</v>
      </c>
      <c r="BE18" s="60">
        <v>11945</v>
      </c>
      <c r="BF18" s="60">
        <v>12361</v>
      </c>
      <c r="BG18" s="58">
        <f t="shared" si="4"/>
        <v>3225</v>
      </c>
      <c r="BH18" s="60">
        <v>2813</v>
      </c>
      <c r="BI18" s="60">
        <v>412</v>
      </c>
      <c r="BJ18" s="60">
        <v>4608</v>
      </c>
      <c r="BK18" s="60">
        <v>0</v>
      </c>
      <c r="BL18" s="60">
        <v>5960</v>
      </c>
      <c r="BM18" s="62">
        <v>0</v>
      </c>
      <c r="BN18" s="646">
        <f t="shared" si="5"/>
        <v>39426</v>
      </c>
      <c r="BO18" s="647">
        <f t="shared" si="6"/>
        <v>1296686</v>
      </c>
      <c r="BP18" s="648"/>
    </row>
    <row r="19" spans="2:68" ht="15" customHeight="1">
      <c r="B19" s="12"/>
      <c r="C19" s="12"/>
      <c r="D19" s="1745" t="s">
        <v>2591</v>
      </c>
      <c r="E19" s="1746"/>
      <c r="F19" s="1747" t="s">
        <v>2426</v>
      </c>
      <c r="G19" s="652"/>
      <c r="H19" s="43"/>
      <c r="I19" s="43"/>
      <c r="J19" s="43"/>
      <c r="K19" s="43"/>
      <c r="L19" s="43"/>
      <c r="M19" s="43"/>
      <c r="N19" s="43"/>
      <c r="O19" s="43"/>
      <c r="P19" s="43"/>
      <c r="Q19" s="43"/>
      <c r="R19" s="43"/>
      <c r="S19" s="43"/>
      <c r="T19" s="43"/>
      <c r="U19" s="44"/>
      <c r="V19" s="646">
        <f t="shared" si="0"/>
        <v>0</v>
      </c>
      <c r="W19" s="54"/>
      <c r="X19" s="43"/>
      <c r="Y19" s="43"/>
      <c r="Z19" s="43"/>
      <c r="AA19" s="43"/>
      <c r="AB19" s="43"/>
      <c r="AC19" s="43"/>
      <c r="AD19" s="43"/>
      <c r="AE19" s="43"/>
      <c r="AF19" s="43"/>
      <c r="AG19" s="43"/>
      <c r="AH19" s="43"/>
      <c r="AI19" s="43"/>
      <c r="AJ19" s="43"/>
      <c r="AK19" s="44"/>
      <c r="AL19" s="644">
        <f t="shared" si="1"/>
        <v>0</v>
      </c>
      <c r="AM19" s="353"/>
      <c r="AN19" s="58"/>
      <c r="AO19" s="58"/>
      <c r="AP19" s="58"/>
      <c r="AQ19" s="58"/>
      <c r="AR19" s="58"/>
      <c r="AS19" s="58"/>
      <c r="AT19" s="58"/>
      <c r="AU19" s="58"/>
      <c r="AV19" s="58"/>
      <c r="AW19" s="58"/>
      <c r="AX19" s="58"/>
      <c r="AY19" s="58"/>
      <c r="AZ19" s="58"/>
      <c r="BA19" s="204"/>
      <c r="BB19" s="644">
        <f t="shared" si="2"/>
        <v>0</v>
      </c>
      <c r="BC19" s="353">
        <v>1</v>
      </c>
      <c r="BD19" s="58">
        <f t="shared" si="3"/>
        <v>16549</v>
      </c>
      <c r="BE19" s="58">
        <v>7499</v>
      </c>
      <c r="BF19" s="58">
        <v>9050</v>
      </c>
      <c r="BG19" s="58">
        <f t="shared" si="4"/>
        <v>3095</v>
      </c>
      <c r="BH19" s="58">
        <v>2712</v>
      </c>
      <c r="BI19" s="58">
        <v>383</v>
      </c>
      <c r="BJ19" s="58">
        <v>0</v>
      </c>
      <c r="BK19" s="58">
        <v>0</v>
      </c>
      <c r="BL19" s="58">
        <v>0</v>
      </c>
      <c r="BM19" s="204">
        <v>0</v>
      </c>
      <c r="BN19" s="646">
        <f t="shared" si="5"/>
        <v>19645</v>
      </c>
      <c r="BO19" s="647">
        <f t="shared" si="6"/>
        <v>19645</v>
      </c>
      <c r="BP19" s="146"/>
    </row>
    <row r="20" spans="2:68" ht="15" customHeight="1" thickBot="1">
      <c r="B20" s="12"/>
      <c r="C20" s="12"/>
      <c r="D20" s="1751" t="s">
        <v>2592</v>
      </c>
      <c r="E20" s="1752"/>
      <c r="F20" s="1753" t="s">
        <v>2427</v>
      </c>
      <c r="G20" s="653"/>
      <c r="H20" s="45"/>
      <c r="I20" s="45"/>
      <c r="J20" s="45"/>
      <c r="K20" s="45"/>
      <c r="L20" s="45"/>
      <c r="M20" s="45"/>
      <c r="N20" s="45"/>
      <c r="O20" s="45"/>
      <c r="P20" s="45"/>
      <c r="Q20" s="45"/>
      <c r="R20" s="45"/>
      <c r="S20" s="45"/>
      <c r="T20" s="45"/>
      <c r="U20" s="46"/>
      <c r="V20" s="672">
        <f t="shared" si="0"/>
        <v>0</v>
      </c>
      <c r="W20" s="55"/>
      <c r="X20" s="45"/>
      <c r="Y20" s="45"/>
      <c r="Z20" s="45"/>
      <c r="AA20" s="45"/>
      <c r="AB20" s="45"/>
      <c r="AC20" s="45"/>
      <c r="AD20" s="45"/>
      <c r="AE20" s="45"/>
      <c r="AF20" s="45"/>
      <c r="AG20" s="45"/>
      <c r="AH20" s="45"/>
      <c r="AI20" s="45"/>
      <c r="AJ20" s="45"/>
      <c r="AK20" s="46"/>
      <c r="AL20" s="649">
        <f t="shared" si="1"/>
        <v>0</v>
      </c>
      <c r="AM20" s="654"/>
      <c r="AN20" s="59"/>
      <c r="AO20" s="59"/>
      <c r="AP20" s="59"/>
      <c r="AQ20" s="59"/>
      <c r="AR20" s="59"/>
      <c r="AS20" s="59"/>
      <c r="AT20" s="59"/>
      <c r="AU20" s="59"/>
      <c r="AV20" s="59"/>
      <c r="AW20" s="59"/>
      <c r="AX20" s="59"/>
      <c r="AY20" s="59"/>
      <c r="AZ20" s="59"/>
      <c r="BA20" s="388"/>
      <c r="BB20" s="649">
        <f t="shared" si="2"/>
        <v>0</v>
      </c>
      <c r="BC20" s="654">
        <v>0</v>
      </c>
      <c r="BD20" s="59">
        <f t="shared" si="3"/>
        <v>3536</v>
      </c>
      <c r="BE20" s="59">
        <v>1128</v>
      </c>
      <c r="BF20" s="59">
        <v>2408</v>
      </c>
      <c r="BG20" s="59">
        <f t="shared" si="4"/>
        <v>911</v>
      </c>
      <c r="BH20" s="59">
        <v>882</v>
      </c>
      <c r="BI20" s="59">
        <v>29</v>
      </c>
      <c r="BJ20" s="59">
        <v>0</v>
      </c>
      <c r="BK20" s="59">
        <v>0</v>
      </c>
      <c r="BL20" s="59">
        <v>0</v>
      </c>
      <c r="BM20" s="388">
        <v>0</v>
      </c>
      <c r="BN20" s="672">
        <f t="shared" si="5"/>
        <v>4447</v>
      </c>
      <c r="BO20" s="673">
        <f t="shared" si="6"/>
        <v>4447</v>
      </c>
      <c r="BP20" s="146"/>
    </row>
    <row r="23" spans="2:68">
      <c r="C23" s="1584" t="s">
        <v>2596</v>
      </c>
      <c r="D23" s="1584"/>
      <c r="E23" s="1584"/>
      <c r="F23" s="1584"/>
      <c r="G23" s="1584"/>
    </row>
    <row r="24" spans="2:68" ht="15.75" thickBot="1"/>
    <row r="25" spans="2:68" s="146" customFormat="1" ht="12.75" customHeight="1" thickBot="1">
      <c r="B25" s="2"/>
      <c r="C25" s="2"/>
      <c r="D25" s="657"/>
      <c r="E25" s="195"/>
      <c r="F25" s="658"/>
      <c r="G25" s="1740" t="s">
        <v>2410</v>
      </c>
      <c r="H25" s="1741"/>
      <c r="I25" s="1741"/>
      <c r="J25" s="1741"/>
      <c r="K25" s="1741"/>
      <c r="L25" s="1741"/>
      <c r="M25" s="1741"/>
      <c r="N25" s="1741"/>
      <c r="O25" s="1741"/>
      <c r="P25" s="1741"/>
      <c r="Q25" s="1741"/>
      <c r="R25" s="1741"/>
      <c r="S25" s="1741"/>
      <c r="T25" s="1741"/>
      <c r="U25" s="1741"/>
      <c r="V25" s="1742"/>
      <c r="W25" s="1743" t="s">
        <v>2412</v>
      </c>
      <c r="X25" s="1743"/>
      <c r="Y25" s="1743"/>
      <c r="Z25" s="1743"/>
      <c r="AA25" s="1743"/>
      <c r="AB25" s="1743"/>
      <c r="AC25" s="1743"/>
      <c r="AD25" s="1743"/>
      <c r="AE25" s="1743"/>
      <c r="AF25" s="1743"/>
      <c r="AG25" s="1743"/>
      <c r="AH25" s="1743"/>
      <c r="AI25" s="1743"/>
      <c r="AJ25" s="1743"/>
      <c r="AK25" s="1706"/>
      <c r="AL25" s="1708"/>
      <c r="AM25" s="1743" t="s">
        <v>2413</v>
      </c>
      <c r="AN25" s="1743"/>
      <c r="AO25" s="1743"/>
      <c r="AP25" s="1743"/>
      <c r="AQ25" s="1743"/>
      <c r="AR25" s="1743"/>
      <c r="AS25" s="1743"/>
      <c r="AT25" s="1743"/>
      <c r="AU25" s="1743"/>
      <c r="AV25" s="1743"/>
      <c r="AW25" s="1743"/>
      <c r="AX25" s="1743"/>
      <c r="AY25" s="1743"/>
      <c r="AZ25" s="1743"/>
      <c r="BA25" s="1743"/>
      <c r="BB25" s="1743"/>
      <c r="BC25" s="1743" t="s">
        <v>2411</v>
      </c>
      <c r="BD25" s="1743"/>
      <c r="BE25" s="1743"/>
      <c r="BF25" s="1743"/>
      <c r="BG25" s="1743"/>
      <c r="BH25" s="1743"/>
      <c r="BI25" s="1743"/>
      <c r="BJ25" s="1743"/>
      <c r="BK25" s="1743"/>
      <c r="BL25" s="1743"/>
      <c r="BM25" s="1743"/>
      <c r="BN25" s="1743"/>
      <c r="BO25" s="1569">
        <v>999</v>
      </c>
    </row>
    <row r="26" spans="2:68" s="183" customFormat="1" ht="54.95" customHeight="1" thickBot="1">
      <c r="B26" s="184"/>
      <c r="C26" s="184"/>
      <c r="D26" s="659"/>
      <c r="E26" s="184"/>
      <c r="F26" s="660"/>
      <c r="G26" s="643">
        <v>101</v>
      </c>
      <c r="H26" s="643" t="s">
        <v>777</v>
      </c>
      <c r="I26" s="642" t="s">
        <v>778</v>
      </c>
      <c r="J26" s="642" t="s">
        <v>779</v>
      </c>
      <c r="K26" s="642" t="s">
        <v>780</v>
      </c>
      <c r="L26" s="642" t="s">
        <v>781</v>
      </c>
      <c r="M26" s="642" t="s">
        <v>782</v>
      </c>
      <c r="N26" s="642" t="s">
        <v>783</v>
      </c>
      <c r="O26" s="642" t="s">
        <v>784</v>
      </c>
      <c r="P26" s="642" t="s">
        <v>785</v>
      </c>
      <c r="Q26" s="642" t="s">
        <v>786</v>
      </c>
      <c r="R26" s="642" t="s">
        <v>787</v>
      </c>
      <c r="S26" s="642" t="s">
        <v>788</v>
      </c>
      <c r="T26" s="642" t="s">
        <v>789</v>
      </c>
      <c r="U26" s="642" t="s">
        <v>790</v>
      </c>
      <c r="V26" s="683">
        <v>100</v>
      </c>
      <c r="W26" s="641" t="s">
        <v>791</v>
      </c>
      <c r="X26" s="641" t="s">
        <v>792</v>
      </c>
      <c r="Y26" s="641" t="s">
        <v>793</v>
      </c>
      <c r="Z26" s="641" t="s">
        <v>794</v>
      </c>
      <c r="AA26" s="641" t="s">
        <v>795</v>
      </c>
      <c r="AB26" s="641" t="s">
        <v>796</v>
      </c>
      <c r="AC26" s="641" t="s">
        <v>797</v>
      </c>
      <c r="AD26" s="641" t="s">
        <v>798</v>
      </c>
      <c r="AE26" s="641" t="s">
        <v>799</v>
      </c>
      <c r="AF26" s="641" t="s">
        <v>800</v>
      </c>
      <c r="AG26" s="641" t="s">
        <v>801</v>
      </c>
      <c r="AH26" s="641" t="s">
        <v>802</v>
      </c>
      <c r="AI26" s="641" t="s">
        <v>803</v>
      </c>
      <c r="AJ26" s="641" t="s">
        <v>804</v>
      </c>
      <c r="AK26" s="641" t="s">
        <v>805</v>
      </c>
      <c r="AL26" s="684">
        <v>200</v>
      </c>
      <c r="AM26" s="641" t="s">
        <v>806</v>
      </c>
      <c r="AN26" s="641" t="s">
        <v>807</v>
      </c>
      <c r="AO26" s="641" t="s">
        <v>808</v>
      </c>
      <c r="AP26" s="641" t="s">
        <v>809</v>
      </c>
      <c r="AQ26" s="641" t="s">
        <v>810</v>
      </c>
      <c r="AR26" s="641" t="s">
        <v>811</v>
      </c>
      <c r="AS26" s="641" t="s">
        <v>812</v>
      </c>
      <c r="AT26" s="641" t="s">
        <v>813</v>
      </c>
      <c r="AU26" s="641" t="s">
        <v>814</v>
      </c>
      <c r="AV26" s="641" t="s">
        <v>815</v>
      </c>
      <c r="AW26" s="641" t="s">
        <v>816</v>
      </c>
      <c r="AX26" s="641" t="s">
        <v>817</v>
      </c>
      <c r="AY26" s="641" t="s">
        <v>818</v>
      </c>
      <c r="AZ26" s="641" t="s">
        <v>819</v>
      </c>
      <c r="BA26" s="641" t="s">
        <v>820</v>
      </c>
      <c r="BB26" s="684">
        <v>300</v>
      </c>
      <c r="BC26" s="641" t="s">
        <v>821</v>
      </c>
      <c r="BD26" s="641" t="s">
        <v>822</v>
      </c>
      <c r="BE26" s="641" t="s">
        <v>823</v>
      </c>
      <c r="BF26" s="641" t="s">
        <v>824</v>
      </c>
      <c r="BG26" s="641" t="s">
        <v>825</v>
      </c>
      <c r="BH26" s="641" t="s">
        <v>826</v>
      </c>
      <c r="BI26" s="641" t="s">
        <v>827</v>
      </c>
      <c r="BJ26" s="641" t="s">
        <v>828</v>
      </c>
      <c r="BK26" s="641" t="s">
        <v>829</v>
      </c>
      <c r="BL26" s="641" t="s">
        <v>830</v>
      </c>
      <c r="BM26" s="641" t="s">
        <v>831</v>
      </c>
      <c r="BN26" s="684">
        <v>400</v>
      </c>
      <c r="BO26" s="1570"/>
    </row>
    <row r="27" spans="2:68" s="30" customFormat="1" ht="15" customHeight="1">
      <c r="B27" s="25"/>
      <c r="C27" s="25"/>
      <c r="D27" s="1745" t="s">
        <v>2593</v>
      </c>
      <c r="E27" s="1746"/>
      <c r="F27" s="1747"/>
      <c r="G27" s="651">
        <v>0</v>
      </c>
      <c r="H27" s="60">
        <v>17466</v>
      </c>
      <c r="I27" s="60">
        <v>51915</v>
      </c>
      <c r="J27" s="60">
        <v>0</v>
      </c>
      <c r="K27" s="60">
        <v>0</v>
      </c>
      <c r="L27" s="60">
        <v>0</v>
      </c>
      <c r="M27" s="1497">
        <v>132676</v>
      </c>
      <c r="N27" s="60">
        <v>0</v>
      </c>
      <c r="O27" s="60">
        <v>0</v>
      </c>
      <c r="P27" s="60">
        <v>173</v>
      </c>
      <c r="Q27" s="60">
        <v>0</v>
      </c>
      <c r="R27" s="60">
        <v>0</v>
      </c>
      <c r="S27" s="60">
        <v>0</v>
      </c>
      <c r="T27" s="60">
        <v>0</v>
      </c>
      <c r="U27" s="62">
        <v>0</v>
      </c>
      <c r="V27" s="1489">
        <f>SUM(G27:U27)</f>
        <v>202230</v>
      </c>
      <c r="W27" s="61">
        <v>0</v>
      </c>
      <c r="X27" s="60">
        <v>1135970</v>
      </c>
      <c r="Y27" s="60">
        <v>0</v>
      </c>
      <c r="Z27" s="60">
        <v>0</v>
      </c>
      <c r="AA27" s="60">
        <v>0</v>
      </c>
      <c r="AB27" s="60">
        <v>0</v>
      </c>
      <c r="AC27" s="60">
        <v>0</v>
      </c>
      <c r="AD27" s="60">
        <v>0</v>
      </c>
      <c r="AE27" s="60">
        <v>0</v>
      </c>
      <c r="AF27" s="60">
        <v>514</v>
      </c>
      <c r="AG27" s="60">
        <v>0</v>
      </c>
      <c r="AH27" s="60">
        <v>0</v>
      </c>
      <c r="AI27" s="60">
        <v>0</v>
      </c>
      <c r="AJ27" s="60">
        <v>0</v>
      </c>
      <c r="AK27" s="62">
        <v>0</v>
      </c>
      <c r="AL27" s="646">
        <f>SUM(W27:AK27)</f>
        <v>1136484</v>
      </c>
      <c r="AM27" s="61">
        <v>0</v>
      </c>
      <c r="AN27" s="60">
        <v>0</v>
      </c>
      <c r="AO27" s="60">
        <v>0</v>
      </c>
      <c r="AP27" s="60">
        <v>0</v>
      </c>
      <c r="AQ27" s="60">
        <v>0</v>
      </c>
      <c r="AR27" s="60">
        <v>0</v>
      </c>
      <c r="AS27" s="60">
        <v>0</v>
      </c>
      <c r="AT27" s="60">
        <v>0</v>
      </c>
      <c r="AU27" s="60">
        <v>0</v>
      </c>
      <c r="AV27" s="60">
        <v>0</v>
      </c>
      <c r="AW27" s="60">
        <v>0</v>
      </c>
      <c r="AX27" s="60">
        <v>0</v>
      </c>
      <c r="AY27" s="60">
        <v>0</v>
      </c>
      <c r="AZ27" s="60">
        <v>0</v>
      </c>
      <c r="BA27" s="62">
        <v>0</v>
      </c>
      <c r="BB27" s="646">
        <f>SUM(AM27:BA27)</f>
        <v>0</v>
      </c>
      <c r="BC27" s="61">
        <v>2083</v>
      </c>
      <c r="BD27" s="58">
        <f t="shared" ref="BD27:BD28" si="7">BE27+BF27</f>
        <v>0</v>
      </c>
      <c r="BE27" s="60"/>
      <c r="BF27" s="60"/>
      <c r="BG27" s="58">
        <f t="shared" ref="BG27:BG28" si="8">BH27+BI27</f>
        <v>0</v>
      </c>
      <c r="BH27" s="60"/>
      <c r="BI27" s="60"/>
      <c r="BJ27" s="60"/>
      <c r="BK27" s="60"/>
      <c r="BL27" s="60">
        <v>6141</v>
      </c>
      <c r="BM27" s="62"/>
      <c r="BN27" s="655">
        <f t="shared" ref="BN27:BN28" si="9">BC27+BD27+BG27+BJ27+BK27+BL27+BM27</f>
        <v>8224</v>
      </c>
      <c r="BO27" s="656">
        <f>V27+AL27+BB27+BN27</f>
        <v>1346938</v>
      </c>
      <c r="BP27" s="648"/>
    </row>
    <row r="28" spans="2:68" s="30" customFormat="1" ht="15" customHeight="1" thickBot="1">
      <c r="B28" s="25"/>
      <c r="C28" s="25"/>
      <c r="D28" s="1751" t="s">
        <v>2594</v>
      </c>
      <c r="E28" s="1752" t="s">
        <v>2415</v>
      </c>
      <c r="F28" s="1753"/>
      <c r="G28" s="671">
        <v>18832</v>
      </c>
      <c r="H28" s="133">
        <v>464003</v>
      </c>
      <c r="I28" s="133">
        <v>3019140</v>
      </c>
      <c r="J28" s="133">
        <v>33489</v>
      </c>
      <c r="K28" s="133">
        <v>4913</v>
      </c>
      <c r="L28" s="133">
        <v>178282</v>
      </c>
      <c r="M28" s="1498">
        <v>847485</v>
      </c>
      <c r="N28" s="133">
        <v>0</v>
      </c>
      <c r="O28" s="133">
        <v>0</v>
      </c>
      <c r="P28" s="133">
        <v>56483</v>
      </c>
      <c r="Q28" s="133">
        <v>0</v>
      </c>
      <c r="R28" s="133">
        <v>782</v>
      </c>
      <c r="S28" s="133">
        <v>0</v>
      </c>
      <c r="T28" s="133">
        <v>0</v>
      </c>
      <c r="U28" s="423">
        <v>0</v>
      </c>
      <c r="V28" s="1496">
        <f>SUM(G28:U28)</f>
        <v>4623409</v>
      </c>
      <c r="W28" s="422">
        <v>0</v>
      </c>
      <c r="X28" s="133">
        <v>11314275</v>
      </c>
      <c r="Y28" s="133">
        <v>0</v>
      </c>
      <c r="Z28" s="133">
        <v>0</v>
      </c>
      <c r="AA28" s="133">
        <v>0</v>
      </c>
      <c r="AB28" s="133">
        <v>0</v>
      </c>
      <c r="AC28" s="133">
        <v>0</v>
      </c>
      <c r="AD28" s="133">
        <v>0</v>
      </c>
      <c r="AE28" s="133">
        <v>0</v>
      </c>
      <c r="AF28" s="133">
        <v>1169017</v>
      </c>
      <c r="AG28" s="133">
        <v>0</v>
      </c>
      <c r="AH28" s="133">
        <v>0</v>
      </c>
      <c r="AI28" s="133">
        <v>0</v>
      </c>
      <c r="AJ28" s="133">
        <v>0</v>
      </c>
      <c r="AK28" s="423">
        <v>0</v>
      </c>
      <c r="AL28" s="672">
        <f>SUM(W28:AK28)</f>
        <v>12483292</v>
      </c>
      <c r="AM28" s="422">
        <v>0</v>
      </c>
      <c r="AN28" s="133">
        <v>0</v>
      </c>
      <c r="AO28" s="133">
        <v>0</v>
      </c>
      <c r="AP28" s="133">
        <v>0</v>
      </c>
      <c r="AQ28" s="133">
        <v>0</v>
      </c>
      <c r="AR28" s="133">
        <v>0</v>
      </c>
      <c r="AS28" s="133">
        <v>0</v>
      </c>
      <c r="AT28" s="133">
        <v>0</v>
      </c>
      <c r="AU28" s="133">
        <v>17901</v>
      </c>
      <c r="AV28" s="133">
        <v>0</v>
      </c>
      <c r="AW28" s="133">
        <v>0</v>
      </c>
      <c r="AX28" s="133">
        <v>0</v>
      </c>
      <c r="AY28" s="133">
        <v>50096</v>
      </c>
      <c r="AZ28" s="133">
        <v>0</v>
      </c>
      <c r="BA28" s="423">
        <v>0</v>
      </c>
      <c r="BB28" s="672">
        <f>SUM(AM28:BA28)</f>
        <v>67997</v>
      </c>
      <c r="BC28" s="422">
        <v>3765</v>
      </c>
      <c r="BD28" s="59">
        <f t="shared" si="7"/>
        <v>0</v>
      </c>
      <c r="BE28" s="133"/>
      <c r="BF28" s="133"/>
      <c r="BG28" s="59">
        <f t="shared" si="8"/>
        <v>0</v>
      </c>
      <c r="BH28" s="133"/>
      <c r="BI28" s="133"/>
      <c r="BJ28" s="133"/>
      <c r="BK28" s="133"/>
      <c r="BL28" s="133">
        <v>140069</v>
      </c>
      <c r="BM28" s="423"/>
      <c r="BN28" s="672">
        <f t="shared" si="9"/>
        <v>143834</v>
      </c>
      <c r="BO28" s="673">
        <f>V28+AL28+BB28+BN28</f>
        <v>17318532</v>
      </c>
      <c r="BP28" s="648"/>
    </row>
    <row r="31" spans="2:68">
      <c r="C31" s="1728" t="s">
        <v>2595</v>
      </c>
      <c r="D31" s="1728"/>
      <c r="E31" s="1728"/>
      <c r="F31" s="1728"/>
      <c r="G31" s="1728"/>
    </row>
    <row r="32" spans="2:68" ht="15.75" thickBot="1"/>
    <row r="33" spans="2:68" s="146" customFormat="1" ht="12.75" customHeight="1">
      <c r="B33" s="2"/>
      <c r="C33" s="2"/>
      <c r="D33" s="657"/>
      <c r="E33" s="195"/>
      <c r="F33" s="195"/>
      <c r="G33" s="1764" t="s">
        <v>2410</v>
      </c>
      <c r="H33" s="1764" t="s">
        <v>2412</v>
      </c>
      <c r="I33" s="1764" t="s">
        <v>2413</v>
      </c>
      <c r="J33" s="1766" t="s">
        <v>2411</v>
      </c>
      <c r="K33" s="238"/>
      <c r="L33" s="238"/>
      <c r="M33" s="238"/>
      <c r="N33" s="238"/>
      <c r="O33" s="238"/>
      <c r="P33" s="238"/>
      <c r="Q33" s="238"/>
      <c r="R33" s="238"/>
      <c r="S33" s="238"/>
      <c r="T33" s="238"/>
      <c r="U33" s="238"/>
      <c r="V33" s="238"/>
      <c r="W33" s="147"/>
      <c r="X33" s="147"/>
      <c r="Y33" s="147"/>
      <c r="Z33" s="147"/>
      <c r="AA33" s="147"/>
      <c r="AB33" s="147"/>
      <c r="AC33" s="147"/>
      <c r="AD33" s="147"/>
      <c r="AE33" s="147"/>
      <c r="AF33" s="147"/>
      <c r="AG33" s="147"/>
      <c r="AH33" s="147"/>
      <c r="AI33" s="147"/>
      <c r="AJ33" s="147"/>
      <c r="AK33" s="147"/>
      <c r="AL33" s="147"/>
      <c r="AM33" s="147"/>
      <c r="AN33" s="147"/>
      <c r="AO33" s="147"/>
      <c r="AP33" s="147"/>
      <c r="AQ33" s="147"/>
      <c r="AR33" s="147"/>
      <c r="AS33" s="147"/>
      <c r="AT33" s="147"/>
      <c r="AU33" s="147"/>
      <c r="AV33" s="147"/>
      <c r="AW33" s="147"/>
      <c r="AX33" s="147"/>
      <c r="AY33" s="147"/>
      <c r="AZ33" s="147"/>
      <c r="BA33" s="147"/>
      <c r="BB33" s="147"/>
      <c r="BC33" s="147"/>
      <c r="BD33" s="147"/>
      <c r="BE33" s="147"/>
      <c r="BF33" s="147"/>
      <c r="BG33" s="147"/>
      <c r="BH33" s="147"/>
      <c r="BI33" s="147"/>
      <c r="BJ33" s="147"/>
      <c r="BK33" s="147"/>
      <c r="BL33" s="147"/>
      <c r="BM33" s="147"/>
      <c r="BN33" s="147"/>
      <c r="BO33" s="24"/>
    </row>
    <row r="34" spans="2:68" s="183" customFormat="1" ht="54.95" customHeight="1" thickBot="1">
      <c r="B34" s="184"/>
      <c r="C34" s="184"/>
      <c r="D34" s="659"/>
      <c r="E34" s="184"/>
      <c r="F34" s="184"/>
      <c r="G34" s="1765"/>
      <c r="H34" s="1765"/>
      <c r="I34" s="1765"/>
      <c r="J34" s="1767"/>
      <c r="K34" s="795"/>
      <c r="L34" s="795"/>
      <c r="M34" s="795"/>
      <c r="N34" s="795"/>
      <c r="O34" s="795"/>
      <c r="P34" s="795"/>
      <c r="Q34" s="795"/>
      <c r="R34" s="795"/>
      <c r="S34" s="795"/>
      <c r="T34" s="795"/>
      <c r="U34" s="795"/>
      <c r="V34" s="794"/>
      <c r="W34" s="796"/>
      <c r="X34" s="796"/>
      <c r="Y34" s="796"/>
      <c r="Z34" s="796"/>
      <c r="AA34" s="796"/>
      <c r="AB34" s="796"/>
      <c r="AC34" s="796"/>
      <c r="AD34" s="796"/>
      <c r="AE34" s="796"/>
      <c r="AF34" s="796"/>
      <c r="AG34" s="796"/>
      <c r="AH34" s="796"/>
      <c r="AI34" s="796"/>
      <c r="AJ34" s="796"/>
      <c r="AK34" s="796"/>
      <c r="AL34" s="794"/>
      <c r="AM34" s="796"/>
      <c r="AN34" s="796"/>
      <c r="AO34" s="796"/>
      <c r="AP34" s="796"/>
      <c r="AQ34" s="796"/>
      <c r="AR34" s="796"/>
      <c r="AS34" s="796"/>
      <c r="AT34" s="796"/>
      <c r="AU34" s="796"/>
      <c r="AV34" s="796"/>
      <c r="AW34" s="796"/>
      <c r="AX34" s="796"/>
      <c r="AY34" s="796"/>
      <c r="AZ34" s="796"/>
      <c r="BA34" s="796"/>
      <c r="BB34" s="794"/>
      <c r="BC34" s="796"/>
      <c r="BD34" s="796"/>
      <c r="BE34" s="796"/>
      <c r="BF34" s="796"/>
      <c r="BG34" s="796"/>
      <c r="BH34" s="796"/>
      <c r="BI34" s="796"/>
      <c r="BJ34" s="796"/>
      <c r="BK34" s="796"/>
      <c r="BL34" s="796"/>
      <c r="BM34" s="796"/>
      <c r="BN34" s="794"/>
      <c r="BO34" s="24"/>
    </row>
    <row r="35" spans="2:68" s="30" customFormat="1" ht="15" customHeight="1">
      <c r="B35" s="25"/>
      <c r="C35" s="25"/>
      <c r="D35" s="1745" t="s">
        <v>2597</v>
      </c>
      <c r="E35" s="1746"/>
      <c r="F35" s="1747"/>
      <c r="G35" s="689">
        <f>V7</f>
        <v>7622</v>
      </c>
      <c r="H35" s="690">
        <f>AL7</f>
        <v>442007</v>
      </c>
      <c r="I35" s="690">
        <f>BB7</f>
        <v>175</v>
      </c>
      <c r="J35" s="690">
        <f>BN7</f>
        <v>12101</v>
      </c>
      <c r="K35" s="131"/>
      <c r="L35" s="131"/>
      <c r="M35" s="131"/>
      <c r="N35" s="131"/>
      <c r="O35" s="131"/>
      <c r="P35" s="131"/>
      <c r="Q35" s="131"/>
      <c r="R35" s="131"/>
      <c r="S35" s="131"/>
      <c r="T35" s="131"/>
      <c r="U35" s="131"/>
      <c r="V35" s="131"/>
      <c r="W35" s="131"/>
      <c r="X35" s="131"/>
      <c r="Y35" s="131"/>
      <c r="Z35" s="131"/>
      <c r="AA35" s="131"/>
      <c r="AB35" s="131"/>
      <c r="AC35" s="131"/>
      <c r="AD35" s="131"/>
      <c r="AE35" s="131"/>
      <c r="AF35" s="131"/>
      <c r="AG35" s="131"/>
      <c r="AH35" s="131"/>
      <c r="AI35" s="131"/>
      <c r="AJ35" s="131"/>
      <c r="AK35" s="131"/>
      <c r="AL35" s="131"/>
      <c r="AM35" s="131"/>
      <c r="AN35" s="131"/>
      <c r="AO35" s="131"/>
      <c r="AP35" s="131"/>
      <c r="AQ35" s="131"/>
      <c r="AR35" s="131"/>
      <c r="AS35" s="131"/>
      <c r="AT35" s="131"/>
      <c r="AU35" s="131"/>
      <c r="AV35" s="131"/>
      <c r="AW35" s="131"/>
      <c r="AX35" s="131"/>
      <c r="AY35" s="131"/>
      <c r="AZ35" s="131"/>
      <c r="BA35" s="131"/>
      <c r="BB35" s="131"/>
      <c r="BC35" s="131"/>
      <c r="BD35" s="374"/>
      <c r="BE35" s="131"/>
      <c r="BF35" s="131"/>
      <c r="BG35" s="374"/>
      <c r="BH35" s="131"/>
      <c r="BI35" s="131"/>
      <c r="BJ35" s="131"/>
      <c r="BK35" s="131"/>
      <c r="BL35" s="131"/>
      <c r="BM35" s="131"/>
      <c r="BN35" s="131"/>
      <c r="BO35" s="131"/>
      <c r="BP35" s="648"/>
    </row>
    <row r="36" spans="2:68" s="30" customFormat="1" ht="15" customHeight="1">
      <c r="B36" s="25"/>
      <c r="C36" s="25"/>
      <c r="D36" s="1745" t="s">
        <v>2598</v>
      </c>
      <c r="E36" s="1746" t="s">
        <v>2415</v>
      </c>
      <c r="F36" s="1747"/>
      <c r="G36" s="644">
        <f>V9</f>
        <v>473</v>
      </c>
      <c r="H36" s="645">
        <f>AL9</f>
        <v>0</v>
      </c>
      <c r="I36" s="645">
        <f>BB9</f>
        <v>23</v>
      </c>
      <c r="J36" s="645">
        <f>BN9</f>
        <v>317</v>
      </c>
      <c r="K36" s="131"/>
      <c r="L36" s="131"/>
      <c r="M36" s="131"/>
      <c r="N36" s="131"/>
      <c r="O36" s="131"/>
      <c r="P36" s="131"/>
      <c r="Q36" s="131"/>
      <c r="R36" s="131"/>
      <c r="S36" s="131"/>
      <c r="T36" s="131"/>
      <c r="U36" s="131"/>
      <c r="V36" s="131"/>
      <c r="W36" s="131"/>
      <c r="X36" s="131"/>
      <c r="Y36" s="131"/>
      <c r="Z36" s="131"/>
      <c r="AA36" s="131"/>
      <c r="AB36" s="131"/>
      <c r="AC36" s="131"/>
      <c r="AD36" s="131"/>
      <c r="AE36" s="131"/>
      <c r="AF36" s="131"/>
      <c r="AG36" s="131"/>
      <c r="AH36" s="131"/>
      <c r="AI36" s="131"/>
      <c r="AJ36" s="131"/>
      <c r="AK36" s="131"/>
      <c r="AL36" s="131"/>
      <c r="AM36" s="131"/>
      <c r="AN36" s="131"/>
      <c r="AO36" s="131"/>
      <c r="AP36" s="131"/>
      <c r="AQ36" s="131"/>
      <c r="AR36" s="131"/>
      <c r="AS36" s="131"/>
      <c r="AT36" s="131"/>
      <c r="AU36" s="131"/>
      <c r="AV36" s="131"/>
      <c r="AW36" s="131"/>
      <c r="AX36" s="131"/>
      <c r="AY36" s="131"/>
      <c r="AZ36" s="131"/>
      <c r="BA36" s="131"/>
      <c r="BB36" s="131"/>
      <c r="BC36" s="131"/>
      <c r="BD36" s="374"/>
      <c r="BE36" s="131"/>
      <c r="BF36" s="131"/>
      <c r="BG36" s="374"/>
      <c r="BH36" s="131"/>
      <c r="BI36" s="131"/>
      <c r="BJ36" s="131"/>
      <c r="BK36" s="131"/>
      <c r="BL36" s="131"/>
      <c r="BM36" s="131"/>
      <c r="BN36" s="131"/>
      <c r="BO36" s="131"/>
      <c r="BP36" s="648"/>
    </row>
    <row r="37" spans="2:68" ht="15" customHeight="1">
      <c r="B37" s="12"/>
      <c r="C37" s="12"/>
      <c r="D37" s="1745" t="s">
        <v>2599</v>
      </c>
      <c r="E37" s="1746"/>
      <c r="F37" s="1747" t="s">
        <v>2416</v>
      </c>
      <c r="G37" s="644">
        <f>V10</f>
        <v>1069</v>
      </c>
      <c r="H37" s="645">
        <f>AL10</f>
        <v>0</v>
      </c>
      <c r="I37" s="645">
        <f>BB10</f>
        <v>10</v>
      </c>
      <c r="J37" s="645">
        <f>BN10</f>
        <v>170</v>
      </c>
      <c r="K37" s="373"/>
      <c r="L37" s="373"/>
      <c r="M37" s="373"/>
      <c r="N37" s="373"/>
      <c r="O37" s="373"/>
      <c r="P37" s="373"/>
      <c r="Q37" s="373"/>
      <c r="R37" s="373"/>
      <c r="S37" s="373"/>
      <c r="T37" s="373"/>
      <c r="U37" s="373"/>
      <c r="V37" s="131"/>
      <c r="W37" s="373"/>
      <c r="X37" s="373"/>
      <c r="Y37" s="373"/>
      <c r="Z37" s="373"/>
      <c r="AA37" s="373"/>
      <c r="AB37" s="373"/>
      <c r="AC37" s="373"/>
      <c r="AD37" s="373"/>
      <c r="AE37" s="373"/>
      <c r="AF37" s="373"/>
      <c r="AG37" s="373"/>
      <c r="AH37" s="373"/>
      <c r="AI37" s="373"/>
      <c r="AJ37" s="373"/>
      <c r="AK37" s="373"/>
      <c r="AL37" s="374"/>
      <c r="AM37" s="374"/>
      <c r="AN37" s="374"/>
      <c r="AO37" s="374"/>
      <c r="AP37" s="374"/>
      <c r="AQ37" s="374"/>
      <c r="AR37" s="374"/>
      <c r="AS37" s="374"/>
      <c r="AT37" s="374"/>
      <c r="AU37" s="374"/>
      <c r="AV37" s="374"/>
      <c r="AW37" s="374"/>
      <c r="AX37" s="374"/>
      <c r="AY37" s="374"/>
      <c r="AZ37" s="374"/>
      <c r="BA37" s="374"/>
      <c r="BB37" s="374"/>
      <c r="BC37" s="374"/>
      <c r="BD37" s="374"/>
      <c r="BE37" s="374"/>
      <c r="BF37" s="374"/>
      <c r="BG37" s="374"/>
      <c r="BH37" s="374"/>
      <c r="BI37" s="374"/>
      <c r="BJ37" s="374"/>
      <c r="BK37" s="374"/>
      <c r="BL37" s="374"/>
      <c r="BM37" s="374"/>
      <c r="BN37" s="131"/>
      <c r="BO37" s="131"/>
      <c r="BP37" s="146"/>
    </row>
    <row r="38" spans="2:68" ht="15" customHeight="1">
      <c r="B38" s="12"/>
      <c r="C38" s="12"/>
      <c r="D38" s="1745" t="s">
        <v>2600</v>
      </c>
      <c r="E38" s="1746"/>
      <c r="F38" s="1747" t="s">
        <v>2417</v>
      </c>
      <c r="G38" s="644">
        <f t="shared" ref="G38:G46" si="10">V12</f>
        <v>13440</v>
      </c>
      <c r="H38" s="645">
        <f t="shared" ref="H38:H46" si="11">AL12</f>
        <v>124</v>
      </c>
      <c r="I38" s="645">
        <f t="shared" ref="I38:I46" si="12">BB12</f>
        <v>1</v>
      </c>
      <c r="J38" s="645">
        <f t="shared" ref="J38:J46" si="13">BN12</f>
        <v>711</v>
      </c>
      <c r="K38" s="373"/>
      <c r="L38" s="373"/>
      <c r="M38" s="373"/>
      <c r="N38" s="373"/>
      <c r="O38" s="373"/>
      <c r="P38" s="373"/>
      <c r="Q38" s="373"/>
      <c r="R38" s="373"/>
      <c r="S38" s="373"/>
      <c r="T38" s="373"/>
      <c r="U38" s="373"/>
      <c r="V38" s="131"/>
      <c r="W38" s="373"/>
      <c r="X38" s="373"/>
      <c r="Y38" s="373"/>
      <c r="Z38" s="373"/>
      <c r="AA38" s="373"/>
      <c r="AB38" s="373"/>
      <c r="AC38" s="373"/>
      <c r="AD38" s="373"/>
      <c r="AE38" s="373"/>
      <c r="AF38" s="373"/>
      <c r="AG38" s="373"/>
      <c r="AH38" s="373"/>
      <c r="AI38" s="373"/>
      <c r="AJ38" s="373"/>
      <c r="AK38" s="373"/>
      <c r="AL38" s="374"/>
      <c r="AM38" s="374"/>
      <c r="AN38" s="374"/>
      <c r="AO38" s="374"/>
      <c r="AP38" s="374"/>
      <c r="AQ38" s="374"/>
      <c r="AR38" s="374"/>
      <c r="AS38" s="374"/>
      <c r="AT38" s="374"/>
      <c r="AU38" s="374"/>
      <c r="AV38" s="374"/>
      <c r="AW38" s="374"/>
      <c r="AX38" s="374"/>
      <c r="AY38" s="374"/>
      <c r="AZ38" s="374"/>
      <c r="BA38" s="374"/>
      <c r="BB38" s="374"/>
      <c r="BC38" s="374"/>
      <c r="BD38" s="374"/>
      <c r="BE38" s="374"/>
      <c r="BF38" s="374"/>
      <c r="BG38" s="374"/>
      <c r="BH38" s="374"/>
      <c r="BI38" s="374"/>
      <c r="BJ38" s="374"/>
      <c r="BK38" s="374"/>
      <c r="BL38" s="374"/>
      <c r="BM38" s="374"/>
      <c r="BN38" s="131"/>
      <c r="BO38" s="131"/>
      <c r="BP38" s="146"/>
    </row>
    <row r="39" spans="2:68" ht="15" customHeight="1">
      <c r="B39" s="12"/>
      <c r="C39" s="12"/>
      <c r="D39" s="1745" t="s">
        <v>2601</v>
      </c>
      <c r="E39" s="1746"/>
      <c r="F39" s="1747" t="s">
        <v>2418</v>
      </c>
      <c r="G39" s="644">
        <f t="shared" si="10"/>
        <v>284296</v>
      </c>
      <c r="H39" s="645">
        <f t="shared" si="11"/>
        <v>1970</v>
      </c>
      <c r="I39" s="645">
        <f t="shared" si="12"/>
        <v>16</v>
      </c>
      <c r="J39" s="645">
        <f t="shared" si="13"/>
        <v>35240</v>
      </c>
      <c r="K39" s="373"/>
      <c r="L39" s="373"/>
      <c r="M39" s="373"/>
      <c r="N39" s="373"/>
      <c r="O39" s="373"/>
      <c r="P39" s="373"/>
      <c r="Q39" s="373"/>
      <c r="R39" s="373"/>
      <c r="S39" s="373"/>
      <c r="T39" s="373"/>
      <c r="U39" s="373"/>
      <c r="V39" s="131"/>
      <c r="W39" s="373"/>
      <c r="X39" s="373"/>
      <c r="Y39" s="373"/>
      <c r="Z39" s="373"/>
      <c r="AA39" s="373"/>
      <c r="AB39" s="373"/>
      <c r="AC39" s="373"/>
      <c r="AD39" s="373"/>
      <c r="AE39" s="373"/>
      <c r="AF39" s="373"/>
      <c r="AG39" s="373"/>
      <c r="AH39" s="373"/>
      <c r="AI39" s="373"/>
      <c r="AJ39" s="373"/>
      <c r="AK39" s="373"/>
      <c r="AL39" s="374"/>
      <c r="AM39" s="374"/>
      <c r="AN39" s="374"/>
      <c r="AO39" s="374"/>
      <c r="AP39" s="374"/>
      <c r="AQ39" s="374"/>
      <c r="AR39" s="374"/>
      <c r="AS39" s="374"/>
      <c r="AT39" s="374"/>
      <c r="AU39" s="374"/>
      <c r="AV39" s="374"/>
      <c r="AW39" s="374"/>
      <c r="AX39" s="374"/>
      <c r="AY39" s="374"/>
      <c r="AZ39" s="374"/>
      <c r="BA39" s="374"/>
      <c r="BB39" s="374"/>
      <c r="BC39" s="374"/>
      <c r="BD39" s="374"/>
      <c r="BE39" s="374"/>
      <c r="BF39" s="374"/>
      <c r="BG39" s="374"/>
      <c r="BH39" s="374"/>
      <c r="BI39" s="374"/>
      <c r="BJ39" s="374"/>
      <c r="BK39" s="374"/>
      <c r="BL39" s="374"/>
      <c r="BM39" s="374"/>
      <c r="BN39" s="131"/>
      <c r="BO39" s="131"/>
      <c r="BP39" s="146"/>
    </row>
    <row r="40" spans="2:68" s="30" customFormat="1" ht="15" customHeight="1">
      <c r="B40" s="25"/>
      <c r="C40" s="25"/>
      <c r="D40" s="1745" t="s">
        <v>2602</v>
      </c>
      <c r="E40" s="1746" t="s">
        <v>2419</v>
      </c>
      <c r="F40" s="1747"/>
      <c r="G40" s="644">
        <f t="shared" si="10"/>
        <v>13440</v>
      </c>
      <c r="H40" s="645">
        <f t="shared" si="11"/>
        <v>124</v>
      </c>
      <c r="I40" s="645">
        <f t="shared" si="12"/>
        <v>1</v>
      </c>
      <c r="J40" s="645">
        <f t="shared" si="13"/>
        <v>711</v>
      </c>
      <c r="K40" s="131"/>
      <c r="L40" s="131"/>
      <c r="M40" s="131"/>
      <c r="N40" s="131"/>
      <c r="O40" s="131"/>
      <c r="P40" s="131"/>
      <c r="Q40" s="131"/>
      <c r="R40" s="131"/>
      <c r="S40" s="131"/>
      <c r="T40" s="131"/>
      <c r="U40" s="131"/>
      <c r="V40" s="131"/>
      <c r="W40" s="131"/>
      <c r="X40" s="131"/>
      <c r="Y40" s="131"/>
      <c r="Z40" s="131"/>
      <c r="AA40" s="131"/>
      <c r="AB40" s="131"/>
      <c r="AC40" s="131"/>
      <c r="AD40" s="131"/>
      <c r="AE40" s="131"/>
      <c r="AF40" s="131"/>
      <c r="AG40" s="131"/>
      <c r="AH40" s="131"/>
      <c r="AI40" s="131"/>
      <c r="AJ40" s="131"/>
      <c r="AK40" s="131"/>
      <c r="AL40" s="131"/>
      <c r="AM40" s="131"/>
      <c r="AN40" s="131"/>
      <c r="AO40" s="131"/>
      <c r="AP40" s="131"/>
      <c r="AQ40" s="131"/>
      <c r="AR40" s="131"/>
      <c r="AS40" s="131"/>
      <c r="AT40" s="131"/>
      <c r="AU40" s="131"/>
      <c r="AV40" s="131"/>
      <c r="AW40" s="131"/>
      <c r="AX40" s="131"/>
      <c r="AY40" s="131"/>
      <c r="AZ40" s="131"/>
      <c r="BA40" s="131"/>
      <c r="BB40" s="131"/>
      <c r="BC40" s="131"/>
      <c r="BD40" s="374"/>
      <c r="BE40" s="131"/>
      <c r="BF40" s="131"/>
      <c r="BG40" s="374"/>
      <c r="BH40" s="131"/>
      <c r="BI40" s="131"/>
      <c r="BJ40" s="131"/>
      <c r="BK40" s="131"/>
      <c r="BL40" s="131"/>
      <c r="BM40" s="131"/>
      <c r="BN40" s="131"/>
      <c r="BO40" s="131"/>
      <c r="BP40" s="648"/>
    </row>
    <row r="41" spans="2:68" ht="15" customHeight="1">
      <c r="B41" s="12"/>
      <c r="C41" s="12"/>
      <c r="D41" s="1745" t="s">
        <v>2603</v>
      </c>
      <c r="E41" s="1746"/>
      <c r="F41" s="1747" t="s">
        <v>2420</v>
      </c>
      <c r="G41" s="644">
        <f t="shared" si="10"/>
        <v>284296</v>
      </c>
      <c r="H41" s="645">
        <f t="shared" si="11"/>
        <v>1970</v>
      </c>
      <c r="I41" s="645">
        <f t="shared" si="12"/>
        <v>16</v>
      </c>
      <c r="J41" s="645">
        <f t="shared" si="13"/>
        <v>35240</v>
      </c>
      <c r="K41" s="373"/>
      <c r="L41" s="373"/>
      <c r="M41" s="373"/>
      <c r="N41" s="373"/>
      <c r="O41" s="373"/>
      <c r="P41" s="373"/>
      <c r="Q41" s="373"/>
      <c r="R41" s="373"/>
      <c r="S41" s="373"/>
      <c r="T41" s="373"/>
      <c r="U41" s="373"/>
      <c r="V41" s="131"/>
      <c r="W41" s="373"/>
      <c r="X41" s="373"/>
      <c r="Y41" s="373"/>
      <c r="Z41" s="373"/>
      <c r="AA41" s="373"/>
      <c r="AB41" s="373"/>
      <c r="AC41" s="373"/>
      <c r="AD41" s="373"/>
      <c r="AE41" s="373"/>
      <c r="AF41" s="373"/>
      <c r="AG41" s="373"/>
      <c r="AH41" s="373"/>
      <c r="AI41" s="373"/>
      <c r="AJ41" s="373"/>
      <c r="AK41" s="373"/>
      <c r="AL41" s="374"/>
      <c r="AM41" s="374"/>
      <c r="AN41" s="374"/>
      <c r="AO41" s="374"/>
      <c r="AP41" s="374"/>
      <c r="AQ41" s="374"/>
      <c r="AR41" s="374"/>
      <c r="AS41" s="374"/>
      <c r="AT41" s="374"/>
      <c r="AU41" s="374"/>
      <c r="AV41" s="374"/>
      <c r="AW41" s="374"/>
      <c r="AX41" s="374"/>
      <c r="AY41" s="374"/>
      <c r="AZ41" s="374"/>
      <c r="BA41" s="374"/>
      <c r="BB41" s="374"/>
      <c r="BC41" s="374"/>
      <c r="BD41" s="374"/>
      <c r="BE41" s="374"/>
      <c r="BF41" s="374"/>
      <c r="BG41" s="374"/>
      <c r="BH41" s="374"/>
      <c r="BI41" s="374"/>
      <c r="BJ41" s="374"/>
      <c r="BK41" s="374"/>
      <c r="BL41" s="374"/>
      <c r="BM41" s="374"/>
      <c r="BN41" s="131"/>
      <c r="BO41" s="131"/>
      <c r="BP41" s="146"/>
    </row>
    <row r="42" spans="2:68" ht="15" customHeight="1">
      <c r="B42" s="12"/>
      <c r="C42" s="12"/>
      <c r="D42" s="1745" t="s">
        <v>2604</v>
      </c>
      <c r="E42" s="1746"/>
      <c r="F42" s="1747" t="s">
        <v>2421</v>
      </c>
      <c r="G42" s="644">
        <f t="shared" si="10"/>
        <v>0</v>
      </c>
      <c r="H42" s="645">
        <f t="shared" si="11"/>
        <v>0</v>
      </c>
      <c r="I42" s="645">
        <f t="shared" si="12"/>
        <v>0</v>
      </c>
      <c r="J42" s="645">
        <f t="shared" si="13"/>
        <v>93</v>
      </c>
      <c r="K42" s="373"/>
      <c r="L42" s="373"/>
      <c r="M42" s="373"/>
      <c r="N42" s="373"/>
      <c r="O42" s="373"/>
      <c r="P42" s="373"/>
      <c r="Q42" s="373"/>
      <c r="R42" s="373"/>
      <c r="S42" s="373"/>
      <c r="T42" s="373"/>
      <c r="U42" s="373"/>
      <c r="V42" s="131"/>
      <c r="W42" s="373"/>
      <c r="X42" s="373"/>
      <c r="Y42" s="373"/>
      <c r="Z42" s="373"/>
      <c r="AA42" s="373"/>
      <c r="AB42" s="373"/>
      <c r="AC42" s="373"/>
      <c r="AD42" s="373"/>
      <c r="AE42" s="373"/>
      <c r="AF42" s="373"/>
      <c r="AG42" s="373"/>
      <c r="AH42" s="373"/>
      <c r="AI42" s="373"/>
      <c r="AJ42" s="373"/>
      <c r="AK42" s="373"/>
      <c r="AL42" s="374"/>
      <c r="AM42" s="374"/>
      <c r="AN42" s="374"/>
      <c r="AO42" s="374"/>
      <c r="AP42" s="374"/>
      <c r="AQ42" s="374"/>
      <c r="AR42" s="374"/>
      <c r="AS42" s="374"/>
      <c r="AT42" s="374"/>
      <c r="AU42" s="374"/>
      <c r="AV42" s="374"/>
      <c r="AW42" s="374"/>
      <c r="AX42" s="374"/>
      <c r="AY42" s="374"/>
      <c r="AZ42" s="374"/>
      <c r="BA42" s="374"/>
      <c r="BB42" s="374"/>
      <c r="BC42" s="374"/>
      <c r="BD42" s="374"/>
      <c r="BE42" s="374"/>
      <c r="BF42" s="374"/>
      <c r="BG42" s="374"/>
      <c r="BH42" s="374"/>
      <c r="BI42" s="374"/>
      <c r="BJ42" s="374"/>
      <c r="BK42" s="374"/>
      <c r="BL42" s="374"/>
      <c r="BM42" s="374"/>
      <c r="BN42" s="131"/>
      <c r="BO42" s="131"/>
      <c r="BP42" s="146"/>
    </row>
    <row r="43" spans="2:68" ht="15" customHeight="1">
      <c r="B43" s="12"/>
      <c r="C43" s="12"/>
      <c r="D43" s="1745" t="s">
        <v>2605</v>
      </c>
      <c r="E43" s="1746"/>
      <c r="F43" s="1747" t="s">
        <v>2422</v>
      </c>
      <c r="G43" s="644">
        <f t="shared" si="10"/>
        <v>13440</v>
      </c>
      <c r="H43" s="645">
        <f t="shared" si="11"/>
        <v>124</v>
      </c>
      <c r="I43" s="645">
        <f t="shared" si="12"/>
        <v>1</v>
      </c>
      <c r="J43" s="645">
        <f t="shared" si="13"/>
        <v>564</v>
      </c>
      <c r="K43" s="373"/>
      <c r="L43" s="373"/>
      <c r="M43" s="373"/>
      <c r="N43" s="373"/>
      <c r="O43" s="373"/>
      <c r="P43" s="373"/>
      <c r="Q43" s="373"/>
      <c r="R43" s="373"/>
      <c r="S43" s="373"/>
      <c r="T43" s="373"/>
      <c r="U43" s="373"/>
      <c r="V43" s="131"/>
      <c r="W43" s="373"/>
      <c r="X43" s="373"/>
      <c r="Y43" s="373"/>
      <c r="Z43" s="373"/>
      <c r="AA43" s="373"/>
      <c r="AB43" s="373"/>
      <c r="AC43" s="373"/>
      <c r="AD43" s="373"/>
      <c r="AE43" s="373"/>
      <c r="AF43" s="373"/>
      <c r="AG43" s="373"/>
      <c r="AH43" s="373"/>
      <c r="AI43" s="373"/>
      <c r="AJ43" s="373"/>
      <c r="AK43" s="373"/>
      <c r="AL43" s="374"/>
      <c r="AM43" s="374"/>
      <c r="AN43" s="374"/>
      <c r="AO43" s="374"/>
      <c r="AP43" s="374"/>
      <c r="AQ43" s="374"/>
      <c r="AR43" s="374"/>
      <c r="AS43" s="374"/>
      <c r="AT43" s="374"/>
      <c r="AU43" s="374"/>
      <c r="AV43" s="374"/>
      <c r="AW43" s="374"/>
      <c r="AX43" s="374"/>
      <c r="AY43" s="374"/>
      <c r="AZ43" s="374"/>
      <c r="BA43" s="374"/>
      <c r="BB43" s="374"/>
      <c r="BC43" s="374"/>
      <c r="BD43" s="374"/>
      <c r="BE43" s="374"/>
      <c r="BF43" s="374"/>
      <c r="BG43" s="374"/>
      <c r="BH43" s="374"/>
      <c r="BI43" s="374"/>
      <c r="BJ43" s="374"/>
      <c r="BK43" s="374"/>
      <c r="BL43" s="374"/>
      <c r="BM43" s="374"/>
      <c r="BN43" s="131"/>
      <c r="BO43" s="131"/>
      <c r="BP43" s="146"/>
    </row>
    <row r="44" spans="2:68" ht="15" customHeight="1">
      <c r="B44" s="12"/>
      <c r="C44" s="12"/>
      <c r="D44" s="1745" t="s">
        <v>2606</v>
      </c>
      <c r="E44" s="1746"/>
      <c r="F44" s="1747" t="s">
        <v>2423</v>
      </c>
      <c r="G44" s="644">
        <f t="shared" si="10"/>
        <v>695173</v>
      </c>
      <c r="H44" s="645">
        <f t="shared" si="11"/>
        <v>524802</v>
      </c>
      <c r="I44" s="645">
        <f t="shared" si="12"/>
        <v>37285</v>
      </c>
      <c r="J44" s="645">
        <f t="shared" si="13"/>
        <v>39426</v>
      </c>
      <c r="K44" s="373"/>
      <c r="L44" s="373"/>
      <c r="M44" s="373"/>
      <c r="N44" s="373"/>
      <c r="O44" s="373"/>
      <c r="P44" s="373"/>
      <c r="Q44" s="373"/>
      <c r="R44" s="373"/>
      <c r="S44" s="373"/>
      <c r="T44" s="373"/>
      <c r="U44" s="373"/>
      <c r="V44" s="131"/>
      <c r="W44" s="373"/>
      <c r="X44" s="373"/>
      <c r="Y44" s="373"/>
      <c r="Z44" s="373"/>
      <c r="AA44" s="373"/>
      <c r="AB44" s="373"/>
      <c r="AC44" s="373"/>
      <c r="AD44" s="373"/>
      <c r="AE44" s="373"/>
      <c r="AF44" s="373"/>
      <c r="AG44" s="373"/>
      <c r="AH44" s="373"/>
      <c r="AI44" s="373"/>
      <c r="AJ44" s="373"/>
      <c r="AK44" s="373"/>
      <c r="AL44" s="374"/>
      <c r="AM44" s="374"/>
      <c r="AN44" s="374"/>
      <c r="AO44" s="374"/>
      <c r="AP44" s="374"/>
      <c r="AQ44" s="374"/>
      <c r="AR44" s="374"/>
      <c r="AS44" s="374"/>
      <c r="AT44" s="374"/>
      <c r="AU44" s="374"/>
      <c r="AV44" s="374"/>
      <c r="AW44" s="374"/>
      <c r="AX44" s="374"/>
      <c r="AY44" s="374"/>
      <c r="AZ44" s="374"/>
      <c r="BA44" s="374"/>
      <c r="BB44" s="374"/>
      <c r="BC44" s="374"/>
      <c r="BD44" s="374"/>
      <c r="BE44" s="374"/>
      <c r="BF44" s="374"/>
      <c r="BG44" s="374"/>
      <c r="BH44" s="374"/>
      <c r="BI44" s="374"/>
      <c r="BJ44" s="374"/>
      <c r="BK44" s="374"/>
      <c r="BL44" s="374"/>
      <c r="BM44" s="374"/>
      <c r="BN44" s="131"/>
      <c r="BO44" s="131"/>
      <c r="BP44" s="146"/>
    </row>
    <row r="45" spans="2:68" ht="15" customHeight="1">
      <c r="B45" s="12"/>
      <c r="C45" s="12"/>
      <c r="D45" s="1745" t="s">
        <v>2607</v>
      </c>
      <c r="E45" s="1746"/>
      <c r="F45" s="1747" t="s">
        <v>2424</v>
      </c>
      <c r="G45" s="644">
        <f t="shared" si="10"/>
        <v>0</v>
      </c>
      <c r="H45" s="645">
        <f t="shared" si="11"/>
        <v>0</v>
      </c>
      <c r="I45" s="645">
        <f t="shared" si="12"/>
        <v>0</v>
      </c>
      <c r="J45" s="645">
        <f t="shared" si="13"/>
        <v>19645</v>
      </c>
      <c r="K45" s="373"/>
      <c r="L45" s="373"/>
      <c r="M45" s="373"/>
      <c r="N45" s="373"/>
      <c r="O45" s="373"/>
      <c r="P45" s="373"/>
      <c r="Q45" s="373"/>
      <c r="R45" s="373"/>
      <c r="S45" s="373"/>
      <c r="T45" s="373"/>
      <c r="U45" s="373"/>
      <c r="V45" s="131"/>
      <c r="W45" s="373"/>
      <c r="X45" s="373"/>
      <c r="Y45" s="373"/>
      <c r="Z45" s="373"/>
      <c r="AA45" s="373"/>
      <c r="AB45" s="373"/>
      <c r="AC45" s="373"/>
      <c r="AD45" s="373"/>
      <c r="AE45" s="373"/>
      <c r="AF45" s="373"/>
      <c r="AG45" s="373"/>
      <c r="AH45" s="373"/>
      <c r="AI45" s="373"/>
      <c r="AJ45" s="373"/>
      <c r="AK45" s="373"/>
      <c r="AL45" s="374"/>
      <c r="AM45" s="374"/>
      <c r="AN45" s="374"/>
      <c r="AO45" s="374"/>
      <c r="AP45" s="374"/>
      <c r="AQ45" s="374"/>
      <c r="AR45" s="374"/>
      <c r="AS45" s="374"/>
      <c r="AT45" s="374"/>
      <c r="AU45" s="374"/>
      <c r="AV45" s="374"/>
      <c r="AW45" s="374"/>
      <c r="AX45" s="374"/>
      <c r="AY45" s="374"/>
      <c r="AZ45" s="374"/>
      <c r="BA45" s="374"/>
      <c r="BB45" s="374"/>
      <c r="BC45" s="374"/>
      <c r="BD45" s="374"/>
      <c r="BE45" s="374"/>
      <c r="BF45" s="374"/>
      <c r="BG45" s="374"/>
      <c r="BH45" s="374"/>
      <c r="BI45" s="374"/>
      <c r="BJ45" s="374"/>
      <c r="BK45" s="374"/>
      <c r="BL45" s="374"/>
      <c r="BM45" s="374"/>
      <c r="BN45" s="131"/>
      <c r="BO45" s="131"/>
      <c r="BP45" s="146"/>
    </row>
    <row r="46" spans="2:68" s="30" customFormat="1" ht="15" customHeight="1" thickBot="1">
      <c r="B46" s="25"/>
      <c r="C46" s="25"/>
      <c r="D46" s="1751" t="s">
        <v>2608</v>
      </c>
      <c r="E46" s="1752" t="s">
        <v>2425</v>
      </c>
      <c r="F46" s="1753"/>
      <c r="G46" s="649">
        <f t="shared" si="10"/>
        <v>0</v>
      </c>
      <c r="H46" s="650">
        <f t="shared" si="11"/>
        <v>0</v>
      </c>
      <c r="I46" s="650">
        <f t="shared" si="12"/>
        <v>0</v>
      </c>
      <c r="J46" s="650">
        <f t="shared" si="13"/>
        <v>4447</v>
      </c>
      <c r="K46" s="131"/>
      <c r="L46" s="131"/>
      <c r="M46" s="131"/>
      <c r="N46" s="131"/>
      <c r="O46" s="131"/>
      <c r="P46" s="131"/>
      <c r="Q46" s="131"/>
      <c r="R46" s="131"/>
      <c r="S46" s="131"/>
      <c r="T46" s="131"/>
      <c r="U46" s="131"/>
      <c r="V46" s="131"/>
      <c r="W46" s="131"/>
      <c r="X46" s="131"/>
      <c r="Y46" s="131"/>
      <c r="Z46" s="131"/>
      <c r="AA46" s="131"/>
      <c r="AB46" s="131"/>
      <c r="AC46" s="131"/>
      <c r="AD46" s="131"/>
      <c r="AE46" s="131"/>
      <c r="AF46" s="131"/>
      <c r="AG46" s="131"/>
      <c r="AH46" s="131"/>
      <c r="AI46" s="131"/>
      <c r="AJ46" s="131"/>
      <c r="AK46" s="131"/>
      <c r="AL46" s="131"/>
      <c r="AM46" s="131"/>
      <c r="AN46" s="131"/>
      <c r="AO46" s="131"/>
      <c r="AP46" s="131"/>
      <c r="AQ46" s="131"/>
      <c r="AR46" s="131"/>
      <c r="AS46" s="131"/>
      <c r="AT46" s="131"/>
      <c r="AU46" s="131"/>
      <c r="AV46" s="131"/>
      <c r="AW46" s="131"/>
      <c r="AX46" s="131"/>
      <c r="AY46" s="131"/>
      <c r="AZ46" s="131"/>
      <c r="BA46" s="131"/>
      <c r="BB46" s="131"/>
      <c r="BC46" s="131"/>
      <c r="BD46" s="374"/>
      <c r="BE46" s="131"/>
      <c r="BF46" s="131"/>
      <c r="BG46" s="374"/>
      <c r="BH46" s="131"/>
      <c r="BI46" s="131"/>
      <c r="BJ46" s="131"/>
      <c r="BK46" s="131"/>
      <c r="BL46" s="131"/>
      <c r="BM46" s="131"/>
      <c r="BN46" s="131"/>
      <c r="BO46" s="131"/>
      <c r="BP46" s="648"/>
    </row>
    <row r="49" spans="3:10">
      <c r="C49" s="1584" t="s">
        <v>2609</v>
      </c>
      <c r="D49" s="1584"/>
      <c r="E49" s="1584"/>
      <c r="F49" s="1584"/>
      <c r="G49" s="1584"/>
    </row>
    <row r="50" spans="3:10" ht="15.75" thickBot="1">
      <c r="D50" s="2"/>
      <c r="E50" s="2"/>
      <c r="F50" s="2"/>
      <c r="G50" s="697"/>
      <c r="H50" s="1762"/>
      <c r="I50" s="1763"/>
      <c r="J50" s="1763"/>
    </row>
    <row r="51" spans="3:10" ht="15" customHeight="1" thickBot="1">
      <c r="D51" s="682"/>
      <c r="E51" s="682"/>
      <c r="F51" s="682"/>
      <c r="G51" s="698"/>
      <c r="H51" s="1762"/>
      <c r="I51" s="1763"/>
      <c r="J51" s="1763"/>
    </row>
    <row r="52" spans="3:10">
      <c r="D52" s="1746" t="s">
        <v>2610</v>
      </c>
      <c r="E52" s="1746"/>
      <c r="F52" s="1746"/>
      <c r="G52" s="378">
        <f>+BO17</f>
        <v>14129</v>
      </c>
      <c r="H52" s="131"/>
      <c r="I52" s="131"/>
      <c r="J52" s="131"/>
    </row>
    <row r="53" spans="3:10">
      <c r="D53" s="1746" t="s">
        <v>2611</v>
      </c>
      <c r="E53" s="1746" t="s">
        <v>2415</v>
      </c>
      <c r="F53" s="1746"/>
      <c r="G53" s="378">
        <f>+BO18</f>
        <v>1296686</v>
      </c>
      <c r="H53" s="131"/>
      <c r="I53" s="131"/>
      <c r="J53" s="131"/>
    </row>
    <row r="54" spans="3:10">
      <c r="D54" s="1746" t="s">
        <v>2612</v>
      </c>
      <c r="E54" s="1746"/>
      <c r="F54" s="1746" t="s">
        <v>2416</v>
      </c>
      <c r="G54" s="58">
        <f>+BO19</f>
        <v>19645</v>
      </c>
      <c r="H54" s="373"/>
      <c r="I54" s="373"/>
      <c r="J54" s="373"/>
    </row>
    <row r="55" spans="3:10" ht="15.75" thickBot="1">
      <c r="D55" s="1752" t="s">
        <v>2613</v>
      </c>
      <c r="E55" s="1752"/>
      <c r="F55" s="1752" t="s">
        <v>2417</v>
      </c>
      <c r="G55" s="58">
        <f>+BO20</f>
        <v>4447</v>
      </c>
      <c r="H55" s="373"/>
      <c r="I55" s="373"/>
      <c r="J55" s="373"/>
    </row>
    <row r="56" spans="3:10">
      <c r="G56" s="146"/>
      <c r="H56" s="146"/>
      <c r="I56" s="146"/>
      <c r="J56" s="146"/>
    </row>
  </sheetData>
  <mergeCells count="53">
    <mergeCell ref="BO5:BO6"/>
    <mergeCell ref="B3:F3"/>
    <mergeCell ref="G5:V5"/>
    <mergeCell ref="W5:AL5"/>
    <mergeCell ref="AM5:BB5"/>
    <mergeCell ref="BC5:BN5"/>
    <mergeCell ref="D7:F7"/>
    <mergeCell ref="D8:F8"/>
    <mergeCell ref="D9:F9"/>
    <mergeCell ref="D10:F10"/>
    <mergeCell ref="D11:F11"/>
    <mergeCell ref="D18:F18"/>
    <mergeCell ref="D19:F19"/>
    <mergeCell ref="D20:F20"/>
    <mergeCell ref="D12:F12"/>
    <mergeCell ref="D13:F13"/>
    <mergeCell ref="D14:F14"/>
    <mergeCell ref="D15:F15"/>
    <mergeCell ref="D16:F16"/>
    <mergeCell ref="D17:F17"/>
    <mergeCell ref="BO25:BO26"/>
    <mergeCell ref="C23:G23"/>
    <mergeCell ref="G25:V25"/>
    <mergeCell ref="W25:AL25"/>
    <mergeCell ref="AM25:BB25"/>
    <mergeCell ref="H33:H34"/>
    <mergeCell ref="I33:I34"/>
    <mergeCell ref="J33:J34"/>
    <mergeCell ref="D35:F35"/>
    <mergeCell ref="BC25:BN25"/>
    <mergeCell ref="D27:F27"/>
    <mergeCell ref="D28:F28"/>
    <mergeCell ref="D40:F40"/>
    <mergeCell ref="C31:G31"/>
    <mergeCell ref="D36:F36"/>
    <mergeCell ref="D37:F37"/>
    <mergeCell ref="D38:F38"/>
    <mergeCell ref="D39:F39"/>
    <mergeCell ref="G33:G34"/>
    <mergeCell ref="D54:F54"/>
    <mergeCell ref="D55:F55"/>
    <mergeCell ref="C49:G49"/>
    <mergeCell ref="D41:F41"/>
    <mergeCell ref="D42:F42"/>
    <mergeCell ref="D43:F43"/>
    <mergeCell ref="D44:F44"/>
    <mergeCell ref="D45:F45"/>
    <mergeCell ref="D46:F46"/>
    <mergeCell ref="H50:H51"/>
    <mergeCell ref="I50:I51"/>
    <mergeCell ref="J50:J51"/>
    <mergeCell ref="D52:F52"/>
    <mergeCell ref="D53:F53"/>
  </mergeCells>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6:L62"/>
  <sheetViews>
    <sheetView topLeftCell="A13" zoomScale="85" zoomScaleNormal="85" workbookViewId="0">
      <selection activeCell="C62" sqref="C62"/>
    </sheetView>
  </sheetViews>
  <sheetFormatPr baseColWidth="10" defaultRowHeight="15"/>
  <cols>
    <col min="1" max="1" width="11.42578125" style="801"/>
    <col min="2" max="2" width="40.85546875" style="801" customWidth="1"/>
    <col min="3" max="3" width="12.5703125" style="801" customWidth="1"/>
    <col min="4" max="4" width="13.140625" style="801" bestFit="1" customWidth="1"/>
    <col min="5" max="5" width="13.140625" style="801" customWidth="1"/>
    <col min="6" max="6" width="33" style="801" customWidth="1"/>
    <col min="7" max="7" width="13.42578125" style="801" bestFit="1" customWidth="1"/>
    <col min="8" max="8" width="11.42578125" style="801"/>
    <col min="9" max="9" width="13.140625" style="801" bestFit="1" customWidth="1"/>
    <col min="10" max="16384" width="11.42578125" style="801"/>
  </cols>
  <sheetData>
    <row r="6" spans="2:3" ht="15.75">
      <c r="B6" s="897" t="s">
        <v>2791</v>
      </c>
    </row>
    <row r="7" spans="2:3" ht="15.75">
      <c r="B7" s="897" t="s">
        <v>2792</v>
      </c>
    </row>
    <row r="8" spans="2:3">
      <c r="B8" s="800"/>
    </row>
    <row r="10" spans="2:3" s="804" customFormat="1" ht="25.5" customHeight="1">
      <c r="B10" s="802" t="s">
        <v>2793</v>
      </c>
      <c r="C10" s="803">
        <v>43190</v>
      </c>
    </row>
    <row r="11" spans="2:3">
      <c r="B11" s="805"/>
      <c r="C11" s="805"/>
    </row>
    <row r="12" spans="2:3">
      <c r="B12" s="806" t="s">
        <v>2794</v>
      </c>
      <c r="C12" s="807" t="s">
        <v>2795</v>
      </c>
    </row>
    <row r="13" spans="2:3">
      <c r="B13" s="806" t="s">
        <v>2796</v>
      </c>
      <c r="C13" s="808"/>
    </row>
    <row r="14" spans="2:3">
      <c r="B14" s="809" t="s">
        <v>2797</v>
      </c>
      <c r="C14" s="810">
        <v>26966.89</v>
      </c>
    </row>
    <row r="15" spans="2:3">
      <c r="B15" s="809" t="s">
        <v>2798</v>
      </c>
      <c r="C15" s="810">
        <v>603.39</v>
      </c>
    </row>
    <row r="16" spans="2:3">
      <c r="B16" s="809" t="s">
        <v>2799</v>
      </c>
      <c r="C16" s="810">
        <v>46972</v>
      </c>
    </row>
    <row r="17" spans="2:12">
      <c r="B17" s="809" t="s">
        <v>2800</v>
      </c>
      <c r="C17" s="810">
        <v>197.99</v>
      </c>
    </row>
    <row r="18" spans="2:12">
      <c r="B18" s="809" t="s">
        <v>2801</v>
      </c>
      <c r="C18" s="810">
        <v>195.47</v>
      </c>
    </row>
    <row r="19" spans="2:12" ht="15.75" thickBot="1"/>
    <row r="20" spans="2:12">
      <c r="F20" s="811" t="s">
        <v>2802</v>
      </c>
      <c r="G20" s="812"/>
      <c r="H20" s="813"/>
    </row>
    <row r="21" spans="2:12" ht="15.75" thickBot="1">
      <c r="F21" s="814" t="s">
        <v>2803</v>
      </c>
      <c r="G21" s="815"/>
      <c r="H21" s="816"/>
    </row>
    <row r="23" spans="2:12" s="817" customFormat="1" ht="20.25" customHeight="1">
      <c r="B23" s="1771" t="s">
        <v>2804</v>
      </c>
      <c r="C23" s="1771"/>
      <c r="F23" s="808"/>
      <c r="G23" s="808" t="s">
        <v>2805</v>
      </c>
    </row>
    <row r="24" spans="2:12">
      <c r="B24" s="806" t="s">
        <v>2806</v>
      </c>
      <c r="C24" s="808" t="s">
        <v>2805</v>
      </c>
      <c r="F24" s="818" t="s">
        <v>2807</v>
      </c>
      <c r="G24" s="819">
        <f ca="1">+C28</f>
        <v>1918640051</v>
      </c>
    </row>
    <row r="25" spans="2:12">
      <c r="B25" s="820" t="s">
        <v>2808</v>
      </c>
      <c r="C25" s="821">
        <f ca="1">+Pasivo!X11</f>
        <v>1987160875</v>
      </c>
      <c r="F25" s="818" t="s">
        <v>2809</v>
      </c>
      <c r="G25" s="819">
        <f>+C35</f>
        <v>0</v>
      </c>
    </row>
    <row r="26" spans="2:12">
      <c r="B26" s="822" t="s">
        <v>2810</v>
      </c>
      <c r="C26" s="820"/>
      <c r="F26" s="818" t="s">
        <v>2811</v>
      </c>
      <c r="G26" s="819">
        <f ca="1">+Pasivo!X25</f>
        <v>237638535</v>
      </c>
    </row>
    <row r="27" spans="2:12">
      <c r="B27" s="820" t="s">
        <v>2812</v>
      </c>
      <c r="C27" s="821">
        <f ca="1">-Activo!Z53</f>
        <v>-68520824</v>
      </c>
      <c r="F27" s="818" t="s">
        <v>2813</v>
      </c>
      <c r="G27" s="819">
        <f ca="1">+C60</f>
        <v>132656488.145</v>
      </c>
    </row>
    <row r="28" spans="2:12">
      <c r="B28" s="823" t="s">
        <v>2814</v>
      </c>
      <c r="C28" s="824">
        <f ca="1">SUM(C25:C27)</f>
        <v>1918640051</v>
      </c>
      <c r="F28" s="823" t="s">
        <v>2815</v>
      </c>
      <c r="G28" s="825">
        <f ca="1">((G24+G25-G26)/G27)+(G26/G27)*1/7</f>
        <v>12.92774972505177</v>
      </c>
    </row>
    <row r="30" spans="2:12">
      <c r="G30" s="826"/>
      <c r="I30" s="827"/>
      <c r="J30" s="827"/>
      <c r="L30" s="827"/>
    </row>
    <row r="31" spans="2:12">
      <c r="B31" s="1772" t="s">
        <v>2809</v>
      </c>
      <c r="C31" s="1772"/>
      <c r="G31" s="827"/>
    </row>
    <row r="32" spans="2:12">
      <c r="B32" s="806" t="s">
        <v>2806</v>
      </c>
      <c r="C32" s="808" t="s">
        <v>2805</v>
      </c>
      <c r="G32" s="827"/>
      <c r="K32" s="827"/>
    </row>
    <row r="33" spans="1:11">
      <c r="B33" s="809" t="s">
        <v>2816</v>
      </c>
      <c r="C33" s="828">
        <v>0</v>
      </c>
      <c r="D33" s="801" t="s">
        <v>2817</v>
      </c>
      <c r="G33" s="827"/>
      <c r="H33" s="827"/>
      <c r="I33" s="827"/>
      <c r="K33" s="827"/>
    </row>
    <row r="34" spans="1:11">
      <c r="B34" s="809"/>
      <c r="C34" s="809"/>
      <c r="H34" s="827"/>
      <c r="I34" s="827"/>
      <c r="K34" s="827"/>
    </row>
    <row r="35" spans="1:11">
      <c r="B35" s="823" t="s">
        <v>2818</v>
      </c>
      <c r="C35" s="824">
        <f>SUM(C33:C34)</f>
        <v>0</v>
      </c>
      <c r="H35" s="827"/>
      <c r="I35" s="827"/>
      <c r="K35" s="827"/>
    </row>
    <row r="36" spans="1:11">
      <c r="H36" s="827"/>
      <c r="I36" s="827"/>
      <c r="K36" s="827"/>
    </row>
    <row r="37" spans="1:11">
      <c r="H37" s="827"/>
      <c r="I37" s="827"/>
      <c r="K37" s="827"/>
    </row>
    <row r="38" spans="1:11">
      <c r="H38" s="827"/>
      <c r="I38" s="827"/>
      <c r="J38" s="827"/>
      <c r="K38" s="827"/>
    </row>
    <row r="39" spans="1:11" ht="22.5">
      <c r="B39" s="1771" t="s">
        <v>2819</v>
      </c>
      <c r="C39" s="1771"/>
      <c r="F39" s="829" t="s">
        <v>2820</v>
      </c>
      <c r="G39" s="829"/>
      <c r="H39" s="827"/>
      <c r="I39" s="827"/>
      <c r="K39" s="827"/>
    </row>
    <row r="40" spans="1:11">
      <c r="B40" s="806" t="s">
        <v>2806</v>
      </c>
      <c r="C40" s="808" t="s">
        <v>2805</v>
      </c>
      <c r="F40" s="806" t="s">
        <v>2806</v>
      </c>
      <c r="G40" s="808" t="s">
        <v>2805</v>
      </c>
      <c r="H40" s="827"/>
      <c r="I40" s="827"/>
      <c r="J40" s="827"/>
      <c r="K40" s="827"/>
    </row>
    <row r="41" spans="1:11">
      <c r="B41" s="820"/>
      <c r="C41" s="821"/>
      <c r="F41" s="820"/>
      <c r="G41" s="821"/>
      <c r="H41" s="827"/>
      <c r="I41" s="827"/>
      <c r="K41" s="827"/>
    </row>
    <row r="42" spans="1:11">
      <c r="A42" s="801">
        <v>1541110000</v>
      </c>
      <c r="B42" s="820" t="s">
        <v>2821</v>
      </c>
      <c r="C42" s="830">
        <f>+IFERROR(VLOOKUP(A42,'Mapping FECU'!$B$9:$D$552,3,0),0)/1000</f>
        <v>565018.61300000001</v>
      </c>
      <c r="D42" s="831">
        <v>535858</v>
      </c>
      <c r="E42" s="831">
        <f>+C42-D42</f>
        <v>29160.613000000012</v>
      </c>
      <c r="F42" s="820" t="s">
        <v>2822</v>
      </c>
      <c r="G42" s="832">
        <f>+C42+C43</f>
        <v>215891.82500000001</v>
      </c>
      <c r="H42" s="827"/>
      <c r="I42" s="827"/>
      <c r="K42" s="827"/>
    </row>
    <row r="43" spans="1:11">
      <c r="A43" s="801">
        <v>1541180000</v>
      </c>
      <c r="B43" s="820" t="s">
        <v>2823</v>
      </c>
      <c r="C43" s="830">
        <f>+IFERROR(VLOOKUP(A43,'Mapping FECU'!$B$9:$D$552,3,0),0)/1000</f>
        <v>-349126.788</v>
      </c>
      <c r="D43" s="831">
        <v>-322414</v>
      </c>
      <c r="E43" s="831">
        <f t="shared" ref="E43:E49" si="0">+C43-D43</f>
        <v>-26712.788</v>
      </c>
      <c r="F43" s="820" t="s">
        <v>2824</v>
      </c>
      <c r="G43" s="832">
        <f>+C44+C45+C46+C47</f>
        <v>4481934.04</v>
      </c>
      <c r="K43" s="827"/>
    </row>
    <row r="44" spans="1:11">
      <c r="A44" s="801">
        <v>1558100000</v>
      </c>
      <c r="B44" s="820" t="s">
        <v>2825</v>
      </c>
      <c r="C44" s="830">
        <f>+IFERROR(VLOOKUP(A44,'Mapping FECU'!$B$9:$D$552,3,0),0)/1000</f>
        <v>5842040.3300000001</v>
      </c>
      <c r="D44" s="831">
        <v>5791000</v>
      </c>
      <c r="E44" s="831">
        <f t="shared" si="0"/>
        <v>51040.330000000075</v>
      </c>
      <c r="F44" s="820" t="s">
        <v>2826</v>
      </c>
      <c r="G44" s="832">
        <f>+C48</f>
        <v>0</v>
      </c>
      <c r="K44" s="827"/>
    </row>
    <row r="45" spans="1:11">
      <c r="A45" s="801">
        <v>1558100001</v>
      </c>
      <c r="B45" s="820" t="s">
        <v>2827</v>
      </c>
      <c r="C45" s="830">
        <f>+IFERROR(VLOOKUP(A45,'Mapping FECU'!$B$9:$D$552,3,0),0)/1000</f>
        <v>0</v>
      </c>
      <c r="D45" s="831">
        <v>0</v>
      </c>
      <c r="E45" s="831">
        <f t="shared" si="0"/>
        <v>0</v>
      </c>
      <c r="F45" s="820" t="s">
        <v>2828</v>
      </c>
      <c r="G45" s="832">
        <f>+C49</f>
        <v>1349764.99</v>
      </c>
      <c r="K45" s="827"/>
    </row>
    <row r="46" spans="1:11">
      <c r="A46" s="801">
        <v>1558300000</v>
      </c>
      <c r="B46" s="820" t="s">
        <v>2829</v>
      </c>
      <c r="C46" s="830">
        <f>+IFERROR(VLOOKUP(A46,'Mapping FECU'!$B$9:$D$552,3,0),0)/1000</f>
        <v>-848771.12</v>
      </c>
      <c r="D46" s="831">
        <v>-848753</v>
      </c>
      <c r="E46" s="831">
        <f t="shared" si="0"/>
        <v>-18.119999999995343</v>
      </c>
      <c r="F46" s="820"/>
      <c r="G46" s="821"/>
      <c r="H46" s="801" t="s">
        <v>2830</v>
      </c>
      <c r="I46" s="833">
        <v>581391</v>
      </c>
      <c r="K46" s="827"/>
    </row>
    <row r="47" spans="1:11">
      <c r="A47" s="801">
        <v>1558300001</v>
      </c>
      <c r="B47" s="820" t="s">
        <v>2831</v>
      </c>
      <c r="C47" s="830">
        <f>+IFERROR(VLOOKUP(A47,'Mapping FECU'!$B$9:$D$552,3,0),0)/1000</f>
        <v>-511335.17</v>
      </c>
      <c r="D47" s="831">
        <v>-408187</v>
      </c>
      <c r="E47" s="831">
        <f t="shared" si="0"/>
        <v>-103148.16999999998</v>
      </c>
      <c r="F47" s="820"/>
      <c r="G47" s="821"/>
      <c r="H47" s="801" t="s">
        <v>2832</v>
      </c>
      <c r="I47" s="833">
        <v>-848731</v>
      </c>
      <c r="J47" s="831">
        <f>+C46-I47</f>
        <v>-40.119999999995343</v>
      </c>
      <c r="K47" s="827"/>
    </row>
    <row r="48" spans="1:11">
      <c r="A48" s="801">
        <v>1771110000</v>
      </c>
      <c r="B48" s="820" t="s">
        <v>2833</v>
      </c>
      <c r="C48" s="830">
        <f>+IFERROR(VLOOKUP(A48,'Mapping FECU'!$B$9:$D$552,3,0),0)/1000</f>
        <v>0</v>
      </c>
      <c r="D48" s="831">
        <v>0</v>
      </c>
      <c r="E48" s="831">
        <f t="shared" si="0"/>
        <v>0</v>
      </c>
      <c r="F48" s="820"/>
      <c r="G48" s="821"/>
      <c r="H48" s="801" t="s">
        <v>2834</v>
      </c>
      <c r="I48" s="833">
        <v>4468788</v>
      </c>
      <c r="J48" s="834">
        <f>+C44-I48+C45</f>
        <v>1373252.33</v>
      </c>
      <c r="K48" s="827"/>
    </row>
    <row r="49" spans="1:11">
      <c r="A49" s="801">
        <v>1581400000</v>
      </c>
      <c r="B49" s="820" t="s">
        <v>2835</v>
      </c>
      <c r="C49" s="830">
        <f>+IFERROR(VLOOKUP(A49,'Mapping FECU'!$B$9:$D$552,3,0),0)/1000</f>
        <v>1349764.99</v>
      </c>
      <c r="D49" s="831">
        <v>800468</v>
      </c>
      <c r="E49" s="831">
        <f t="shared" si="0"/>
        <v>549296.99</v>
      </c>
      <c r="F49" s="820"/>
      <c r="G49" s="821"/>
      <c r="K49" s="827"/>
    </row>
    <row r="50" spans="1:11">
      <c r="B50" s="820"/>
      <c r="C50" s="830"/>
      <c r="D50" s="831"/>
      <c r="E50" s="831"/>
      <c r="F50" s="820"/>
      <c r="G50" s="821"/>
      <c r="K50" s="827"/>
    </row>
    <row r="51" spans="1:11">
      <c r="B51" s="823" t="s">
        <v>2836</v>
      </c>
      <c r="C51" s="824">
        <f>SUM(C41:C50)</f>
        <v>6047590.8550000004</v>
      </c>
      <c r="F51" s="823" t="s">
        <v>2836</v>
      </c>
      <c r="G51" s="824">
        <f>SUM(G41:G50)</f>
        <v>6047590.8550000004</v>
      </c>
      <c r="H51" s="827"/>
      <c r="I51" s="827"/>
      <c r="K51" s="827"/>
    </row>
    <row r="52" spans="1:11">
      <c r="G52" s="827">
        <f>+G51-C51</f>
        <v>0</v>
      </c>
    </row>
    <row r="53" spans="1:11">
      <c r="C53" s="827"/>
    </row>
    <row r="55" spans="1:11">
      <c r="B55" s="1772" t="s">
        <v>2813</v>
      </c>
      <c r="C55" s="1772"/>
    </row>
    <row r="56" spans="1:11">
      <c r="B56" s="806" t="s">
        <v>2806</v>
      </c>
      <c r="C56" s="808" t="s">
        <v>2805</v>
      </c>
    </row>
    <row r="57" spans="1:11">
      <c r="B57" s="820" t="s">
        <v>2837</v>
      </c>
      <c r="C57" s="828">
        <f ca="1">+'2. Estado de situación'!I95</f>
        <v>138704079</v>
      </c>
    </row>
    <row r="58" spans="1:11">
      <c r="B58" s="820" t="s">
        <v>2838</v>
      </c>
      <c r="C58" s="828">
        <f>-C51</f>
        <v>-6047590.8550000004</v>
      </c>
    </row>
    <row r="59" spans="1:11">
      <c r="B59" s="820"/>
      <c r="C59" s="828"/>
    </row>
    <row r="60" spans="1:11">
      <c r="B60" s="823" t="s">
        <v>2839</v>
      </c>
      <c r="C60" s="835">
        <f ca="1">SUM(C57:C59)</f>
        <v>132656488.145</v>
      </c>
    </row>
    <row r="62" spans="1:11">
      <c r="C62" s="1551"/>
    </row>
  </sheetData>
  <mergeCells count="4">
    <mergeCell ref="B23:C23"/>
    <mergeCell ref="B31:C31"/>
    <mergeCell ref="B39:C39"/>
    <mergeCell ref="B55:C55"/>
  </mergeCells>
  <pageMargins left="0.7" right="0.7" top="0.75" bottom="0.75" header="0.3" footer="0.3"/>
  <pageSetup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2309"/>
  <sheetViews>
    <sheetView showGridLines="0" topLeftCell="E1" zoomScale="85" zoomScaleNormal="85" workbookViewId="0">
      <selection activeCell="K13" sqref="K13"/>
    </sheetView>
  </sheetViews>
  <sheetFormatPr baseColWidth="10" defaultRowHeight="15"/>
  <cols>
    <col min="1" max="1" width="11.42578125" style="805"/>
    <col min="2" max="2" width="11.28515625" style="840" bestFit="1" customWidth="1"/>
    <col min="3" max="3" width="18" style="805" bestFit="1" customWidth="1"/>
    <col min="4" max="4" width="18" style="805" customWidth="1"/>
    <col min="5" max="5" width="19.42578125" style="805" bestFit="1" customWidth="1"/>
    <col min="6" max="6" width="16" style="805" bestFit="1" customWidth="1"/>
    <col min="7" max="8" width="18.85546875" style="805" customWidth="1"/>
    <col min="9" max="9" width="17.5703125" style="805" customWidth="1"/>
    <col min="10" max="10" width="42.42578125" style="805" customWidth="1"/>
    <col min="11" max="12" width="24.5703125" style="805" customWidth="1"/>
    <col min="13" max="16384" width="11.42578125" style="805"/>
  </cols>
  <sheetData>
    <row r="1" spans="1:12">
      <c r="A1" s="836" t="s">
        <v>3958</v>
      </c>
    </row>
    <row r="2" spans="1:12">
      <c r="A2" s="836" t="s">
        <v>2840</v>
      </c>
    </row>
    <row r="3" spans="1:12">
      <c r="A3" s="836"/>
    </row>
    <row r="4" spans="1:12">
      <c r="A4" s="836" t="s">
        <v>2841</v>
      </c>
    </row>
    <row r="6" spans="1:12">
      <c r="B6" s="840" t="s">
        <v>2842</v>
      </c>
      <c r="C6" s="805" t="s">
        <v>2843</v>
      </c>
      <c r="E6" s="805" t="s">
        <v>2844</v>
      </c>
      <c r="F6" s="805" t="s">
        <v>2845</v>
      </c>
    </row>
    <row r="7" spans="1:12" s="836" customFormat="1">
      <c r="B7" s="1197" t="s">
        <v>2846</v>
      </c>
      <c r="C7" s="836" t="s">
        <v>2847</v>
      </c>
      <c r="D7" s="836" t="s">
        <v>551</v>
      </c>
      <c r="E7" s="836" t="s">
        <v>3755</v>
      </c>
      <c r="F7" s="836" t="s">
        <v>3959</v>
      </c>
    </row>
    <row r="8" spans="1:12">
      <c r="B8" t="s">
        <v>2848</v>
      </c>
      <c r="C8" s="915">
        <v>1110500000</v>
      </c>
      <c r="D8" s="915" t="s">
        <v>2849</v>
      </c>
      <c r="E8" s="915">
        <v>19307680543</v>
      </c>
      <c r="F8" s="915">
        <v>12468169543</v>
      </c>
      <c r="G8" s="838"/>
      <c r="H8" s="838"/>
    </row>
    <row r="9" spans="1:12">
      <c r="B9" t="s">
        <v>2848</v>
      </c>
      <c r="C9" s="915">
        <v>1115400100</v>
      </c>
      <c r="D9" s="915" t="s">
        <v>3739</v>
      </c>
      <c r="E9" s="915">
        <v>15005281</v>
      </c>
      <c r="F9" s="915">
        <v>15005281</v>
      </c>
      <c r="G9" s="838"/>
      <c r="H9" s="838"/>
      <c r="I9" s="903" t="s">
        <v>2851</v>
      </c>
      <c r="J9" s="903" t="s">
        <v>551</v>
      </c>
      <c r="K9" t="s">
        <v>3756</v>
      </c>
      <c r="L9"/>
    </row>
    <row r="10" spans="1:12">
      <c r="B10" t="s">
        <v>2848</v>
      </c>
      <c r="C10" s="915">
        <v>1115501165</v>
      </c>
      <c r="D10" s="915" t="s">
        <v>2852</v>
      </c>
      <c r="E10" s="915">
        <v>72316172</v>
      </c>
      <c r="F10" s="915">
        <v>44828172</v>
      </c>
      <c r="G10" s="838"/>
      <c r="H10" s="838"/>
      <c r="I10" s="910">
        <v>1110500000</v>
      </c>
      <c r="J10" s="910" t="s">
        <v>2849</v>
      </c>
      <c r="K10" s="915">
        <v>19307680543</v>
      </c>
      <c r="L10"/>
    </row>
    <row r="11" spans="1:12">
      <c r="B11" t="s">
        <v>2848</v>
      </c>
      <c r="C11" s="915">
        <v>1115505707</v>
      </c>
      <c r="D11" s="915" t="s">
        <v>2853</v>
      </c>
      <c r="E11" s="915">
        <v>2338335737</v>
      </c>
      <c r="F11" s="915">
        <v>2302636555</v>
      </c>
      <c r="G11" s="838"/>
      <c r="H11" s="838"/>
      <c r="I11" s="910">
        <v>1115400100</v>
      </c>
      <c r="J11" s="910" t="s">
        <v>3739</v>
      </c>
      <c r="K11" s="915">
        <v>15005281</v>
      </c>
      <c r="L11"/>
    </row>
    <row r="12" spans="1:12">
      <c r="B12" t="s">
        <v>2848</v>
      </c>
      <c r="C12" s="915">
        <v>1115505708</v>
      </c>
      <c r="D12" s="915" t="s">
        <v>2854</v>
      </c>
      <c r="E12" s="915">
        <v>633063800</v>
      </c>
      <c r="F12" s="915">
        <v>409752902</v>
      </c>
      <c r="G12" s="838"/>
      <c r="H12" s="838"/>
      <c r="I12" s="910">
        <v>1115501165</v>
      </c>
      <c r="J12" s="910" t="s">
        <v>2852</v>
      </c>
      <c r="K12" s="915">
        <v>72316172</v>
      </c>
      <c r="L12"/>
    </row>
    <row r="13" spans="1:12">
      <c r="B13" t="s">
        <v>2848</v>
      </c>
      <c r="C13" s="915">
        <v>1115505709</v>
      </c>
      <c r="D13" s="915" t="s">
        <v>2855</v>
      </c>
      <c r="E13" s="915">
        <v>193714056</v>
      </c>
      <c r="F13" s="915">
        <v>1986397205</v>
      </c>
      <c r="G13" s="838"/>
      <c r="H13" s="838"/>
      <c r="I13" s="910">
        <v>1115505707</v>
      </c>
      <c r="J13" s="910" t="s">
        <v>2853</v>
      </c>
      <c r="K13" s="915">
        <v>2338335737</v>
      </c>
      <c r="L13"/>
    </row>
    <row r="14" spans="1:12">
      <c r="B14" t="s">
        <v>2848</v>
      </c>
      <c r="C14" s="915">
        <v>1115505710</v>
      </c>
      <c r="D14" s="915" t="s">
        <v>2856</v>
      </c>
      <c r="E14" s="915">
        <v>13874203</v>
      </c>
      <c r="F14" s="915">
        <v>585869943</v>
      </c>
      <c r="G14" s="838"/>
      <c r="H14" s="838"/>
      <c r="I14" s="910">
        <v>1115505708</v>
      </c>
      <c r="J14" s="910" t="s">
        <v>2854</v>
      </c>
      <c r="K14" s="915">
        <v>633063800</v>
      </c>
      <c r="L14"/>
    </row>
    <row r="15" spans="1:12">
      <c r="B15" t="s">
        <v>2848</v>
      </c>
      <c r="C15" s="915">
        <v>1115505716</v>
      </c>
      <c r="D15" s="915" t="s">
        <v>2857</v>
      </c>
      <c r="E15" s="915">
        <v>12446814</v>
      </c>
      <c r="F15" s="915">
        <v>453766442</v>
      </c>
      <c r="G15" s="838"/>
      <c r="H15" s="838"/>
      <c r="I15" s="910">
        <v>1115505709</v>
      </c>
      <c r="J15" s="910" t="s">
        <v>2855</v>
      </c>
      <c r="K15" s="915">
        <v>193714056</v>
      </c>
      <c r="L15"/>
    </row>
    <row r="16" spans="1:12">
      <c r="B16" t="s">
        <v>2848</v>
      </c>
      <c r="C16" s="915">
        <v>1115505721</v>
      </c>
      <c r="D16" s="915" t="s">
        <v>2858</v>
      </c>
      <c r="E16" s="915">
        <v>357632415</v>
      </c>
      <c r="F16" s="915">
        <v>13388587</v>
      </c>
      <c r="G16" s="838"/>
      <c r="H16" s="838"/>
      <c r="I16" s="910">
        <v>1115505710</v>
      </c>
      <c r="J16" s="910" t="s">
        <v>2856</v>
      </c>
      <c r="K16" s="915">
        <v>13874203</v>
      </c>
      <c r="L16"/>
    </row>
    <row r="17" spans="2:12">
      <c r="B17" t="s">
        <v>2848</v>
      </c>
      <c r="C17" s="915">
        <v>1115505735</v>
      </c>
      <c r="D17" s="915" t="s">
        <v>2859</v>
      </c>
      <c r="E17" s="915">
        <v>5227711231</v>
      </c>
      <c r="F17" s="915">
        <v>5243402076</v>
      </c>
      <c r="G17" s="838"/>
      <c r="H17" s="838"/>
      <c r="I17" s="910">
        <v>1115505716</v>
      </c>
      <c r="J17" s="910" t="s">
        <v>2857</v>
      </c>
      <c r="K17" s="915">
        <v>12446814</v>
      </c>
      <c r="L17"/>
    </row>
    <row r="18" spans="2:12">
      <c r="B18" t="s">
        <v>2848</v>
      </c>
      <c r="C18" s="915">
        <v>1115505736</v>
      </c>
      <c r="D18" s="915" t="s">
        <v>2860</v>
      </c>
      <c r="E18" s="915">
        <v>38794</v>
      </c>
      <c r="F18" s="915">
        <v>38794</v>
      </c>
      <c r="G18" s="838"/>
      <c r="H18" s="838"/>
      <c r="I18" s="910">
        <v>1115505721</v>
      </c>
      <c r="J18" s="910" t="s">
        <v>2858</v>
      </c>
      <c r="K18" s="915">
        <v>357632415</v>
      </c>
      <c r="L18"/>
    </row>
    <row r="19" spans="2:12">
      <c r="B19" t="s">
        <v>2848</v>
      </c>
      <c r="C19" s="915">
        <v>1115505742</v>
      </c>
      <c r="D19" s="915" t="s">
        <v>2861</v>
      </c>
      <c r="E19" s="915">
        <v>120838924</v>
      </c>
      <c r="F19" s="915">
        <v>55967197</v>
      </c>
      <c r="G19" s="838"/>
      <c r="H19" s="838"/>
      <c r="I19" s="910">
        <v>1115505735</v>
      </c>
      <c r="J19" s="910" t="s">
        <v>2859</v>
      </c>
      <c r="K19" s="915">
        <v>5227711231</v>
      </c>
      <c r="L19"/>
    </row>
    <row r="20" spans="2:12">
      <c r="B20" t="s">
        <v>2848</v>
      </c>
      <c r="C20" s="915">
        <v>1115505750</v>
      </c>
      <c r="D20" s="915" t="s">
        <v>2862</v>
      </c>
      <c r="E20" s="915">
        <v>228093795</v>
      </c>
      <c r="F20" s="915">
        <v>2941492721</v>
      </c>
      <c r="G20" s="838"/>
      <c r="H20" s="838"/>
      <c r="I20" s="910">
        <v>1115505736</v>
      </c>
      <c r="J20" s="910" t="s">
        <v>2860</v>
      </c>
      <c r="K20" s="915">
        <v>38794</v>
      </c>
      <c r="L20"/>
    </row>
    <row r="21" spans="2:12">
      <c r="B21" t="s">
        <v>2848</v>
      </c>
      <c r="C21" s="915">
        <v>1115505756</v>
      </c>
      <c r="D21" s="915" t="s">
        <v>2863</v>
      </c>
      <c r="E21" s="915">
        <v>57080134</v>
      </c>
      <c r="F21" s="915">
        <v>86626907</v>
      </c>
      <c r="G21" s="838"/>
      <c r="H21" s="838"/>
      <c r="I21" s="910">
        <v>1115505742</v>
      </c>
      <c r="J21" s="910" t="s">
        <v>2861</v>
      </c>
      <c r="K21" s="915">
        <v>120838924</v>
      </c>
      <c r="L21"/>
    </row>
    <row r="22" spans="2:12">
      <c r="B22" t="s">
        <v>2848</v>
      </c>
      <c r="C22" s="915">
        <v>1115505758</v>
      </c>
      <c r="D22" s="915" t="s">
        <v>2864</v>
      </c>
      <c r="E22" s="915">
        <v>42623435</v>
      </c>
      <c r="F22" s="915">
        <v>42623435</v>
      </c>
      <c r="G22" s="838"/>
      <c r="H22" s="838"/>
      <c r="I22" s="910">
        <v>1115505750</v>
      </c>
      <c r="J22" s="910" t="s">
        <v>2862</v>
      </c>
      <c r="K22" s="915">
        <v>228093795</v>
      </c>
      <c r="L22"/>
    </row>
    <row r="23" spans="2:12">
      <c r="B23" t="s">
        <v>2848</v>
      </c>
      <c r="C23" s="915">
        <v>1115505760</v>
      </c>
      <c r="D23" s="915" t="s">
        <v>2865</v>
      </c>
      <c r="E23" s="915">
        <v>129952660</v>
      </c>
      <c r="F23" s="915">
        <v>129952660</v>
      </c>
      <c r="G23" s="838"/>
      <c r="H23" s="838"/>
      <c r="I23" s="910">
        <v>1115505756</v>
      </c>
      <c r="J23" s="910" t="s">
        <v>2863</v>
      </c>
      <c r="K23" s="915">
        <v>57080134</v>
      </c>
      <c r="L23"/>
    </row>
    <row r="24" spans="2:12">
      <c r="B24" t="s">
        <v>2848</v>
      </c>
      <c r="C24" s="915">
        <v>1115505764</v>
      </c>
      <c r="D24" s="915" t="s">
        <v>2866</v>
      </c>
      <c r="E24" s="915">
        <v>210000000</v>
      </c>
      <c r="F24" s="915">
        <v>0</v>
      </c>
      <c r="G24" s="838"/>
      <c r="H24" s="838"/>
      <c r="I24" s="910">
        <v>1115505758</v>
      </c>
      <c r="J24" s="910" t="s">
        <v>2864</v>
      </c>
      <c r="K24" s="915">
        <v>42623435</v>
      </c>
      <c r="L24"/>
    </row>
    <row r="25" spans="2:12">
      <c r="B25" t="s">
        <v>2848</v>
      </c>
      <c r="C25" s="915">
        <v>1115505765</v>
      </c>
      <c r="D25" s="915" t="s">
        <v>2867</v>
      </c>
      <c r="E25" s="915">
        <v>543289</v>
      </c>
      <c r="F25" s="915">
        <v>578773</v>
      </c>
      <c r="G25" s="838"/>
      <c r="H25" s="838"/>
      <c r="I25" s="910">
        <v>1115505760</v>
      </c>
      <c r="J25" s="910" t="s">
        <v>2865</v>
      </c>
      <c r="K25" s="915">
        <v>129952660</v>
      </c>
      <c r="L25"/>
    </row>
    <row r="26" spans="2:12">
      <c r="B26" t="s">
        <v>2848</v>
      </c>
      <c r="C26" s="915">
        <v>1115505766</v>
      </c>
      <c r="D26" s="915" t="s">
        <v>2868</v>
      </c>
      <c r="E26" s="915">
        <v>36357270</v>
      </c>
      <c r="F26" s="915">
        <v>127845601</v>
      </c>
      <c r="G26" s="838"/>
      <c r="H26" s="838"/>
      <c r="I26" s="910">
        <v>1115505764</v>
      </c>
      <c r="J26" s="910" t="s">
        <v>2866</v>
      </c>
      <c r="K26" s="915">
        <v>210000000</v>
      </c>
      <c r="L26"/>
    </row>
    <row r="27" spans="2:12">
      <c r="B27" t="s">
        <v>2848</v>
      </c>
      <c r="C27" s="915">
        <v>1115505771</v>
      </c>
      <c r="D27" s="915" t="s">
        <v>2869</v>
      </c>
      <c r="E27" s="915">
        <v>66908554</v>
      </c>
      <c r="F27" s="915">
        <v>55518651</v>
      </c>
      <c r="G27" s="838"/>
      <c r="H27" s="838"/>
      <c r="I27" s="910">
        <v>1115505765</v>
      </c>
      <c r="J27" s="910" t="s">
        <v>2867</v>
      </c>
      <c r="K27" s="915">
        <v>543289</v>
      </c>
      <c r="L27"/>
    </row>
    <row r="28" spans="2:12">
      <c r="B28" t="s">
        <v>2848</v>
      </c>
      <c r="C28" s="915">
        <v>1115505773</v>
      </c>
      <c r="D28" s="915" t="s">
        <v>2870</v>
      </c>
      <c r="E28" s="915">
        <v>157175875</v>
      </c>
      <c r="F28" s="915">
        <v>67821098</v>
      </c>
      <c r="G28" s="838"/>
      <c r="H28" s="838"/>
      <c r="I28" s="910">
        <v>1115505766</v>
      </c>
      <c r="J28" s="910" t="s">
        <v>2868</v>
      </c>
      <c r="K28" s="915">
        <v>36357270</v>
      </c>
      <c r="L28"/>
    </row>
    <row r="29" spans="2:12">
      <c r="B29" t="s">
        <v>2848</v>
      </c>
      <c r="C29" s="915">
        <v>1115505786</v>
      </c>
      <c r="D29" s="915" t="s">
        <v>2871</v>
      </c>
      <c r="E29" s="915">
        <v>-494017996</v>
      </c>
      <c r="F29" s="915">
        <v>-494017996</v>
      </c>
      <c r="G29" s="838"/>
      <c r="H29" s="838"/>
      <c r="I29" s="910">
        <v>1115505771</v>
      </c>
      <c r="J29" s="910" t="s">
        <v>2869</v>
      </c>
      <c r="K29" s="915">
        <v>66908554</v>
      </c>
      <c r="L29"/>
    </row>
    <row r="30" spans="2:12">
      <c r="B30" t="s">
        <v>2848</v>
      </c>
      <c r="C30" s="915">
        <v>1115505786</v>
      </c>
      <c r="D30" s="915" t="s">
        <v>2871</v>
      </c>
      <c r="E30" s="915">
        <v>464374847</v>
      </c>
      <c r="F30" s="915">
        <v>470010528</v>
      </c>
      <c r="G30" s="838"/>
      <c r="H30" s="838"/>
      <c r="I30" s="910">
        <v>1115505773</v>
      </c>
      <c r="J30" s="910" t="s">
        <v>2870</v>
      </c>
      <c r="K30" s="915">
        <v>157175875</v>
      </c>
      <c r="L30"/>
    </row>
    <row r="31" spans="2:12">
      <c r="B31" t="s">
        <v>2848</v>
      </c>
      <c r="C31" s="915">
        <v>1115505786</v>
      </c>
      <c r="D31" s="915" t="s">
        <v>2871</v>
      </c>
      <c r="E31" s="915">
        <v>-725731115</v>
      </c>
      <c r="F31" s="915">
        <v>-725970598</v>
      </c>
      <c r="G31" s="838"/>
      <c r="H31" s="838"/>
      <c r="I31" s="910">
        <v>1115505786</v>
      </c>
      <c r="J31" s="910" t="s">
        <v>2871</v>
      </c>
      <c r="K31" s="915">
        <v>31179003</v>
      </c>
      <c r="L31"/>
    </row>
    <row r="32" spans="2:12">
      <c r="B32" t="s">
        <v>2848</v>
      </c>
      <c r="C32" s="915">
        <v>1115505786</v>
      </c>
      <c r="D32" s="915" t="s">
        <v>2871</v>
      </c>
      <c r="E32" s="915">
        <v>-70079153</v>
      </c>
      <c r="F32" s="915">
        <v>-76169555</v>
      </c>
      <c r="G32" s="838"/>
      <c r="H32" s="838"/>
      <c r="I32" s="910">
        <v>1115505812</v>
      </c>
      <c r="J32" s="910" t="s">
        <v>3740</v>
      </c>
      <c r="K32" s="915">
        <v>77284</v>
      </c>
      <c r="L32"/>
    </row>
    <row r="33" spans="2:12">
      <c r="B33" t="s">
        <v>2848</v>
      </c>
      <c r="C33" s="915">
        <v>1115505786</v>
      </c>
      <c r="D33" s="915" t="s">
        <v>2871</v>
      </c>
      <c r="E33" s="915">
        <v>72739419</v>
      </c>
      <c r="F33" s="915">
        <v>72842666</v>
      </c>
      <c r="G33" s="838"/>
      <c r="H33" s="838"/>
      <c r="I33" s="910">
        <v>1121110000</v>
      </c>
      <c r="J33" s="910" t="s">
        <v>2872</v>
      </c>
      <c r="K33" s="915">
        <v>8375398550</v>
      </c>
      <c r="L33"/>
    </row>
    <row r="34" spans="2:12">
      <c r="B34" t="s">
        <v>2848</v>
      </c>
      <c r="C34" s="915">
        <v>1115505786</v>
      </c>
      <c r="D34" s="915" t="s">
        <v>2871</v>
      </c>
      <c r="E34" s="915">
        <v>-1475520</v>
      </c>
      <c r="F34" s="915">
        <v>-1181326</v>
      </c>
      <c r="G34" s="838"/>
      <c r="H34" s="838"/>
      <c r="I34" s="910">
        <v>1121120000</v>
      </c>
      <c r="J34" s="910" t="s">
        <v>2873</v>
      </c>
      <c r="K34" s="915">
        <v>8364191430</v>
      </c>
      <c r="L34"/>
    </row>
    <row r="35" spans="2:12">
      <c r="B35" t="s">
        <v>2848</v>
      </c>
      <c r="C35" s="915">
        <v>1115505786</v>
      </c>
      <c r="D35" s="915" t="s">
        <v>2871</v>
      </c>
      <c r="E35" s="915">
        <v>-2563317</v>
      </c>
      <c r="F35" s="915">
        <v>-2595024</v>
      </c>
      <c r="G35" s="838"/>
      <c r="H35" s="838"/>
      <c r="I35" s="910">
        <v>1121130000</v>
      </c>
      <c r="J35" s="910" t="s">
        <v>2874</v>
      </c>
      <c r="K35" s="915">
        <v>20307161527</v>
      </c>
      <c r="L35"/>
    </row>
    <row r="36" spans="2:12">
      <c r="B36" t="s">
        <v>2848</v>
      </c>
      <c r="C36" s="915">
        <v>1115505786</v>
      </c>
      <c r="D36" s="915" t="s">
        <v>2871</v>
      </c>
      <c r="E36" s="915">
        <v>-63092417</v>
      </c>
      <c r="F36" s="915">
        <v>-66089650</v>
      </c>
      <c r="G36" s="838"/>
      <c r="H36" s="838"/>
      <c r="I36" s="910">
        <v>1123100000</v>
      </c>
      <c r="J36" s="910" t="s">
        <v>2875</v>
      </c>
      <c r="K36" s="915">
        <v>5463590111</v>
      </c>
      <c r="L36"/>
    </row>
    <row r="37" spans="2:12">
      <c r="B37" t="s">
        <v>2848</v>
      </c>
      <c r="C37" s="915">
        <v>1115505786</v>
      </c>
      <c r="D37" s="915" t="s">
        <v>2871</v>
      </c>
      <c r="E37" s="915">
        <v>-43579196</v>
      </c>
      <c r="F37" s="915">
        <v>-44096080</v>
      </c>
      <c r="G37" s="838"/>
      <c r="H37" s="838"/>
      <c r="I37" s="910">
        <v>1125140000</v>
      </c>
      <c r="J37" s="910" t="s">
        <v>2877</v>
      </c>
      <c r="K37" s="915">
        <v>81195062</v>
      </c>
      <c r="L37"/>
    </row>
    <row r="38" spans="2:12">
      <c r="B38" t="s">
        <v>2848</v>
      </c>
      <c r="C38" s="915">
        <v>1115505786</v>
      </c>
      <c r="D38" s="915" t="s">
        <v>2871</v>
      </c>
      <c r="E38" s="915">
        <v>-6106875</v>
      </c>
      <c r="F38" s="915">
        <v>-5281307</v>
      </c>
      <c r="G38" s="838"/>
      <c r="H38" s="838"/>
      <c r="I38" s="910">
        <v>1131130000</v>
      </c>
      <c r="J38" s="910" t="s">
        <v>2878</v>
      </c>
      <c r="K38" s="915">
        <v>200747135014</v>
      </c>
      <c r="L38"/>
    </row>
    <row r="39" spans="2:12">
      <c r="B39" t="s">
        <v>2848</v>
      </c>
      <c r="C39" s="915">
        <v>1115505786</v>
      </c>
      <c r="D39" s="915" t="s">
        <v>2871</v>
      </c>
      <c r="E39" s="915">
        <v>-1567450</v>
      </c>
      <c r="F39" s="915">
        <v>-1436185</v>
      </c>
      <c r="G39" s="838"/>
      <c r="H39" s="838"/>
      <c r="I39" s="910">
        <v>1131130100</v>
      </c>
      <c r="J39" s="910" t="s">
        <v>2879</v>
      </c>
      <c r="K39" s="915">
        <v>2665975323</v>
      </c>
      <c r="L39"/>
    </row>
    <row r="40" spans="2:12">
      <c r="B40" t="s">
        <v>2848</v>
      </c>
      <c r="C40" s="915">
        <v>1115505786</v>
      </c>
      <c r="D40" s="915" t="s">
        <v>2871</v>
      </c>
      <c r="E40" s="915">
        <v>-4608127</v>
      </c>
      <c r="F40" s="915">
        <v>-4414318</v>
      </c>
      <c r="G40" s="838"/>
      <c r="H40" s="838"/>
      <c r="I40" s="910">
        <v>1131160000</v>
      </c>
      <c r="J40" s="910" t="s">
        <v>2880</v>
      </c>
      <c r="K40" s="915">
        <v>1026231825390</v>
      </c>
      <c r="L40"/>
    </row>
    <row r="41" spans="2:12">
      <c r="B41" t="s">
        <v>2848</v>
      </c>
      <c r="C41" s="915">
        <v>1115505786</v>
      </c>
      <c r="D41" s="915" t="s">
        <v>2871</v>
      </c>
      <c r="E41" s="915">
        <v>-1271665</v>
      </c>
      <c r="F41" s="915">
        <v>-1036621</v>
      </c>
      <c r="G41" s="838"/>
      <c r="H41" s="838"/>
      <c r="I41" s="910">
        <v>1131160100</v>
      </c>
      <c r="J41" s="910" t="s">
        <v>2881</v>
      </c>
      <c r="K41" s="915">
        <v>66719473306</v>
      </c>
      <c r="L41"/>
    </row>
    <row r="42" spans="2:12">
      <c r="B42" t="s">
        <v>2848</v>
      </c>
      <c r="C42" s="915">
        <v>1115505786</v>
      </c>
      <c r="D42" s="915" t="s">
        <v>2871</v>
      </c>
      <c r="E42" s="915">
        <v>412625</v>
      </c>
      <c r="F42" s="915">
        <v>461996</v>
      </c>
      <c r="G42" s="838"/>
      <c r="H42" s="838"/>
      <c r="I42" s="910">
        <v>1133100000</v>
      </c>
      <c r="J42" s="910" t="s">
        <v>2882</v>
      </c>
      <c r="K42" s="915">
        <v>615271459</v>
      </c>
      <c r="L42"/>
    </row>
    <row r="43" spans="2:12">
      <c r="B43" t="s">
        <v>2848</v>
      </c>
      <c r="C43" s="915">
        <v>1115505786</v>
      </c>
      <c r="D43" s="915" t="s">
        <v>2871</v>
      </c>
      <c r="E43" s="915">
        <v>-61285</v>
      </c>
      <c r="F43" s="915">
        <v>-15756</v>
      </c>
      <c r="G43" s="838"/>
      <c r="H43" s="838"/>
      <c r="I43" s="910">
        <v>1141000100</v>
      </c>
      <c r="J43" s="910" t="s">
        <v>2883</v>
      </c>
      <c r="K43" s="915">
        <v>40554120907</v>
      </c>
      <c r="L43"/>
    </row>
    <row r="44" spans="2:12">
      <c r="B44" t="s">
        <v>2848</v>
      </c>
      <c r="C44" s="915">
        <v>1115505786</v>
      </c>
      <c r="D44" s="915" t="s">
        <v>2871</v>
      </c>
      <c r="E44" s="915">
        <v>-247899</v>
      </c>
      <c r="F44" s="915">
        <v>-216064</v>
      </c>
      <c r="G44" s="838"/>
      <c r="H44" s="838"/>
      <c r="I44" s="910">
        <v>1142000003</v>
      </c>
      <c r="J44" s="910" t="s">
        <v>2884</v>
      </c>
      <c r="K44" s="915">
        <v>-769896565</v>
      </c>
      <c r="L44"/>
    </row>
    <row r="45" spans="2:12">
      <c r="B45" t="s">
        <v>2848</v>
      </c>
      <c r="C45" s="915">
        <v>1115505786</v>
      </c>
      <c r="D45" s="915" t="s">
        <v>2871</v>
      </c>
      <c r="E45" s="915">
        <v>-4900085</v>
      </c>
      <c r="F45" s="915">
        <v>-4570672</v>
      </c>
      <c r="G45" s="838"/>
      <c r="H45" s="838"/>
      <c r="I45" s="910">
        <v>1142000004</v>
      </c>
      <c r="J45" s="910" t="s">
        <v>2885</v>
      </c>
      <c r="K45" s="915">
        <v>-10953355673</v>
      </c>
      <c r="L45"/>
    </row>
    <row r="46" spans="2:12">
      <c r="B46" t="s">
        <v>2848</v>
      </c>
      <c r="C46" s="915">
        <v>1115505786</v>
      </c>
      <c r="D46" s="915" t="s">
        <v>2871</v>
      </c>
      <c r="E46" s="915">
        <v>-1388310</v>
      </c>
      <c r="F46" s="915">
        <v>-1306948</v>
      </c>
      <c r="G46" s="838"/>
      <c r="H46" s="838"/>
      <c r="I46" s="910">
        <v>1142000100</v>
      </c>
      <c r="J46" s="910" t="s">
        <v>2886</v>
      </c>
      <c r="K46" s="915">
        <v>124498975771</v>
      </c>
      <c r="L46"/>
    </row>
    <row r="47" spans="2:12">
      <c r="B47" t="s">
        <v>2848</v>
      </c>
      <c r="C47" s="915">
        <v>1115505786</v>
      </c>
      <c r="D47" s="915" t="s">
        <v>2871</v>
      </c>
      <c r="E47" s="915">
        <v>4889937</v>
      </c>
      <c r="F47" s="915">
        <v>4876145</v>
      </c>
      <c r="G47" s="838"/>
      <c r="H47" s="838"/>
      <c r="I47" s="910">
        <v>1151100000</v>
      </c>
      <c r="J47" s="910" t="s">
        <v>2887</v>
      </c>
      <c r="K47" s="915">
        <v>127750550226</v>
      </c>
      <c r="L47"/>
    </row>
    <row r="48" spans="2:12">
      <c r="B48" t="s">
        <v>2848</v>
      </c>
      <c r="C48" s="915">
        <v>1115505786</v>
      </c>
      <c r="D48" s="915" t="s">
        <v>2871</v>
      </c>
      <c r="E48" s="915">
        <v>14615</v>
      </c>
      <c r="F48" s="915">
        <v>0</v>
      </c>
      <c r="G48" s="838"/>
      <c r="H48" s="838"/>
      <c r="I48" s="910">
        <v>1151100007</v>
      </c>
      <c r="J48" s="910" t="s">
        <v>2888</v>
      </c>
      <c r="K48" s="915">
        <v>5204991228</v>
      </c>
      <c r="L48"/>
    </row>
    <row r="49" spans="2:12">
      <c r="B49" t="s">
        <v>2848</v>
      </c>
      <c r="C49" s="915">
        <v>1115505786</v>
      </c>
      <c r="D49" s="915" t="s">
        <v>2871</v>
      </c>
      <c r="E49" s="915">
        <v>909437970</v>
      </c>
      <c r="F49" s="915">
        <v>909437970</v>
      </c>
      <c r="G49" s="838"/>
      <c r="H49" s="838"/>
      <c r="I49" s="910">
        <v>1151300000</v>
      </c>
      <c r="J49" s="910" t="s">
        <v>2889</v>
      </c>
      <c r="K49" s="915">
        <v>-273112485</v>
      </c>
      <c r="L49"/>
    </row>
    <row r="50" spans="2:12">
      <c r="B50" t="s">
        <v>2848</v>
      </c>
      <c r="C50" s="915">
        <v>1115505812</v>
      </c>
      <c r="D50" s="915" t="s">
        <v>3740</v>
      </c>
      <c r="E50" s="915">
        <v>77284</v>
      </c>
      <c r="F50" s="915">
        <v>0</v>
      </c>
      <c r="G50" s="838"/>
      <c r="H50" s="838"/>
      <c r="I50" s="910">
        <v>1161000000</v>
      </c>
      <c r="J50" s="910" t="s">
        <v>2890</v>
      </c>
      <c r="K50" s="915">
        <v>2377051173</v>
      </c>
      <c r="L50"/>
    </row>
    <row r="51" spans="2:12">
      <c r="B51" t="s">
        <v>2848</v>
      </c>
      <c r="C51" s="915">
        <v>1121110000</v>
      </c>
      <c r="D51" s="915" t="s">
        <v>2872</v>
      </c>
      <c r="E51" s="915">
        <v>8375398550</v>
      </c>
      <c r="F51" s="915">
        <v>6603126197</v>
      </c>
      <c r="G51" s="838"/>
      <c r="H51" s="838"/>
      <c r="I51" s="910">
        <v>1161000001</v>
      </c>
      <c r="J51" s="910" t="s">
        <v>2891</v>
      </c>
      <c r="K51" s="915">
        <v>131848875</v>
      </c>
      <c r="L51"/>
    </row>
    <row r="52" spans="2:12">
      <c r="B52" t="s">
        <v>2848</v>
      </c>
      <c r="C52" s="915">
        <v>1121120000</v>
      </c>
      <c r="D52" s="915" t="s">
        <v>2873</v>
      </c>
      <c r="E52" s="915">
        <v>8364191430</v>
      </c>
      <c r="F52" s="915">
        <v>7133116098</v>
      </c>
      <c r="G52" s="838"/>
      <c r="H52" s="838"/>
      <c r="I52" s="910">
        <v>1161000002</v>
      </c>
      <c r="J52" s="910" t="s">
        <v>2892</v>
      </c>
      <c r="K52" s="915">
        <v>412545405</v>
      </c>
      <c r="L52"/>
    </row>
    <row r="53" spans="2:12">
      <c r="B53" t="s">
        <v>2848</v>
      </c>
      <c r="C53" s="915">
        <v>1121130000</v>
      </c>
      <c r="D53" s="915" t="s">
        <v>2874</v>
      </c>
      <c r="E53" s="915">
        <v>20307161527</v>
      </c>
      <c r="F53" s="915">
        <v>17586461782</v>
      </c>
      <c r="G53" s="838"/>
      <c r="H53" s="838"/>
      <c r="I53" s="910">
        <v>1161000003</v>
      </c>
      <c r="J53" s="910" t="s">
        <v>2893</v>
      </c>
      <c r="K53" s="915">
        <v>158258071</v>
      </c>
      <c r="L53"/>
    </row>
    <row r="54" spans="2:12">
      <c r="B54" t="s">
        <v>2848</v>
      </c>
      <c r="C54" s="915">
        <v>1123100000</v>
      </c>
      <c r="D54" s="915" t="s">
        <v>2875</v>
      </c>
      <c r="E54" s="915">
        <v>5463590111</v>
      </c>
      <c r="F54" s="915">
        <v>5254033106</v>
      </c>
      <c r="G54" s="838"/>
      <c r="H54" s="838"/>
      <c r="I54" s="910">
        <v>1164100000</v>
      </c>
      <c r="J54" s="910" t="s">
        <v>2894</v>
      </c>
      <c r="K54" s="915">
        <v>-29798367</v>
      </c>
      <c r="L54"/>
    </row>
    <row r="55" spans="2:12">
      <c r="B55" t="s">
        <v>2848</v>
      </c>
      <c r="C55" s="915">
        <v>1125140000</v>
      </c>
      <c r="D55" s="915" t="s">
        <v>2877</v>
      </c>
      <c r="E55" s="915">
        <v>81195062</v>
      </c>
      <c r="F55" s="915">
        <v>176664526</v>
      </c>
      <c r="G55" s="838"/>
      <c r="H55" s="838"/>
      <c r="I55" s="910">
        <v>1164200000</v>
      </c>
      <c r="J55" s="910" t="s">
        <v>2895</v>
      </c>
      <c r="K55" s="915">
        <v>137842726275</v>
      </c>
      <c r="L55"/>
    </row>
    <row r="56" spans="2:12">
      <c r="B56" t="s">
        <v>2848</v>
      </c>
      <c r="C56" s="915">
        <v>1131130000</v>
      </c>
      <c r="D56" s="915" t="s">
        <v>2878</v>
      </c>
      <c r="E56" s="915">
        <v>200747135014</v>
      </c>
      <c r="F56" s="915">
        <v>202454925832</v>
      </c>
      <c r="G56" s="838"/>
      <c r="H56" s="838"/>
      <c r="I56" s="910">
        <v>1164200001</v>
      </c>
      <c r="J56" s="910" t="s">
        <v>2896</v>
      </c>
      <c r="K56" s="915">
        <v>8026550802</v>
      </c>
      <c r="L56"/>
    </row>
    <row r="57" spans="2:12">
      <c r="B57" t="s">
        <v>2848</v>
      </c>
      <c r="C57" s="915">
        <v>1131130100</v>
      </c>
      <c r="D57" s="915" t="s">
        <v>2879</v>
      </c>
      <c r="E57" s="915">
        <v>2665975323</v>
      </c>
      <c r="F57" s="915">
        <v>2650245638</v>
      </c>
      <c r="G57" s="838"/>
      <c r="H57" s="838"/>
      <c r="I57" s="910">
        <v>1176310000</v>
      </c>
      <c r="J57" s="910" t="s">
        <v>2898</v>
      </c>
      <c r="K57" s="915">
        <v>81839744752</v>
      </c>
      <c r="L57"/>
    </row>
    <row r="58" spans="2:12">
      <c r="B58" t="s">
        <v>2848</v>
      </c>
      <c r="C58" s="915">
        <v>1131160000</v>
      </c>
      <c r="D58" s="915" t="s">
        <v>2880</v>
      </c>
      <c r="E58" s="915">
        <v>1026231825390</v>
      </c>
      <c r="F58" s="915">
        <v>996811673432</v>
      </c>
      <c r="G58" s="838"/>
      <c r="H58" s="838"/>
      <c r="I58" s="910">
        <v>1182320400</v>
      </c>
      <c r="J58" s="910" t="s">
        <v>2899</v>
      </c>
      <c r="K58" s="915">
        <v>78870570203</v>
      </c>
      <c r="L58"/>
    </row>
    <row r="59" spans="2:12">
      <c r="B59" t="s">
        <v>2848</v>
      </c>
      <c r="C59" s="915">
        <v>1131160100</v>
      </c>
      <c r="D59" s="915" t="s">
        <v>2881</v>
      </c>
      <c r="E59" s="915">
        <v>66719473306</v>
      </c>
      <c r="F59" s="915">
        <v>66330124502</v>
      </c>
      <c r="G59" s="838"/>
      <c r="H59" s="838"/>
      <c r="I59" s="910">
        <v>1182330000</v>
      </c>
      <c r="J59" s="910" t="s">
        <v>2900</v>
      </c>
      <c r="K59" s="915">
        <v>79031059464</v>
      </c>
      <c r="L59"/>
    </row>
    <row r="60" spans="2:12">
      <c r="B60" t="s">
        <v>2848</v>
      </c>
      <c r="C60" s="915">
        <v>1133100000</v>
      </c>
      <c r="D60" s="915" t="s">
        <v>2882</v>
      </c>
      <c r="E60" s="915">
        <v>615271459</v>
      </c>
      <c r="F60" s="915">
        <v>667418394</v>
      </c>
      <c r="G60" s="838"/>
      <c r="H60" s="838"/>
      <c r="I60" s="910">
        <v>1193105707</v>
      </c>
      <c r="J60" s="910" t="s">
        <v>2901</v>
      </c>
      <c r="K60" s="915">
        <v>-207384888</v>
      </c>
      <c r="L60"/>
    </row>
    <row r="61" spans="2:12">
      <c r="B61" t="s">
        <v>2848</v>
      </c>
      <c r="C61" s="915">
        <v>1141000100</v>
      </c>
      <c r="D61" s="915" t="s">
        <v>2883</v>
      </c>
      <c r="E61" s="915">
        <v>40554120907</v>
      </c>
      <c r="F61" s="915">
        <v>40272215399</v>
      </c>
      <c r="G61" s="838"/>
      <c r="H61" s="838"/>
      <c r="I61" s="910">
        <v>1193105708</v>
      </c>
      <c r="J61" s="910" t="s">
        <v>2902</v>
      </c>
      <c r="K61" s="915">
        <v>-6122826</v>
      </c>
      <c r="L61"/>
    </row>
    <row r="62" spans="2:12">
      <c r="B62" t="s">
        <v>2848</v>
      </c>
      <c r="C62" s="915">
        <v>1142000003</v>
      </c>
      <c r="D62" s="915" t="s">
        <v>2884</v>
      </c>
      <c r="E62" s="915">
        <v>-769896565</v>
      </c>
      <c r="F62" s="915">
        <v>-632224936</v>
      </c>
      <c r="G62" s="838"/>
      <c r="H62" s="838"/>
      <c r="I62" s="910">
        <v>1193105709</v>
      </c>
      <c r="J62" s="910" t="s">
        <v>2903</v>
      </c>
      <c r="K62" s="915">
        <v>-14815928</v>
      </c>
      <c r="L62"/>
    </row>
    <row r="63" spans="2:12">
      <c r="B63" t="s">
        <v>2848</v>
      </c>
      <c r="C63" s="915">
        <v>1142000004</v>
      </c>
      <c r="D63" s="915" t="s">
        <v>2885</v>
      </c>
      <c r="E63" s="915">
        <v>-10953355673</v>
      </c>
      <c r="F63" s="915">
        <v>-10443019689</v>
      </c>
      <c r="G63" s="838"/>
      <c r="H63" s="838"/>
      <c r="I63" s="910">
        <v>1193105716</v>
      </c>
      <c r="J63" s="910" t="s">
        <v>2904</v>
      </c>
      <c r="K63" s="915">
        <v>293998</v>
      </c>
      <c r="L63"/>
    </row>
    <row r="64" spans="2:12">
      <c r="B64" t="s">
        <v>2848</v>
      </c>
      <c r="C64" s="915">
        <v>1142000100</v>
      </c>
      <c r="D64" s="915" t="s">
        <v>2886</v>
      </c>
      <c r="E64" s="915">
        <v>124473015712</v>
      </c>
      <c r="F64" s="915">
        <v>123328745746</v>
      </c>
      <c r="G64" s="838"/>
      <c r="H64" s="838"/>
      <c r="I64" s="910">
        <v>1193105721</v>
      </c>
      <c r="J64" s="910" t="s">
        <v>2858</v>
      </c>
      <c r="K64" s="915">
        <v>-108832512</v>
      </c>
      <c r="L64"/>
    </row>
    <row r="65" spans="2:12">
      <c r="B65" t="s">
        <v>2848</v>
      </c>
      <c r="C65" s="915">
        <v>1142000100</v>
      </c>
      <c r="D65" s="915" t="s">
        <v>2886</v>
      </c>
      <c r="E65" s="915">
        <v>25960059</v>
      </c>
      <c r="F65" s="915">
        <v>25960059</v>
      </c>
      <c r="G65" s="838"/>
      <c r="H65" s="838"/>
      <c r="I65" s="910">
        <v>1193105735</v>
      </c>
      <c r="J65" s="910" t="s">
        <v>2905</v>
      </c>
      <c r="K65" s="915">
        <v>-646104994</v>
      </c>
      <c r="L65"/>
    </row>
    <row r="66" spans="2:12">
      <c r="B66" t="s">
        <v>2848</v>
      </c>
      <c r="C66" s="915">
        <v>1151100000</v>
      </c>
      <c r="D66" s="915" t="s">
        <v>2887</v>
      </c>
      <c r="E66" s="915">
        <v>127750550226</v>
      </c>
      <c r="F66" s="915">
        <v>126041788266</v>
      </c>
      <c r="G66" s="838"/>
      <c r="H66" s="838"/>
      <c r="I66" s="910">
        <v>1193105742</v>
      </c>
      <c r="J66" s="910" t="s">
        <v>2906</v>
      </c>
      <c r="K66" s="915">
        <v>284003353</v>
      </c>
      <c r="L66"/>
    </row>
    <row r="67" spans="2:12">
      <c r="B67" t="s">
        <v>2848</v>
      </c>
      <c r="C67" s="915">
        <v>1151100007</v>
      </c>
      <c r="D67" s="915" t="s">
        <v>2888</v>
      </c>
      <c r="E67" s="915">
        <v>5204991228</v>
      </c>
      <c r="F67" s="915">
        <v>5354366322</v>
      </c>
      <c r="G67" s="838"/>
      <c r="H67" s="838"/>
      <c r="I67" s="910">
        <v>1193105743</v>
      </c>
      <c r="J67" s="910" t="s">
        <v>3402</v>
      </c>
      <c r="K67" s="915">
        <v>-2106253</v>
      </c>
      <c r="L67"/>
    </row>
    <row r="68" spans="2:12">
      <c r="B68" t="s">
        <v>2848</v>
      </c>
      <c r="C68" s="915">
        <v>1151300000</v>
      </c>
      <c r="D68" s="915" t="s">
        <v>2889</v>
      </c>
      <c r="E68" s="915">
        <v>-273112485</v>
      </c>
      <c r="F68" s="915">
        <v>-234912751</v>
      </c>
      <c r="G68" s="838"/>
      <c r="H68" s="838"/>
      <c r="I68" s="910">
        <v>1193105750</v>
      </c>
      <c r="J68" s="910" t="s">
        <v>2907</v>
      </c>
      <c r="K68" s="915">
        <v>-179810852</v>
      </c>
      <c r="L68"/>
    </row>
    <row r="69" spans="2:12">
      <c r="B69" t="s">
        <v>2848</v>
      </c>
      <c r="C69" s="915">
        <v>1161000000</v>
      </c>
      <c r="D69" s="915" t="s">
        <v>2890</v>
      </c>
      <c r="E69" s="915">
        <v>2377051173</v>
      </c>
      <c r="F69" s="915">
        <v>2384653376</v>
      </c>
      <c r="G69" s="838"/>
      <c r="H69" s="838"/>
      <c r="I69" s="910">
        <v>1193105756</v>
      </c>
      <c r="J69" s="910" t="s">
        <v>2908</v>
      </c>
      <c r="K69" s="915">
        <v>-16046581</v>
      </c>
      <c r="L69"/>
    </row>
    <row r="70" spans="2:12">
      <c r="B70" t="s">
        <v>2848</v>
      </c>
      <c r="C70" s="915">
        <v>1161000001</v>
      </c>
      <c r="D70" s="915" t="s">
        <v>2891</v>
      </c>
      <c r="E70" s="915">
        <v>131848875</v>
      </c>
      <c r="F70" s="915">
        <v>90673091</v>
      </c>
      <c r="G70" s="838"/>
      <c r="H70" s="838"/>
      <c r="I70" s="910">
        <v>1193105760</v>
      </c>
      <c r="J70" s="910" t="s">
        <v>2909</v>
      </c>
      <c r="K70" s="915">
        <v>0</v>
      </c>
      <c r="L70"/>
    </row>
    <row r="71" spans="2:12">
      <c r="B71" t="s">
        <v>2848</v>
      </c>
      <c r="C71" s="915">
        <v>1161000002</v>
      </c>
      <c r="D71" s="915" t="s">
        <v>2892</v>
      </c>
      <c r="E71" s="915">
        <v>412545405</v>
      </c>
      <c r="F71" s="915">
        <v>417648387</v>
      </c>
      <c r="G71" s="838"/>
      <c r="H71" s="838"/>
      <c r="I71" s="910">
        <v>1193105765</v>
      </c>
      <c r="J71" s="910" t="s">
        <v>2867</v>
      </c>
      <c r="K71" s="915">
        <v>2442570</v>
      </c>
      <c r="L71"/>
    </row>
    <row r="72" spans="2:12">
      <c r="B72" t="s">
        <v>2848</v>
      </c>
      <c r="C72" s="915">
        <v>1161000003</v>
      </c>
      <c r="D72" s="915" t="s">
        <v>2893</v>
      </c>
      <c r="E72" s="915">
        <v>158258071</v>
      </c>
      <c r="F72" s="915">
        <v>158258071</v>
      </c>
      <c r="G72" s="838"/>
      <c r="H72" s="838"/>
      <c r="I72" s="910">
        <v>1193105766</v>
      </c>
      <c r="J72" s="910" t="s">
        <v>2868</v>
      </c>
      <c r="K72" s="915">
        <v>-4859379</v>
      </c>
      <c r="L72"/>
    </row>
    <row r="73" spans="2:12">
      <c r="B73" t="s">
        <v>2848</v>
      </c>
      <c r="C73" s="915">
        <v>1164100000</v>
      </c>
      <c r="D73" s="915" t="s">
        <v>2894</v>
      </c>
      <c r="E73" s="915">
        <v>-29798367</v>
      </c>
      <c r="F73" s="915">
        <v>-78694977</v>
      </c>
      <c r="G73" s="838"/>
      <c r="H73" s="838"/>
      <c r="I73" s="910">
        <v>1193105773</v>
      </c>
      <c r="J73" s="910" t="s">
        <v>3405</v>
      </c>
      <c r="K73" s="915">
        <v>-45778011</v>
      </c>
      <c r="L73"/>
    </row>
    <row r="74" spans="2:12">
      <c r="B74" t="s">
        <v>2848</v>
      </c>
      <c r="C74" s="915">
        <v>1164200000</v>
      </c>
      <c r="D74" s="915" t="s">
        <v>2895</v>
      </c>
      <c r="E74" s="915">
        <v>137842726275</v>
      </c>
      <c r="F74" s="915">
        <v>141547736021</v>
      </c>
      <c r="G74" s="838"/>
      <c r="H74" s="838"/>
      <c r="I74" s="910">
        <v>1193105812</v>
      </c>
      <c r="J74" s="910" t="s">
        <v>3741</v>
      </c>
      <c r="K74" s="915">
        <v>-64713449</v>
      </c>
      <c r="L74"/>
    </row>
    <row r="75" spans="2:12">
      <c r="B75" t="s">
        <v>2848</v>
      </c>
      <c r="C75" s="915">
        <v>1164200001</v>
      </c>
      <c r="D75" s="915" t="s">
        <v>2896</v>
      </c>
      <c r="E75" s="915">
        <v>8026550802</v>
      </c>
      <c r="F75" s="915">
        <v>8044133158</v>
      </c>
      <c r="G75" s="838"/>
      <c r="H75" s="838"/>
      <c r="I75" s="910">
        <v>1193205707</v>
      </c>
      <c r="J75" s="910" t="s">
        <v>2910</v>
      </c>
      <c r="K75" s="915">
        <v>-2064006581</v>
      </c>
      <c r="L75"/>
    </row>
    <row r="76" spans="2:12">
      <c r="B76" t="s">
        <v>2848</v>
      </c>
      <c r="C76" s="915">
        <v>1176310000</v>
      </c>
      <c r="D76" s="915" t="s">
        <v>2898</v>
      </c>
      <c r="E76" s="915">
        <v>81839744752</v>
      </c>
      <c r="F76" s="915">
        <v>81462950276</v>
      </c>
      <c r="G76" s="838"/>
      <c r="H76" s="838"/>
      <c r="I76" s="910">
        <v>1193205708</v>
      </c>
      <c r="J76" s="910" t="s">
        <v>2911</v>
      </c>
      <c r="K76" s="915">
        <v>-115358722</v>
      </c>
      <c r="L76"/>
    </row>
    <row r="77" spans="2:12">
      <c r="B77" t="s">
        <v>2848</v>
      </c>
      <c r="C77" s="915">
        <v>1182320400</v>
      </c>
      <c r="D77" s="915" t="s">
        <v>2899</v>
      </c>
      <c r="E77" s="915">
        <v>78870570203</v>
      </c>
      <c r="F77" s="915">
        <v>81444850129</v>
      </c>
      <c r="G77" s="838"/>
      <c r="H77" s="838"/>
      <c r="I77" s="910">
        <v>1193205709</v>
      </c>
      <c r="J77" s="910" t="s">
        <v>3406</v>
      </c>
      <c r="K77" s="915">
        <v>10001596</v>
      </c>
      <c r="L77"/>
    </row>
    <row r="78" spans="2:12">
      <c r="B78" t="s">
        <v>2848</v>
      </c>
      <c r="C78" s="915">
        <v>1182330000</v>
      </c>
      <c r="D78" s="915" t="s">
        <v>2900</v>
      </c>
      <c r="E78" s="915">
        <v>79031059464</v>
      </c>
      <c r="F78" s="915">
        <v>79611327604</v>
      </c>
      <c r="G78" s="838"/>
      <c r="H78" s="838"/>
      <c r="I78" s="910">
        <v>1193205716</v>
      </c>
      <c r="J78" s="910" t="s">
        <v>2912</v>
      </c>
      <c r="K78" s="915">
        <v>79842</v>
      </c>
      <c r="L78"/>
    </row>
    <row r="79" spans="2:12">
      <c r="B79" t="s">
        <v>2848</v>
      </c>
      <c r="C79" s="915">
        <v>1193105707</v>
      </c>
      <c r="D79" s="915" t="s">
        <v>2901</v>
      </c>
      <c r="E79" s="915">
        <v>-452483366</v>
      </c>
      <c r="F79" s="915">
        <v>-360582610</v>
      </c>
      <c r="G79" s="838"/>
      <c r="H79" s="838"/>
      <c r="I79" s="910">
        <v>1193205721</v>
      </c>
      <c r="J79" s="910" t="s">
        <v>2858</v>
      </c>
      <c r="K79" s="915">
        <v>7643690</v>
      </c>
      <c r="L79"/>
    </row>
    <row r="80" spans="2:12">
      <c r="B80" t="s">
        <v>2848</v>
      </c>
      <c r="C80" s="915">
        <v>1193105707</v>
      </c>
      <c r="D80" s="915" t="s">
        <v>2901</v>
      </c>
      <c r="E80" s="915">
        <v>87527513</v>
      </c>
      <c r="F80" s="915">
        <v>176424477</v>
      </c>
      <c r="G80" s="838"/>
      <c r="H80" s="838"/>
      <c r="I80" s="910">
        <v>1193205735</v>
      </c>
      <c r="J80" s="910" t="s">
        <v>2913</v>
      </c>
      <c r="K80" s="915">
        <v>108440482</v>
      </c>
      <c r="L80"/>
    </row>
    <row r="81" spans="2:12">
      <c r="B81" t="s">
        <v>2848</v>
      </c>
      <c r="C81" s="915">
        <v>1193105707</v>
      </c>
      <c r="D81" s="915" t="s">
        <v>2901</v>
      </c>
      <c r="E81" s="915">
        <v>63206686</v>
      </c>
      <c r="F81" s="915">
        <v>51090662</v>
      </c>
      <c r="G81" s="838"/>
      <c r="H81" s="838"/>
      <c r="I81" s="910">
        <v>1193205736</v>
      </c>
      <c r="J81" s="910" t="s">
        <v>2914</v>
      </c>
      <c r="K81" s="915">
        <v>451706</v>
      </c>
      <c r="L81"/>
    </row>
    <row r="82" spans="2:12">
      <c r="B82" t="s">
        <v>2848</v>
      </c>
      <c r="C82" s="915">
        <v>1193105707</v>
      </c>
      <c r="D82" s="915" t="s">
        <v>2901</v>
      </c>
      <c r="E82" s="915">
        <v>2372191</v>
      </c>
      <c r="F82" s="915">
        <v>10019732</v>
      </c>
      <c r="G82" s="838"/>
      <c r="H82" s="838"/>
      <c r="I82" s="910">
        <v>1193205742</v>
      </c>
      <c r="J82" s="910" t="s">
        <v>2915</v>
      </c>
      <c r="K82" s="915">
        <v>11337556</v>
      </c>
      <c r="L82"/>
    </row>
    <row r="83" spans="2:12">
      <c r="B83" t="s">
        <v>2848</v>
      </c>
      <c r="C83" s="915">
        <v>1193105707</v>
      </c>
      <c r="D83" s="915" t="s">
        <v>2901</v>
      </c>
      <c r="E83" s="915">
        <v>9318125</v>
      </c>
      <c r="F83" s="915">
        <v>7670811</v>
      </c>
      <c r="G83" s="838"/>
      <c r="H83" s="838"/>
      <c r="I83" s="910">
        <v>1193205743</v>
      </c>
      <c r="J83" s="910" t="s">
        <v>3402</v>
      </c>
      <c r="K83" s="915">
        <v>2106253</v>
      </c>
      <c r="L83"/>
    </row>
    <row r="84" spans="2:12">
      <c r="B84" t="s">
        <v>2848</v>
      </c>
      <c r="C84" s="915">
        <v>1193105707</v>
      </c>
      <c r="D84" s="915" t="s">
        <v>2901</v>
      </c>
      <c r="E84" s="915">
        <v>4829879</v>
      </c>
      <c r="F84" s="915">
        <v>8133062</v>
      </c>
      <c r="G84" s="838"/>
      <c r="H84" s="838"/>
      <c r="I84" s="910">
        <v>1193205750</v>
      </c>
      <c r="J84" s="910" t="s">
        <v>2916</v>
      </c>
      <c r="K84" s="915">
        <v>68726089</v>
      </c>
      <c r="L84"/>
    </row>
    <row r="85" spans="2:12">
      <c r="B85" t="s">
        <v>2848</v>
      </c>
      <c r="C85" s="915">
        <v>1193105707</v>
      </c>
      <c r="D85" s="915" t="s">
        <v>2901</v>
      </c>
      <c r="E85" s="915">
        <v>3865881</v>
      </c>
      <c r="F85" s="915">
        <v>3865813</v>
      </c>
      <c r="G85" s="838"/>
      <c r="H85" s="838"/>
      <c r="I85" s="910">
        <v>1193205756</v>
      </c>
      <c r="J85" s="910" t="s">
        <v>2908</v>
      </c>
      <c r="K85" s="915">
        <v>1986798</v>
      </c>
      <c r="L85"/>
    </row>
    <row r="86" spans="2:12">
      <c r="B86" t="s">
        <v>2848</v>
      </c>
      <c r="C86" s="915">
        <v>1193105707</v>
      </c>
      <c r="D86" s="915" t="s">
        <v>2901</v>
      </c>
      <c r="E86" s="915">
        <v>1240733</v>
      </c>
      <c r="F86" s="915">
        <v>4420859</v>
      </c>
      <c r="G86" s="838"/>
      <c r="H86" s="838"/>
      <c r="I86" s="910">
        <v>1193205764</v>
      </c>
      <c r="J86" s="910" t="s">
        <v>2917</v>
      </c>
      <c r="K86" s="915">
        <v>37538</v>
      </c>
      <c r="L86"/>
    </row>
    <row r="87" spans="2:12">
      <c r="B87" t="s">
        <v>2848</v>
      </c>
      <c r="C87" s="915">
        <v>1193105707</v>
      </c>
      <c r="D87" s="915" t="s">
        <v>2901</v>
      </c>
      <c r="E87" s="915">
        <v>39108149</v>
      </c>
      <c r="F87" s="915">
        <v>44090239</v>
      </c>
      <c r="G87" s="838"/>
      <c r="H87" s="838"/>
      <c r="I87" s="910">
        <v>1193205765</v>
      </c>
      <c r="J87" s="910" t="s">
        <v>2918</v>
      </c>
      <c r="K87" s="915">
        <v>0</v>
      </c>
      <c r="L87"/>
    </row>
    <row r="88" spans="2:12">
      <c r="B88" t="s">
        <v>2848</v>
      </c>
      <c r="C88" s="915">
        <v>1193105707</v>
      </c>
      <c r="D88" s="915" t="s">
        <v>2901</v>
      </c>
      <c r="E88" s="915">
        <v>14525997</v>
      </c>
      <c r="F88" s="915">
        <v>17455636</v>
      </c>
      <c r="G88" s="838"/>
      <c r="H88" s="838"/>
      <c r="I88" s="910">
        <v>1193205766</v>
      </c>
      <c r="J88" s="910" t="s">
        <v>2868</v>
      </c>
      <c r="K88" s="915">
        <v>45129</v>
      </c>
      <c r="L88"/>
    </row>
    <row r="89" spans="2:12">
      <c r="B89" t="s">
        <v>2848</v>
      </c>
      <c r="C89" s="915">
        <v>1193105707</v>
      </c>
      <c r="D89" s="915" t="s">
        <v>2901</v>
      </c>
      <c r="E89" s="915">
        <v>5316900</v>
      </c>
      <c r="F89" s="915">
        <v>13930505</v>
      </c>
      <c r="G89" s="838"/>
      <c r="H89" s="838"/>
      <c r="I89" s="910">
        <v>1193205773</v>
      </c>
      <c r="J89" s="910" t="s">
        <v>3405</v>
      </c>
      <c r="K89" s="915">
        <v>44600000</v>
      </c>
      <c r="L89"/>
    </row>
    <row r="90" spans="2:12">
      <c r="B90" t="s">
        <v>2848</v>
      </c>
      <c r="C90" s="915">
        <v>1193105707</v>
      </c>
      <c r="D90" s="915" t="s">
        <v>2901</v>
      </c>
      <c r="E90" s="915">
        <v>336319</v>
      </c>
      <c r="F90" s="915">
        <v>326459</v>
      </c>
      <c r="G90" s="838"/>
      <c r="H90" s="838"/>
      <c r="I90" s="910">
        <v>1193205812</v>
      </c>
      <c r="J90" s="910" t="s">
        <v>3742</v>
      </c>
      <c r="K90" s="915">
        <v>64711954</v>
      </c>
      <c r="L90"/>
    </row>
    <row r="91" spans="2:12">
      <c r="B91" t="s">
        <v>2848</v>
      </c>
      <c r="C91" s="915">
        <v>1193105707</v>
      </c>
      <c r="D91" s="915" t="s">
        <v>2901</v>
      </c>
      <c r="E91" s="915">
        <v>12045630</v>
      </c>
      <c r="F91" s="915">
        <v>10985801</v>
      </c>
      <c r="G91" s="838"/>
      <c r="H91" s="838"/>
      <c r="I91" s="910">
        <v>1199999000</v>
      </c>
      <c r="J91" s="910" t="s">
        <v>2919</v>
      </c>
      <c r="K91" s="915">
        <v>-7450463</v>
      </c>
      <c r="L91"/>
    </row>
    <row r="92" spans="2:12">
      <c r="B92" t="s">
        <v>2848</v>
      </c>
      <c r="C92" s="915">
        <v>1193105707</v>
      </c>
      <c r="D92" s="915" t="s">
        <v>2901</v>
      </c>
      <c r="E92" s="915">
        <v>201855</v>
      </c>
      <c r="F92" s="915">
        <v>400500</v>
      </c>
      <c r="G92" s="838"/>
      <c r="H92" s="838"/>
      <c r="I92" s="910">
        <v>1211010000</v>
      </c>
      <c r="J92" s="910" t="s">
        <v>2920</v>
      </c>
      <c r="K92" s="915">
        <v>46808600502</v>
      </c>
      <c r="L92"/>
    </row>
    <row r="93" spans="2:12">
      <c r="B93" t="s">
        <v>2848</v>
      </c>
      <c r="C93" s="915">
        <v>1193105707</v>
      </c>
      <c r="D93" s="915" t="s">
        <v>2901</v>
      </c>
      <c r="E93" s="915">
        <v>1202620</v>
      </c>
      <c r="F93" s="915">
        <v>1779634</v>
      </c>
      <c r="G93" s="838"/>
      <c r="H93" s="838"/>
      <c r="I93" s="910">
        <v>1211010036</v>
      </c>
      <c r="J93" s="910" t="s">
        <v>2921</v>
      </c>
      <c r="K93" s="915">
        <v>4672130398</v>
      </c>
      <c r="L93"/>
    </row>
    <row r="94" spans="2:12">
      <c r="B94" t="s">
        <v>2848</v>
      </c>
      <c r="C94" s="915">
        <v>1193105708</v>
      </c>
      <c r="D94" s="915" t="s">
        <v>2902</v>
      </c>
      <c r="E94" s="915">
        <v>-6122826</v>
      </c>
      <c r="F94" s="915">
        <v>1037680</v>
      </c>
      <c r="G94" s="838"/>
      <c r="H94" s="838"/>
      <c r="I94" s="910">
        <v>1211010043</v>
      </c>
      <c r="J94" s="910" t="s">
        <v>2922</v>
      </c>
      <c r="K94" s="915">
        <v>79293110</v>
      </c>
      <c r="L94"/>
    </row>
    <row r="95" spans="2:12">
      <c r="B95" t="s">
        <v>2848</v>
      </c>
      <c r="C95" s="915">
        <v>1193105709</v>
      </c>
      <c r="D95" s="915" t="s">
        <v>2903</v>
      </c>
      <c r="E95" s="915">
        <v>-14815928</v>
      </c>
      <c r="F95" s="915">
        <v>-100448328</v>
      </c>
      <c r="G95" s="838"/>
      <c r="H95" s="838"/>
      <c r="I95" s="910">
        <v>1211510001</v>
      </c>
      <c r="J95" s="910" t="s">
        <v>3743</v>
      </c>
      <c r="K95" s="915">
        <v>681803</v>
      </c>
      <c r="L95"/>
    </row>
    <row r="96" spans="2:12">
      <c r="B96" t="s">
        <v>2848</v>
      </c>
      <c r="C96" s="915">
        <v>1193105716</v>
      </c>
      <c r="D96" s="915" t="s">
        <v>2904</v>
      </c>
      <c r="E96" s="915">
        <v>293998</v>
      </c>
      <c r="F96" s="915">
        <v>-13901</v>
      </c>
      <c r="G96" s="838"/>
      <c r="H96" s="838"/>
      <c r="I96" s="910">
        <v>1221020000</v>
      </c>
      <c r="J96" s="910" t="s">
        <v>2923</v>
      </c>
      <c r="K96" s="915">
        <v>76723117</v>
      </c>
      <c r="L96"/>
    </row>
    <row r="97" spans="2:12">
      <c r="B97" t="s">
        <v>2848</v>
      </c>
      <c r="C97" s="915">
        <v>1193105721</v>
      </c>
      <c r="D97" s="915" t="s">
        <v>2858</v>
      </c>
      <c r="E97" s="915">
        <v>-108832512</v>
      </c>
      <c r="F97" s="915">
        <v>-4123619</v>
      </c>
      <c r="G97" s="838"/>
      <c r="H97" s="838"/>
      <c r="I97" s="910">
        <v>1231012000</v>
      </c>
      <c r="J97" s="910" t="s">
        <v>2924</v>
      </c>
      <c r="K97" s="915">
        <v>27387</v>
      </c>
      <c r="L97"/>
    </row>
    <row r="98" spans="2:12">
      <c r="B98" t="s">
        <v>2848</v>
      </c>
      <c r="C98" s="915">
        <v>1193105735</v>
      </c>
      <c r="D98" s="915" t="s">
        <v>2905</v>
      </c>
      <c r="E98" s="915">
        <v>-911109711</v>
      </c>
      <c r="F98" s="915">
        <v>-835699960</v>
      </c>
      <c r="G98" s="838"/>
      <c r="H98" s="838"/>
      <c r="I98" s="910">
        <v>1231700500</v>
      </c>
      <c r="J98" s="910" t="s">
        <v>2925</v>
      </c>
      <c r="K98" s="915">
        <v>15793169</v>
      </c>
      <c r="L98"/>
    </row>
    <row r="99" spans="2:12">
      <c r="B99" t="s">
        <v>2848</v>
      </c>
      <c r="C99" s="915">
        <v>1193105735</v>
      </c>
      <c r="D99" s="915" t="s">
        <v>2905</v>
      </c>
      <c r="E99" s="915">
        <v>95847015</v>
      </c>
      <c r="F99" s="915">
        <v>11208267</v>
      </c>
      <c r="G99" s="838"/>
      <c r="H99" s="838"/>
      <c r="I99" s="910">
        <v>1231700501</v>
      </c>
      <c r="J99" s="910" t="s">
        <v>2926</v>
      </c>
      <c r="K99" s="915">
        <v>5918051</v>
      </c>
      <c r="L99"/>
    </row>
    <row r="100" spans="2:12">
      <c r="B100" t="s">
        <v>2848</v>
      </c>
      <c r="C100" s="915">
        <v>1193105735</v>
      </c>
      <c r="D100" s="915" t="s">
        <v>2905</v>
      </c>
      <c r="E100" s="915">
        <v>10971064</v>
      </c>
      <c r="F100" s="915">
        <v>12043276</v>
      </c>
      <c r="G100" s="838"/>
      <c r="H100" s="838"/>
      <c r="I100" s="910">
        <v>1250200000</v>
      </c>
      <c r="J100" s="910" t="s">
        <v>2927</v>
      </c>
      <c r="K100" s="915">
        <v>-9509325393</v>
      </c>
      <c r="L100"/>
    </row>
    <row r="101" spans="2:12">
      <c r="B101" t="s">
        <v>2848</v>
      </c>
      <c r="C101" s="915">
        <v>1193105735</v>
      </c>
      <c r="D101" s="915" t="s">
        <v>2905</v>
      </c>
      <c r="E101" s="915">
        <v>19872544</v>
      </c>
      <c r="F101" s="915">
        <v>23214953</v>
      </c>
      <c r="G101" s="838"/>
      <c r="H101" s="838"/>
      <c r="I101" s="910">
        <v>1311010000</v>
      </c>
      <c r="J101" s="910" t="s">
        <v>2928</v>
      </c>
      <c r="K101" s="915">
        <v>16170019706</v>
      </c>
      <c r="L101"/>
    </row>
    <row r="102" spans="2:12">
      <c r="B102" t="s">
        <v>2848</v>
      </c>
      <c r="C102" s="915">
        <v>1193105735</v>
      </c>
      <c r="D102" s="915" t="s">
        <v>2905</v>
      </c>
      <c r="E102" s="915">
        <v>7989780</v>
      </c>
      <c r="F102" s="915">
        <v>17707529</v>
      </c>
      <c r="G102" s="838"/>
      <c r="H102" s="838"/>
      <c r="I102" s="910">
        <v>1311010002</v>
      </c>
      <c r="J102" s="910" t="s">
        <v>2929</v>
      </c>
      <c r="K102" s="915">
        <v>682774</v>
      </c>
      <c r="L102"/>
    </row>
    <row r="103" spans="2:12">
      <c r="B103" t="s">
        <v>2848</v>
      </c>
      <c r="C103" s="915">
        <v>1193105735</v>
      </c>
      <c r="D103" s="915" t="s">
        <v>2905</v>
      </c>
      <c r="E103" s="915">
        <v>10820220</v>
      </c>
      <c r="F103" s="915">
        <v>16804059</v>
      </c>
      <c r="G103" s="838"/>
      <c r="H103" s="838"/>
      <c r="I103" s="910">
        <v>1411400000</v>
      </c>
      <c r="J103" s="910" t="s">
        <v>2930</v>
      </c>
      <c r="K103" s="915">
        <v>-2431384783</v>
      </c>
      <c r="L103"/>
    </row>
    <row r="104" spans="2:12">
      <c r="B104" t="s">
        <v>2848</v>
      </c>
      <c r="C104" s="915">
        <v>1193105735</v>
      </c>
      <c r="D104" s="915" t="s">
        <v>2905</v>
      </c>
      <c r="E104" s="915">
        <v>26315558</v>
      </c>
      <c r="F104" s="915">
        <v>41953824</v>
      </c>
      <c r="G104" s="838"/>
      <c r="H104" s="838"/>
      <c r="I104" s="910">
        <v>1429310003</v>
      </c>
      <c r="J104" s="910" t="s">
        <v>2931</v>
      </c>
      <c r="K104" s="915">
        <v>117694546</v>
      </c>
      <c r="L104"/>
    </row>
    <row r="105" spans="2:12">
      <c r="B105" t="s">
        <v>2848</v>
      </c>
      <c r="C105" s="915">
        <v>1193105735</v>
      </c>
      <c r="D105" s="915" t="s">
        <v>2905</v>
      </c>
      <c r="E105" s="915">
        <v>4308653</v>
      </c>
      <c r="F105" s="915">
        <v>3777031</v>
      </c>
      <c r="G105" s="838"/>
      <c r="H105" s="838"/>
      <c r="I105" s="910">
        <v>1441100012</v>
      </c>
      <c r="J105" s="910" t="s">
        <v>2932</v>
      </c>
      <c r="K105" s="915">
        <v>60821</v>
      </c>
      <c r="L105"/>
    </row>
    <row r="106" spans="2:12">
      <c r="B106" t="s">
        <v>2848</v>
      </c>
      <c r="C106" s="915">
        <v>1193105735</v>
      </c>
      <c r="D106" s="915" t="s">
        <v>2905</v>
      </c>
      <c r="E106" s="915">
        <v>1323452</v>
      </c>
      <c r="F106" s="915">
        <v>1310404</v>
      </c>
      <c r="G106" s="838"/>
      <c r="H106" s="838"/>
      <c r="I106" s="910">
        <v>1441100021</v>
      </c>
      <c r="J106" s="910" t="s">
        <v>2933</v>
      </c>
      <c r="K106" s="915">
        <v>327895699</v>
      </c>
      <c r="L106"/>
    </row>
    <row r="107" spans="2:12">
      <c r="B107" t="s">
        <v>2848</v>
      </c>
      <c r="C107" s="915">
        <v>1193105735</v>
      </c>
      <c r="D107" s="915" t="s">
        <v>2905</v>
      </c>
      <c r="E107" s="915">
        <v>11051927</v>
      </c>
      <c r="F107" s="915">
        <v>10150044</v>
      </c>
      <c r="G107" s="838"/>
      <c r="H107" s="838"/>
      <c r="I107" s="910">
        <v>1441100028</v>
      </c>
      <c r="J107" s="910" t="s">
        <v>2934</v>
      </c>
      <c r="K107" s="915">
        <v>53757770</v>
      </c>
      <c r="L107"/>
    </row>
    <row r="108" spans="2:12">
      <c r="B108" t="s">
        <v>2848</v>
      </c>
      <c r="C108" s="915">
        <v>1193105735</v>
      </c>
      <c r="D108" s="915" t="s">
        <v>2905</v>
      </c>
      <c r="E108" s="915">
        <v>4810965</v>
      </c>
      <c r="F108" s="915">
        <v>6171573</v>
      </c>
      <c r="G108" s="838"/>
      <c r="H108" s="838"/>
      <c r="I108" s="910">
        <v>1441100118</v>
      </c>
      <c r="J108" s="910" t="s">
        <v>2935</v>
      </c>
      <c r="K108" s="915">
        <v>23892085</v>
      </c>
      <c r="L108"/>
    </row>
    <row r="109" spans="2:12">
      <c r="B109" t="s">
        <v>2848</v>
      </c>
      <c r="C109" s="915">
        <v>1193105735</v>
      </c>
      <c r="D109" s="915" t="s">
        <v>2905</v>
      </c>
      <c r="E109" s="915">
        <v>15252118</v>
      </c>
      <c r="F109" s="915">
        <v>6905702</v>
      </c>
      <c r="G109" s="838"/>
      <c r="H109" s="838"/>
      <c r="I109" s="910">
        <v>1441110034</v>
      </c>
      <c r="J109" s="910" t="s">
        <v>2936</v>
      </c>
      <c r="K109" s="915">
        <v>-269435857</v>
      </c>
      <c r="L109"/>
    </row>
    <row r="110" spans="2:12">
      <c r="B110" t="s">
        <v>2848</v>
      </c>
      <c r="C110" s="915">
        <v>1193105735</v>
      </c>
      <c r="D110" s="915" t="s">
        <v>2905</v>
      </c>
      <c r="E110" s="915">
        <v>45088012</v>
      </c>
      <c r="F110" s="915">
        <v>53133618</v>
      </c>
      <c r="G110" s="838"/>
      <c r="H110" s="838"/>
      <c r="I110" s="910">
        <v>1441110035</v>
      </c>
      <c r="J110" s="910" t="s">
        <v>2937</v>
      </c>
      <c r="K110" s="915">
        <v>142403544</v>
      </c>
      <c r="L110"/>
    </row>
    <row r="111" spans="2:12">
      <c r="B111" t="s">
        <v>2848</v>
      </c>
      <c r="C111" s="915">
        <v>1193105735</v>
      </c>
      <c r="D111" s="915" t="s">
        <v>2905</v>
      </c>
      <c r="E111" s="915">
        <v>11353409</v>
      </c>
      <c r="F111" s="915">
        <v>11726872</v>
      </c>
      <c r="G111" s="838"/>
      <c r="H111" s="838"/>
      <c r="I111" s="910">
        <v>1441110036</v>
      </c>
      <c r="J111" s="910" t="s">
        <v>2938</v>
      </c>
      <c r="K111" s="915">
        <v>300862022</v>
      </c>
      <c r="L111"/>
    </row>
    <row r="112" spans="2:12">
      <c r="B112" t="s">
        <v>2848</v>
      </c>
      <c r="C112" s="915">
        <v>1193105742</v>
      </c>
      <c r="D112" s="915" t="s">
        <v>2906</v>
      </c>
      <c r="E112" s="915">
        <v>284003353</v>
      </c>
      <c r="F112" s="915">
        <v>108104955</v>
      </c>
      <c r="G112" s="838"/>
      <c r="H112" s="838"/>
      <c r="I112" s="910">
        <v>1441113000</v>
      </c>
      <c r="J112" s="910" t="s">
        <v>2939</v>
      </c>
      <c r="K112" s="915">
        <v>404170843</v>
      </c>
      <c r="L112"/>
    </row>
    <row r="113" spans="2:12">
      <c r="B113" t="s">
        <v>2848</v>
      </c>
      <c r="C113" s="915">
        <v>1193105743</v>
      </c>
      <c r="D113" s="915" t="s">
        <v>3402</v>
      </c>
      <c r="E113" s="915">
        <v>-2106253</v>
      </c>
      <c r="F113" s="915">
        <v>0</v>
      </c>
      <c r="G113" s="838"/>
      <c r="H113" s="838"/>
      <c r="I113" s="910">
        <v>1442100000</v>
      </c>
      <c r="J113" s="910" t="s">
        <v>2940</v>
      </c>
      <c r="K113" s="915">
        <v>837013130</v>
      </c>
      <c r="L113"/>
    </row>
    <row r="114" spans="2:12">
      <c r="B114" t="s">
        <v>2848</v>
      </c>
      <c r="C114" s="915">
        <v>1193105750</v>
      </c>
      <c r="D114" s="915" t="s">
        <v>2907</v>
      </c>
      <c r="E114" s="915">
        <v>-209587517</v>
      </c>
      <c r="F114" s="915">
        <v>-431929144</v>
      </c>
      <c r="G114" s="838"/>
      <c r="H114" s="838"/>
      <c r="I114" s="910">
        <v>1442100003</v>
      </c>
      <c r="J114" s="910" t="s">
        <v>2941</v>
      </c>
      <c r="K114" s="915">
        <v>-17228725</v>
      </c>
      <c r="L114"/>
    </row>
    <row r="115" spans="2:12">
      <c r="B115" t="s">
        <v>2848</v>
      </c>
      <c r="C115" s="915">
        <v>1193105750</v>
      </c>
      <c r="D115" s="915" t="s">
        <v>2907</v>
      </c>
      <c r="E115" s="915">
        <v>28259038</v>
      </c>
      <c r="F115" s="915">
        <v>18220718</v>
      </c>
      <c r="G115" s="838"/>
      <c r="H115" s="838"/>
      <c r="I115" s="910">
        <v>1442300000</v>
      </c>
      <c r="J115" s="910" t="s">
        <v>2942</v>
      </c>
      <c r="K115" s="915">
        <v>637826543</v>
      </c>
      <c r="L115"/>
    </row>
    <row r="116" spans="2:12">
      <c r="B116" t="s">
        <v>2848</v>
      </c>
      <c r="C116" s="915">
        <v>1193105750</v>
      </c>
      <c r="D116" s="915" t="s">
        <v>2907</v>
      </c>
      <c r="E116" s="915">
        <v>9860</v>
      </c>
      <c r="F116" s="915">
        <v>9860</v>
      </c>
      <c r="G116" s="838"/>
      <c r="H116" s="838"/>
      <c r="I116" s="910">
        <v>1442370000</v>
      </c>
      <c r="J116" s="910" t="s">
        <v>2943</v>
      </c>
      <c r="K116" s="915">
        <v>632644</v>
      </c>
      <c r="L116"/>
    </row>
    <row r="117" spans="2:12">
      <c r="B117" t="s">
        <v>2848</v>
      </c>
      <c r="C117" s="915">
        <v>1193105750</v>
      </c>
      <c r="D117" s="915" t="s">
        <v>2907</v>
      </c>
      <c r="E117" s="915">
        <v>130721</v>
      </c>
      <c r="F117" s="915">
        <v>130721</v>
      </c>
      <c r="G117" s="838"/>
      <c r="H117" s="838"/>
      <c r="I117" s="910">
        <v>1442801000</v>
      </c>
      <c r="J117" s="910" t="s">
        <v>3744</v>
      </c>
      <c r="K117" s="915">
        <v>120810206</v>
      </c>
      <c r="L117"/>
    </row>
    <row r="118" spans="2:12">
      <c r="B118" t="s">
        <v>2848</v>
      </c>
      <c r="C118" s="915">
        <v>1193105750</v>
      </c>
      <c r="D118" s="915" t="s">
        <v>2907</v>
      </c>
      <c r="E118" s="915">
        <v>1377046</v>
      </c>
      <c r="F118" s="915">
        <v>1377046</v>
      </c>
      <c r="G118" s="838"/>
      <c r="H118" s="838"/>
      <c r="I118" s="910">
        <v>1442999900</v>
      </c>
      <c r="J118" s="910" t="s">
        <v>2945</v>
      </c>
      <c r="K118" s="915">
        <v>70088</v>
      </c>
      <c r="L118"/>
    </row>
    <row r="119" spans="2:12">
      <c r="B119" t="s">
        <v>2848</v>
      </c>
      <c r="C119" s="915">
        <v>1193105756</v>
      </c>
      <c r="D119" s="915" t="s">
        <v>2908</v>
      </c>
      <c r="E119" s="915">
        <v>-23867720</v>
      </c>
      <c r="F119" s="915">
        <v>-22697625</v>
      </c>
      <c r="G119" s="838"/>
      <c r="H119" s="838"/>
      <c r="I119" s="910">
        <v>1443020000</v>
      </c>
      <c r="J119" s="910" t="s">
        <v>2946</v>
      </c>
      <c r="K119" s="915">
        <v>34200000</v>
      </c>
      <c r="L119"/>
    </row>
    <row r="120" spans="2:12">
      <c r="B120" t="s">
        <v>2848</v>
      </c>
      <c r="C120" s="915">
        <v>1193105756</v>
      </c>
      <c r="D120" s="915" t="s">
        <v>2908</v>
      </c>
      <c r="E120" s="915">
        <v>1754571</v>
      </c>
      <c r="F120" s="915">
        <v>1754571</v>
      </c>
      <c r="G120" s="838"/>
      <c r="H120" s="838"/>
      <c r="I120" s="910">
        <v>1449500003</v>
      </c>
      <c r="J120" s="910" t="s">
        <v>2947</v>
      </c>
      <c r="K120" s="915">
        <v>405213296</v>
      </c>
      <c r="L120"/>
    </row>
    <row r="121" spans="2:12">
      <c r="B121" t="s">
        <v>2848</v>
      </c>
      <c r="C121" s="915">
        <v>1193105756</v>
      </c>
      <c r="D121" s="915" t="s">
        <v>2908</v>
      </c>
      <c r="E121" s="915">
        <v>245769</v>
      </c>
      <c r="F121" s="915">
        <v>245769</v>
      </c>
      <c r="G121" s="838"/>
      <c r="H121" s="838"/>
      <c r="I121" s="910">
        <v>1450004022</v>
      </c>
      <c r="J121" s="910" t="s">
        <v>2948</v>
      </c>
      <c r="K121" s="915">
        <v>588714373</v>
      </c>
      <c r="L121"/>
    </row>
    <row r="122" spans="2:12">
      <c r="B122" t="s">
        <v>2848</v>
      </c>
      <c r="C122" s="915">
        <v>1193105756</v>
      </c>
      <c r="D122" s="915" t="s">
        <v>2908</v>
      </c>
      <c r="E122" s="915">
        <v>3320672</v>
      </c>
      <c r="F122" s="915">
        <v>4005874</v>
      </c>
      <c r="G122" s="838"/>
      <c r="H122" s="838"/>
      <c r="I122" s="910">
        <v>1455200024</v>
      </c>
      <c r="J122" s="910" t="s">
        <v>2949</v>
      </c>
      <c r="K122" s="915">
        <v>897964522</v>
      </c>
      <c r="L122"/>
    </row>
    <row r="123" spans="2:12">
      <c r="B123" t="s">
        <v>2848</v>
      </c>
      <c r="C123" s="915">
        <v>1193105756</v>
      </c>
      <c r="D123" s="915" t="s">
        <v>2908</v>
      </c>
      <c r="E123" s="915">
        <v>178430</v>
      </c>
      <c r="F123" s="915">
        <v>0</v>
      </c>
      <c r="G123" s="838"/>
      <c r="H123" s="838"/>
      <c r="I123" s="910">
        <v>1455200071</v>
      </c>
      <c r="J123" s="910" t="s">
        <v>2950</v>
      </c>
      <c r="K123" s="915">
        <v>4923019052</v>
      </c>
      <c r="L123"/>
    </row>
    <row r="124" spans="2:12">
      <c r="B124" t="s">
        <v>2848</v>
      </c>
      <c r="C124" s="915">
        <v>1193105756</v>
      </c>
      <c r="D124" s="915" t="s">
        <v>2908</v>
      </c>
      <c r="E124" s="915">
        <v>2321697</v>
      </c>
      <c r="F124" s="915">
        <v>2318197</v>
      </c>
      <c r="G124" s="838"/>
      <c r="H124" s="838"/>
      <c r="I124" s="910">
        <v>1456100026</v>
      </c>
      <c r="J124" s="910" t="s">
        <v>2951</v>
      </c>
      <c r="K124" s="915">
        <v>3610169</v>
      </c>
      <c r="L124"/>
    </row>
    <row r="125" spans="2:12">
      <c r="B125" t="s">
        <v>2848</v>
      </c>
      <c r="C125" s="915">
        <v>1193105756</v>
      </c>
      <c r="D125" s="915" t="s">
        <v>2908</v>
      </c>
      <c r="E125" s="915">
        <v>0</v>
      </c>
      <c r="F125" s="915">
        <v>78858</v>
      </c>
      <c r="G125" s="838"/>
      <c r="H125" s="838"/>
      <c r="I125" s="910">
        <v>1456200020</v>
      </c>
      <c r="J125" s="910" t="s">
        <v>2952</v>
      </c>
      <c r="K125" s="915">
        <v>-724305450</v>
      </c>
      <c r="L125"/>
    </row>
    <row r="126" spans="2:12">
      <c r="B126" t="s">
        <v>2848</v>
      </c>
      <c r="C126" s="915">
        <v>1193105760</v>
      </c>
      <c r="D126" s="915" t="s">
        <v>2909</v>
      </c>
      <c r="E126" s="915">
        <v>0</v>
      </c>
      <c r="F126" s="915">
        <v>-6637181</v>
      </c>
      <c r="G126" s="838"/>
      <c r="H126" s="838"/>
      <c r="I126" s="910">
        <v>1456300026</v>
      </c>
      <c r="J126" s="910" t="s">
        <v>2953</v>
      </c>
      <c r="K126" s="915">
        <v>26840</v>
      </c>
      <c r="L126"/>
    </row>
    <row r="127" spans="2:12">
      <c r="B127" t="s">
        <v>2848</v>
      </c>
      <c r="C127" s="915">
        <v>1193105760</v>
      </c>
      <c r="D127" s="915" t="s">
        <v>2909</v>
      </c>
      <c r="E127" s="915">
        <v>0</v>
      </c>
      <c r="F127" s="915">
        <v>69378</v>
      </c>
      <c r="G127" s="838"/>
      <c r="H127" s="838"/>
      <c r="I127" s="910">
        <v>1456810001</v>
      </c>
      <c r="J127" s="910" t="s">
        <v>2954</v>
      </c>
      <c r="K127" s="915">
        <v>10416332511</v>
      </c>
      <c r="L127"/>
    </row>
    <row r="128" spans="2:12">
      <c r="B128" t="s">
        <v>2848</v>
      </c>
      <c r="C128" s="915">
        <v>1193105760</v>
      </c>
      <c r="D128" s="915" t="s">
        <v>2909</v>
      </c>
      <c r="E128" s="915">
        <v>0</v>
      </c>
      <c r="F128" s="915">
        <v>89048</v>
      </c>
      <c r="G128" s="838"/>
      <c r="H128" s="838"/>
      <c r="I128" s="910">
        <v>1481210000</v>
      </c>
      <c r="J128" s="910" t="s">
        <v>2955</v>
      </c>
      <c r="K128" s="915">
        <v>-230482086</v>
      </c>
      <c r="L128"/>
    </row>
    <row r="129" spans="2:12">
      <c r="B129" t="s">
        <v>2848</v>
      </c>
      <c r="C129" s="915">
        <v>1193105760</v>
      </c>
      <c r="D129" s="915" t="s">
        <v>2909</v>
      </c>
      <c r="E129" s="915">
        <v>0</v>
      </c>
      <c r="F129" s="915">
        <v>74450</v>
      </c>
      <c r="G129" s="838"/>
      <c r="H129" s="838"/>
      <c r="I129" s="910">
        <v>1481220000</v>
      </c>
      <c r="J129" s="910" t="s">
        <v>2956</v>
      </c>
      <c r="K129" s="915">
        <v>-464407153</v>
      </c>
      <c r="L129"/>
    </row>
    <row r="130" spans="2:12">
      <c r="B130" t="s">
        <v>2848</v>
      </c>
      <c r="C130" s="915">
        <v>1193105760</v>
      </c>
      <c r="D130" s="915" t="s">
        <v>2909</v>
      </c>
      <c r="E130" s="915">
        <v>0</v>
      </c>
      <c r="F130" s="915">
        <v>288582</v>
      </c>
      <c r="G130" s="838"/>
      <c r="H130" s="838"/>
      <c r="I130" s="910">
        <v>1490210000</v>
      </c>
      <c r="J130" s="910" t="s">
        <v>2957</v>
      </c>
      <c r="K130" s="915">
        <v>-22699615</v>
      </c>
      <c r="L130"/>
    </row>
    <row r="131" spans="2:12">
      <c r="B131" t="s">
        <v>2848</v>
      </c>
      <c r="C131" s="915">
        <v>1193105760</v>
      </c>
      <c r="D131" s="915" t="s">
        <v>2909</v>
      </c>
      <c r="E131" s="915">
        <v>0</v>
      </c>
      <c r="F131" s="915">
        <v>4676</v>
      </c>
      <c r="G131" s="838"/>
      <c r="H131" s="838"/>
      <c r="I131" s="910">
        <v>1490210001</v>
      </c>
      <c r="J131" s="910" t="s">
        <v>2958</v>
      </c>
      <c r="K131" s="915">
        <v>32341063</v>
      </c>
      <c r="L131"/>
    </row>
    <row r="132" spans="2:12">
      <c r="B132" t="s">
        <v>2848</v>
      </c>
      <c r="C132" s="915">
        <v>1193105760</v>
      </c>
      <c r="D132" s="915" t="s">
        <v>2909</v>
      </c>
      <c r="E132" s="915">
        <v>0</v>
      </c>
      <c r="F132" s="915">
        <v>180029</v>
      </c>
      <c r="G132" s="838"/>
      <c r="H132" s="838"/>
      <c r="I132" s="910">
        <v>1490210004</v>
      </c>
      <c r="J132" s="910" t="s">
        <v>2959</v>
      </c>
      <c r="K132" s="915">
        <v>-194163627</v>
      </c>
      <c r="L132"/>
    </row>
    <row r="133" spans="2:12">
      <c r="B133" t="s">
        <v>2848</v>
      </c>
      <c r="C133" s="915">
        <v>1193105760</v>
      </c>
      <c r="D133" s="915" t="s">
        <v>2909</v>
      </c>
      <c r="E133" s="915">
        <v>0</v>
      </c>
      <c r="F133" s="915">
        <v>119636</v>
      </c>
      <c r="G133" s="838"/>
      <c r="H133" s="838"/>
      <c r="I133" s="910">
        <v>1490920000</v>
      </c>
      <c r="J133" s="910" t="s">
        <v>2960</v>
      </c>
      <c r="K133" s="915">
        <v>4520699212</v>
      </c>
      <c r="L133"/>
    </row>
    <row r="134" spans="2:12">
      <c r="B134" t="s">
        <v>2848</v>
      </c>
      <c r="C134" s="915">
        <v>1193105760</v>
      </c>
      <c r="D134" s="915" t="s">
        <v>2909</v>
      </c>
      <c r="E134" s="915">
        <v>0</v>
      </c>
      <c r="F134" s="915">
        <v>82537</v>
      </c>
      <c r="G134" s="838"/>
      <c r="H134" s="838"/>
      <c r="I134" s="910">
        <v>1491110000</v>
      </c>
      <c r="J134" s="910" t="s">
        <v>2961</v>
      </c>
      <c r="K134" s="915">
        <v>1557525063</v>
      </c>
      <c r="L134"/>
    </row>
    <row r="135" spans="2:12">
      <c r="B135" t="s">
        <v>2848</v>
      </c>
      <c r="C135" s="915">
        <v>1193105760</v>
      </c>
      <c r="D135" s="915" t="s">
        <v>2909</v>
      </c>
      <c r="E135" s="915">
        <v>0</v>
      </c>
      <c r="F135" s="915">
        <v>256377</v>
      </c>
      <c r="G135" s="838"/>
      <c r="H135" s="838"/>
      <c r="I135" s="910">
        <v>1491110013</v>
      </c>
      <c r="J135" s="910" t="s">
        <v>2962</v>
      </c>
      <c r="K135" s="915">
        <v>204867552</v>
      </c>
      <c r="L135"/>
    </row>
    <row r="136" spans="2:12">
      <c r="B136" t="s">
        <v>2848</v>
      </c>
      <c r="C136" s="915">
        <v>1193105760</v>
      </c>
      <c r="D136" s="915" t="s">
        <v>2909</v>
      </c>
      <c r="E136" s="915">
        <v>0</v>
      </c>
      <c r="F136" s="915">
        <v>1162280</v>
      </c>
      <c r="G136" s="838"/>
      <c r="H136" s="838"/>
      <c r="I136" s="910">
        <v>1491110014</v>
      </c>
      <c r="J136" s="910" t="s">
        <v>2963</v>
      </c>
      <c r="K136" s="915">
        <v>6041283</v>
      </c>
      <c r="L136"/>
    </row>
    <row r="137" spans="2:12">
      <c r="B137" t="s">
        <v>2848</v>
      </c>
      <c r="C137" s="915">
        <v>1193105760</v>
      </c>
      <c r="D137" s="915" t="s">
        <v>2909</v>
      </c>
      <c r="E137" s="915">
        <v>0</v>
      </c>
      <c r="F137" s="915">
        <v>59263</v>
      </c>
      <c r="G137" s="838"/>
      <c r="H137" s="838"/>
      <c r="I137" s="910">
        <v>1491110015</v>
      </c>
      <c r="J137" s="910" t="s">
        <v>2964</v>
      </c>
      <c r="K137" s="915">
        <v>175607097</v>
      </c>
      <c r="L137"/>
    </row>
    <row r="138" spans="2:12">
      <c r="B138" t="s">
        <v>2848</v>
      </c>
      <c r="C138" s="915">
        <v>1193105760</v>
      </c>
      <c r="D138" s="915" t="s">
        <v>2909</v>
      </c>
      <c r="E138" s="915">
        <v>0</v>
      </c>
      <c r="F138" s="915">
        <v>375225</v>
      </c>
      <c r="G138" s="838"/>
      <c r="H138" s="838"/>
      <c r="I138" s="910">
        <v>1491110100</v>
      </c>
      <c r="J138" s="910" t="s">
        <v>2965</v>
      </c>
      <c r="K138" s="915">
        <v>322386946</v>
      </c>
      <c r="L138"/>
    </row>
    <row r="139" spans="2:12">
      <c r="B139" t="s">
        <v>2848</v>
      </c>
      <c r="C139" s="915">
        <v>1193105765</v>
      </c>
      <c r="D139" s="915" t="s">
        <v>2867</v>
      </c>
      <c r="E139" s="915">
        <v>-5578</v>
      </c>
      <c r="F139" s="915">
        <v>-20937</v>
      </c>
      <c r="G139" s="838"/>
      <c r="H139" s="838"/>
      <c r="I139" s="910">
        <v>1541110000</v>
      </c>
      <c r="J139" s="910" t="s">
        <v>2821</v>
      </c>
      <c r="K139" s="915">
        <v>565018613</v>
      </c>
      <c r="L139"/>
    </row>
    <row r="140" spans="2:12">
      <c r="B140" t="s">
        <v>2848</v>
      </c>
      <c r="C140" s="915">
        <v>1193105765</v>
      </c>
      <c r="D140" s="915" t="s">
        <v>2867</v>
      </c>
      <c r="E140" s="915">
        <v>76855</v>
      </c>
      <c r="F140" s="915">
        <v>0</v>
      </c>
      <c r="G140" s="838"/>
      <c r="H140" s="838"/>
      <c r="I140" s="910">
        <v>1541180000</v>
      </c>
      <c r="J140" s="910" t="s">
        <v>2966</v>
      </c>
      <c r="K140" s="915">
        <v>-349126788</v>
      </c>
      <c r="L140"/>
    </row>
    <row r="141" spans="2:12">
      <c r="B141" t="s">
        <v>2848</v>
      </c>
      <c r="C141" s="915">
        <v>1193105765</v>
      </c>
      <c r="D141" s="915" t="s">
        <v>2867</v>
      </c>
      <c r="E141" s="915">
        <v>300583</v>
      </c>
      <c r="F141" s="915">
        <v>149419</v>
      </c>
      <c r="G141" s="838"/>
      <c r="H141" s="838"/>
      <c r="I141" s="910">
        <v>1551110000</v>
      </c>
      <c r="J141" s="910" t="s">
        <v>2967</v>
      </c>
      <c r="K141" s="915">
        <v>4074946970</v>
      </c>
      <c r="L141"/>
    </row>
    <row r="142" spans="2:12">
      <c r="B142" t="s">
        <v>2848</v>
      </c>
      <c r="C142" s="915">
        <v>1193105765</v>
      </c>
      <c r="D142" s="915" t="s">
        <v>2867</v>
      </c>
      <c r="E142" s="915">
        <v>382852</v>
      </c>
      <c r="F142" s="915">
        <v>382852</v>
      </c>
      <c r="G142" s="838"/>
      <c r="H142" s="838"/>
      <c r="I142" s="910">
        <v>1551180000</v>
      </c>
      <c r="J142" s="910" t="s">
        <v>2968</v>
      </c>
      <c r="K142" s="915">
        <v>-2633423524</v>
      </c>
      <c r="L142"/>
    </row>
    <row r="143" spans="2:12">
      <c r="B143" t="s">
        <v>2848</v>
      </c>
      <c r="C143" s="915">
        <v>1193105765</v>
      </c>
      <c r="D143" s="915" t="s">
        <v>2867</v>
      </c>
      <c r="E143" s="915">
        <v>1687858</v>
      </c>
      <c r="F143" s="915">
        <v>1687858</v>
      </c>
      <c r="G143" s="838"/>
      <c r="H143" s="838"/>
      <c r="I143" s="910">
        <v>1551180001</v>
      </c>
      <c r="J143" s="910" t="s">
        <v>2969</v>
      </c>
      <c r="K143" s="915">
        <v>-182026222</v>
      </c>
      <c r="L143"/>
    </row>
    <row r="144" spans="2:12">
      <c r="B144" t="s">
        <v>2848</v>
      </c>
      <c r="C144" s="915">
        <v>1193105766</v>
      </c>
      <c r="D144" s="915" t="s">
        <v>2868</v>
      </c>
      <c r="E144" s="915">
        <v>-4859379</v>
      </c>
      <c r="F144" s="915">
        <v>-16973428</v>
      </c>
      <c r="G144" s="838"/>
      <c r="H144" s="838"/>
      <c r="I144" s="910">
        <v>1552110000</v>
      </c>
      <c r="J144" s="910" t="s">
        <v>2970</v>
      </c>
      <c r="K144" s="915">
        <v>20936728</v>
      </c>
      <c r="L144"/>
    </row>
    <row r="145" spans="2:12">
      <c r="B145" t="s">
        <v>2848</v>
      </c>
      <c r="C145" s="915">
        <v>1193105773</v>
      </c>
      <c r="D145" s="915" t="s">
        <v>3405</v>
      </c>
      <c r="E145" s="915">
        <v>-45778011</v>
      </c>
      <c r="F145" s="915">
        <v>0</v>
      </c>
      <c r="G145" s="838"/>
      <c r="H145" s="838"/>
      <c r="I145" s="910">
        <v>1552180000</v>
      </c>
      <c r="J145" s="910" t="s">
        <v>2971</v>
      </c>
      <c r="K145" s="915">
        <v>-14832362</v>
      </c>
      <c r="L145"/>
    </row>
    <row r="146" spans="2:12">
      <c r="B146" t="s">
        <v>2848</v>
      </c>
      <c r="C146" s="915">
        <v>1193105812</v>
      </c>
      <c r="D146" s="915" t="s">
        <v>3741</v>
      </c>
      <c r="E146" s="915">
        <v>-64713449</v>
      </c>
      <c r="F146" s="915">
        <v>0</v>
      </c>
      <c r="G146" s="838"/>
      <c r="H146" s="838"/>
      <c r="I146" s="910">
        <v>1553110000</v>
      </c>
      <c r="J146" s="910" t="s">
        <v>2972</v>
      </c>
      <c r="K146" s="915">
        <v>909595578</v>
      </c>
      <c r="L146"/>
    </row>
    <row r="147" spans="2:12">
      <c r="B147" t="s">
        <v>2848</v>
      </c>
      <c r="C147" s="915">
        <v>1193205707</v>
      </c>
      <c r="D147" s="915" t="s">
        <v>2910</v>
      </c>
      <c r="E147" s="915">
        <v>13028164</v>
      </c>
      <c r="F147" s="915">
        <v>-96243419</v>
      </c>
      <c r="G147" s="838"/>
      <c r="H147" s="838"/>
      <c r="I147" s="910">
        <v>1553180000</v>
      </c>
      <c r="J147" s="910" t="s">
        <v>2973</v>
      </c>
      <c r="K147" s="915">
        <v>-836942194</v>
      </c>
      <c r="L147"/>
    </row>
    <row r="148" spans="2:12">
      <c r="B148" t="s">
        <v>2848</v>
      </c>
      <c r="C148" s="915">
        <v>1193205707</v>
      </c>
      <c r="D148" s="915" t="s">
        <v>2910</v>
      </c>
      <c r="E148" s="915">
        <v>-2077034745</v>
      </c>
      <c r="F148" s="915">
        <v>-1508787797</v>
      </c>
      <c r="G148" s="838"/>
      <c r="H148" s="838"/>
      <c r="I148" s="910">
        <v>1554110000</v>
      </c>
      <c r="J148" s="910" t="s">
        <v>2974</v>
      </c>
      <c r="K148" s="915">
        <v>4051163792</v>
      </c>
      <c r="L148"/>
    </row>
    <row r="149" spans="2:12">
      <c r="B149" t="s">
        <v>2848</v>
      </c>
      <c r="C149" s="915">
        <v>1193205708</v>
      </c>
      <c r="D149" s="915" t="s">
        <v>2911</v>
      </c>
      <c r="E149" s="915">
        <v>-115358722</v>
      </c>
      <c r="F149" s="915">
        <v>-189739692</v>
      </c>
      <c r="G149" s="838"/>
      <c r="H149" s="838"/>
      <c r="I149" s="910">
        <v>1554180000</v>
      </c>
      <c r="J149" s="910" t="s">
        <v>2975</v>
      </c>
      <c r="K149" s="915">
        <v>-3864308754</v>
      </c>
      <c r="L149"/>
    </row>
    <row r="150" spans="2:12">
      <c r="B150" t="s">
        <v>2848</v>
      </c>
      <c r="C150" s="915">
        <v>1193205709</v>
      </c>
      <c r="D150" s="915" t="s">
        <v>3406</v>
      </c>
      <c r="E150" s="915">
        <v>10001596</v>
      </c>
      <c r="F150" s="915">
        <v>0</v>
      </c>
      <c r="G150" s="838"/>
      <c r="H150" s="838"/>
      <c r="I150" s="910">
        <v>1558100000</v>
      </c>
      <c r="J150" s="910" t="s">
        <v>2976</v>
      </c>
      <c r="K150" s="915">
        <v>5842040330</v>
      </c>
      <c r="L150"/>
    </row>
    <row r="151" spans="2:12">
      <c r="B151" t="s">
        <v>2848</v>
      </c>
      <c r="C151" s="915">
        <v>1193205716</v>
      </c>
      <c r="D151" s="915" t="s">
        <v>2912</v>
      </c>
      <c r="E151" s="915">
        <v>79842</v>
      </c>
      <c r="F151" s="915">
        <v>41005</v>
      </c>
      <c r="G151" s="838"/>
      <c r="H151" s="838"/>
      <c r="I151" s="910">
        <v>1558300000</v>
      </c>
      <c r="J151" s="910" t="s">
        <v>2977</v>
      </c>
      <c r="K151" s="915">
        <v>-848771120</v>
      </c>
      <c r="L151"/>
    </row>
    <row r="152" spans="2:12">
      <c r="B152" t="s">
        <v>2848</v>
      </c>
      <c r="C152" s="915">
        <v>1193205721</v>
      </c>
      <c r="D152" s="915" t="s">
        <v>2858</v>
      </c>
      <c r="E152" s="915">
        <v>7643690</v>
      </c>
      <c r="F152" s="915">
        <v>10183</v>
      </c>
      <c r="G152" s="838"/>
      <c r="H152" s="838"/>
      <c r="I152" s="910">
        <v>1558300001</v>
      </c>
      <c r="J152" s="910" t="s">
        <v>2977</v>
      </c>
      <c r="K152" s="915">
        <v>-511335170</v>
      </c>
      <c r="L152"/>
    </row>
    <row r="153" spans="2:12">
      <c r="B153" t="s">
        <v>2848</v>
      </c>
      <c r="C153" s="915">
        <v>1193205735</v>
      </c>
      <c r="D153" s="915" t="s">
        <v>2913</v>
      </c>
      <c r="E153" s="915">
        <v>108440482</v>
      </c>
      <c r="F153" s="915">
        <v>-471075388</v>
      </c>
      <c r="G153" s="838"/>
      <c r="H153" s="838"/>
      <c r="I153" s="910">
        <v>1559110001</v>
      </c>
      <c r="J153" s="910" t="s">
        <v>2978</v>
      </c>
      <c r="K153" s="915">
        <v>-170086001</v>
      </c>
      <c r="L153"/>
    </row>
    <row r="154" spans="2:12">
      <c r="B154" t="s">
        <v>2848</v>
      </c>
      <c r="C154" s="915">
        <v>1193205736</v>
      </c>
      <c r="D154" s="915" t="s">
        <v>2914</v>
      </c>
      <c r="E154" s="915">
        <v>451706</v>
      </c>
      <c r="F154" s="915">
        <v>451706</v>
      </c>
      <c r="G154" s="838"/>
      <c r="H154" s="838"/>
      <c r="I154" s="910">
        <v>1559210000</v>
      </c>
      <c r="J154" s="910" t="s">
        <v>2979</v>
      </c>
      <c r="K154" s="915">
        <v>403410330</v>
      </c>
      <c r="L154"/>
    </row>
    <row r="155" spans="2:12">
      <c r="B155" t="s">
        <v>2848</v>
      </c>
      <c r="C155" s="915">
        <v>1193205742</v>
      </c>
      <c r="D155" s="915" t="s">
        <v>2915</v>
      </c>
      <c r="E155" s="915">
        <v>11337556</v>
      </c>
      <c r="F155" s="915">
        <v>109791443</v>
      </c>
      <c r="G155" s="838"/>
      <c r="H155" s="838"/>
      <c r="I155" s="910">
        <v>1581400000</v>
      </c>
      <c r="J155" s="910" t="s">
        <v>2835</v>
      </c>
      <c r="K155" s="915">
        <v>1349764990</v>
      </c>
      <c r="L155"/>
    </row>
    <row r="156" spans="2:12">
      <c r="B156" t="s">
        <v>2848</v>
      </c>
      <c r="C156" s="915">
        <v>1193205743</v>
      </c>
      <c r="D156" s="915" t="s">
        <v>3402</v>
      </c>
      <c r="E156" s="915">
        <v>2106253</v>
      </c>
      <c r="F156" s="915">
        <v>0</v>
      </c>
      <c r="G156" s="838"/>
      <c r="H156" s="838"/>
      <c r="I156" s="910">
        <v>1591000000</v>
      </c>
      <c r="J156" s="910" t="s">
        <v>2980</v>
      </c>
      <c r="K156" s="915">
        <v>12750062181</v>
      </c>
      <c r="L156"/>
    </row>
    <row r="157" spans="2:12">
      <c r="B157" t="s">
        <v>2848</v>
      </c>
      <c r="C157" s="915">
        <v>1193205750</v>
      </c>
      <c r="D157" s="915" t="s">
        <v>2916</v>
      </c>
      <c r="E157" s="915">
        <v>68726089</v>
      </c>
      <c r="F157" s="915">
        <v>7072708</v>
      </c>
      <c r="G157" s="838"/>
      <c r="H157" s="838"/>
      <c r="I157" s="910">
        <v>1722300000</v>
      </c>
      <c r="J157" s="910" t="s">
        <v>2981</v>
      </c>
      <c r="K157" s="915">
        <v>-660104493</v>
      </c>
      <c r="L157"/>
    </row>
    <row r="158" spans="2:12">
      <c r="B158" t="s">
        <v>2848</v>
      </c>
      <c r="C158" s="915">
        <v>1193205756</v>
      </c>
      <c r="D158" s="915" t="s">
        <v>2908</v>
      </c>
      <c r="E158" s="915">
        <v>1986798</v>
      </c>
      <c r="F158" s="915">
        <v>7426044</v>
      </c>
      <c r="G158" s="838"/>
      <c r="H158" s="838"/>
      <c r="I158" s="910">
        <v>2020110000</v>
      </c>
      <c r="J158" s="910" t="s">
        <v>2982</v>
      </c>
      <c r="K158" s="915">
        <v>-1495813864013</v>
      </c>
      <c r="L158"/>
    </row>
    <row r="159" spans="2:12">
      <c r="B159" t="s">
        <v>2848</v>
      </c>
      <c r="C159" s="915">
        <v>1193205764</v>
      </c>
      <c r="D159" s="915" t="s">
        <v>2917</v>
      </c>
      <c r="E159" s="915">
        <v>37538</v>
      </c>
      <c r="F159" s="915">
        <v>37538</v>
      </c>
      <c r="G159" s="838"/>
      <c r="H159" s="838"/>
      <c r="I159" s="910">
        <v>2020110005</v>
      </c>
      <c r="J159" s="910" t="s">
        <v>2983</v>
      </c>
      <c r="K159" s="915">
        <v>-34625495611</v>
      </c>
      <c r="L159"/>
    </row>
    <row r="160" spans="2:12">
      <c r="B160" t="s">
        <v>2848</v>
      </c>
      <c r="C160" s="915">
        <v>1193205765</v>
      </c>
      <c r="D160" s="915" t="s">
        <v>2918</v>
      </c>
      <c r="E160" s="915">
        <v>0</v>
      </c>
      <c r="F160" s="915">
        <v>63138</v>
      </c>
      <c r="G160" s="838"/>
      <c r="H160" s="838"/>
      <c r="I160" s="910">
        <v>2020110039</v>
      </c>
      <c r="J160" s="910" t="s">
        <v>2984</v>
      </c>
      <c r="K160" s="915">
        <v>-495497091</v>
      </c>
      <c r="L160"/>
    </row>
    <row r="161" spans="2:12">
      <c r="B161" t="s">
        <v>2848</v>
      </c>
      <c r="C161" s="915">
        <v>1193205766</v>
      </c>
      <c r="D161" s="915" t="s">
        <v>2868</v>
      </c>
      <c r="E161" s="915">
        <v>45129</v>
      </c>
      <c r="F161" s="915">
        <v>45129</v>
      </c>
      <c r="G161" s="838"/>
      <c r="H161" s="838"/>
      <c r="I161" s="910">
        <v>2020110050</v>
      </c>
      <c r="J161" s="910" t="s">
        <v>2985</v>
      </c>
      <c r="K161" s="915">
        <v>-14009815502</v>
      </c>
      <c r="L161"/>
    </row>
    <row r="162" spans="2:12">
      <c r="B162" t="s">
        <v>2848</v>
      </c>
      <c r="C162" s="915">
        <v>1193205773</v>
      </c>
      <c r="D162" s="915" t="s">
        <v>3405</v>
      </c>
      <c r="E162" s="915">
        <v>44600000</v>
      </c>
      <c r="F162" s="915">
        <v>0</v>
      </c>
      <c r="G162" s="838"/>
      <c r="H162" s="838"/>
      <c r="I162" s="910">
        <v>2020170000</v>
      </c>
      <c r="J162" s="910" t="s">
        <v>2986</v>
      </c>
      <c r="K162" s="915">
        <v>-15621001909</v>
      </c>
      <c r="L162"/>
    </row>
    <row r="163" spans="2:12">
      <c r="B163" t="s">
        <v>2848</v>
      </c>
      <c r="C163" s="915">
        <v>1193205812</v>
      </c>
      <c r="D163" s="915" t="s">
        <v>3742</v>
      </c>
      <c r="E163" s="915">
        <v>64711954</v>
      </c>
      <c r="F163" s="915">
        <v>0</v>
      </c>
      <c r="G163" s="838"/>
      <c r="H163" s="838"/>
      <c r="I163" s="910">
        <v>2020310000</v>
      </c>
      <c r="J163" s="910" t="s">
        <v>2987</v>
      </c>
      <c r="K163" s="915">
        <v>20502789206</v>
      </c>
      <c r="L163"/>
    </row>
    <row r="164" spans="2:12">
      <c r="B164" t="s">
        <v>2848</v>
      </c>
      <c r="C164" s="915">
        <v>1199999000</v>
      </c>
      <c r="D164" s="915" t="s">
        <v>2919</v>
      </c>
      <c r="E164" s="915">
        <v>-7450463</v>
      </c>
      <c r="F164" s="915">
        <v>6336578</v>
      </c>
      <c r="G164" s="838"/>
      <c r="H164" s="838"/>
      <c r="I164" s="910">
        <v>2020380000</v>
      </c>
      <c r="J164" s="910" t="s">
        <v>2988</v>
      </c>
      <c r="K164" s="915">
        <v>367717007</v>
      </c>
      <c r="L164"/>
    </row>
    <row r="165" spans="2:12">
      <c r="B165" t="s">
        <v>2848</v>
      </c>
      <c r="C165" s="915">
        <v>1211010000</v>
      </c>
      <c r="D165" s="915" t="s">
        <v>2920</v>
      </c>
      <c r="E165" s="915">
        <v>46808600502</v>
      </c>
      <c r="F165" s="915">
        <v>47036335917</v>
      </c>
      <c r="G165" s="838"/>
      <c r="H165" s="838"/>
      <c r="I165" s="910">
        <v>2030100000</v>
      </c>
      <c r="J165" s="910" t="s">
        <v>2989</v>
      </c>
      <c r="K165" s="915">
        <v>-82465329027</v>
      </c>
      <c r="L165"/>
    </row>
    <row r="166" spans="2:12">
      <c r="B166" t="s">
        <v>2848</v>
      </c>
      <c r="C166" s="915">
        <v>1211010036</v>
      </c>
      <c r="D166" s="915" t="s">
        <v>2921</v>
      </c>
      <c r="E166" s="915">
        <v>4672130398</v>
      </c>
      <c r="F166" s="915">
        <v>4468015159</v>
      </c>
      <c r="G166" s="838"/>
      <c r="H166" s="838"/>
      <c r="I166" s="910">
        <v>2042100000</v>
      </c>
      <c r="J166" s="910" t="s">
        <v>2990</v>
      </c>
      <c r="K166" s="915">
        <v>-293357523</v>
      </c>
      <c r="L166"/>
    </row>
    <row r="167" spans="2:12">
      <c r="B167" t="s">
        <v>2848</v>
      </c>
      <c r="C167" s="915">
        <v>1211010043</v>
      </c>
      <c r="D167" s="915" t="s">
        <v>2922</v>
      </c>
      <c r="E167" s="915">
        <v>79293110</v>
      </c>
      <c r="F167" s="915">
        <v>107185779</v>
      </c>
      <c r="G167" s="838"/>
      <c r="H167" s="838"/>
      <c r="I167" s="910">
        <v>2042100002</v>
      </c>
      <c r="J167" s="910" t="s">
        <v>2991</v>
      </c>
      <c r="K167" s="915">
        <v>-197323769</v>
      </c>
      <c r="L167"/>
    </row>
    <row r="168" spans="2:12">
      <c r="B168" t="s">
        <v>2848</v>
      </c>
      <c r="C168" s="915">
        <v>1211510001</v>
      </c>
      <c r="D168" s="915" t="s">
        <v>3743</v>
      </c>
      <c r="E168" s="915">
        <v>681803</v>
      </c>
      <c r="F168" s="915">
        <v>0</v>
      </c>
      <c r="G168" s="838"/>
      <c r="H168" s="838"/>
      <c r="I168" s="910">
        <v>2071120000</v>
      </c>
      <c r="J168" s="910" t="s">
        <v>2992</v>
      </c>
      <c r="K168" s="915">
        <v>-1149848504</v>
      </c>
      <c r="L168"/>
    </row>
    <row r="169" spans="2:12">
      <c r="B169" t="s">
        <v>2848</v>
      </c>
      <c r="C169" s="915">
        <v>1221020000</v>
      </c>
      <c r="D169" s="915" t="s">
        <v>2923</v>
      </c>
      <c r="E169" s="915">
        <v>76723117</v>
      </c>
      <c r="F169" s="915">
        <v>76683387</v>
      </c>
      <c r="G169" s="838"/>
      <c r="H169" s="838"/>
      <c r="I169" s="910">
        <v>2071320000</v>
      </c>
      <c r="J169" s="910" t="s">
        <v>2993</v>
      </c>
      <c r="K169" s="915">
        <v>711466380</v>
      </c>
      <c r="L169"/>
    </row>
    <row r="170" spans="2:12">
      <c r="B170" t="s">
        <v>2848</v>
      </c>
      <c r="C170" s="915">
        <v>1231012000</v>
      </c>
      <c r="D170" s="915" t="s">
        <v>2924</v>
      </c>
      <c r="E170" s="915">
        <v>27387</v>
      </c>
      <c r="F170" s="915">
        <v>292369</v>
      </c>
      <c r="G170" s="838"/>
      <c r="H170" s="838"/>
      <c r="I170" s="910">
        <v>2071331000</v>
      </c>
      <c r="J170" s="910" t="s">
        <v>2994</v>
      </c>
      <c r="K170" s="915">
        <v>-101934877397</v>
      </c>
      <c r="L170"/>
    </row>
    <row r="171" spans="2:12">
      <c r="B171" t="s">
        <v>2848</v>
      </c>
      <c r="C171" s="915">
        <v>1231700500</v>
      </c>
      <c r="D171" s="915" t="s">
        <v>2925</v>
      </c>
      <c r="E171" s="915">
        <v>15793169</v>
      </c>
      <c r="F171" s="915">
        <v>36962252</v>
      </c>
      <c r="G171" s="838"/>
      <c r="H171" s="838"/>
      <c r="I171" s="910">
        <v>2071331029</v>
      </c>
      <c r="J171" s="910" t="s">
        <v>2995</v>
      </c>
      <c r="K171" s="915">
        <v>-30157397561</v>
      </c>
      <c r="L171"/>
    </row>
    <row r="172" spans="2:12">
      <c r="B172" t="s">
        <v>2848</v>
      </c>
      <c r="C172" s="915">
        <v>1231700501</v>
      </c>
      <c r="D172" s="915" t="s">
        <v>2926</v>
      </c>
      <c r="E172" s="915">
        <v>5918051</v>
      </c>
      <c r="F172" s="915">
        <v>6993071</v>
      </c>
      <c r="G172" s="838"/>
      <c r="H172" s="838"/>
      <c r="I172" s="910">
        <v>2071333000</v>
      </c>
      <c r="J172" s="910" t="s">
        <v>2996</v>
      </c>
      <c r="K172" s="915">
        <v>37725919595</v>
      </c>
      <c r="L172"/>
    </row>
    <row r="173" spans="2:12">
      <c r="B173" t="s">
        <v>2848</v>
      </c>
      <c r="C173" s="915">
        <v>1250200000</v>
      </c>
      <c r="D173" s="915" t="s">
        <v>2927</v>
      </c>
      <c r="E173" s="915">
        <v>-9509325393</v>
      </c>
      <c r="F173" s="915">
        <v>-9503799586</v>
      </c>
      <c r="G173" s="838"/>
      <c r="H173" s="838"/>
      <c r="I173" s="910">
        <v>2071333001</v>
      </c>
      <c r="J173" s="910" t="s">
        <v>2997</v>
      </c>
      <c r="K173" s="915">
        <v>9212932336</v>
      </c>
      <c r="L173"/>
    </row>
    <row r="174" spans="2:12">
      <c r="B174" t="s">
        <v>2848</v>
      </c>
      <c r="C174" s="915">
        <v>1311010000</v>
      </c>
      <c r="D174" s="915" t="s">
        <v>2928</v>
      </c>
      <c r="E174" s="915">
        <v>16170019706</v>
      </c>
      <c r="F174" s="915">
        <v>5401760125</v>
      </c>
      <c r="G174" s="838"/>
      <c r="H174" s="838"/>
      <c r="I174" s="910">
        <v>2080100001</v>
      </c>
      <c r="J174" s="910" t="s">
        <v>2998</v>
      </c>
      <c r="K174" s="915">
        <v>-5564253353</v>
      </c>
      <c r="L174"/>
    </row>
    <row r="175" spans="2:12">
      <c r="B175" t="s">
        <v>2848</v>
      </c>
      <c r="C175" s="915">
        <v>1311010002</v>
      </c>
      <c r="D175" s="915" t="s">
        <v>2929</v>
      </c>
      <c r="E175" s="915">
        <v>682774</v>
      </c>
      <c r="F175" s="915">
        <v>83369</v>
      </c>
      <c r="G175" s="838"/>
      <c r="H175" s="838"/>
      <c r="I175" s="910">
        <v>2080100002</v>
      </c>
      <c r="J175" s="910" t="s">
        <v>2999</v>
      </c>
      <c r="K175" s="915">
        <v>-275946923</v>
      </c>
      <c r="L175"/>
    </row>
    <row r="176" spans="2:12">
      <c r="B176" t="s">
        <v>2848</v>
      </c>
      <c r="C176" s="915">
        <v>1411400000</v>
      </c>
      <c r="D176" s="915" t="s">
        <v>2930</v>
      </c>
      <c r="E176" s="915">
        <v>-2431384783</v>
      </c>
      <c r="F176" s="915">
        <v>-2613155578</v>
      </c>
      <c r="G176" s="838"/>
      <c r="H176" s="838"/>
      <c r="I176" s="910">
        <v>2080100010</v>
      </c>
      <c r="J176" s="910" t="s">
        <v>3000</v>
      </c>
      <c r="K176" s="915">
        <v>-148713568110</v>
      </c>
      <c r="L176"/>
    </row>
    <row r="177" spans="2:12">
      <c r="B177" t="s">
        <v>2848</v>
      </c>
      <c r="C177" s="915">
        <v>1429310003</v>
      </c>
      <c r="D177" s="915" t="s">
        <v>2931</v>
      </c>
      <c r="E177" s="915">
        <v>117694546</v>
      </c>
      <c r="F177" s="915">
        <v>110148844</v>
      </c>
      <c r="G177" s="838"/>
      <c r="H177" s="838"/>
      <c r="I177" s="910">
        <v>2080100019</v>
      </c>
      <c r="J177" s="910" t="s">
        <v>3001</v>
      </c>
      <c r="K177" s="915">
        <v>-123940960</v>
      </c>
      <c r="L177"/>
    </row>
    <row r="178" spans="2:12">
      <c r="B178" t="s">
        <v>2848</v>
      </c>
      <c r="C178" s="915">
        <v>1441100012</v>
      </c>
      <c r="D178" s="915" t="s">
        <v>2932</v>
      </c>
      <c r="E178" s="915">
        <v>60821</v>
      </c>
      <c r="F178" s="915">
        <v>-3800084</v>
      </c>
      <c r="G178" s="838"/>
      <c r="H178" s="838"/>
      <c r="I178" s="910">
        <v>2211000000</v>
      </c>
      <c r="J178" s="910" t="s">
        <v>3002</v>
      </c>
      <c r="K178" s="915">
        <v>-660903380</v>
      </c>
      <c r="L178"/>
    </row>
    <row r="179" spans="2:12">
      <c r="B179" t="s">
        <v>2848</v>
      </c>
      <c r="C179" s="915">
        <v>1441100021</v>
      </c>
      <c r="D179" s="915" t="s">
        <v>2933</v>
      </c>
      <c r="E179" s="915">
        <v>327895699</v>
      </c>
      <c r="F179" s="915">
        <v>333558012</v>
      </c>
      <c r="G179" s="838"/>
      <c r="H179" s="838"/>
      <c r="I179" s="910">
        <v>2211040003</v>
      </c>
      <c r="J179" s="910" t="s">
        <v>3003</v>
      </c>
      <c r="K179" s="915">
        <v>-11854372</v>
      </c>
      <c r="L179"/>
    </row>
    <row r="180" spans="2:12">
      <c r="B180" t="s">
        <v>2848</v>
      </c>
      <c r="C180" s="915">
        <v>1441100028</v>
      </c>
      <c r="D180" s="915" t="s">
        <v>2934</v>
      </c>
      <c r="E180" s="915">
        <v>53757770</v>
      </c>
      <c r="F180" s="915">
        <v>0</v>
      </c>
      <c r="G180" s="838"/>
      <c r="H180" s="838"/>
      <c r="I180" s="910">
        <v>2221020002</v>
      </c>
      <c r="J180" s="910" t="s">
        <v>3004</v>
      </c>
      <c r="K180" s="915">
        <v>-985088058</v>
      </c>
      <c r="L180"/>
    </row>
    <row r="181" spans="2:12">
      <c r="B181" t="s">
        <v>2848</v>
      </c>
      <c r="C181" s="915">
        <v>1441100118</v>
      </c>
      <c r="D181" s="915" t="s">
        <v>2935</v>
      </c>
      <c r="E181" s="915">
        <v>23892085</v>
      </c>
      <c r="F181" s="915">
        <v>9842563</v>
      </c>
      <c r="G181" s="838"/>
      <c r="H181" s="838"/>
      <c r="I181" s="910">
        <v>2221030006</v>
      </c>
      <c r="J181" s="910" t="s">
        <v>3005</v>
      </c>
      <c r="K181" s="915">
        <v>-1110180802</v>
      </c>
      <c r="L181"/>
    </row>
    <row r="182" spans="2:12">
      <c r="B182" t="s">
        <v>2848</v>
      </c>
      <c r="C182" s="915">
        <v>1441110034</v>
      </c>
      <c r="D182" s="915" t="s">
        <v>2936</v>
      </c>
      <c r="E182" s="915">
        <v>-269435857</v>
      </c>
      <c r="F182" s="915">
        <v>-158400596</v>
      </c>
      <c r="G182" s="838"/>
      <c r="H182" s="838"/>
      <c r="I182" s="910">
        <v>2221700101</v>
      </c>
      <c r="J182" s="910" t="s">
        <v>3006</v>
      </c>
      <c r="K182" s="915">
        <v>516915324</v>
      </c>
      <c r="L182"/>
    </row>
    <row r="183" spans="2:12">
      <c r="B183" t="s">
        <v>2848</v>
      </c>
      <c r="C183" s="915">
        <v>1441110035</v>
      </c>
      <c r="D183" s="915" t="s">
        <v>2937</v>
      </c>
      <c r="E183" s="915">
        <v>142403544</v>
      </c>
      <c r="F183" s="915">
        <v>119932995</v>
      </c>
      <c r="G183" s="838"/>
      <c r="H183" s="838"/>
      <c r="I183" s="910">
        <v>2231700012</v>
      </c>
      <c r="J183" s="910" t="s">
        <v>3007</v>
      </c>
      <c r="K183" s="915">
        <v>-52247769</v>
      </c>
      <c r="L183"/>
    </row>
    <row r="184" spans="2:12">
      <c r="B184" t="s">
        <v>2848</v>
      </c>
      <c r="C184" s="915">
        <v>1441110036</v>
      </c>
      <c r="D184" s="915" t="s">
        <v>2938</v>
      </c>
      <c r="E184" s="915">
        <v>300862022</v>
      </c>
      <c r="F184" s="915">
        <v>299002237</v>
      </c>
      <c r="G184" s="838"/>
      <c r="H184" s="838"/>
      <c r="I184" s="910">
        <v>2231700014</v>
      </c>
      <c r="J184" s="910" t="s">
        <v>3008</v>
      </c>
      <c r="K184" s="915">
        <v>-228368</v>
      </c>
      <c r="L184"/>
    </row>
    <row r="185" spans="2:12">
      <c r="B185" t="s">
        <v>2848</v>
      </c>
      <c r="C185" s="915">
        <v>1441113000</v>
      </c>
      <c r="D185" s="915" t="s">
        <v>2939</v>
      </c>
      <c r="E185" s="915">
        <v>404170843</v>
      </c>
      <c r="F185" s="915">
        <v>2092102309</v>
      </c>
      <c r="G185" s="838"/>
      <c r="H185" s="838"/>
      <c r="I185" s="910">
        <v>2311010000</v>
      </c>
      <c r="J185" s="910" t="s">
        <v>3009</v>
      </c>
      <c r="K185" s="915">
        <v>-20345053882</v>
      </c>
      <c r="L185"/>
    </row>
    <row r="186" spans="2:12">
      <c r="B186" t="s">
        <v>2848</v>
      </c>
      <c r="C186" s="915">
        <v>1442100000</v>
      </c>
      <c r="D186" s="915" t="s">
        <v>2940</v>
      </c>
      <c r="E186" s="915">
        <v>837013130</v>
      </c>
      <c r="F186" s="915">
        <v>343371016</v>
      </c>
      <c r="G186" s="838"/>
      <c r="H186" s="838"/>
      <c r="I186" s="910">
        <v>2311011100</v>
      </c>
      <c r="J186" s="910" t="s">
        <v>3010</v>
      </c>
      <c r="K186" s="915">
        <v>-12470912735</v>
      </c>
      <c r="L186"/>
    </row>
    <row r="187" spans="2:12">
      <c r="B187" t="s">
        <v>2848</v>
      </c>
      <c r="C187" s="915">
        <v>1442100003</v>
      </c>
      <c r="D187" s="915" t="s">
        <v>2941</v>
      </c>
      <c r="E187" s="915">
        <v>-17228725</v>
      </c>
      <c r="F187" s="915">
        <v>-13648401</v>
      </c>
      <c r="G187" s="838"/>
      <c r="H187" s="838"/>
      <c r="I187" s="910">
        <v>2413100000</v>
      </c>
      <c r="J187" s="910" t="s">
        <v>3011</v>
      </c>
      <c r="K187" s="915">
        <v>-4257681675</v>
      </c>
      <c r="L187"/>
    </row>
    <row r="188" spans="2:12">
      <c r="B188" t="s">
        <v>2848</v>
      </c>
      <c r="C188" s="915">
        <v>1442300000</v>
      </c>
      <c r="D188" s="915" t="s">
        <v>2942</v>
      </c>
      <c r="E188" s="915">
        <v>637826543</v>
      </c>
      <c r="F188" s="915">
        <v>844515389</v>
      </c>
      <c r="G188" s="838"/>
      <c r="H188" s="838"/>
      <c r="I188" s="910">
        <v>2441111000</v>
      </c>
      <c r="J188" s="910" t="s">
        <v>3012</v>
      </c>
      <c r="K188" s="915">
        <v>-1763162</v>
      </c>
      <c r="L188"/>
    </row>
    <row r="189" spans="2:12">
      <c r="B189" t="s">
        <v>2848</v>
      </c>
      <c r="C189" s="915">
        <v>1442370000</v>
      </c>
      <c r="D189" s="915" t="s">
        <v>2943</v>
      </c>
      <c r="E189" s="915">
        <v>632644</v>
      </c>
      <c r="F189" s="915">
        <v>632644</v>
      </c>
      <c r="G189" s="838"/>
      <c r="H189" s="838"/>
      <c r="I189" s="910">
        <v>2441112000</v>
      </c>
      <c r="J189" s="910" t="s">
        <v>3013</v>
      </c>
      <c r="K189" s="915">
        <v>-241188946</v>
      </c>
      <c r="L189"/>
    </row>
    <row r="190" spans="2:12">
      <c r="B190" t="s">
        <v>2848</v>
      </c>
      <c r="C190" s="915">
        <v>1442801000</v>
      </c>
      <c r="D190" s="915" t="s">
        <v>3744</v>
      </c>
      <c r="E190" s="915">
        <v>120810206</v>
      </c>
      <c r="F190" s="915">
        <v>99273088</v>
      </c>
      <c r="G190" s="838"/>
      <c r="H190" s="838"/>
      <c r="I190" s="910">
        <v>2441112012</v>
      </c>
      <c r="J190" s="910" t="s">
        <v>3014</v>
      </c>
      <c r="K190" s="915">
        <v>0</v>
      </c>
      <c r="L190"/>
    </row>
    <row r="191" spans="2:12">
      <c r="B191" t="s">
        <v>2848</v>
      </c>
      <c r="C191" s="915">
        <v>1442999900</v>
      </c>
      <c r="D191" s="915" t="s">
        <v>2945</v>
      </c>
      <c r="E191" s="915">
        <v>70088</v>
      </c>
      <c r="F191" s="915">
        <v>15805407</v>
      </c>
      <c r="G191" s="838"/>
      <c r="H191" s="838"/>
      <c r="I191" s="910">
        <v>2441112028</v>
      </c>
      <c r="J191" s="910" t="s">
        <v>3015</v>
      </c>
      <c r="K191" s="915">
        <v>-73580623</v>
      </c>
      <c r="L191"/>
    </row>
    <row r="192" spans="2:12">
      <c r="B192" t="s">
        <v>2848</v>
      </c>
      <c r="C192" s="915">
        <v>1443020000</v>
      </c>
      <c r="D192" s="915" t="s">
        <v>2946</v>
      </c>
      <c r="E192" s="915">
        <v>34200000</v>
      </c>
      <c r="F192" s="915">
        <v>2500000</v>
      </c>
      <c r="G192" s="838"/>
      <c r="H192" s="838"/>
      <c r="I192" s="910">
        <v>2441112032</v>
      </c>
      <c r="J192" s="910" t="s">
        <v>3016</v>
      </c>
      <c r="K192" s="915">
        <v>-863558355</v>
      </c>
      <c r="L192"/>
    </row>
    <row r="193" spans="2:12">
      <c r="B193" t="s">
        <v>2848</v>
      </c>
      <c r="C193" s="915">
        <v>1449500003</v>
      </c>
      <c r="D193" s="915" t="s">
        <v>2947</v>
      </c>
      <c r="E193" s="915">
        <v>405213296</v>
      </c>
      <c r="F193" s="915">
        <v>99136104</v>
      </c>
      <c r="G193" s="838"/>
      <c r="H193" s="838"/>
      <c r="I193" s="910">
        <v>2441112046</v>
      </c>
      <c r="J193" s="910" t="s">
        <v>3017</v>
      </c>
      <c r="K193" s="915">
        <v>-12556000</v>
      </c>
      <c r="L193"/>
    </row>
    <row r="194" spans="2:12">
      <c r="B194" t="s">
        <v>2848</v>
      </c>
      <c r="C194" s="915">
        <v>1450004022</v>
      </c>
      <c r="D194" s="915" t="s">
        <v>2948</v>
      </c>
      <c r="E194" s="915">
        <v>588714373</v>
      </c>
      <c r="F194" s="915">
        <v>560334806</v>
      </c>
      <c r="G194" s="838"/>
      <c r="H194" s="838"/>
      <c r="I194" s="910">
        <v>2441112052</v>
      </c>
      <c r="J194" s="910" t="s">
        <v>3018</v>
      </c>
      <c r="K194" s="915">
        <v>-204030347</v>
      </c>
      <c r="L194"/>
    </row>
    <row r="195" spans="2:12">
      <c r="B195" t="s">
        <v>2848</v>
      </c>
      <c r="C195" s="915">
        <v>1455200024</v>
      </c>
      <c r="D195" s="915" t="s">
        <v>2949</v>
      </c>
      <c r="E195" s="915">
        <v>897964522</v>
      </c>
      <c r="F195" s="915">
        <v>175618912</v>
      </c>
      <c r="G195" s="838"/>
      <c r="H195" s="838"/>
      <c r="I195" s="910">
        <v>2441112056</v>
      </c>
      <c r="J195" s="910" t="s">
        <v>3019</v>
      </c>
      <c r="K195" s="915">
        <v>1678727</v>
      </c>
      <c r="L195"/>
    </row>
    <row r="196" spans="2:12">
      <c r="B196" t="s">
        <v>2848</v>
      </c>
      <c r="C196" s="915">
        <v>1455200071</v>
      </c>
      <c r="D196" s="915" t="s">
        <v>2950</v>
      </c>
      <c r="E196" s="915">
        <v>4923019052</v>
      </c>
      <c r="F196" s="915">
        <v>3790441760</v>
      </c>
      <c r="G196" s="838"/>
      <c r="H196" s="838"/>
      <c r="I196" s="910">
        <v>2441112160</v>
      </c>
      <c r="J196" s="910" t="s">
        <v>3020</v>
      </c>
      <c r="K196" s="915">
        <v>-423966098</v>
      </c>
      <c r="L196"/>
    </row>
    <row r="197" spans="2:12">
      <c r="B197" t="s">
        <v>2848</v>
      </c>
      <c r="C197" s="915">
        <v>1456100026</v>
      </c>
      <c r="D197" s="915" t="s">
        <v>2951</v>
      </c>
      <c r="E197" s="915">
        <v>3610169</v>
      </c>
      <c r="F197" s="915">
        <v>823633</v>
      </c>
      <c r="G197" s="838"/>
      <c r="H197" s="838"/>
      <c r="I197" s="910">
        <v>2441112200</v>
      </c>
      <c r="J197" s="910" t="s">
        <v>3021</v>
      </c>
      <c r="K197" s="915">
        <v>-225655262</v>
      </c>
      <c r="L197"/>
    </row>
    <row r="198" spans="2:12">
      <c r="B198" t="s">
        <v>2848</v>
      </c>
      <c r="C198" s="915">
        <v>1456200020</v>
      </c>
      <c r="D198" s="915" t="s">
        <v>2952</v>
      </c>
      <c r="E198" s="915">
        <v>-724305450</v>
      </c>
      <c r="F198" s="915">
        <v>-730639033</v>
      </c>
      <c r="G198" s="838"/>
      <c r="H198" s="838"/>
      <c r="I198" s="910">
        <v>2441112300</v>
      </c>
      <c r="J198" s="910" t="s">
        <v>3022</v>
      </c>
      <c r="K198" s="915">
        <v>-1110336876</v>
      </c>
      <c r="L198"/>
    </row>
    <row r="199" spans="2:12">
      <c r="B199" t="s">
        <v>2848</v>
      </c>
      <c r="C199" s="915">
        <v>1456300026</v>
      </c>
      <c r="D199" s="915" t="s">
        <v>2953</v>
      </c>
      <c r="E199" s="915">
        <v>26840</v>
      </c>
      <c r="F199" s="915">
        <v>26840</v>
      </c>
      <c r="G199" s="838"/>
      <c r="H199" s="838"/>
      <c r="I199" s="910">
        <v>2442100006</v>
      </c>
      <c r="J199" s="910" t="s">
        <v>3023</v>
      </c>
      <c r="K199" s="915">
        <v>19276497</v>
      </c>
      <c r="L199"/>
    </row>
    <row r="200" spans="2:12">
      <c r="B200" t="s">
        <v>2848</v>
      </c>
      <c r="C200" s="915">
        <v>1456810001</v>
      </c>
      <c r="D200" s="915" t="s">
        <v>2954</v>
      </c>
      <c r="E200" s="915">
        <v>10416332511</v>
      </c>
      <c r="F200" s="915">
        <v>10471850279</v>
      </c>
      <c r="G200" s="838"/>
      <c r="H200" s="838"/>
      <c r="I200" s="910">
        <v>2442100010</v>
      </c>
      <c r="J200" s="910" t="s">
        <v>3024</v>
      </c>
      <c r="K200" s="915">
        <v>-1033315221</v>
      </c>
      <c r="L200"/>
    </row>
    <row r="201" spans="2:12">
      <c r="B201" t="s">
        <v>2848</v>
      </c>
      <c r="C201" s="915">
        <v>1481210000</v>
      </c>
      <c r="D201" s="915" t="s">
        <v>2955</v>
      </c>
      <c r="E201" s="915">
        <v>-230482086</v>
      </c>
      <c r="F201" s="915">
        <v>-192707101</v>
      </c>
      <c r="G201" s="838"/>
      <c r="H201" s="838"/>
      <c r="I201" s="910">
        <v>2442300000</v>
      </c>
      <c r="J201" s="910" t="s">
        <v>3025</v>
      </c>
      <c r="K201" s="915">
        <v>-171539024</v>
      </c>
      <c r="L201"/>
    </row>
    <row r="202" spans="2:12">
      <c r="B202" t="s">
        <v>2848</v>
      </c>
      <c r="C202" s="915">
        <v>1481220000</v>
      </c>
      <c r="D202" s="915" t="s">
        <v>2956</v>
      </c>
      <c r="E202" s="915">
        <v>-464407153</v>
      </c>
      <c r="F202" s="915">
        <v>-465423666</v>
      </c>
      <c r="G202" s="838"/>
      <c r="H202" s="838"/>
      <c r="I202" s="910">
        <v>2442300003</v>
      </c>
      <c r="J202" s="910" t="s">
        <v>3026</v>
      </c>
      <c r="K202" s="915">
        <v>-22673898</v>
      </c>
      <c r="L202"/>
    </row>
    <row r="203" spans="2:12">
      <c r="B203" t="s">
        <v>2848</v>
      </c>
      <c r="C203" s="915">
        <v>1490210000</v>
      </c>
      <c r="D203" s="915" t="s">
        <v>2957</v>
      </c>
      <c r="E203" s="915">
        <v>-22699615</v>
      </c>
      <c r="F203" s="915">
        <v>708647357</v>
      </c>
      <c r="G203" s="838"/>
      <c r="H203" s="838"/>
      <c r="I203" s="910">
        <v>2442300011</v>
      </c>
      <c r="J203" s="910" t="s">
        <v>3027</v>
      </c>
      <c r="K203" s="915">
        <v>-547619914</v>
      </c>
      <c r="L203"/>
    </row>
    <row r="204" spans="2:12">
      <c r="B204" t="s">
        <v>2848</v>
      </c>
      <c r="C204" s="915">
        <v>1490210001</v>
      </c>
      <c r="D204" s="915" t="s">
        <v>2958</v>
      </c>
      <c r="E204" s="915">
        <v>32341063</v>
      </c>
      <c r="F204" s="915">
        <v>139738440</v>
      </c>
      <c r="G204" s="838"/>
      <c r="H204" s="838"/>
      <c r="I204" s="910">
        <v>2442850000</v>
      </c>
      <c r="J204" s="910" t="s">
        <v>3745</v>
      </c>
      <c r="K204" s="915">
        <v>-3542856307</v>
      </c>
      <c r="L204"/>
    </row>
    <row r="205" spans="2:12">
      <c r="B205" t="s">
        <v>2848</v>
      </c>
      <c r="C205" s="915">
        <v>1490210004</v>
      </c>
      <c r="D205" s="915" t="s">
        <v>2959</v>
      </c>
      <c r="E205" s="915">
        <v>-194163627</v>
      </c>
      <c r="F205" s="915">
        <v>-110987885</v>
      </c>
      <c r="G205" s="838"/>
      <c r="H205" s="838"/>
      <c r="I205" s="910">
        <v>2443010007</v>
      </c>
      <c r="J205" s="910" t="s">
        <v>3029</v>
      </c>
      <c r="K205" s="915">
        <v>-68327344</v>
      </c>
      <c r="L205"/>
    </row>
    <row r="206" spans="2:12">
      <c r="B206" t="s">
        <v>2848</v>
      </c>
      <c r="C206" s="915">
        <v>1490920000</v>
      </c>
      <c r="D206" s="915" t="s">
        <v>2960</v>
      </c>
      <c r="E206" s="915">
        <v>4520699212</v>
      </c>
      <c r="F206" s="915">
        <v>4051547792</v>
      </c>
      <c r="G206" s="838"/>
      <c r="H206" s="838"/>
      <c r="I206" s="910">
        <v>2443010008</v>
      </c>
      <c r="J206" s="910" t="s">
        <v>3030</v>
      </c>
      <c r="K206" s="915">
        <v>39196882</v>
      </c>
      <c r="L206"/>
    </row>
    <row r="207" spans="2:12">
      <c r="B207" t="s">
        <v>2848</v>
      </c>
      <c r="C207" s="915">
        <v>1491110000</v>
      </c>
      <c r="D207" s="915" t="s">
        <v>2961</v>
      </c>
      <c r="E207" s="915">
        <v>1557525063</v>
      </c>
      <c r="F207" s="915">
        <v>1450956821</v>
      </c>
      <c r="G207" s="838"/>
      <c r="H207" s="838"/>
      <c r="I207" s="910">
        <v>2443010022</v>
      </c>
      <c r="J207" s="910" t="s">
        <v>3031</v>
      </c>
      <c r="K207" s="915">
        <v>-778392</v>
      </c>
      <c r="L207"/>
    </row>
    <row r="208" spans="2:12">
      <c r="B208" t="s">
        <v>2848</v>
      </c>
      <c r="C208" s="915">
        <v>1491110013</v>
      </c>
      <c r="D208" s="915" t="s">
        <v>2962</v>
      </c>
      <c r="E208" s="915">
        <v>204867552</v>
      </c>
      <c r="F208" s="915">
        <v>102433776</v>
      </c>
      <c r="G208" s="838"/>
      <c r="H208" s="838"/>
      <c r="I208" s="910">
        <v>2443010026</v>
      </c>
      <c r="J208" s="910" t="s">
        <v>3032</v>
      </c>
      <c r="K208" s="915">
        <v>-29714445</v>
      </c>
      <c r="L208"/>
    </row>
    <row r="209" spans="2:12">
      <c r="B209" t="s">
        <v>2848</v>
      </c>
      <c r="C209" s="915">
        <v>1491110014</v>
      </c>
      <c r="D209" s="915" t="s">
        <v>2963</v>
      </c>
      <c r="E209" s="915">
        <v>6041283</v>
      </c>
      <c r="F209" s="915">
        <v>6041283</v>
      </c>
      <c r="G209" s="838"/>
      <c r="H209" s="838"/>
      <c r="I209" s="910">
        <v>2443010029</v>
      </c>
      <c r="J209" s="910" t="s">
        <v>3746</v>
      </c>
      <c r="K209" s="915">
        <v>-2180154346</v>
      </c>
      <c r="L209"/>
    </row>
    <row r="210" spans="2:12">
      <c r="B210" t="s">
        <v>2848</v>
      </c>
      <c r="C210" s="915">
        <v>1491110015</v>
      </c>
      <c r="D210" s="915" t="s">
        <v>2964</v>
      </c>
      <c r="E210" s="915">
        <v>175607097</v>
      </c>
      <c r="F210" s="915">
        <v>78694977</v>
      </c>
      <c r="G210" s="838"/>
      <c r="H210" s="838"/>
      <c r="I210" s="910">
        <v>2443510046</v>
      </c>
      <c r="J210" s="910" t="s">
        <v>3033</v>
      </c>
      <c r="K210" s="915">
        <v>-1295862412</v>
      </c>
      <c r="L210"/>
    </row>
    <row r="211" spans="2:12">
      <c r="B211" t="s">
        <v>2848</v>
      </c>
      <c r="C211" s="915">
        <v>1491110100</v>
      </c>
      <c r="D211" s="915" t="s">
        <v>2965</v>
      </c>
      <c r="E211" s="915">
        <v>322386946</v>
      </c>
      <c r="F211" s="915">
        <v>322386946</v>
      </c>
      <c r="G211" s="838"/>
      <c r="H211" s="838"/>
      <c r="I211" s="910">
        <v>2455200004</v>
      </c>
      <c r="J211" s="910" t="s">
        <v>3034</v>
      </c>
      <c r="K211" s="915">
        <v>-9096199</v>
      </c>
      <c r="L211"/>
    </row>
    <row r="212" spans="2:12">
      <c r="B212" t="s">
        <v>2848</v>
      </c>
      <c r="C212" s="915">
        <v>1541110000</v>
      </c>
      <c r="D212" s="915" t="s">
        <v>2821</v>
      </c>
      <c r="E212" s="915">
        <v>556220561</v>
      </c>
      <c r="F212" s="915">
        <v>527059515</v>
      </c>
      <c r="G212" s="838"/>
      <c r="H212" s="838"/>
      <c r="I212" s="910">
        <v>2456100009</v>
      </c>
      <c r="J212" s="910" t="s">
        <v>3035</v>
      </c>
      <c r="K212" s="915">
        <v>-513652</v>
      </c>
      <c r="L212"/>
    </row>
    <row r="213" spans="2:12">
      <c r="B213" t="s">
        <v>2848</v>
      </c>
      <c r="C213" s="915">
        <v>1541110000</v>
      </c>
      <c r="D213" s="915" t="s">
        <v>2821</v>
      </c>
      <c r="E213" s="915">
        <v>8798052</v>
      </c>
      <c r="F213" s="915">
        <v>8798052</v>
      </c>
      <c r="G213" s="838"/>
      <c r="H213" s="838"/>
      <c r="I213" s="910">
        <v>2456200002</v>
      </c>
      <c r="J213" s="910" t="s">
        <v>3036</v>
      </c>
      <c r="K213" s="915">
        <v>406799593</v>
      </c>
      <c r="L213"/>
    </row>
    <row r="214" spans="2:12">
      <c r="B214" t="s">
        <v>2848</v>
      </c>
      <c r="C214" s="915">
        <v>1541180000</v>
      </c>
      <c r="D214" s="915" t="s">
        <v>2966</v>
      </c>
      <c r="E214" s="915">
        <v>-349126788</v>
      </c>
      <c r="F214" s="915">
        <v>-322414183</v>
      </c>
      <c r="G214" s="838"/>
      <c r="H214" s="838"/>
      <c r="I214" s="910">
        <v>2456300002</v>
      </c>
      <c r="J214" s="910" t="s">
        <v>3037</v>
      </c>
      <c r="K214" s="915">
        <v>-904586394</v>
      </c>
      <c r="L214"/>
    </row>
    <row r="215" spans="2:12">
      <c r="B215" t="s">
        <v>2848</v>
      </c>
      <c r="C215" s="915">
        <v>1551110000</v>
      </c>
      <c r="D215" s="915" t="s">
        <v>2967</v>
      </c>
      <c r="E215" s="915">
        <v>4070308350</v>
      </c>
      <c r="F215" s="915">
        <v>4069414212</v>
      </c>
      <c r="G215" s="838"/>
      <c r="H215" s="838"/>
      <c r="I215" s="910">
        <v>2471010003</v>
      </c>
      <c r="J215" s="910" t="s">
        <v>3038</v>
      </c>
      <c r="K215" s="915">
        <v>-523262959</v>
      </c>
      <c r="L215"/>
    </row>
    <row r="216" spans="2:12">
      <c r="B216" t="s">
        <v>2848</v>
      </c>
      <c r="C216" s="915">
        <v>1551110000</v>
      </c>
      <c r="D216" s="915" t="s">
        <v>2967</v>
      </c>
      <c r="E216" s="915">
        <v>689620</v>
      </c>
      <c r="F216" s="915">
        <v>689620</v>
      </c>
      <c r="G216" s="838"/>
      <c r="H216" s="838"/>
      <c r="I216" s="910">
        <v>2471010004</v>
      </c>
      <c r="J216" s="910" t="s">
        <v>3039</v>
      </c>
      <c r="K216" s="915">
        <v>0</v>
      </c>
      <c r="L216"/>
    </row>
    <row r="217" spans="2:12">
      <c r="B217" t="s">
        <v>2848</v>
      </c>
      <c r="C217" s="915">
        <v>1551110000</v>
      </c>
      <c r="D217" s="915" t="s">
        <v>2967</v>
      </c>
      <c r="E217" s="915">
        <v>3949000</v>
      </c>
      <c r="F217" s="915">
        <v>3949000</v>
      </c>
      <c r="G217" s="838"/>
      <c r="H217" s="838"/>
      <c r="I217" s="910">
        <v>2490210000</v>
      </c>
      <c r="J217" s="910" t="s">
        <v>3040</v>
      </c>
      <c r="K217" s="915">
        <v>-954457762</v>
      </c>
      <c r="L217"/>
    </row>
    <row r="218" spans="2:12">
      <c r="B218" t="s">
        <v>2848</v>
      </c>
      <c r="C218" s="915">
        <v>1551180000</v>
      </c>
      <c r="D218" s="915" t="s">
        <v>2968</v>
      </c>
      <c r="E218" s="915">
        <v>-2633423524</v>
      </c>
      <c r="F218" s="915">
        <v>-2531326900</v>
      </c>
      <c r="G218" s="838"/>
      <c r="H218" s="838"/>
      <c r="I218" s="910">
        <v>2490500003</v>
      </c>
      <c r="J218" s="910" t="s">
        <v>3041</v>
      </c>
      <c r="K218" s="915">
        <v>-353973599</v>
      </c>
      <c r="L218"/>
    </row>
    <row r="219" spans="2:12">
      <c r="B219" t="s">
        <v>2848</v>
      </c>
      <c r="C219" s="915">
        <v>1551180001</v>
      </c>
      <c r="D219" s="915" t="s">
        <v>2969</v>
      </c>
      <c r="E219" s="915">
        <v>-182026222</v>
      </c>
      <c r="F219" s="915">
        <v>-182026222</v>
      </c>
      <c r="G219" s="838"/>
      <c r="H219" s="838"/>
      <c r="I219" s="910">
        <v>2490500009</v>
      </c>
      <c r="J219" s="910" t="s">
        <v>3042</v>
      </c>
      <c r="K219" s="915">
        <v>254886</v>
      </c>
      <c r="L219"/>
    </row>
    <row r="220" spans="2:12">
      <c r="B220" t="s">
        <v>2848</v>
      </c>
      <c r="C220" s="915">
        <v>1552110000</v>
      </c>
      <c r="D220" s="915" t="s">
        <v>2970</v>
      </c>
      <c r="E220" s="915">
        <v>20936728</v>
      </c>
      <c r="F220" s="915">
        <v>20913882</v>
      </c>
      <c r="G220" s="838"/>
      <c r="H220" s="838"/>
      <c r="I220" s="910">
        <v>2490500014</v>
      </c>
      <c r="J220" s="910" t="s">
        <v>3043</v>
      </c>
      <c r="K220" s="915">
        <v>-28819297</v>
      </c>
      <c r="L220"/>
    </row>
    <row r="221" spans="2:12">
      <c r="B221" t="s">
        <v>2848</v>
      </c>
      <c r="C221" s="915">
        <v>1552180000</v>
      </c>
      <c r="D221" s="915" t="s">
        <v>2971</v>
      </c>
      <c r="E221" s="915">
        <v>-14832362</v>
      </c>
      <c r="F221" s="915">
        <v>-14290891</v>
      </c>
      <c r="G221" s="838"/>
      <c r="H221" s="838"/>
      <c r="I221" s="910">
        <v>2490500043</v>
      </c>
      <c r="J221" s="910" t="s">
        <v>3044</v>
      </c>
      <c r="K221" s="915">
        <v>-4773204</v>
      </c>
      <c r="L221"/>
    </row>
    <row r="222" spans="2:12">
      <c r="B222" t="s">
        <v>2848</v>
      </c>
      <c r="C222" s="915">
        <v>1553110000</v>
      </c>
      <c r="D222" s="915" t="s">
        <v>2972</v>
      </c>
      <c r="E222" s="915">
        <v>909595578</v>
      </c>
      <c r="F222" s="915">
        <v>909595578</v>
      </c>
      <c r="G222" s="838"/>
      <c r="H222" s="838"/>
      <c r="I222" s="910">
        <v>2490500048</v>
      </c>
      <c r="J222" s="910" t="s">
        <v>3045</v>
      </c>
      <c r="K222" s="915">
        <v>-1214136</v>
      </c>
      <c r="L222"/>
    </row>
    <row r="223" spans="2:12">
      <c r="B223" t="s">
        <v>2848</v>
      </c>
      <c r="C223" s="915">
        <v>1553180000</v>
      </c>
      <c r="D223" s="915" t="s">
        <v>2973</v>
      </c>
      <c r="E223" s="915">
        <v>-836942194</v>
      </c>
      <c r="F223" s="915">
        <v>-817422139</v>
      </c>
      <c r="G223" s="838"/>
      <c r="H223" s="838"/>
      <c r="I223" s="910">
        <v>2490500054</v>
      </c>
      <c r="J223" s="910" t="s">
        <v>3046</v>
      </c>
      <c r="K223" s="915">
        <v>-8302644</v>
      </c>
      <c r="L223"/>
    </row>
    <row r="224" spans="2:12">
      <c r="B224" t="s">
        <v>2848</v>
      </c>
      <c r="C224" s="915">
        <v>1554110000</v>
      </c>
      <c r="D224" s="915" t="s">
        <v>2974</v>
      </c>
      <c r="E224" s="915">
        <v>4047339792</v>
      </c>
      <c r="F224" s="915">
        <v>3973175360</v>
      </c>
      <c r="G224" s="838"/>
      <c r="H224" s="838"/>
      <c r="I224" s="910">
        <v>2490910030</v>
      </c>
      <c r="J224" s="910" t="s">
        <v>3047</v>
      </c>
      <c r="K224" s="915">
        <v>-18053654</v>
      </c>
      <c r="L224"/>
    </row>
    <row r="225" spans="2:12">
      <c r="B225" t="s">
        <v>2848</v>
      </c>
      <c r="C225" s="915">
        <v>1554110000</v>
      </c>
      <c r="D225" s="915" t="s">
        <v>2974</v>
      </c>
      <c r="E225" s="915">
        <v>2150000</v>
      </c>
      <c r="F225" s="915">
        <v>2150000</v>
      </c>
      <c r="G225" s="838"/>
      <c r="H225" s="838"/>
      <c r="I225" s="910">
        <v>2490910031</v>
      </c>
      <c r="J225" s="910" t="s">
        <v>3445</v>
      </c>
      <c r="K225" s="915">
        <v>-645319</v>
      </c>
      <c r="L225"/>
    </row>
    <row r="226" spans="2:12">
      <c r="B226" t="s">
        <v>2848</v>
      </c>
      <c r="C226" s="915">
        <v>1554110000</v>
      </c>
      <c r="D226" s="915" t="s">
        <v>2974</v>
      </c>
      <c r="E226" s="915">
        <v>1674000</v>
      </c>
      <c r="F226" s="915">
        <v>1674000</v>
      </c>
      <c r="G226" s="838"/>
      <c r="H226" s="838"/>
      <c r="I226" s="910">
        <v>2521210000</v>
      </c>
      <c r="J226" s="910" t="s">
        <v>3048</v>
      </c>
      <c r="K226" s="915">
        <v>-691953352</v>
      </c>
      <c r="L226"/>
    </row>
    <row r="227" spans="2:12">
      <c r="B227" t="s">
        <v>2848</v>
      </c>
      <c r="C227" s="915">
        <v>1554180000</v>
      </c>
      <c r="D227" s="915" t="s">
        <v>2975</v>
      </c>
      <c r="E227" s="915">
        <v>-3864308754</v>
      </c>
      <c r="F227" s="915">
        <v>-3835310496</v>
      </c>
      <c r="G227" s="838"/>
      <c r="H227" s="838"/>
      <c r="I227" s="910">
        <v>2522140000</v>
      </c>
      <c r="J227" s="910" t="s">
        <v>3049</v>
      </c>
      <c r="K227" s="915">
        <v>0</v>
      </c>
      <c r="L227"/>
    </row>
    <row r="228" spans="2:12">
      <c r="B228" t="s">
        <v>2848</v>
      </c>
      <c r="C228" s="915">
        <v>1558100000</v>
      </c>
      <c r="D228" s="915" t="s">
        <v>2976</v>
      </c>
      <c r="E228" s="915">
        <v>5846125241</v>
      </c>
      <c r="F228" s="915">
        <v>5795084543</v>
      </c>
      <c r="G228" s="838"/>
      <c r="H228" s="838"/>
      <c r="I228" s="910">
        <v>2522190000</v>
      </c>
      <c r="J228" s="910" t="s">
        <v>3050</v>
      </c>
      <c r="K228" s="915">
        <v>0</v>
      </c>
      <c r="L228"/>
    </row>
    <row r="229" spans="2:12">
      <c r="B229" t="s">
        <v>2848</v>
      </c>
      <c r="C229" s="915">
        <v>1558100000</v>
      </c>
      <c r="D229" s="915" t="s">
        <v>2976</v>
      </c>
      <c r="E229" s="915">
        <v>-4084911</v>
      </c>
      <c r="F229" s="915">
        <v>-4084911</v>
      </c>
      <c r="G229" s="838"/>
      <c r="H229" s="838"/>
      <c r="I229" s="910">
        <v>2525110000</v>
      </c>
      <c r="J229" s="910" t="s">
        <v>3018</v>
      </c>
      <c r="K229" s="915">
        <v>-363303412</v>
      </c>
      <c r="L229"/>
    </row>
    <row r="230" spans="2:12">
      <c r="B230" t="s">
        <v>2848</v>
      </c>
      <c r="C230" s="915">
        <v>1558300000</v>
      </c>
      <c r="D230" s="915" t="s">
        <v>2977</v>
      </c>
      <c r="E230" s="915">
        <v>-848771120</v>
      </c>
      <c r="F230" s="915">
        <v>-848752533</v>
      </c>
      <c r="G230" s="838"/>
      <c r="H230" s="838"/>
      <c r="I230" s="910">
        <v>2525110006</v>
      </c>
      <c r="J230" s="910" t="s">
        <v>3051</v>
      </c>
      <c r="K230" s="915">
        <v>-629417532</v>
      </c>
      <c r="L230"/>
    </row>
    <row r="231" spans="2:12">
      <c r="B231" t="s">
        <v>2848</v>
      </c>
      <c r="C231" s="915">
        <v>1558300001</v>
      </c>
      <c r="D231" s="915" t="s">
        <v>2977</v>
      </c>
      <c r="E231" s="915">
        <v>-511335170</v>
      </c>
      <c r="F231" s="915">
        <v>-408187257</v>
      </c>
      <c r="G231" s="838"/>
      <c r="H231" s="838"/>
      <c r="I231" s="910">
        <v>2529020100</v>
      </c>
      <c r="J231" s="910" t="s">
        <v>3052</v>
      </c>
      <c r="K231" s="915">
        <v>-216253391</v>
      </c>
      <c r="L231"/>
    </row>
    <row r="232" spans="2:12">
      <c r="B232" t="s">
        <v>2848</v>
      </c>
      <c r="C232" s="915">
        <v>1559110001</v>
      </c>
      <c r="D232" s="915" t="s">
        <v>2978</v>
      </c>
      <c r="E232" s="915">
        <v>-170086001</v>
      </c>
      <c r="F232" s="915">
        <v>-170086001</v>
      </c>
      <c r="G232" s="838"/>
      <c r="H232" s="838"/>
      <c r="I232" s="910">
        <v>2529110000</v>
      </c>
      <c r="J232" s="910" t="s">
        <v>3053</v>
      </c>
      <c r="K232" s="915">
        <v>-1950482509</v>
      </c>
      <c r="L232"/>
    </row>
    <row r="233" spans="2:12">
      <c r="B233" t="s">
        <v>2848</v>
      </c>
      <c r="C233" s="915">
        <v>1559210000</v>
      </c>
      <c r="D233" s="915" t="s">
        <v>2979</v>
      </c>
      <c r="E233" s="915">
        <v>403410330</v>
      </c>
      <c r="F233" s="915">
        <v>403410330</v>
      </c>
      <c r="G233" s="838"/>
      <c r="H233" s="838"/>
      <c r="I233" s="910">
        <v>2539999100</v>
      </c>
      <c r="J233" s="910" t="s">
        <v>3054</v>
      </c>
      <c r="K233" s="915">
        <v>-1573441</v>
      </c>
      <c r="L233"/>
    </row>
    <row r="234" spans="2:12">
      <c r="B234" t="s">
        <v>2848</v>
      </c>
      <c r="C234" s="915">
        <v>1581400000</v>
      </c>
      <c r="D234" s="915" t="s">
        <v>2835</v>
      </c>
      <c r="E234" s="915">
        <v>1349764990</v>
      </c>
      <c r="F234" s="915">
        <v>800468189</v>
      </c>
      <c r="G234" s="838"/>
      <c r="H234" s="838"/>
      <c r="I234" s="910">
        <v>2539999200</v>
      </c>
      <c r="J234" s="910" t="s">
        <v>3055</v>
      </c>
      <c r="K234" s="915">
        <v>14401801</v>
      </c>
      <c r="L234"/>
    </row>
    <row r="235" spans="2:12">
      <c r="B235" t="s">
        <v>2848</v>
      </c>
      <c r="C235" s="915">
        <v>1591000000</v>
      </c>
      <c r="D235" s="915" t="s">
        <v>2980</v>
      </c>
      <c r="E235" s="915">
        <v>12750062181</v>
      </c>
      <c r="F235" s="915">
        <v>14699995042</v>
      </c>
      <c r="G235" s="838"/>
      <c r="H235" s="838"/>
      <c r="I235" s="910">
        <v>2616310000</v>
      </c>
      <c r="J235" s="910" t="s">
        <v>2898</v>
      </c>
      <c r="K235" s="915">
        <v>-69590312262</v>
      </c>
      <c r="L235"/>
    </row>
    <row r="236" spans="2:12">
      <c r="B236" t="s">
        <v>2848</v>
      </c>
      <c r="C236" s="915">
        <v>1722300000</v>
      </c>
      <c r="D236" s="915" t="s">
        <v>2981</v>
      </c>
      <c r="E236" s="915">
        <v>-660104493</v>
      </c>
      <c r="F236" s="915">
        <v>-518943876</v>
      </c>
      <c r="G236" s="838"/>
      <c r="H236" s="838"/>
      <c r="I236" s="910">
        <v>2675100000</v>
      </c>
      <c r="J236" s="910" t="s">
        <v>3056</v>
      </c>
      <c r="K236" s="915">
        <v>-9310170684</v>
      </c>
      <c r="L236"/>
    </row>
    <row r="237" spans="2:12">
      <c r="B237" t="s">
        <v>2848</v>
      </c>
      <c r="C237" s="915">
        <v>2020110000</v>
      </c>
      <c r="D237" s="915" t="s">
        <v>2982</v>
      </c>
      <c r="E237" s="915">
        <v>-1495813864013</v>
      </c>
      <c r="F237" s="915">
        <v>-1470159849072</v>
      </c>
      <c r="G237" s="838"/>
      <c r="H237" s="838"/>
      <c r="I237" s="910">
        <v>2713000000</v>
      </c>
      <c r="J237" s="910" t="s">
        <v>3057</v>
      </c>
      <c r="K237" s="915">
        <v>93627637</v>
      </c>
      <c r="L237"/>
    </row>
    <row r="238" spans="2:12">
      <c r="B238" t="s">
        <v>2848</v>
      </c>
      <c r="C238" s="915">
        <v>2020110005</v>
      </c>
      <c r="D238" s="915" t="s">
        <v>2983</v>
      </c>
      <c r="E238" s="915">
        <v>-34625495611</v>
      </c>
      <c r="F238" s="915">
        <v>-34744071784</v>
      </c>
      <c r="G238" s="838"/>
      <c r="H238" s="838"/>
      <c r="I238" s="910">
        <v>2723100002</v>
      </c>
      <c r="J238" s="910" t="s">
        <v>3059</v>
      </c>
      <c r="K238" s="915">
        <v>-30742255</v>
      </c>
      <c r="L238"/>
    </row>
    <row r="239" spans="2:12">
      <c r="B239" t="s">
        <v>2848</v>
      </c>
      <c r="C239" s="915">
        <v>2020110039</v>
      </c>
      <c r="D239" s="915" t="s">
        <v>2984</v>
      </c>
      <c r="E239" s="915">
        <v>-495497091</v>
      </c>
      <c r="F239" s="915">
        <v>-470807074</v>
      </c>
      <c r="G239" s="838"/>
      <c r="H239" s="838"/>
      <c r="I239" s="910">
        <v>2751110000</v>
      </c>
      <c r="J239" s="910" t="s">
        <v>3060</v>
      </c>
      <c r="K239" s="915">
        <v>-1857116141</v>
      </c>
      <c r="L239"/>
    </row>
    <row r="240" spans="2:12">
      <c r="B240" t="s">
        <v>2848</v>
      </c>
      <c r="C240" s="915">
        <v>2020110050</v>
      </c>
      <c r="D240" s="915" t="s">
        <v>2985</v>
      </c>
      <c r="E240" s="915">
        <v>-14009815502</v>
      </c>
      <c r="F240" s="915">
        <v>-12753773201</v>
      </c>
      <c r="G240" s="838"/>
      <c r="H240" s="838"/>
      <c r="I240" s="910">
        <v>2751110023</v>
      </c>
      <c r="J240" s="910" t="s">
        <v>3061</v>
      </c>
      <c r="K240" s="915">
        <v>0</v>
      </c>
      <c r="L240"/>
    </row>
    <row r="241" spans="2:12">
      <c r="B241" t="s">
        <v>2848</v>
      </c>
      <c r="C241" s="915">
        <v>2020170000</v>
      </c>
      <c r="D241" s="915" t="s">
        <v>2986</v>
      </c>
      <c r="E241" s="915">
        <v>-15621001909</v>
      </c>
      <c r="F241" s="915">
        <v>-14718255212</v>
      </c>
      <c r="G241" s="838"/>
      <c r="H241" s="838"/>
      <c r="I241" s="910">
        <v>2751212000</v>
      </c>
      <c r="J241" s="910" t="s">
        <v>3062</v>
      </c>
      <c r="K241" s="915">
        <v>-297108560</v>
      </c>
      <c r="L241"/>
    </row>
    <row r="242" spans="2:12">
      <c r="B242" t="s">
        <v>2848</v>
      </c>
      <c r="C242" s="915">
        <v>2020310000</v>
      </c>
      <c r="D242" s="915" t="s">
        <v>2987</v>
      </c>
      <c r="E242" s="915">
        <v>20502789206</v>
      </c>
      <c r="F242" s="915">
        <v>20740764005</v>
      </c>
      <c r="G242" s="838"/>
      <c r="H242" s="838"/>
      <c r="I242" s="910">
        <v>2752410000</v>
      </c>
      <c r="J242" s="910" t="s">
        <v>3063</v>
      </c>
      <c r="K242" s="915">
        <v>-151811300</v>
      </c>
      <c r="L242"/>
    </row>
    <row r="243" spans="2:12">
      <c r="B243" t="s">
        <v>2848</v>
      </c>
      <c r="C243" s="915">
        <v>2020380000</v>
      </c>
      <c r="D243" s="915" t="s">
        <v>2988</v>
      </c>
      <c r="E243" s="915">
        <v>367717007</v>
      </c>
      <c r="F243" s="915">
        <v>175193108</v>
      </c>
      <c r="G243" s="838"/>
      <c r="H243" s="838"/>
      <c r="I243" s="910">
        <v>2901000000</v>
      </c>
      <c r="J243" s="910" t="s">
        <v>3064</v>
      </c>
      <c r="K243" s="915">
        <v>-47032213922</v>
      </c>
      <c r="L243"/>
    </row>
    <row r="244" spans="2:12">
      <c r="B244" t="s">
        <v>2848</v>
      </c>
      <c r="C244" s="915">
        <v>2030100000</v>
      </c>
      <c r="D244" s="915" t="s">
        <v>2989</v>
      </c>
      <c r="E244" s="915">
        <v>-82465329027</v>
      </c>
      <c r="F244" s="915">
        <v>-82022650764</v>
      </c>
      <c r="G244" s="838"/>
      <c r="H244" s="838"/>
      <c r="I244" s="910">
        <v>2922050102</v>
      </c>
      <c r="J244" s="910" t="s">
        <v>3065</v>
      </c>
      <c r="K244" s="915">
        <v>0</v>
      </c>
      <c r="L244"/>
    </row>
    <row r="245" spans="2:12">
      <c r="B245" t="s">
        <v>2848</v>
      </c>
      <c r="C245" s="915">
        <v>2042100000</v>
      </c>
      <c r="D245" s="915" t="s">
        <v>2990</v>
      </c>
      <c r="E245" s="915">
        <v>-293357523</v>
      </c>
      <c r="F245" s="915">
        <v>-279366727</v>
      </c>
      <c r="G245" s="838"/>
      <c r="H245" s="838"/>
      <c r="I245" s="910">
        <v>2970100000</v>
      </c>
      <c r="J245" s="910" t="s">
        <v>3066</v>
      </c>
      <c r="K245" s="915">
        <v>-103996800912</v>
      </c>
      <c r="L245"/>
    </row>
    <row r="246" spans="2:12">
      <c r="B246" t="s">
        <v>2848</v>
      </c>
      <c r="C246" s="915">
        <v>2042100002</v>
      </c>
      <c r="D246" s="915" t="s">
        <v>2991</v>
      </c>
      <c r="E246" s="915">
        <v>-197323769</v>
      </c>
      <c r="F246" s="915">
        <v>-229718554</v>
      </c>
      <c r="G246" s="838"/>
      <c r="H246" s="838"/>
      <c r="I246" s="910">
        <v>2970100006</v>
      </c>
      <c r="J246" s="910" t="s">
        <v>3067</v>
      </c>
      <c r="K246" s="915">
        <v>13863084334</v>
      </c>
      <c r="L246"/>
    </row>
    <row r="247" spans="2:12">
      <c r="B247" t="s">
        <v>2848</v>
      </c>
      <c r="C247" s="915">
        <v>2071120000</v>
      </c>
      <c r="D247" s="915" t="s">
        <v>2992</v>
      </c>
      <c r="E247" s="915">
        <v>-1149848504</v>
      </c>
      <c r="F247" s="915">
        <v>-2665926399</v>
      </c>
      <c r="G247" s="838"/>
      <c r="H247" s="838"/>
      <c r="I247" s="910">
        <v>2970100007</v>
      </c>
      <c r="J247" s="910" t="s">
        <v>3068</v>
      </c>
      <c r="K247" s="915">
        <v>495497088</v>
      </c>
      <c r="L247"/>
    </row>
    <row r="248" spans="2:12">
      <c r="B248" t="s">
        <v>2848</v>
      </c>
      <c r="C248" s="915">
        <v>2071320000</v>
      </c>
      <c r="D248" s="915" t="s">
        <v>2993</v>
      </c>
      <c r="E248" s="915">
        <v>711466380</v>
      </c>
      <c r="F248" s="915">
        <v>1682255650</v>
      </c>
      <c r="G248" s="838"/>
      <c r="H248" s="838"/>
      <c r="I248" s="910">
        <v>2972100000</v>
      </c>
      <c r="J248" s="910" t="s">
        <v>3069</v>
      </c>
      <c r="K248" s="915">
        <v>0</v>
      </c>
      <c r="L248"/>
    </row>
    <row r="249" spans="2:12">
      <c r="B249" t="s">
        <v>2848</v>
      </c>
      <c r="C249" s="915">
        <v>2071331000</v>
      </c>
      <c r="D249" s="915" t="s">
        <v>2994</v>
      </c>
      <c r="E249" s="915">
        <v>-101934877397</v>
      </c>
      <c r="F249" s="915">
        <v>-99352379019</v>
      </c>
      <c r="G249" s="838"/>
      <c r="H249" s="838"/>
      <c r="I249" s="910">
        <v>2972200000</v>
      </c>
      <c r="J249" s="910" t="s">
        <v>3069</v>
      </c>
      <c r="K249" s="915">
        <v>0</v>
      </c>
      <c r="L249"/>
    </row>
    <row r="250" spans="2:12">
      <c r="B250" t="s">
        <v>2848</v>
      </c>
      <c r="C250" s="915">
        <v>2071331029</v>
      </c>
      <c r="D250" s="915" t="s">
        <v>2995</v>
      </c>
      <c r="E250" s="915">
        <v>-30157397561</v>
      </c>
      <c r="F250" s="915">
        <v>-28018040348</v>
      </c>
      <c r="G250" s="838"/>
      <c r="H250" s="838"/>
      <c r="I250" s="910">
        <v>2972400000</v>
      </c>
      <c r="J250" s="910" t="s">
        <v>3070</v>
      </c>
      <c r="K250" s="915">
        <v>0</v>
      </c>
      <c r="L250"/>
    </row>
    <row r="251" spans="2:12">
      <c r="B251" t="s">
        <v>2848</v>
      </c>
      <c r="C251" s="915">
        <v>2071333000</v>
      </c>
      <c r="D251" s="915" t="s">
        <v>2996</v>
      </c>
      <c r="E251" s="915">
        <v>37725919595</v>
      </c>
      <c r="F251" s="915">
        <v>39569192375</v>
      </c>
      <c r="G251" s="838"/>
      <c r="H251" s="838"/>
      <c r="I251" s="910">
        <v>3010100000</v>
      </c>
      <c r="J251" s="910" t="s">
        <v>3071</v>
      </c>
      <c r="K251" s="915">
        <v>-88382085666</v>
      </c>
      <c r="L251"/>
    </row>
    <row r="252" spans="2:12">
      <c r="B252" t="s">
        <v>2848</v>
      </c>
      <c r="C252" s="915">
        <v>2071333001</v>
      </c>
      <c r="D252" s="915" t="s">
        <v>2997</v>
      </c>
      <c r="E252" s="915">
        <v>9212932336</v>
      </c>
      <c r="F252" s="915">
        <v>8473034391</v>
      </c>
      <c r="G252" s="838"/>
      <c r="H252" s="838"/>
      <c r="I252" s="910">
        <v>3010100030</v>
      </c>
      <c r="J252" s="910" t="s">
        <v>3072</v>
      </c>
      <c r="K252" s="915">
        <v>-972444764</v>
      </c>
      <c r="L252"/>
    </row>
    <row r="253" spans="2:12">
      <c r="B253" t="s">
        <v>2848</v>
      </c>
      <c r="C253" s="915">
        <v>2080100001</v>
      </c>
      <c r="D253" s="915" t="s">
        <v>2998</v>
      </c>
      <c r="E253" s="915">
        <v>-5564253353</v>
      </c>
      <c r="F253" s="915">
        <v>-5460640548</v>
      </c>
      <c r="G253" s="838"/>
      <c r="H253" s="838"/>
      <c r="I253" s="910">
        <v>3010500002</v>
      </c>
      <c r="J253" s="910" t="s">
        <v>3073</v>
      </c>
      <c r="K253" s="915">
        <v>-29353621039</v>
      </c>
      <c r="L253"/>
    </row>
    <row r="254" spans="2:12">
      <c r="B254" t="s">
        <v>2848</v>
      </c>
      <c r="C254" s="915">
        <v>2080100002</v>
      </c>
      <c r="D254" s="915" t="s">
        <v>2999</v>
      </c>
      <c r="E254" s="915">
        <v>-275946923</v>
      </c>
      <c r="F254" s="915">
        <v>-265474458</v>
      </c>
      <c r="G254" s="838"/>
      <c r="H254" s="838"/>
      <c r="I254" s="910">
        <v>3019000000</v>
      </c>
      <c r="J254" s="910" t="s">
        <v>3074</v>
      </c>
      <c r="K254" s="915">
        <v>15480324</v>
      </c>
      <c r="L254"/>
    </row>
    <row r="255" spans="2:12">
      <c r="B255" t="s">
        <v>2848</v>
      </c>
      <c r="C255" s="915">
        <v>2080100010</v>
      </c>
      <c r="D255" s="915" t="s">
        <v>3000</v>
      </c>
      <c r="E255" s="915">
        <v>-148713568110</v>
      </c>
      <c r="F255" s="915">
        <v>-150426345438</v>
      </c>
      <c r="G255" s="838"/>
      <c r="H255" s="838"/>
      <c r="I255" s="910">
        <v>3030000000</v>
      </c>
      <c r="J255" s="910" t="s">
        <v>3075</v>
      </c>
      <c r="K255" s="915">
        <v>20996687489</v>
      </c>
      <c r="L255"/>
    </row>
    <row r="256" spans="2:12">
      <c r="B256" t="s">
        <v>2848</v>
      </c>
      <c r="C256" s="915">
        <v>2080100019</v>
      </c>
      <c r="D256" s="915" t="s">
        <v>3001</v>
      </c>
      <c r="E256" s="915">
        <v>-123940960</v>
      </c>
      <c r="F256" s="915">
        <v>-165977102</v>
      </c>
      <c r="G256" s="838"/>
      <c r="H256" s="838"/>
      <c r="I256" s="910">
        <v>3030400030</v>
      </c>
      <c r="J256" s="910" t="s">
        <v>3076</v>
      </c>
      <c r="K256" s="915">
        <v>0</v>
      </c>
      <c r="L256"/>
    </row>
    <row r="257" spans="2:12">
      <c r="B257" t="s">
        <v>2848</v>
      </c>
      <c r="C257" s="915">
        <v>2211000000</v>
      </c>
      <c r="D257" s="915" t="s">
        <v>3002</v>
      </c>
      <c r="E257" s="915">
        <v>-660903380</v>
      </c>
      <c r="F257" s="915">
        <v>-1685639674</v>
      </c>
      <c r="G257" s="838"/>
      <c r="H257" s="838"/>
      <c r="I257" s="910">
        <v>3090000000</v>
      </c>
      <c r="J257" s="910" t="s">
        <v>3077</v>
      </c>
      <c r="K257" s="915">
        <v>37774985</v>
      </c>
      <c r="L257"/>
    </row>
    <row r="258" spans="2:12">
      <c r="B258" t="s">
        <v>2848</v>
      </c>
      <c r="C258" s="915">
        <v>2211040003</v>
      </c>
      <c r="D258" s="915" t="s">
        <v>3003</v>
      </c>
      <c r="E258" s="915">
        <v>-11854372</v>
      </c>
      <c r="F258" s="915">
        <v>-2983121</v>
      </c>
      <c r="G258" s="838"/>
      <c r="H258" s="838"/>
      <c r="I258" s="910">
        <v>3091000000</v>
      </c>
      <c r="J258" s="910" t="s">
        <v>3078</v>
      </c>
      <c r="K258" s="915">
        <v>-15735724</v>
      </c>
      <c r="L258"/>
    </row>
    <row r="259" spans="2:12">
      <c r="B259" t="s">
        <v>2848</v>
      </c>
      <c r="C259" s="915">
        <v>2221020002</v>
      </c>
      <c r="D259" s="915" t="s">
        <v>3004</v>
      </c>
      <c r="E259" s="915">
        <v>-985088058</v>
      </c>
      <c r="F259" s="915">
        <v>-541515900</v>
      </c>
      <c r="G259" s="838"/>
      <c r="H259" s="838"/>
      <c r="I259" s="910">
        <v>3101000000</v>
      </c>
      <c r="J259" s="910" t="s">
        <v>3079</v>
      </c>
      <c r="K259" s="915">
        <v>375497864</v>
      </c>
      <c r="L259"/>
    </row>
    <row r="260" spans="2:12">
      <c r="B260" t="s">
        <v>2848</v>
      </c>
      <c r="C260" s="915">
        <v>2221030006</v>
      </c>
      <c r="D260" s="915" t="s">
        <v>3005</v>
      </c>
      <c r="E260" s="915">
        <v>-1110180802</v>
      </c>
      <c r="F260" s="915">
        <v>-862928090</v>
      </c>
      <c r="G260" s="838"/>
      <c r="H260" s="838"/>
      <c r="I260" s="910">
        <v>3103000000</v>
      </c>
      <c r="J260" s="910" t="s">
        <v>3080</v>
      </c>
      <c r="K260" s="915">
        <v>-190279242</v>
      </c>
      <c r="L260"/>
    </row>
    <row r="261" spans="2:12">
      <c r="B261" t="s">
        <v>2848</v>
      </c>
      <c r="C261" s="915">
        <v>2221700101</v>
      </c>
      <c r="D261" s="915" t="s">
        <v>3006</v>
      </c>
      <c r="E261" s="915">
        <v>516915324</v>
      </c>
      <c r="F261" s="915">
        <v>-93446374</v>
      </c>
      <c r="G261" s="838"/>
      <c r="H261" s="838"/>
      <c r="I261" s="910">
        <v>3301100000</v>
      </c>
      <c r="J261" s="910" t="s">
        <v>3081</v>
      </c>
      <c r="K261" s="915">
        <v>0</v>
      </c>
      <c r="L261"/>
    </row>
    <row r="262" spans="2:12">
      <c r="B262" t="s">
        <v>2848</v>
      </c>
      <c r="C262" s="915">
        <v>2231700012</v>
      </c>
      <c r="D262" s="915" t="s">
        <v>3007</v>
      </c>
      <c r="E262" s="915">
        <v>-52247769</v>
      </c>
      <c r="F262" s="915">
        <v>-63584754</v>
      </c>
      <c r="G262" s="838"/>
      <c r="H262" s="838"/>
      <c r="I262" s="910">
        <v>3301100008</v>
      </c>
      <c r="J262" s="910" t="s">
        <v>3082</v>
      </c>
      <c r="K262" s="915">
        <v>-123000000</v>
      </c>
      <c r="L262"/>
    </row>
    <row r="263" spans="2:12">
      <c r="B263" t="s">
        <v>2848</v>
      </c>
      <c r="C263" s="915">
        <v>2231700014</v>
      </c>
      <c r="D263" s="915" t="s">
        <v>3008</v>
      </c>
      <c r="E263" s="915">
        <v>-228368</v>
      </c>
      <c r="F263" s="915">
        <v>-288337</v>
      </c>
      <c r="G263" s="838"/>
      <c r="H263" s="838"/>
      <c r="I263" s="910">
        <v>3301100010</v>
      </c>
      <c r="J263" s="910" t="s">
        <v>3747</v>
      </c>
      <c r="K263" s="915">
        <v>-34040648</v>
      </c>
      <c r="L263"/>
    </row>
    <row r="264" spans="2:12">
      <c r="B264" t="s">
        <v>2848</v>
      </c>
      <c r="C264" s="915">
        <v>2311010000</v>
      </c>
      <c r="D264" s="915" t="s">
        <v>3009</v>
      </c>
      <c r="E264" s="915">
        <v>-20345053882</v>
      </c>
      <c r="F264" s="915">
        <v>-6603617515</v>
      </c>
      <c r="G264" s="838"/>
      <c r="H264" s="838"/>
      <c r="I264" s="910">
        <v>3301100999</v>
      </c>
      <c r="J264" s="910" t="s">
        <v>3084</v>
      </c>
      <c r="K264" s="915">
        <v>-27577104</v>
      </c>
      <c r="L264"/>
    </row>
    <row r="265" spans="2:12">
      <c r="B265" t="s">
        <v>2848</v>
      </c>
      <c r="C265" s="915">
        <v>2311011100</v>
      </c>
      <c r="D265" s="915" t="s">
        <v>3010</v>
      </c>
      <c r="E265" s="915">
        <v>-12470912735</v>
      </c>
      <c r="F265" s="915">
        <v>-12502364092</v>
      </c>
      <c r="G265" s="838"/>
      <c r="H265" s="838"/>
      <c r="I265" s="910">
        <v>3301450000</v>
      </c>
      <c r="J265" s="910" t="s">
        <v>3085</v>
      </c>
      <c r="K265" s="915">
        <v>64781</v>
      </c>
      <c r="L265"/>
    </row>
    <row r="266" spans="2:12">
      <c r="B266" t="s">
        <v>2848</v>
      </c>
      <c r="C266" s="915">
        <v>2413100000</v>
      </c>
      <c r="D266" s="915" t="s">
        <v>3011</v>
      </c>
      <c r="E266" s="915">
        <v>-4257681675</v>
      </c>
      <c r="F266" s="915">
        <v>-4257681675</v>
      </c>
      <c r="G266" s="838"/>
      <c r="H266" s="838"/>
      <c r="I266" s="910">
        <v>3591110200</v>
      </c>
      <c r="J266" s="910" t="s">
        <v>3086</v>
      </c>
      <c r="K266" s="915">
        <v>-249304099</v>
      </c>
      <c r="L266"/>
    </row>
    <row r="267" spans="2:12">
      <c r="B267" t="s">
        <v>2848</v>
      </c>
      <c r="C267" s="915">
        <v>2441111000</v>
      </c>
      <c r="D267" s="915" t="s">
        <v>3012</v>
      </c>
      <c r="E267" s="915">
        <v>-1763162</v>
      </c>
      <c r="F267" s="915">
        <v>-1732545</v>
      </c>
      <c r="G267" s="838"/>
      <c r="H267" s="838"/>
      <c r="I267" s="910">
        <v>4002000000</v>
      </c>
      <c r="J267" s="910" t="s">
        <v>3087</v>
      </c>
      <c r="K267" s="915">
        <v>0</v>
      </c>
      <c r="L267"/>
    </row>
    <row r="268" spans="2:12">
      <c r="B268" t="s">
        <v>2848</v>
      </c>
      <c r="C268" s="915">
        <v>2441112000</v>
      </c>
      <c r="D268" s="915" t="s">
        <v>3013</v>
      </c>
      <c r="E268" s="915">
        <v>-241188946</v>
      </c>
      <c r="F268" s="915">
        <v>-123730244</v>
      </c>
      <c r="G268" s="838"/>
      <c r="H268" s="838"/>
      <c r="I268" s="910">
        <v>4110000000</v>
      </c>
      <c r="J268" s="910" t="s">
        <v>3088</v>
      </c>
      <c r="K268" s="915">
        <v>54266141261</v>
      </c>
      <c r="L268"/>
    </row>
    <row r="269" spans="2:12">
      <c r="B269" t="s">
        <v>2848</v>
      </c>
      <c r="C269" s="915">
        <v>2441112012</v>
      </c>
      <c r="D269" s="915" t="s">
        <v>3014</v>
      </c>
      <c r="E269" s="915">
        <v>0</v>
      </c>
      <c r="F269" s="915">
        <v>-874192</v>
      </c>
      <c r="G269" s="838"/>
      <c r="H269" s="838"/>
      <c r="I269" s="910">
        <v>4112000000</v>
      </c>
      <c r="J269" s="910" t="s">
        <v>3089</v>
      </c>
      <c r="K269" s="915">
        <v>1410729209</v>
      </c>
      <c r="L269"/>
    </row>
    <row r="270" spans="2:12">
      <c r="B270" t="s">
        <v>2848</v>
      </c>
      <c r="C270" s="915">
        <v>2441112028</v>
      </c>
      <c r="D270" s="915" t="s">
        <v>3015</v>
      </c>
      <c r="E270" s="915">
        <v>-73580623</v>
      </c>
      <c r="F270" s="915">
        <v>-77326919</v>
      </c>
      <c r="G270" s="838"/>
      <c r="H270" s="838"/>
      <c r="I270" s="910">
        <v>4113000000</v>
      </c>
      <c r="J270" s="910" t="s">
        <v>3090</v>
      </c>
      <c r="K270" s="915">
        <v>11725594831</v>
      </c>
      <c r="L270"/>
    </row>
    <row r="271" spans="2:12">
      <c r="B271" t="s">
        <v>2848</v>
      </c>
      <c r="C271" s="915">
        <v>2441112032</v>
      </c>
      <c r="D271" s="915" t="s">
        <v>3016</v>
      </c>
      <c r="E271" s="915">
        <v>-863558355</v>
      </c>
      <c r="F271" s="915">
        <v>-284171017</v>
      </c>
      <c r="G271" s="838"/>
      <c r="H271" s="838"/>
      <c r="I271" s="910">
        <v>4114000000</v>
      </c>
      <c r="J271" s="910" t="s">
        <v>3091</v>
      </c>
      <c r="K271" s="915">
        <v>363505451</v>
      </c>
      <c r="L271"/>
    </row>
    <row r="272" spans="2:12">
      <c r="B272" t="s">
        <v>2848</v>
      </c>
      <c r="C272" s="915">
        <v>2441112046</v>
      </c>
      <c r="D272" s="915" t="s">
        <v>3017</v>
      </c>
      <c r="E272" s="915">
        <v>-12556000</v>
      </c>
      <c r="F272" s="915">
        <v>-3270883199</v>
      </c>
      <c r="G272" s="838"/>
      <c r="H272" s="838"/>
      <c r="I272" s="910">
        <v>4115010000</v>
      </c>
      <c r="J272" s="910" t="s">
        <v>3092</v>
      </c>
      <c r="K272" s="915">
        <v>27061791104</v>
      </c>
      <c r="L272"/>
    </row>
    <row r="273" spans="2:12">
      <c r="B273" t="s">
        <v>2848</v>
      </c>
      <c r="C273" s="915">
        <v>2441112052</v>
      </c>
      <c r="D273" s="915" t="s">
        <v>3018</v>
      </c>
      <c r="E273" s="915">
        <v>-204030347</v>
      </c>
      <c r="F273" s="915">
        <v>-468861914</v>
      </c>
      <c r="G273" s="838"/>
      <c r="H273" s="838"/>
      <c r="I273" s="910">
        <v>4130000000</v>
      </c>
      <c r="J273" s="910" t="s">
        <v>3093</v>
      </c>
      <c r="K273" s="915">
        <v>-16586391029</v>
      </c>
      <c r="L273"/>
    </row>
    <row r="274" spans="2:12">
      <c r="B274" t="s">
        <v>2848</v>
      </c>
      <c r="C274" s="915">
        <v>2441112056</v>
      </c>
      <c r="D274" s="915" t="s">
        <v>3019</v>
      </c>
      <c r="E274" s="915">
        <v>1678727</v>
      </c>
      <c r="F274" s="915">
        <v>4465345</v>
      </c>
      <c r="G274" s="838"/>
      <c r="H274" s="838"/>
      <c r="I274" s="910">
        <v>4130000600</v>
      </c>
      <c r="J274" s="910" t="s">
        <v>3094</v>
      </c>
      <c r="K274" s="915">
        <v>320123998</v>
      </c>
      <c r="L274"/>
    </row>
    <row r="275" spans="2:12">
      <c r="B275" t="s">
        <v>2848</v>
      </c>
      <c r="C275" s="915">
        <v>2441112160</v>
      </c>
      <c r="D275" s="915" t="s">
        <v>3020</v>
      </c>
      <c r="E275" s="915">
        <v>-423966098</v>
      </c>
      <c r="F275" s="915">
        <v>-305885895</v>
      </c>
      <c r="G275" s="838"/>
      <c r="H275" s="838"/>
      <c r="I275" s="910">
        <v>4161100000</v>
      </c>
      <c r="J275" s="910" t="s">
        <v>3095</v>
      </c>
      <c r="K275" s="915">
        <v>-336147207</v>
      </c>
      <c r="L275"/>
    </row>
    <row r="276" spans="2:12">
      <c r="B276" t="s">
        <v>2848</v>
      </c>
      <c r="C276" s="915">
        <v>2441112200</v>
      </c>
      <c r="D276" s="915" t="s">
        <v>3021</v>
      </c>
      <c r="E276" s="915">
        <v>-225655262</v>
      </c>
      <c r="F276" s="915">
        <v>-274464080</v>
      </c>
      <c r="G276" s="838"/>
      <c r="H276" s="838"/>
      <c r="I276" s="910">
        <v>4161100001</v>
      </c>
      <c r="J276" s="910" t="s">
        <v>3096</v>
      </c>
      <c r="K276" s="915">
        <v>-1665633815</v>
      </c>
      <c r="L276"/>
    </row>
    <row r="277" spans="2:12">
      <c r="B277" t="s">
        <v>2848</v>
      </c>
      <c r="C277" s="915">
        <v>2441112300</v>
      </c>
      <c r="D277" s="915" t="s">
        <v>3022</v>
      </c>
      <c r="E277" s="915">
        <v>-1110336876</v>
      </c>
      <c r="F277" s="915">
        <v>-1087106792</v>
      </c>
      <c r="G277" s="838"/>
      <c r="H277" s="838"/>
      <c r="I277" s="910">
        <v>4161200000</v>
      </c>
      <c r="J277" s="910" t="s">
        <v>3097</v>
      </c>
      <c r="K277" s="915">
        <v>455762924</v>
      </c>
      <c r="L277"/>
    </row>
    <row r="278" spans="2:12">
      <c r="B278" t="s">
        <v>2848</v>
      </c>
      <c r="C278" s="915">
        <v>2442100006</v>
      </c>
      <c r="D278" s="915" t="s">
        <v>3023</v>
      </c>
      <c r="E278" s="915">
        <v>19276497</v>
      </c>
      <c r="F278" s="915">
        <v>1346110</v>
      </c>
      <c r="G278" s="838"/>
      <c r="H278" s="838"/>
      <c r="I278" s="910">
        <v>4161320000</v>
      </c>
      <c r="J278" s="910" t="s">
        <v>3098</v>
      </c>
      <c r="K278" s="915">
        <v>16359456395</v>
      </c>
      <c r="L278"/>
    </row>
    <row r="279" spans="2:12">
      <c r="B279" t="s">
        <v>2848</v>
      </c>
      <c r="C279" s="915">
        <v>2442100010</v>
      </c>
      <c r="D279" s="915" t="s">
        <v>3024</v>
      </c>
      <c r="E279" s="915">
        <v>-1033315221</v>
      </c>
      <c r="F279" s="915">
        <v>-1594073775</v>
      </c>
      <c r="G279" s="838"/>
      <c r="H279" s="838"/>
      <c r="I279" s="910">
        <v>4161400000</v>
      </c>
      <c r="J279" s="910" t="s">
        <v>3099</v>
      </c>
      <c r="K279" s="915">
        <v>1965339360</v>
      </c>
      <c r="L279"/>
    </row>
    <row r="280" spans="2:12">
      <c r="B280" t="s">
        <v>2848</v>
      </c>
      <c r="C280" s="915">
        <v>2442300000</v>
      </c>
      <c r="D280" s="915" t="s">
        <v>3025</v>
      </c>
      <c r="E280" s="915">
        <v>-171539024</v>
      </c>
      <c r="F280" s="915">
        <v>-4600023730</v>
      </c>
      <c r="G280" s="838"/>
      <c r="H280" s="838"/>
      <c r="I280" s="910">
        <v>4163100000</v>
      </c>
      <c r="J280" s="910" t="s">
        <v>3100</v>
      </c>
      <c r="K280" s="915">
        <v>47681927</v>
      </c>
      <c r="L280"/>
    </row>
    <row r="281" spans="2:12">
      <c r="B281" t="s">
        <v>2848</v>
      </c>
      <c r="C281" s="915">
        <v>2442300003</v>
      </c>
      <c r="D281" s="915" t="s">
        <v>3026</v>
      </c>
      <c r="E281" s="915">
        <v>-26388378</v>
      </c>
      <c r="F281" s="915">
        <v>-317208550</v>
      </c>
      <c r="G281" s="838"/>
      <c r="H281" s="838"/>
      <c r="I281" s="910">
        <v>4163160000</v>
      </c>
      <c r="J281" s="910" t="s">
        <v>3101</v>
      </c>
      <c r="K281" s="915">
        <v>2069578710</v>
      </c>
      <c r="L281"/>
    </row>
    <row r="282" spans="2:12">
      <c r="B282" t="s">
        <v>2848</v>
      </c>
      <c r="C282" s="915">
        <v>2442300003</v>
      </c>
      <c r="D282" s="915" t="s">
        <v>3026</v>
      </c>
      <c r="E282" s="915">
        <v>3714480</v>
      </c>
      <c r="F282" s="915">
        <v>2904900</v>
      </c>
      <c r="G282" s="838"/>
      <c r="H282" s="838"/>
      <c r="I282" s="910">
        <v>4163400000</v>
      </c>
      <c r="J282" s="910" t="s">
        <v>3102</v>
      </c>
      <c r="K282" s="915">
        <v>-683779541</v>
      </c>
      <c r="L282"/>
    </row>
    <row r="283" spans="2:12">
      <c r="B283" t="s">
        <v>2848</v>
      </c>
      <c r="C283" s="915">
        <v>2442300011</v>
      </c>
      <c r="D283" s="915" t="s">
        <v>3027</v>
      </c>
      <c r="E283" s="915">
        <v>-547619914</v>
      </c>
      <c r="F283" s="915">
        <v>-533405140</v>
      </c>
      <c r="G283" s="838"/>
      <c r="H283" s="838"/>
      <c r="I283" s="910">
        <v>4281120000</v>
      </c>
      <c r="J283" s="910" t="s">
        <v>3103</v>
      </c>
      <c r="K283" s="915">
        <v>-1532865445</v>
      </c>
      <c r="L283"/>
    </row>
    <row r="284" spans="2:12">
      <c r="B284" t="s">
        <v>2848</v>
      </c>
      <c r="C284" s="915">
        <v>2442850000</v>
      </c>
      <c r="D284" s="915" t="s">
        <v>3745</v>
      </c>
      <c r="E284" s="915">
        <v>-3542856307</v>
      </c>
      <c r="F284" s="915">
        <v>-3579103526</v>
      </c>
      <c r="G284" s="838"/>
      <c r="H284" s="838"/>
      <c r="I284" s="910">
        <v>4281320000</v>
      </c>
      <c r="J284" s="910" t="s">
        <v>3104</v>
      </c>
      <c r="K284" s="915">
        <v>981382567</v>
      </c>
      <c r="L284"/>
    </row>
    <row r="285" spans="2:12">
      <c r="B285" t="s">
        <v>2848</v>
      </c>
      <c r="C285" s="915">
        <v>2443010007</v>
      </c>
      <c r="D285" s="915" t="s">
        <v>3029</v>
      </c>
      <c r="E285" s="915">
        <v>-68327344</v>
      </c>
      <c r="F285" s="915">
        <v>-69642412</v>
      </c>
      <c r="G285" s="838"/>
      <c r="H285" s="838"/>
      <c r="I285" s="910">
        <v>4281430000</v>
      </c>
      <c r="J285" s="910" t="s">
        <v>3105</v>
      </c>
      <c r="K285" s="915">
        <v>1974996017</v>
      </c>
      <c r="L285"/>
    </row>
    <row r="286" spans="2:12">
      <c r="B286" t="s">
        <v>2848</v>
      </c>
      <c r="C286" s="915">
        <v>2443010008</v>
      </c>
      <c r="D286" s="915" t="s">
        <v>3030</v>
      </c>
      <c r="E286" s="915">
        <v>39196882</v>
      </c>
      <c r="F286" s="915">
        <v>81870094</v>
      </c>
      <c r="G286" s="838"/>
      <c r="H286" s="838"/>
      <c r="I286" s="910">
        <v>4301125100</v>
      </c>
      <c r="J286" s="910" t="s">
        <v>3106</v>
      </c>
      <c r="K286" s="915">
        <v>-2445070</v>
      </c>
      <c r="L286"/>
    </row>
    <row r="287" spans="2:12">
      <c r="B287" t="s">
        <v>2848</v>
      </c>
      <c r="C287" s="915">
        <v>2443010022</v>
      </c>
      <c r="D287" s="915" t="s">
        <v>3031</v>
      </c>
      <c r="E287" s="915">
        <v>-778392</v>
      </c>
      <c r="F287" s="915">
        <v>0</v>
      </c>
      <c r="G287" s="838"/>
      <c r="H287" s="838"/>
      <c r="I287" s="910">
        <v>4401000000</v>
      </c>
      <c r="J287" s="910" t="s">
        <v>3107</v>
      </c>
      <c r="K287" s="915">
        <v>909644312</v>
      </c>
      <c r="L287"/>
    </row>
    <row r="288" spans="2:12">
      <c r="B288" t="s">
        <v>2848</v>
      </c>
      <c r="C288" s="915">
        <v>2443010026</v>
      </c>
      <c r="D288" s="915" t="s">
        <v>3032</v>
      </c>
      <c r="E288" s="915">
        <v>-29714445</v>
      </c>
      <c r="F288" s="915">
        <v>0</v>
      </c>
      <c r="G288" s="838"/>
      <c r="H288" s="838"/>
      <c r="I288" s="910">
        <v>4401000050</v>
      </c>
      <c r="J288" s="910" t="s">
        <v>3107</v>
      </c>
      <c r="K288" s="915">
        <v>2103779579</v>
      </c>
      <c r="L288"/>
    </row>
    <row r="289" spans="2:12">
      <c r="B289" t="s">
        <v>2848</v>
      </c>
      <c r="C289" s="915">
        <v>2443010029</v>
      </c>
      <c r="D289" s="915" t="s">
        <v>3746</v>
      </c>
      <c r="E289" s="915">
        <v>-2180154346</v>
      </c>
      <c r="F289" s="915">
        <v>0</v>
      </c>
      <c r="G289" s="838"/>
      <c r="H289" s="838"/>
      <c r="I289" s="910">
        <v>4401000070</v>
      </c>
      <c r="J289" s="910" t="s">
        <v>3108</v>
      </c>
      <c r="K289" s="915">
        <v>1932371331</v>
      </c>
      <c r="L289"/>
    </row>
    <row r="290" spans="2:12">
      <c r="B290" t="s">
        <v>2848</v>
      </c>
      <c r="C290" s="915">
        <v>2443510046</v>
      </c>
      <c r="D290" s="915" t="s">
        <v>3033</v>
      </c>
      <c r="E290" s="915">
        <v>-1295862412</v>
      </c>
      <c r="F290" s="915">
        <v>-1180508793</v>
      </c>
      <c r="G290" s="838"/>
      <c r="H290" s="838"/>
      <c r="I290" s="910">
        <v>4401000072</v>
      </c>
      <c r="J290" s="910" t="s">
        <v>3109</v>
      </c>
      <c r="K290" s="915">
        <v>999572904</v>
      </c>
      <c r="L290"/>
    </row>
    <row r="291" spans="2:12">
      <c r="B291" t="s">
        <v>2848</v>
      </c>
      <c r="C291" s="915">
        <v>2455200004</v>
      </c>
      <c r="D291" s="915" t="s">
        <v>3034</v>
      </c>
      <c r="E291" s="915">
        <v>-9096199</v>
      </c>
      <c r="F291" s="915">
        <v>-10175875</v>
      </c>
      <c r="G291" s="838"/>
      <c r="H291" s="838"/>
      <c r="I291" s="910">
        <v>4401100000</v>
      </c>
      <c r="J291" s="910" t="s">
        <v>3110</v>
      </c>
      <c r="K291" s="915">
        <v>828947740</v>
      </c>
      <c r="L291"/>
    </row>
    <row r="292" spans="2:12">
      <c r="B292" t="s">
        <v>2848</v>
      </c>
      <c r="C292" s="915">
        <v>2456100009</v>
      </c>
      <c r="D292" s="915" t="s">
        <v>3035</v>
      </c>
      <c r="E292" s="915">
        <v>-513652</v>
      </c>
      <c r="F292" s="915">
        <v>-513652</v>
      </c>
      <c r="G292" s="838"/>
      <c r="H292" s="838"/>
      <c r="I292" s="910">
        <v>4403000000</v>
      </c>
      <c r="J292" s="910" t="s">
        <v>3111</v>
      </c>
      <c r="K292" s="915">
        <v>-527132681</v>
      </c>
      <c r="L292"/>
    </row>
    <row r="293" spans="2:12">
      <c r="B293" t="s">
        <v>2848</v>
      </c>
      <c r="C293" s="915">
        <v>2456200002</v>
      </c>
      <c r="D293" s="915" t="s">
        <v>3036</v>
      </c>
      <c r="E293" s="915">
        <v>406799593</v>
      </c>
      <c r="F293" s="915">
        <v>393205954</v>
      </c>
      <c r="G293" s="838"/>
      <c r="H293" s="838"/>
      <c r="I293" s="910">
        <v>4403100000</v>
      </c>
      <c r="J293" s="910" t="s">
        <v>3112</v>
      </c>
      <c r="K293" s="915">
        <v>-72411245</v>
      </c>
      <c r="L293"/>
    </row>
    <row r="294" spans="2:12">
      <c r="B294" t="s">
        <v>2848</v>
      </c>
      <c r="C294" s="915">
        <v>2456300002</v>
      </c>
      <c r="D294" s="915" t="s">
        <v>3037</v>
      </c>
      <c r="E294" s="915">
        <v>-904586394</v>
      </c>
      <c r="F294" s="915">
        <v>-891374829</v>
      </c>
      <c r="G294" s="838"/>
      <c r="H294" s="838"/>
      <c r="I294" s="910">
        <v>5111100000</v>
      </c>
      <c r="J294" s="910" t="s">
        <v>3113</v>
      </c>
      <c r="K294" s="915">
        <v>-129314867</v>
      </c>
      <c r="L294"/>
    </row>
    <row r="295" spans="2:12">
      <c r="B295" t="s">
        <v>2848</v>
      </c>
      <c r="C295" s="915">
        <v>2471010003</v>
      </c>
      <c r="D295" s="915" t="s">
        <v>3038</v>
      </c>
      <c r="E295" s="915">
        <v>-523262959</v>
      </c>
      <c r="F295" s="915">
        <v>-628527172</v>
      </c>
      <c r="G295" s="838"/>
      <c r="H295" s="838"/>
      <c r="I295" s="910">
        <v>5121100000</v>
      </c>
      <c r="J295" s="910" t="s">
        <v>3114</v>
      </c>
      <c r="K295" s="915">
        <v>-122003302</v>
      </c>
      <c r="L295"/>
    </row>
    <row r="296" spans="2:12">
      <c r="B296" t="s">
        <v>2848</v>
      </c>
      <c r="C296" s="915">
        <v>2471010004</v>
      </c>
      <c r="D296" s="915" t="s">
        <v>3039</v>
      </c>
      <c r="E296" s="915">
        <v>0</v>
      </c>
      <c r="F296" s="915">
        <v>628527172</v>
      </c>
      <c r="G296" s="838"/>
      <c r="H296" s="838"/>
      <c r="I296" s="910">
        <v>5131000300</v>
      </c>
      <c r="J296" s="910" t="s">
        <v>3115</v>
      </c>
      <c r="K296" s="915">
        <v>-784971</v>
      </c>
      <c r="L296"/>
    </row>
    <row r="297" spans="2:12">
      <c r="B297" t="s">
        <v>2848</v>
      </c>
      <c r="C297" s="915">
        <v>2490210000</v>
      </c>
      <c r="D297" s="915" t="s">
        <v>3040</v>
      </c>
      <c r="E297" s="915">
        <v>-954457762</v>
      </c>
      <c r="F297" s="915">
        <v>-762211935</v>
      </c>
      <c r="G297" s="838"/>
      <c r="H297" s="838"/>
      <c r="I297" s="910">
        <v>5131022040</v>
      </c>
      <c r="J297" s="910" t="s">
        <v>3116</v>
      </c>
      <c r="K297" s="915">
        <v>-12691860402</v>
      </c>
      <c r="L297"/>
    </row>
    <row r="298" spans="2:12">
      <c r="B298" t="s">
        <v>2848</v>
      </c>
      <c r="C298" s="915">
        <v>2490500003</v>
      </c>
      <c r="D298" s="915" t="s">
        <v>3041</v>
      </c>
      <c r="E298" s="915">
        <v>-353973599</v>
      </c>
      <c r="F298" s="915">
        <v>-224816353</v>
      </c>
      <c r="G298" s="838"/>
      <c r="H298" s="838"/>
      <c r="I298" s="910">
        <v>5131104000</v>
      </c>
      <c r="J298" s="910" t="s">
        <v>3117</v>
      </c>
      <c r="K298" s="915">
        <v>59762666</v>
      </c>
      <c r="L298"/>
    </row>
    <row r="299" spans="2:12">
      <c r="B299" t="s">
        <v>2848</v>
      </c>
      <c r="C299" s="915">
        <v>2490500009</v>
      </c>
      <c r="D299" s="915" t="s">
        <v>3042</v>
      </c>
      <c r="E299" s="915">
        <v>254886</v>
      </c>
      <c r="F299" s="915">
        <v>-1263922</v>
      </c>
      <c r="G299" s="838"/>
      <c r="H299" s="838"/>
      <c r="I299" s="910">
        <v>5141000000</v>
      </c>
      <c r="J299" s="910" t="s">
        <v>3118</v>
      </c>
      <c r="K299" s="915">
        <v>-2939040181</v>
      </c>
      <c r="L299"/>
    </row>
    <row r="300" spans="2:12">
      <c r="B300" t="s">
        <v>2848</v>
      </c>
      <c r="C300" s="915">
        <v>2490500014</v>
      </c>
      <c r="D300" s="915" t="s">
        <v>3043</v>
      </c>
      <c r="E300" s="915">
        <v>-28819297</v>
      </c>
      <c r="F300" s="915">
        <v>-26672176</v>
      </c>
      <c r="G300" s="838"/>
      <c r="H300" s="838"/>
      <c r="I300" s="910">
        <v>5151000000</v>
      </c>
      <c r="J300" s="910" t="s">
        <v>3119</v>
      </c>
      <c r="K300" s="915">
        <v>-1329587004</v>
      </c>
      <c r="L300"/>
    </row>
    <row r="301" spans="2:12">
      <c r="B301" t="s">
        <v>2848</v>
      </c>
      <c r="C301" s="915">
        <v>2490500043</v>
      </c>
      <c r="D301" s="915" t="s">
        <v>3044</v>
      </c>
      <c r="E301" s="915">
        <v>-4773204</v>
      </c>
      <c r="F301" s="915">
        <v>-6864228</v>
      </c>
      <c r="G301" s="838"/>
      <c r="H301" s="838"/>
      <c r="I301" s="910">
        <v>5153000000</v>
      </c>
      <c r="J301" s="910" t="s">
        <v>3120</v>
      </c>
      <c r="K301" s="915">
        <v>-349208423</v>
      </c>
      <c r="L301"/>
    </row>
    <row r="302" spans="2:12">
      <c r="B302" t="s">
        <v>2848</v>
      </c>
      <c r="C302" s="915">
        <v>2490500048</v>
      </c>
      <c r="D302" s="915" t="s">
        <v>3045</v>
      </c>
      <c r="E302" s="915">
        <v>-1214136</v>
      </c>
      <c r="F302" s="915">
        <v>-1272116</v>
      </c>
      <c r="G302" s="838"/>
      <c r="H302" s="838"/>
      <c r="I302" s="910">
        <v>5153100000</v>
      </c>
      <c r="J302" s="910" t="s">
        <v>3121</v>
      </c>
      <c r="K302" s="915">
        <v>-8817309</v>
      </c>
      <c r="L302"/>
    </row>
    <row r="303" spans="2:12">
      <c r="B303" t="s">
        <v>2848</v>
      </c>
      <c r="C303" s="915">
        <v>2490500054</v>
      </c>
      <c r="D303" s="915" t="s">
        <v>3046</v>
      </c>
      <c r="E303" s="915">
        <v>-8302644</v>
      </c>
      <c r="F303" s="915">
        <v>-9496900</v>
      </c>
      <c r="G303" s="838"/>
      <c r="H303" s="838"/>
      <c r="I303" s="910">
        <v>5157310000</v>
      </c>
      <c r="J303" s="910" t="s">
        <v>3122</v>
      </c>
      <c r="K303" s="915">
        <v>-1817490875</v>
      </c>
      <c r="L303"/>
    </row>
    <row r="304" spans="2:12">
      <c r="B304" t="s">
        <v>2848</v>
      </c>
      <c r="C304" s="915">
        <v>2490910030</v>
      </c>
      <c r="D304" s="915" t="s">
        <v>3047</v>
      </c>
      <c r="E304" s="915">
        <v>-18053654</v>
      </c>
      <c r="F304" s="915">
        <v>-136054255</v>
      </c>
      <c r="G304" s="838"/>
      <c r="H304" s="838"/>
      <c r="I304" s="910">
        <v>5157320000</v>
      </c>
      <c r="J304" s="910" t="s">
        <v>3124</v>
      </c>
      <c r="K304" s="915">
        <v>-177975754</v>
      </c>
      <c r="L304"/>
    </row>
    <row r="305" spans="2:12">
      <c r="B305" t="s">
        <v>2848</v>
      </c>
      <c r="C305" s="915">
        <v>2490910031</v>
      </c>
      <c r="D305" s="915" t="s">
        <v>3445</v>
      </c>
      <c r="E305" s="915">
        <v>-645319</v>
      </c>
      <c r="F305" s="915">
        <v>0</v>
      </c>
      <c r="G305" s="838"/>
      <c r="H305" s="838"/>
      <c r="I305" s="910">
        <v>5321110000</v>
      </c>
      <c r="J305" s="910" t="s">
        <v>3125</v>
      </c>
      <c r="K305" s="915">
        <v>-2232364514</v>
      </c>
      <c r="L305"/>
    </row>
    <row r="306" spans="2:12">
      <c r="B306" t="s">
        <v>2848</v>
      </c>
      <c r="C306" s="915">
        <v>2521210000</v>
      </c>
      <c r="D306" s="915" t="s">
        <v>3048</v>
      </c>
      <c r="E306" s="915">
        <v>-691953352</v>
      </c>
      <c r="F306" s="915">
        <v>-691953352</v>
      </c>
      <c r="G306" s="838"/>
      <c r="H306" s="838"/>
      <c r="I306" s="910">
        <v>5323300000</v>
      </c>
      <c r="J306" s="910" t="s">
        <v>3126</v>
      </c>
      <c r="K306" s="915">
        <v>-231094123</v>
      </c>
      <c r="L306"/>
    </row>
    <row r="307" spans="2:12">
      <c r="B307" t="s">
        <v>2848</v>
      </c>
      <c r="C307" s="915">
        <v>2522140000</v>
      </c>
      <c r="D307" s="915" t="s">
        <v>3049</v>
      </c>
      <c r="E307" s="915">
        <v>0</v>
      </c>
      <c r="F307" s="915">
        <v>-2372036276</v>
      </c>
      <c r="G307" s="838"/>
      <c r="H307" s="838"/>
      <c r="I307" s="910">
        <v>5324140000</v>
      </c>
      <c r="J307" s="910" t="s">
        <v>3127</v>
      </c>
      <c r="K307" s="915">
        <v>0</v>
      </c>
      <c r="L307"/>
    </row>
    <row r="308" spans="2:12">
      <c r="B308" t="s">
        <v>2848</v>
      </c>
      <c r="C308" s="915">
        <v>2522190000</v>
      </c>
      <c r="D308" s="915" t="s">
        <v>3050</v>
      </c>
      <c r="E308" s="915">
        <v>0</v>
      </c>
      <c r="F308" s="915">
        <v>-42000000</v>
      </c>
      <c r="G308" s="838"/>
      <c r="H308" s="838"/>
      <c r="I308" s="910">
        <v>5331100000</v>
      </c>
      <c r="J308" s="910" t="s">
        <v>3128</v>
      </c>
      <c r="K308" s="915">
        <v>-288584220</v>
      </c>
      <c r="L308"/>
    </row>
    <row r="309" spans="2:12">
      <c r="B309" t="s">
        <v>2848</v>
      </c>
      <c r="C309" s="915">
        <v>2525110000</v>
      </c>
      <c r="D309" s="915" t="s">
        <v>3123</v>
      </c>
      <c r="E309" s="915">
        <v>-363303412</v>
      </c>
      <c r="F309" s="915">
        <v>4479438493</v>
      </c>
      <c r="G309" s="838"/>
      <c r="H309" s="838"/>
      <c r="I309" s="910">
        <v>5341000000</v>
      </c>
      <c r="J309" s="910" t="s">
        <v>3129</v>
      </c>
      <c r="K309" s="915">
        <v>0</v>
      </c>
      <c r="L309"/>
    </row>
    <row r="310" spans="2:12">
      <c r="B310" t="s">
        <v>2848</v>
      </c>
      <c r="C310" s="915">
        <v>2525110006</v>
      </c>
      <c r="D310" s="915" t="s">
        <v>3051</v>
      </c>
      <c r="E310" s="915">
        <v>-629417532</v>
      </c>
      <c r="F310" s="915">
        <v>-1846469323</v>
      </c>
      <c r="G310" s="838"/>
      <c r="H310" s="838"/>
      <c r="I310" s="910">
        <v>5351000000</v>
      </c>
      <c r="J310" s="910" t="s">
        <v>3130</v>
      </c>
      <c r="K310" s="915">
        <v>-1683044</v>
      </c>
      <c r="L310"/>
    </row>
    <row r="311" spans="2:12">
      <c r="B311" t="s">
        <v>2848</v>
      </c>
      <c r="C311" s="915">
        <v>2529020100</v>
      </c>
      <c r="D311" s="915" t="s">
        <v>3052</v>
      </c>
      <c r="E311" s="915">
        <v>-216253391</v>
      </c>
      <c r="F311" s="915">
        <v>-219595752</v>
      </c>
      <c r="G311" s="838"/>
      <c r="H311" s="838"/>
      <c r="I311" s="910">
        <v>5354000000</v>
      </c>
      <c r="J311" s="910" t="s">
        <v>3131</v>
      </c>
      <c r="K311" s="915">
        <v>-662499649</v>
      </c>
      <c r="L311"/>
    </row>
    <row r="312" spans="2:12">
      <c r="B312" t="s">
        <v>2848</v>
      </c>
      <c r="C312" s="915">
        <v>2529110000</v>
      </c>
      <c r="D312" s="915" t="s">
        <v>3053</v>
      </c>
      <c r="E312" s="915">
        <v>-1950482509</v>
      </c>
      <c r="F312" s="915">
        <v>-2061239059</v>
      </c>
      <c r="G312" s="838"/>
      <c r="H312" s="838"/>
      <c r="I312" s="910">
        <v>5372620000</v>
      </c>
      <c r="J312" s="910" t="s">
        <v>3132</v>
      </c>
      <c r="K312" s="915">
        <v>-1485699739</v>
      </c>
      <c r="L312"/>
    </row>
    <row r="313" spans="2:12">
      <c r="B313" t="s">
        <v>2848</v>
      </c>
      <c r="C313" s="915">
        <v>2539999100</v>
      </c>
      <c r="D313" s="915" t="s">
        <v>3054</v>
      </c>
      <c r="E313" s="915">
        <v>-1573441</v>
      </c>
      <c r="F313" s="915">
        <v>-314342</v>
      </c>
      <c r="G313" s="838"/>
      <c r="H313" s="838"/>
      <c r="I313" s="910">
        <v>5372630000</v>
      </c>
      <c r="J313" s="910" t="s">
        <v>3133</v>
      </c>
      <c r="K313" s="915">
        <v>-2826744824</v>
      </c>
      <c r="L313"/>
    </row>
    <row r="314" spans="2:12">
      <c r="B314" t="s">
        <v>2848</v>
      </c>
      <c r="C314" s="915">
        <v>2539999200</v>
      </c>
      <c r="D314" s="915" t="s">
        <v>3055</v>
      </c>
      <c r="E314" s="915">
        <v>14401801</v>
      </c>
      <c r="F314" s="915">
        <v>8649113</v>
      </c>
      <c r="G314" s="838"/>
      <c r="H314" s="838"/>
      <c r="I314" s="910">
        <v>5421110000</v>
      </c>
      <c r="J314" s="910" t="s">
        <v>3134</v>
      </c>
      <c r="K314" s="915">
        <v>2837019243</v>
      </c>
      <c r="L314"/>
    </row>
    <row r="315" spans="2:12">
      <c r="B315" t="s">
        <v>2848</v>
      </c>
      <c r="C315" s="915">
        <v>2616310000</v>
      </c>
      <c r="D315" s="915" t="s">
        <v>2898</v>
      </c>
      <c r="E315" s="915">
        <v>-69590312262</v>
      </c>
      <c r="F315" s="915">
        <v>-71105541077</v>
      </c>
      <c r="G315" s="838"/>
      <c r="H315" s="838"/>
      <c r="I315" s="910">
        <v>5424140000</v>
      </c>
      <c r="J315" s="910" t="s">
        <v>3135</v>
      </c>
      <c r="K315" s="915">
        <v>0</v>
      </c>
      <c r="L315"/>
    </row>
    <row r="316" spans="2:12">
      <c r="B316" t="s">
        <v>2848</v>
      </c>
      <c r="C316" s="915">
        <v>2675100000</v>
      </c>
      <c r="D316" s="915" t="s">
        <v>3056</v>
      </c>
      <c r="E316" s="915">
        <v>-9310170684</v>
      </c>
      <c r="F316" s="915">
        <v>-6602633253</v>
      </c>
      <c r="G316" s="838"/>
      <c r="H316" s="838"/>
      <c r="I316" s="910">
        <v>5424150000</v>
      </c>
      <c r="J316" s="910" t="s">
        <v>3136</v>
      </c>
      <c r="K316" s="915">
        <v>95469464</v>
      </c>
      <c r="L316"/>
    </row>
    <row r="317" spans="2:12">
      <c r="B317" t="s">
        <v>2848</v>
      </c>
      <c r="C317" s="915">
        <v>2713000000</v>
      </c>
      <c r="D317" s="915" t="s">
        <v>3057</v>
      </c>
      <c r="E317" s="915">
        <v>93627637</v>
      </c>
      <c r="F317" s="915">
        <v>75464482</v>
      </c>
      <c r="G317" s="838"/>
      <c r="H317" s="838"/>
      <c r="I317" s="910">
        <v>5431100000</v>
      </c>
      <c r="J317" s="910" t="s">
        <v>3137</v>
      </c>
      <c r="K317" s="915">
        <v>0</v>
      </c>
      <c r="L317"/>
    </row>
    <row r="318" spans="2:12">
      <c r="B318" t="s">
        <v>2848</v>
      </c>
      <c r="C318" s="915">
        <v>2723100002</v>
      </c>
      <c r="D318" s="915" t="s">
        <v>3059</v>
      </c>
      <c r="E318" s="915">
        <v>-30742255</v>
      </c>
      <c r="F318" s="915">
        <v>-31622299</v>
      </c>
      <c r="G318" s="838"/>
      <c r="H318" s="838"/>
      <c r="I318" s="910">
        <v>5442000000</v>
      </c>
      <c r="J318" s="910" t="s">
        <v>3138</v>
      </c>
      <c r="K318" s="915">
        <v>137066029</v>
      </c>
      <c r="L318"/>
    </row>
    <row r="319" spans="2:12">
      <c r="B319" t="s">
        <v>2848</v>
      </c>
      <c r="C319" s="915">
        <v>2751110000</v>
      </c>
      <c r="D319" s="915" t="s">
        <v>3060</v>
      </c>
      <c r="E319" s="915">
        <v>-1857116141</v>
      </c>
      <c r="F319" s="915">
        <v>652506266</v>
      </c>
      <c r="G319" s="838"/>
      <c r="H319" s="838"/>
      <c r="I319" s="910">
        <v>5451000000</v>
      </c>
      <c r="J319" s="910" t="s">
        <v>3139</v>
      </c>
      <c r="K319" s="915">
        <v>27856</v>
      </c>
      <c r="L319"/>
    </row>
    <row r="320" spans="2:12">
      <c r="B320" t="s">
        <v>2848</v>
      </c>
      <c r="C320" s="915">
        <v>2751110023</v>
      </c>
      <c r="D320" s="915" t="s">
        <v>3061</v>
      </c>
      <c r="E320" s="915">
        <v>0</v>
      </c>
      <c r="F320" s="915">
        <v>-3758100860</v>
      </c>
      <c r="G320" s="838"/>
      <c r="H320" s="838"/>
      <c r="I320" s="910">
        <v>5472620000</v>
      </c>
      <c r="J320" s="910" t="s">
        <v>3140</v>
      </c>
      <c r="K320" s="915">
        <v>1114999435</v>
      </c>
      <c r="L320"/>
    </row>
    <row r="321" spans="2:12">
      <c r="B321" t="s">
        <v>2848</v>
      </c>
      <c r="C321" s="915">
        <v>2751212000</v>
      </c>
      <c r="D321" s="915" t="s">
        <v>3062</v>
      </c>
      <c r="E321" s="915">
        <v>-297108560</v>
      </c>
      <c r="F321" s="915">
        <v>-388506585</v>
      </c>
      <c r="G321" s="838"/>
      <c r="H321" s="838"/>
      <c r="I321" s="910">
        <v>5472630000</v>
      </c>
      <c r="J321" s="910" t="s">
        <v>3141</v>
      </c>
      <c r="K321" s="915">
        <v>3258545972</v>
      </c>
      <c r="L321"/>
    </row>
    <row r="322" spans="2:12">
      <c r="B322" t="s">
        <v>2848</v>
      </c>
      <c r="C322" s="915">
        <v>2752410000</v>
      </c>
      <c r="D322" s="915" t="s">
        <v>3063</v>
      </c>
      <c r="E322" s="915">
        <v>-151811300</v>
      </c>
      <c r="F322" s="915">
        <v>-620614202</v>
      </c>
      <c r="G322" s="838"/>
      <c r="H322" s="838"/>
      <c r="I322" s="910">
        <v>5495100000</v>
      </c>
      <c r="J322" s="910" t="s">
        <v>3142</v>
      </c>
      <c r="K322" s="915">
        <v>38199734</v>
      </c>
      <c r="L322"/>
    </row>
    <row r="323" spans="2:12">
      <c r="B323" t="s">
        <v>2848</v>
      </c>
      <c r="C323" s="915">
        <v>2901000000</v>
      </c>
      <c r="D323" s="915" t="s">
        <v>3064</v>
      </c>
      <c r="E323" s="915">
        <v>-47032213922</v>
      </c>
      <c r="F323" s="915">
        <v>-47032213922</v>
      </c>
      <c r="G323" s="838"/>
      <c r="H323" s="838"/>
      <c r="I323" s="910">
        <v>6012110000</v>
      </c>
      <c r="J323" s="910" t="s">
        <v>3143</v>
      </c>
      <c r="K323" s="915">
        <v>-75775241</v>
      </c>
      <c r="L323"/>
    </row>
    <row r="324" spans="2:12">
      <c r="B324" t="s">
        <v>2848</v>
      </c>
      <c r="C324" s="915">
        <v>2922050102</v>
      </c>
      <c r="D324" s="915" t="s">
        <v>3065</v>
      </c>
      <c r="E324" s="915">
        <v>0</v>
      </c>
      <c r="F324" s="915">
        <v>-1</v>
      </c>
      <c r="G324" s="838"/>
      <c r="H324" s="838"/>
      <c r="I324" s="910">
        <v>6012130000</v>
      </c>
      <c r="J324" s="910" t="s">
        <v>3144</v>
      </c>
      <c r="K324" s="915">
        <v>-512339134</v>
      </c>
      <c r="L324"/>
    </row>
    <row r="325" spans="2:12">
      <c r="B325" t="s">
        <v>2848</v>
      </c>
      <c r="C325" s="915">
        <v>2970100000</v>
      </c>
      <c r="D325" s="915" t="s">
        <v>3066</v>
      </c>
      <c r="E325" s="915">
        <v>-192838571721</v>
      </c>
      <c r="F325" s="915">
        <v>-94078458461</v>
      </c>
      <c r="G325" s="838"/>
      <c r="H325" s="838"/>
      <c r="I325" s="910">
        <v>6012210000</v>
      </c>
      <c r="J325" s="910" t="s">
        <v>3145</v>
      </c>
      <c r="K325" s="915">
        <v>-28752627</v>
      </c>
      <c r="L325"/>
    </row>
    <row r="326" spans="2:12">
      <c r="B326" t="s">
        <v>2848</v>
      </c>
      <c r="C326" s="915">
        <v>2970100000</v>
      </c>
      <c r="D326" s="915" t="s">
        <v>3066</v>
      </c>
      <c r="E326" s="915">
        <v>35504205462</v>
      </c>
      <c r="F326" s="915">
        <v>0</v>
      </c>
      <c r="G326" s="838"/>
      <c r="H326" s="838"/>
      <c r="I326" s="910">
        <v>6012230000</v>
      </c>
      <c r="J326" s="910" t="s">
        <v>3146</v>
      </c>
      <c r="K326" s="915">
        <v>-9379424440</v>
      </c>
      <c r="L326"/>
    </row>
    <row r="327" spans="2:12">
      <c r="B327" t="s">
        <v>2848</v>
      </c>
      <c r="C327" s="915">
        <v>2970100000</v>
      </c>
      <c r="D327" s="915" t="s">
        <v>3066</v>
      </c>
      <c r="E327" s="915">
        <v>273460462125</v>
      </c>
      <c r="F327" s="915">
        <v>0</v>
      </c>
      <c r="G327" s="838"/>
      <c r="H327" s="838"/>
      <c r="I327" s="910">
        <v>6012310000</v>
      </c>
      <c r="J327" s="910" t="s">
        <v>3147</v>
      </c>
      <c r="K327" s="915">
        <v>93031734</v>
      </c>
      <c r="L327"/>
    </row>
    <row r="328" spans="2:12">
      <c r="B328" t="s">
        <v>2848</v>
      </c>
      <c r="C328" s="915">
        <v>2970100000</v>
      </c>
      <c r="D328" s="915" t="s">
        <v>3066</v>
      </c>
      <c r="E328" s="915">
        <v>-1898956676</v>
      </c>
      <c r="F328" s="915">
        <v>0</v>
      </c>
      <c r="G328" s="838"/>
      <c r="H328" s="838"/>
      <c r="I328" s="910">
        <v>6012410000</v>
      </c>
      <c r="J328" s="910" t="s">
        <v>3148</v>
      </c>
      <c r="K328" s="915">
        <v>15535197</v>
      </c>
      <c r="L328"/>
    </row>
    <row r="329" spans="2:12">
      <c r="B329" t="s">
        <v>2848</v>
      </c>
      <c r="C329" s="915">
        <v>2970100000</v>
      </c>
      <c r="D329" s="915" t="s">
        <v>3066</v>
      </c>
      <c r="E329" s="915">
        <v>-226828894180</v>
      </c>
      <c r="F329" s="915">
        <v>0</v>
      </c>
      <c r="G329" s="838"/>
      <c r="H329" s="838"/>
      <c r="I329" s="910">
        <v>6012430000</v>
      </c>
      <c r="J329" s="910" t="s">
        <v>3149</v>
      </c>
      <c r="K329" s="915">
        <v>164804</v>
      </c>
      <c r="L329"/>
    </row>
    <row r="330" spans="2:12">
      <c r="B330" t="s">
        <v>2848</v>
      </c>
      <c r="C330" s="915">
        <v>2970100000</v>
      </c>
      <c r="D330" s="915" t="s">
        <v>3066</v>
      </c>
      <c r="E330" s="915">
        <v>84942174</v>
      </c>
      <c r="F330" s="915">
        <v>0</v>
      </c>
      <c r="G330" s="838"/>
      <c r="H330" s="838"/>
      <c r="I330" s="910">
        <v>6013210000</v>
      </c>
      <c r="J330" s="910" t="s">
        <v>3150</v>
      </c>
      <c r="K330" s="915">
        <v>0</v>
      </c>
      <c r="L330"/>
    </row>
    <row r="331" spans="2:12">
      <c r="B331" t="s">
        <v>2848</v>
      </c>
      <c r="C331" s="915">
        <v>2970100000</v>
      </c>
      <c r="D331" s="915" t="s">
        <v>3066</v>
      </c>
      <c r="E331" s="915">
        <v>-1802713086</v>
      </c>
      <c r="F331" s="915">
        <v>0</v>
      </c>
      <c r="G331" s="838"/>
      <c r="H331" s="838"/>
      <c r="I331" s="910">
        <v>6031110000</v>
      </c>
      <c r="J331" s="910" t="s">
        <v>3152</v>
      </c>
      <c r="K331" s="915">
        <v>76497645</v>
      </c>
      <c r="L331"/>
    </row>
    <row r="332" spans="2:12">
      <c r="B332" t="s">
        <v>2848</v>
      </c>
      <c r="C332" s="915">
        <v>2970100000</v>
      </c>
      <c r="D332" s="915" t="s">
        <v>3066</v>
      </c>
      <c r="E332" s="915">
        <v>-2621250530</v>
      </c>
      <c r="F332" s="915">
        <v>0</v>
      </c>
      <c r="G332" s="838"/>
      <c r="H332" s="838"/>
      <c r="I332" s="910">
        <v>6031120000</v>
      </c>
      <c r="J332" s="910" t="s">
        <v>3153</v>
      </c>
      <c r="K332" s="915">
        <v>-1159639345</v>
      </c>
      <c r="L332"/>
    </row>
    <row r="333" spans="2:12">
      <c r="B333" t="s">
        <v>2848</v>
      </c>
      <c r="C333" s="915">
        <v>2970100000</v>
      </c>
      <c r="D333" s="915" t="s">
        <v>3066</v>
      </c>
      <c r="E333" s="915">
        <v>-875038938</v>
      </c>
      <c r="F333" s="915">
        <v>0</v>
      </c>
      <c r="G333" s="838"/>
      <c r="H333" s="838"/>
      <c r="I333" s="910">
        <v>6031130000</v>
      </c>
      <c r="J333" s="910" t="s">
        <v>3154</v>
      </c>
      <c r="K333" s="915">
        <v>-448596954</v>
      </c>
      <c r="L333"/>
    </row>
    <row r="334" spans="2:12">
      <c r="B334" t="s">
        <v>2848</v>
      </c>
      <c r="C334" s="915">
        <v>2970100000</v>
      </c>
      <c r="D334" s="915" t="s">
        <v>3066</v>
      </c>
      <c r="E334" s="915">
        <v>-2777775786</v>
      </c>
      <c r="F334" s="915">
        <v>0</v>
      </c>
      <c r="G334" s="838"/>
      <c r="H334" s="838"/>
      <c r="I334" s="910">
        <v>6031140000</v>
      </c>
      <c r="J334" s="910" t="s">
        <v>3155</v>
      </c>
      <c r="K334" s="915">
        <v>-15382751</v>
      </c>
      <c r="L334"/>
    </row>
    <row r="335" spans="2:12">
      <c r="B335" t="s">
        <v>2848</v>
      </c>
      <c r="C335" s="915">
        <v>2970100000</v>
      </c>
      <c r="D335" s="915" t="s">
        <v>3066</v>
      </c>
      <c r="E335" s="915">
        <v>-5977142</v>
      </c>
      <c r="F335" s="915">
        <v>0</v>
      </c>
      <c r="G335" s="838"/>
      <c r="H335" s="838"/>
      <c r="I335" s="910">
        <v>6031150000</v>
      </c>
      <c r="J335" s="910" t="s">
        <v>3156</v>
      </c>
      <c r="K335" s="915">
        <v>-9639959</v>
      </c>
      <c r="L335"/>
    </row>
    <row r="336" spans="2:12">
      <c r="B336" t="s">
        <v>2848</v>
      </c>
      <c r="C336" s="915">
        <v>2970100000</v>
      </c>
      <c r="D336" s="915" t="s">
        <v>3066</v>
      </c>
      <c r="E336" s="915">
        <v>-2781257965</v>
      </c>
      <c r="F336" s="915">
        <v>0</v>
      </c>
      <c r="G336" s="838"/>
      <c r="H336" s="838"/>
      <c r="I336" s="910">
        <v>6031190000</v>
      </c>
      <c r="J336" s="910" t="s">
        <v>3157</v>
      </c>
      <c r="K336" s="915">
        <v>-1210085</v>
      </c>
      <c r="L336"/>
    </row>
    <row r="337" spans="2:12">
      <c r="B337" t="s">
        <v>2848</v>
      </c>
      <c r="C337" s="915">
        <v>2970100000</v>
      </c>
      <c r="D337" s="915" t="s">
        <v>3066</v>
      </c>
      <c r="E337" s="915">
        <v>-1083720039</v>
      </c>
      <c r="F337" s="915">
        <v>0</v>
      </c>
      <c r="G337" s="838"/>
      <c r="H337" s="838"/>
      <c r="I337" s="910">
        <v>6031210000</v>
      </c>
      <c r="J337" s="910" t="s">
        <v>3158</v>
      </c>
      <c r="K337" s="915">
        <v>-1203319</v>
      </c>
      <c r="L337"/>
    </row>
    <row r="338" spans="2:12">
      <c r="B338" t="s">
        <v>2848</v>
      </c>
      <c r="C338" s="915">
        <v>2970100000</v>
      </c>
      <c r="D338" s="915" t="s">
        <v>3066</v>
      </c>
      <c r="E338" s="915">
        <v>-29139798</v>
      </c>
      <c r="F338" s="915">
        <v>0</v>
      </c>
      <c r="G338" s="838"/>
      <c r="H338" s="838"/>
      <c r="I338" s="910">
        <v>6031220000</v>
      </c>
      <c r="J338" s="910" t="s">
        <v>3159</v>
      </c>
      <c r="K338" s="915">
        <v>-566866</v>
      </c>
      <c r="L338"/>
    </row>
    <row r="339" spans="2:12">
      <c r="B339" t="s">
        <v>2848</v>
      </c>
      <c r="C339" s="915">
        <v>2970100000</v>
      </c>
      <c r="D339" s="915" t="s">
        <v>3066</v>
      </c>
      <c r="E339" s="915">
        <v>2518409</v>
      </c>
      <c r="F339" s="915">
        <v>0</v>
      </c>
      <c r="G339" s="838"/>
      <c r="H339" s="838"/>
      <c r="I339" s="910">
        <v>6031240000</v>
      </c>
      <c r="J339" s="910" t="s">
        <v>3160</v>
      </c>
      <c r="K339" s="915">
        <v>-9825998</v>
      </c>
      <c r="L339"/>
    </row>
    <row r="340" spans="2:12">
      <c r="B340" t="s">
        <v>2848</v>
      </c>
      <c r="C340" s="915">
        <v>2970100000</v>
      </c>
      <c r="D340" s="915" t="s">
        <v>3066</v>
      </c>
      <c r="E340" s="915">
        <v>-904328581</v>
      </c>
      <c r="F340" s="915">
        <v>0</v>
      </c>
      <c r="G340" s="838"/>
      <c r="H340" s="838"/>
      <c r="I340" s="910">
        <v>6031290000</v>
      </c>
      <c r="J340" s="910" t="s">
        <v>3161</v>
      </c>
      <c r="K340" s="915">
        <v>-224164</v>
      </c>
      <c r="L340"/>
    </row>
    <row r="341" spans="2:12">
      <c r="B341" t="s">
        <v>2848</v>
      </c>
      <c r="C341" s="915">
        <v>2970100000</v>
      </c>
      <c r="D341" s="915" t="s">
        <v>3066</v>
      </c>
      <c r="E341" s="915">
        <v>2111675938</v>
      </c>
      <c r="F341" s="915">
        <v>0</v>
      </c>
      <c r="G341" s="838"/>
      <c r="H341" s="838"/>
      <c r="I341" s="910">
        <v>6032110000</v>
      </c>
      <c r="J341" s="910" t="s">
        <v>3162</v>
      </c>
      <c r="K341" s="915">
        <v>-86904427</v>
      </c>
      <c r="L341"/>
    </row>
    <row r="342" spans="2:12">
      <c r="B342" t="s">
        <v>2848</v>
      </c>
      <c r="C342" s="915">
        <v>2970100000</v>
      </c>
      <c r="D342" s="915" t="s">
        <v>3066</v>
      </c>
      <c r="E342" s="915">
        <v>-933338578</v>
      </c>
      <c r="F342" s="915">
        <v>0</v>
      </c>
      <c r="G342" s="838"/>
      <c r="H342" s="838"/>
      <c r="I342" s="910">
        <v>6032120000</v>
      </c>
      <c r="J342" s="910" t="s">
        <v>3163</v>
      </c>
      <c r="K342" s="915">
        <v>73446141</v>
      </c>
      <c r="L342"/>
    </row>
    <row r="343" spans="2:12">
      <c r="B343" t="s">
        <v>2848</v>
      </c>
      <c r="C343" s="915">
        <v>2970100000</v>
      </c>
      <c r="D343" s="915" t="s">
        <v>3066</v>
      </c>
      <c r="E343" s="915">
        <v>-140034019</v>
      </c>
      <c r="F343" s="915">
        <v>0</v>
      </c>
      <c r="G343" s="838"/>
      <c r="H343" s="838"/>
      <c r="I343" s="910">
        <v>6032130000</v>
      </c>
      <c r="J343" s="910" t="s">
        <v>3164</v>
      </c>
      <c r="K343" s="915">
        <v>1703341283</v>
      </c>
      <c r="L343"/>
    </row>
    <row r="344" spans="2:12">
      <c r="B344" t="s">
        <v>2848</v>
      </c>
      <c r="C344" s="915">
        <v>2970100000</v>
      </c>
      <c r="D344" s="915" t="s">
        <v>3066</v>
      </c>
      <c r="E344" s="915">
        <v>-3405990059</v>
      </c>
      <c r="F344" s="915">
        <v>0</v>
      </c>
      <c r="G344" s="838"/>
      <c r="H344" s="838"/>
      <c r="I344" s="910">
        <v>6032140000</v>
      </c>
      <c r="J344" s="910" t="s">
        <v>3165</v>
      </c>
      <c r="K344" s="915">
        <v>-771807</v>
      </c>
      <c r="L344"/>
    </row>
    <row r="345" spans="2:12">
      <c r="B345" t="s">
        <v>2848</v>
      </c>
      <c r="C345" s="915">
        <v>2970100000</v>
      </c>
      <c r="D345" s="915" t="s">
        <v>3066</v>
      </c>
      <c r="E345" s="915">
        <v>-1056173193</v>
      </c>
      <c r="F345" s="915">
        <v>0</v>
      </c>
      <c r="G345" s="838"/>
      <c r="H345" s="838"/>
      <c r="I345" s="910">
        <v>6032150000</v>
      </c>
      <c r="J345" s="910" t="s">
        <v>3166</v>
      </c>
      <c r="K345" s="915">
        <v>9315395839</v>
      </c>
      <c r="L345"/>
    </row>
    <row r="346" spans="2:12">
      <c r="B346" t="s">
        <v>2848</v>
      </c>
      <c r="C346" s="915">
        <v>2970100000</v>
      </c>
      <c r="D346" s="915" t="s">
        <v>3066</v>
      </c>
      <c r="E346" s="915">
        <v>-975199304</v>
      </c>
      <c r="F346" s="915">
        <v>0</v>
      </c>
      <c r="G346" s="838"/>
      <c r="H346" s="838"/>
      <c r="I346" s="910">
        <v>6032190000</v>
      </c>
      <c r="J346" s="910" t="s">
        <v>3167</v>
      </c>
      <c r="K346" s="915">
        <v>0</v>
      </c>
      <c r="L346"/>
    </row>
    <row r="347" spans="2:12">
      <c r="B347" t="s">
        <v>2848</v>
      </c>
      <c r="C347" s="915">
        <v>2970100000</v>
      </c>
      <c r="D347" s="915" t="s">
        <v>3066</v>
      </c>
      <c r="E347" s="915">
        <v>265459592</v>
      </c>
      <c r="F347" s="915">
        <v>0</v>
      </c>
      <c r="G347" s="838"/>
      <c r="H347" s="838"/>
      <c r="I347" s="910">
        <v>6032210000</v>
      </c>
      <c r="J347" s="910" t="s">
        <v>3168</v>
      </c>
      <c r="K347" s="915">
        <v>2962893</v>
      </c>
      <c r="L347"/>
    </row>
    <row r="348" spans="2:12">
      <c r="B348" t="s">
        <v>2848</v>
      </c>
      <c r="C348" s="915">
        <v>2970100000</v>
      </c>
      <c r="D348" s="915" t="s">
        <v>3066</v>
      </c>
      <c r="E348" s="915">
        <v>-2435385448</v>
      </c>
      <c r="F348" s="915">
        <v>0</v>
      </c>
      <c r="G348" s="838"/>
      <c r="H348" s="838"/>
      <c r="I348" s="910">
        <v>6032230000</v>
      </c>
      <c r="J348" s="910" t="s">
        <v>3169</v>
      </c>
      <c r="K348" s="915">
        <v>0</v>
      </c>
      <c r="L348"/>
    </row>
    <row r="349" spans="2:12">
      <c r="B349" t="s">
        <v>2848</v>
      </c>
      <c r="C349" s="915">
        <v>2970100000</v>
      </c>
      <c r="D349" s="915" t="s">
        <v>3066</v>
      </c>
      <c r="E349" s="915">
        <v>1396107886</v>
      </c>
      <c r="F349" s="915">
        <v>0</v>
      </c>
      <c r="G349" s="838"/>
      <c r="H349" s="838"/>
      <c r="I349" s="910">
        <v>6032240000</v>
      </c>
      <c r="J349" s="910" t="s">
        <v>3170</v>
      </c>
      <c r="K349" s="915">
        <v>9662653</v>
      </c>
      <c r="L349"/>
    </row>
    <row r="350" spans="2:12">
      <c r="B350" t="s">
        <v>2848</v>
      </c>
      <c r="C350" s="915">
        <v>2970100000</v>
      </c>
      <c r="D350" s="915" t="s">
        <v>3066</v>
      </c>
      <c r="E350" s="915">
        <v>-902944742</v>
      </c>
      <c r="F350" s="915">
        <v>0</v>
      </c>
      <c r="G350" s="838"/>
      <c r="H350" s="838"/>
      <c r="I350" s="910">
        <v>6032290000</v>
      </c>
      <c r="J350" s="910" t="s">
        <v>3171</v>
      </c>
      <c r="K350" s="915">
        <v>798603</v>
      </c>
      <c r="L350"/>
    </row>
    <row r="351" spans="2:12">
      <c r="B351" t="s">
        <v>2848</v>
      </c>
      <c r="C351" s="915">
        <v>2970100000</v>
      </c>
      <c r="D351" s="915" t="s">
        <v>3066</v>
      </c>
      <c r="E351" s="915">
        <v>-957170515</v>
      </c>
      <c r="F351" s="915">
        <v>0</v>
      </c>
      <c r="G351" s="838"/>
      <c r="H351" s="838"/>
      <c r="I351" s="910">
        <v>6543100010</v>
      </c>
      <c r="J351" s="910" t="s">
        <v>3172</v>
      </c>
      <c r="K351" s="915">
        <v>0</v>
      </c>
      <c r="L351"/>
    </row>
    <row r="352" spans="2:12">
      <c r="B352" t="s">
        <v>2848</v>
      </c>
      <c r="C352" s="915">
        <v>2970100000</v>
      </c>
      <c r="D352" s="915" t="s">
        <v>3066</v>
      </c>
      <c r="E352" s="915">
        <v>439458</v>
      </c>
      <c r="F352" s="915">
        <v>0</v>
      </c>
      <c r="G352" s="838"/>
      <c r="H352" s="838"/>
      <c r="I352" s="910">
        <v>6543200010</v>
      </c>
      <c r="J352" s="910" t="s">
        <v>3173</v>
      </c>
      <c r="K352" s="915">
        <v>0</v>
      </c>
      <c r="L352"/>
    </row>
    <row r="353" spans="2:12">
      <c r="B353" t="s">
        <v>2848</v>
      </c>
      <c r="C353" s="915">
        <v>2970100000</v>
      </c>
      <c r="D353" s="915" t="s">
        <v>3066</v>
      </c>
      <c r="E353" s="915">
        <v>30797746</v>
      </c>
      <c r="F353" s="915">
        <v>0</v>
      </c>
      <c r="G353" s="838"/>
      <c r="H353" s="838"/>
      <c r="I353" s="910">
        <v>6543400010</v>
      </c>
      <c r="J353" s="910" t="s">
        <v>3174</v>
      </c>
      <c r="K353" s="915">
        <v>0</v>
      </c>
      <c r="L353"/>
    </row>
    <row r="354" spans="2:12">
      <c r="B354" t="s">
        <v>2848</v>
      </c>
      <c r="C354" s="915">
        <v>2970100000</v>
      </c>
      <c r="D354" s="915" t="s">
        <v>3066</v>
      </c>
      <c r="E354" s="915">
        <v>147072627</v>
      </c>
      <c r="F354" s="915">
        <v>0</v>
      </c>
      <c r="G354" s="838"/>
      <c r="H354" s="838"/>
      <c r="I354" s="910">
        <v>6595910106</v>
      </c>
      <c r="J354" s="910" t="s">
        <v>3175</v>
      </c>
      <c r="K354" s="915">
        <v>0</v>
      </c>
      <c r="L354"/>
    </row>
    <row r="355" spans="2:12">
      <c r="B355" t="s">
        <v>2848</v>
      </c>
      <c r="C355" s="915">
        <v>2970100000</v>
      </c>
      <c r="D355" s="915" t="s">
        <v>3066</v>
      </c>
      <c r="E355" s="915">
        <v>28253377971</v>
      </c>
      <c r="F355" s="915">
        <v>0</v>
      </c>
      <c r="G355" s="838"/>
      <c r="H355" s="838"/>
      <c r="I355" s="910">
        <v>6643400010</v>
      </c>
      <c r="J355" s="910" t="s">
        <v>3176</v>
      </c>
      <c r="K355" s="915">
        <v>0</v>
      </c>
      <c r="L355"/>
    </row>
    <row r="356" spans="2:12">
      <c r="B356" t="s">
        <v>2848</v>
      </c>
      <c r="C356" s="915">
        <v>2970100006</v>
      </c>
      <c r="D356" s="915" t="s">
        <v>3067</v>
      </c>
      <c r="E356" s="915">
        <v>13863084334</v>
      </c>
      <c r="F356" s="915">
        <v>12690515961</v>
      </c>
      <c r="G356" s="838"/>
      <c r="H356" s="838"/>
      <c r="I356" s="910">
        <v>6810010000</v>
      </c>
      <c r="J356" s="910" t="s">
        <v>3177</v>
      </c>
      <c r="K356" s="915">
        <v>-110756550</v>
      </c>
      <c r="L356"/>
    </row>
    <row r="357" spans="2:12">
      <c r="B357" t="s">
        <v>2848</v>
      </c>
      <c r="C357" s="915">
        <v>2970100007</v>
      </c>
      <c r="D357" s="915" t="s">
        <v>3068</v>
      </c>
      <c r="E357" s="915">
        <v>495497088</v>
      </c>
      <c r="F357" s="915">
        <v>470807071</v>
      </c>
      <c r="G357" s="838"/>
      <c r="H357" s="838"/>
      <c r="I357" s="910">
        <v>6810020000</v>
      </c>
      <c r="J357" s="910" t="s">
        <v>3178</v>
      </c>
      <c r="K357" s="915">
        <v>0</v>
      </c>
      <c r="L357"/>
    </row>
    <row r="358" spans="2:12">
      <c r="B358" t="s">
        <v>2848</v>
      </c>
      <c r="C358" s="915">
        <v>2972100000</v>
      </c>
      <c r="D358" s="915" t="s">
        <v>3069</v>
      </c>
      <c r="E358" s="915">
        <v>0</v>
      </c>
      <c r="F358" s="915">
        <v>4936614825</v>
      </c>
      <c r="G358" s="838"/>
      <c r="H358" s="838"/>
      <c r="I358" s="910">
        <v>6810110000</v>
      </c>
      <c r="J358" s="910" t="s">
        <v>3179</v>
      </c>
      <c r="K358" s="915">
        <v>1949932861</v>
      </c>
      <c r="L358"/>
    </row>
    <row r="359" spans="2:12">
      <c r="B359" t="s">
        <v>2848</v>
      </c>
      <c r="C359" s="915">
        <v>2972200000</v>
      </c>
      <c r="D359" s="915" t="s">
        <v>3069</v>
      </c>
      <c r="E359" s="915">
        <v>0</v>
      </c>
      <c r="F359" s="915">
        <v>50594918</v>
      </c>
      <c r="G359" s="838"/>
      <c r="H359" s="838"/>
      <c r="I359" s="910">
        <v>7020000003</v>
      </c>
      <c r="J359" s="910" t="s">
        <v>3180</v>
      </c>
      <c r="K359" s="915">
        <v>0</v>
      </c>
      <c r="L359"/>
    </row>
    <row r="360" spans="2:12">
      <c r="B360" t="s">
        <v>2848</v>
      </c>
      <c r="C360" s="915">
        <v>2972400000</v>
      </c>
      <c r="D360" s="915" t="s">
        <v>3070</v>
      </c>
      <c r="E360" s="915">
        <v>0</v>
      </c>
      <c r="F360" s="915">
        <v>-732769192</v>
      </c>
      <c r="G360" s="838"/>
      <c r="H360" s="838"/>
      <c r="I360" s="910">
        <v>7020000109</v>
      </c>
      <c r="J360" s="910" t="s">
        <v>3181</v>
      </c>
      <c r="K360" s="915">
        <v>1590292</v>
      </c>
      <c r="L360"/>
    </row>
    <row r="361" spans="2:12">
      <c r="B361" t="s">
        <v>2848</v>
      </c>
      <c r="C361" s="915">
        <v>3010100000</v>
      </c>
      <c r="D361" s="915" t="s">
        <v>3071</v>
      </c>
      <c r="E361" s="915">
        <v>0</v>
      </c>
      <c r="F361" s="915">
        <v>13919733</v>
      </c>
      <c r="G361" s="838"/>
      <c r="H361" s="838"/>
      <c r="I361" s="910">
        <v>7020000112</v>
      </c>
      <c r="J361" s="910" t="s">
        <v>3182</v>
      </c>
      <c r="K361" s="915">
        <v>1699975</v>
      </c>
      <c r="L361"/>
    </row>
    <row r="362" spans="2:12">
      <c r="B362" t="s">
        <v>2848</v>
      </c>
      <c r="C362" s="915">
        <v>3010100000</v>
      </c>
      <c r="D362" s="915" t="s">
        <v>3071</v>
      </c>
      <c r="E362" s="915">
        <v>-3793157260</v>
      </c>
      <c r="F362" s="915">
        <v>-19047241423</v>
      </c>
      <c r="G362" s="838"/>
      <c r="H362" s="838"/>
      <c r="I362" s="910">
        <v>7020000408</v>
      </c>
      <c r="J362" s="910" t="s">
        <v>3183</v>
      </c>
      <c r="K362" s="915">
        <v>227432981</v>
      </c>
      <c r="L362"/>
    </row>
    <row r="363" spans="2:12">
      <c r="B363" t="s">
        <v>2848</v>
      </c>
      <c r="C363" s="915">
        <v>3010100000</v>
      </c>
      <c r="D363" s="915" t="s">
        <v>3071</v>
      </c>
      <c r="E363" s="915">
        <v>-1430331125</v>
      </c>
      <c r="F363" s="915">
        <v>-6122005777</v>
      </c>
      <c r="G363" s="838"/>
      <c r="H363" s="838"/>
      <c r="I363" s="910">
        <v>7100000000</v>
      </c>
      <c r="J363" s="910" t="s">
        <v>3184</v>
      </c>
      <c r="K363" s="915">
        <v>1246765471</v>
      </c>
      <c r="L363"/>
    </row>
    <row r="364" spans="2:12">
      <c r="B364" t="s">
        <v>2848</v>
      </c>
      <c r="C364" s="915">
        <v>3010100000</v>
      </c>
      <c r="D364" s="915" t="s">
        <v>3071</v>
      </c>
      <c r="E364" s="915">
        <v>-80463943544</v>
      </c>
      <c r="F364" s="915">
        <v>-319220660196</v>
      </c>
      <c r="G364" s="838"/>
      <c r="H364" s="838"/>
      <c r="I364" s="910">
        <v>7100100000</v>
      </c>
      <c r="J364" s="910" t="s">
        <v>3185</v>
      </c>
      <c r="K364" s="915">
        <v>11572248</v>
      </c>
      <c r="L364"/>
    </row>
    <row r="365" spans="2:12">
      <c r="B365" t="s">
        <v>2848</v>
      </c>
      <c r="C365" s="915">
        <v>3010100000</v>
      </c>
      <c r="D365" s="915" t="s">
        <v>3071</v>
      </c>
      <c r="E365" s="915">
        <v>-2042968082</v>
      </c>
      <c r="F365" s="915">
        <v>-7687591263</v>
      </c>
      <c r="G365" s="838"/>
      <c r="H365" s="838"/>
      <c r="I365" s="910">
        <v>7100200000</v>
      </c>
      <c r="J365" s="910" t="s">
        <v>3186</v>
      </c>
      <c r="K365" s="915">
        <v>2787385</v>
      </c>
      <c r="L365"/>
    </row>
    <row r="366" spans="2:12">
      <c r="B366" t="s">
        <v>2848</v>
      </c>
      <c r="C366" s="915">
        <v>3010100000</v>
      </c>
      <c r="D366" s="915" t="s">
        <v>3071</v>
      </c>
      <c r="E366" s="915">
        <v>-4994777615</v>
      </c>
      <c r="F366" s="915">
        <v>-21582396625</v>
      </c>
      <c r="G366" s="838"/>
      <c r="H366" s="838"/>
      <c r="I366" s="910">
        <v>7100200007</v>
      </c>
      <c r="J366" s="910" t="s">
        <v>3187</v>
      </c>
      <c r="K366" s="915">
        <v>-80076153</v>
      </c>
      <c r="L366"/>
    </row>
    <row r="367" spans="2:12">
      <c r="B367" t="s">
        <v>2848</v>
      </c>
      <c r="C367" s="915">
        <v>3010100000</v>
      </c>
      <c r="D367" s="915" t="s">
        <v>3071</v>
      </c>
      <c r="E367" s="915">
        <v>-360378444</v>
      </c>
      <c r="F367" s="915">
        <v>-1738102818</v>
      </c>
      <c r="G367" s="838"/>
      <c r="H367" s="838"/>
      <c r="I367" s="910">
        <v>7100322003</v>
      </c>
      <c r="J367" s="910" t="s">
        <v>3188</v>
      </c>
      <c r="K367" s="915">
        <v>619401145</v>
      </c>
      <c r="L367"/>
    </row>
    <row r="368" spans="2:12">
      <c r="B368" t="s">
        <v>2848</v>
      </c>
      <c r="C368" s="915">
        <v>3010100000</v>
      </c>
      <c r="D368" s="915" t="s">
        <v>3071</v>
      </c>
      <c r="E368" s="915">
        <v>-2830927117</v>
      </c>
      <c r="F368" s="915">
        <v>-7069699149</v>
      </c>
      <c r="G368" s="838"/>
      <c r="H368" s="838"/>
      <c r="I368" s="910">
        <v>7100330002</v>
      </c>
      <c r="J368" s="910" t="s">
        <v>3189</v>
      </c>
      <c r="K368" s="915">
        <v>46091822</v>
      </c>
      <c r="L368"/>
    </row>
    <row r="369" spans="2:12">
      <c r="B369" t="s">
        <v>2848</v>
      </c>
      <c r="C369" s="915">
        <v>3010100000</v>
      </c>
      <c r="D369" s="915" t="s">
        <v>3071</v>
      </c>
      <c r="E369" s="915">
        <v>-2277050</v>
      </c>
      <c r="F369" s="915">
        <v>-8605186</v>
      </c>
      <c r="G369" s="838"/>
      <c r="H369" s="838"/>
      <c r="I369" s="910">
        <v>7100340003</v>
      </c>
      <c r="J369" s="910" t="s">
        <v>3190</v>
      </c>
      <c r="K369" s="915">
        <v>71814210</v>
      </c>
      <c r="L369"/>
    </row>
    <row r="370" spans="2:12">
      <c r="B370" t="s">
        <v>2848</v>
      </c>
      <c r="C370" s="915">
        <v>3010100000</v>
      </c>
      <c r="D370" s="915" t="s">
        <v>3071</v>
      </c>
      <c r="E370" s="915">
        <v>-2651354199</v>
      </c>
      <c r="F370" s="915">
        <v>-13167413390</v>
      </c>
      <c r="G370" s="838"/>
      <c r="H370" s="838"/>
      <c r="I370" s="910">
        <v>7102000001</v>
      </c>
      <c r="J370" s="910" t="s">
        <v>3191</v>
      </c>
      <c r="K370" s="915">
        <v>133725346</v>
      </c>
      <c r="L370"/>
    </row>
    <row r="371" spans="2:12">
      <c r="B371" t="s">
        <v>2848</v>
      </c>
      <c r="C371" s="915">
        <v>3010100000</v>
      </c>
      <c r="D371" s="915" t="s">
        <v>3071</v>
      </c>
      <c r="E371" s="915">
        <v>-399659977</v>
      </c>
      <c r="F371" s="915">
        <v>-1690493979</v>
      </c>
      <c r="G371" s="838"/>
      <c r="H371" s="838"/>
      <c r="I371" s="910">
        <v>7116000000</v>
      </c>
      <c r="J371" s="910" t="s">
        <v>3192</v>
      </c>
      <c r="K371" s="915">
        <v>148736558</v>
      </c>
      <c r="L371"/>
    </row>
    <row r="372" spans="2:12">
      <c r="B372" t="s">
        <v>2848</v>
      </c>
      <c r="C372" s="915">
        <v>3010100000</v>
      </c>
      <c r="D372" s="915" t="s">
        <v>3071</v>
      </c>
      <c r="E372" s="915">
        <v>-13434917</v>
      </c>
      <c r="F372" s="915">
        <v>-56784041</v>
      </c>
      <c r="G372" s="838"/>
      <c r="H372" s="838"/>
      <c r="I372" s="910">
        <v>7116000003</v>
      </c>
      <c r="J372" s="910" t="s">
        <v>3193</v>
      </c>
      <c r="K372" s="915">
        <v>66464390</v>
      </c>
      <c r="L372"/>
    </row>
    <row r="373" spans="2:12">
      <c r="B373" t="s">
        <v>2848</v>
      </c>
      <c r="C373" s="915">
        <v>3010100000</v>
      </c>
      <c r="D373" s="915" t="s">
        <v>3071</v>
      </c>
      <c r="E373" s="915">
        <v>-161759429</v>
      </c>
      <c r="F373" s="915">
        <v>-625012143</v>
      </c>
      <c r="G373" s="838"/>
      <c r="H373" s="838"/>
      <c r="I373" s="910">
        <v>7202000008</v>
      </c>
      <c r="J373" s="910" t="s">
        <v>3194</v>
      </c>
      <c r="K373" s="915">
        <v>60498480</v>
      </c>
      <c r="L373"/>
    </row>
    <row r="374" spans="2:12">
      <c r="B374" t="s">
        <v>2848</v>
      </c>
      <c r="C374" s="915">
        <v>3010100000</v>
      </c>
      <c r="D374" s="915" t="s">
        <v>3071</v>
      </c>
      <c r="E374" s="915">
        <v>-302916334</v>
      </c>
      <c r="F374" s="915">
        <v>-1697765862</v>
      </c>
      <c r="G374" s="838"/>
      <c r="H374" s="838"/>
      <c r="I374" s="910">
        <v>7202001009</v>
      </c>
      <c r="J374" s="910" t="s">
        <v>3195</v>
      </c>
      <c r="K374" s="915">
        <v>10057267</v>
      </c>
      <c r="L374"/>
    </row>
    <row r="375" spans="2:12">
      <c r="B375" t="s">
        <v>2848</v>
      </c>
      <c r="C375" s="915">
        <v>3010100000</v>
      </c>
      <c r="D375" s="915" t="s">
        <v>3071</v>
      </c>
      <c r="E375" s="915">
        <v>-4644964541</v>
      </c>
      <c r="F375" s="915">
        <v>-22255926924</v>
      </c>
      <c r="G375" s="838"/>
      <c r="H375" s="838"/>
      <c r="I375" s="910">
        <v>7242003002</v>
      </c>
      <c r="J375" s="910" t="s">
        <v>3196</v>
      </c>
      <c r="K375" s="915">
        <v>55841871</v>
      </c>
      <c r="L375"/>
    </row>
    <row r="376" spans="2:12">
      <c r="B376" t="s">
        <v>2848</v>
      </c>
      <c r="C376" s="915">
        <v>3010100000</v>
      </c>
      <c r="D376" s="915" t="s">
        <v>3071</v>
      </c>
      <c r="E376" s="915">
        <v>-464521628</v>
      </c>
      <c r="F376" s="915">
        <v>-2188890257</v>
      </c>
      <c r="G376" s="838"/>
      <c r="H376" s="838"/>
      <c r="I376" s="910">
        <v>7244000000</v>
      </c>
      <c r="J376" s="910" t="s">
        <v>3197</v>
      </c>
      <c r="K376" s="915">
        <v>3363267</v>
      </c>
      <c r="L376"/>
    </row>
    <row r="377" spans="2:12">
      <c r="B377" t="s">
        <v>2848</v>
      </c>
      <c r="C377" s="915">
        <v>3010100000</v>
      </c>
      <c r="D377" s="915" t="s">
        <v>3071</v>
      </c>
      <c r="E377" s="915">
        <v>-549631153</v>
      </c>
      <c r="F377" s="915">
        <v>-2282381065</v>
      </c>
      <c r="G377" s="838"/>
      <c r="H377" s="838"/>
      <c r="I377" s="910">
        <v>7245000000</v>
      </c>
      <c r="J377" s="910" t="s">
        <v>3198</v>
      </c>
      <c r="K377" s="915">
        <v>1761770</v>
      </c>
      <c r="L377"/>
    </row>
    <row r="378" spans="2:12">
      <c r="B378" t="s">
        <v>2848</v>
      </c>
      <c r="C378" s="915">
        <v>3010100000</v>
      </c>
      <c r="D378" s="915" t="s">
        <v>3071</v>
      </c>
      <c r="E378" s="915">
        <v>-2928858947</v>
      </c>
      <c r="F378" s="915">
        <v>-9834812530</v>
      </c>
      <c r="G378" s="838"/>
      <c r="H378" s="838"/>
      <c r="I378" s="910">
        <v>7248000000</v>
      </c>
      <c r="J378" s="910" t="s">
        <v>3199</v>
      </c>
      <c r="K378" s="915">
        <v>126286369</v>
      </c>
      <c r="L378"/>
    </row>
    <row r="379" spans="2:12">
      <c r="B379" t="s">
        <v>2848</v>
      </c>
      <c r="C379" s="915">
        <v>3010100000</v>
      </c>
      <c r="D379" s="915" t="s">
        <v>3071</v>
      </c>
      <c r="E379" s="915">
        <v>-1415369874</v>
      </c>
      <c r="F379" s="915">
        <v>-3813368584</v>
      </c>
      <c r="G379" s="838"/>
      <c r="H379" s="838"/>
      <c r="I379" s="910">
        <v>7250000000</v>
      </c>
      <c r="J379" s="910" t="s">
        <v>3200</v>
      </c>
      <c r="K379" s="915">
        <v>1682000</v>
      </c>
      <c r="L379"/>
    </row>
    <row r="380" spans="2:12">
      <c r="B380" t="s">
        <v>2848</v>
      </c>
      <c r="C380" s="915">
        <v>3010100000</v>
      </c>
      <c r="D380" s="915" t="s">
        <v>3071</v>
      </c>
      <c r="E380" s="915">
        <v>-618716800</v>
      </c>
      <c r="F380" s="915">
        <v>-2175887022</v>
      </c>
      <c r="G380" s="838"/>
      <c r="H380" s="838"/>
      <c r="I380" s="910">
        <v>7250100000</v>
      </c>
      <c r="J380" s="910" t="s">
        <v>3201</v>
      </c>
      <c r="K380" s="915">
        <v>16451799</v>
      </c>
      <c r="L380"/>
    </row>
    <row r="381" spans="2:12">
      <c r="B381" t="s">
        <v>2848</v>
      </c>
      <c r="C381" s="915">
        <v>3010100000</v>
      </c>
      <c r="D381" s="915" t="s">
        <v>3071</v>
      </c>
      <c r="E381" s="915">
        <v>-32546</v>
      </c>
      <c r="F381" s="915">
        <v>-122916</v>
      </c>
      <c r="G381" s="838"/>
      <c r="H381" s="838"/>
      <c r="I381" s="910">
        <v>7250100003</v>
      </c>
      <c r="J381" s="910" t="s">
        <v>3202</v>
      </c>
      <c r="K381" s="915">
        <v>2460515</v>
      </c>
      <c r="L381"/>
    </row>
    <row r="382" spans="2:12">
      <c r="B382" t="s">
        <v>2848</v>
      </c>
      <c r="C382" s="915">
        <v>3010100000</v>
      </c>
      <c r="D382" s="915" t="s">
        <v>3071</v>
      </c>
      <c r="E382" s="915">
        <v>-1174274086</v>
      </c>
      <c r="F382" s="915">
        <v>-5052630104</v>
      </c>
      <c r="G382" s="838"/>
      <c r="H382" s="838"/>
      <c r="I382" s="910">
        <v>7251000004</v>
      </c>
      <c r="J382" s="910" t="s">
        <v>3203</v>
      </c>
      <c r="K382" s="915">
        <v>10131817</v>
      </c>
      <c r="L382"/>
    </row>
    <row r="383" spans="2:12">
      <c r="B383" t="s">
        <v>2848</v>
      </c>
      <c r="C383" s="915">
        <v>3010100000</v>
      </c>
      <c r="D383" s="915" t="s">
        <v>3071</v>
      </c>
      <c r="E383" s="915">
        <v>-4082560137</v>
      </c>
      <c r="F383" s="915">
        <v>-13691749886</v>
      </c>
      <c r="G383" s="838"/>
      <c r="H383" s="838"/>
      <c r="I383" s="910">
        <v>7401000000</v>
      </c>
      <c r="J383" s="910" t="s">
        <v>3204</v>
      </c>
      <c r="K383" s="915">
        <v>17471097</v>
      </c>
      <c r="L383"/>
    </row>
    <row r="384" spans="2:12">
      <c r="B384" t="s">
        <v>2848</v>
      </c>
      <c r="C384" s="915">
        <v>3010100000</v>
      </c>
      <c r="D384" s="915" t="s">
        <v>3071</v>
      </c>
      <c r="E384" s="915">
        <v>-1075453341</v>
      </c>
      <c r="F384" s="915">
        <v>-2583354252</v>
      </c>
      <c r="G384" s="838"/>
      <c r="H384" s="838"/>
      <c r="I384" s="910">
        <v>7410000000</v>
      </c>
      <c r="J384" s="910" t="s">
        <v>3205</v>
      </c>
      <c r="K384" s="915">
        <v>55815132</v>
      </c>
      <c r="L384"/>
    </row>
    <row r="385" spans="2:12">
      <c r="B385" t="s">
        <v>2848</v>
      </c>
      <c r="C385" s="915">
        <v>3010100000</v>
      </c>
      <c r="D385" s="915" t="s">
        <v>3071</v>
      </c>
      <c r="E385" s="915">
        <v>-1283361748</v>
      </c>
      <c r="F385" s="915">
        <v>-4744667288</v>
      </c>
      <c r="G385" s="838"/>
      <c r="H385" s="838"/>
      <c r="I385" s="910">
        <v>7411000000</v>
      </c>
      <c r="J385" s="910" t="s">
        <v>3206</v>
      </c>
      <c r="K385" s="915">
        <v>112483467</v>
      </c>
      <c r="L385"/>
    </row>
    <row r="386" spans="2:12">
      <c r="B386" t="s">
        <v>2848</v>
      </c>
      <c r="C386" s="915">
        <v>3010100000</v>
      </c>
      <c r="D386" s="915" t="s">
        <v>3071</v>
      </c>
      <c r="E386" s="915">
        <v>-76811</v>
      </c>
      <c r="F386" s="915">
        <v>-456090</v>
      </c>
      <c r="G386" s="838"/>
      <c r="H386" s="838"/>
      <c r="I386" s="910">
        <v>7422000000</v>
      </c>
      <c r="J386" s="910" t="s">
        <v>3207</v>
      </c>
      <c r="K386" s="915">
        <v>11775322</v>
      </c>
      <c r="L386"/>
    </row>
    <row r="387" spans="2:12">
      <c r="B387" t="s">
        <v>2848</v>
      </c>
      <c r="C387" s="915">
        <v>3010100000</v>
      </c>
      <c r="D387" s="915" t="s">
        <v>3071</v>
      </c>
      <c r="E387" s="915">
        <v>29303621039</v>
      </c>
      <c r="F387" s="915">
        <v>116798346596</v>
      </c>
      <c r="G387" s="838"/>
      <c r="H387" s="838"/>
      <c r="I387" s="910">
        <v>7430000000</v>
      </c>
      <c r="J387" s="910" t="s">
        <v>3208</v>
      </c>
      <c r="K387" s="915">
        <v>27665755</v>
      </c>
      <c r="L387"/>
    </row>
    <row r="388" spans="2:12">
      <c r="B388" t="s">
        <v>2848</v>
      </c>
      <c r="C388" s="915">
        <v>3010100030</v>
      </c>
      <c r="D388" s="915" t="s">
        <v>3072</v>
      </c>
      <c r="E388" s="915">
        <v>-55968150</v>
      </c>
      <c r="F388" s="915">
        <v>55047203</v>
      </c>
      <c r="G388" s="838"/>
      <c r="H388" s="838"/>
      <c r="I388" s="910">
        <v>7431000002</v>
      </c>
      <c r="J388" s="910" t="s">
        <v>3748</v>
      </c>
      <c r="K388" s="915">
        <v>4145289</v>
      </c>
      <c r="L388"/>
    </row>
    <row r="389" spans="2:12">
      <c r="B389" t="s">
        <v>2848</v>
      </c>
      <c r="C389" s="915">
        <v>3010100030</v>
      </c>
      <c r="D389" s="915" t="s">
        <v>3072</v>
      </c>
      <c r="E389" s="915">
        <v>29389976</v>
      </c>
      <c r="F389" s="915">
        <v>183313183</v>
      </c>
      <c r="G389" s="838"/>
      <c r="H389" s="838"/>
      <c r="I389" s="910">
        <v>7440000001</v>
      </c>
      <c r="J389" s="910" t="s">
        <v>3209</v>
      </c>
      <c r="K389" s="915">
        <v>34687676</v>
      </c>
      <c r="L389"/>
    </row>
    <row r="390" spans="2:12">
      <c r="B390" t="s">
        <v>2848</v>
      </c>
      <c r="C390" s="915">
        <v>3010100030</v>
      </c>
      <c r="D390" s="915" t="s">
        <v>3072</v>
      </c>
      <c r="E390" s="915">
        <v>-15651763</v>
      </c>
      <c r="F390" s="915">
        <v>-421177431</v>
      </c>
      <c r="G390" s="838"/>
      <c r="H390" s="838"/>
      <c r="I390" s="910">
        <v>7440000003</v>
      </c>
      <c r="J390" s="910" t="s">
        <v>3210</v>
      </c>
      <c r="K390" s="915">
        <v>58002819</v>
      </c>
      <c r="L390"/>
    </row>
    <row r="391" spans="2:12">
      <c r="B391" t="s">
        <v>2848</v>
      </c>
      <c r="C391" s="915">
        <v>3010100030</v>
      </c>
      <c r="D391" s="915" t="s">
        <v>3072</v>
      </c>
      <c r="E391" s="915">
        <v>-994124126</v>
      </c>
      <c r="F391" s="915">
        <v>329581485</v>
      </c>
      <c r="G391" s="838"/>
      <c r="H391" s="838"/>
      <c r="I391" s="910">
        <v>7500000000</v>
      </c>
      <c r="J391" s="910" t="s">
        <v>3211</v>
      </c>
      <c r="K391" s="915">
        <v>15565770</v>
      </c>
      <c r="L391"/>
    </row>
    <row r="392" spans="2:12">
      <c r="B392" t="s">
        <v>2848</v>
      </c>
      <c r="C392" s="915">
        <v>3010100030</v>
      </c>
      <c r="D392" s="915" t="s">
        <v>3072</v>
      </c>
      <c r="E392" s="915">
        <v>-30663050</v>
      </c>
      <c r="F392" s="915">
        <v>-23551362</v>
      </c>
      <c r="G392" s="838"/>
      <c r="H392" s="838"/>
      <c r="I392" s="910">
        <v>7501000000</v>
      </c>
      <c r="J392" s="910" t="s">
        <v>3749</v>
      </c>
      <c r="K392" s="915">
        <v>10000000</v>
      </c>
      <c r="L392"/>
    </row>
    <row r="393" spans="2:12">
      <c r="B393" t="s">
        <v>2848</v>
      </c>
      <c r="C393" s="915">
        <v>3010100030</v>
      </c>
      <c r="D393" s="915" t="s">
        <v>3072</v>
      </c>
      <c r="E393" s="915">
        <v>-14156385</v>
      </c>
      <c r="F393" s="915">
        <v>-81590549</v>
      </c>
      <c r="G393" s="838"/>
      <c r="H393" s="838"/>
      <c r="I393" s="910">
        <v>7503000000</v>
      </c>
      <c r="J393" s="910" t="s">
        <v>3750</v>
      </c>
      <c r="K393" s="915">
        <v>34950800</v>
      </c>
      <c r="L393"/>
    </row>
    <row r="394" spans="2:12">
      <c r="B394" t="s">
        <v>2848</v>
      </c>
      <c r="C394" s="915">
        <v>3010100030</v>
      </c>
      <c r="D394" s="915" t="s">
        <v>3072</v>
      </c>
      <c r="E394" s="915">
        <v>11593294</v>
      </c>
      <c r="F394" s="915">
        <v>-8922935</v>
      </c>
      <c r="G394" s="838"/>
      <c r="H394" s="838"/>
      <c r="I394" s="910">
        <v>7510000000</v>
      </c>
      <c r="J394" s="910" t="s">
        <v>3212</v>
      </c>
      <c r="K394" s="915">
        <v>0</v>
      </c>
      <c r="L394"/>
    </row>
    <row r="395" spans="2:12">
      <c r="B395" t="s">
        <v>2848</v>
      </c>
      <c r="C395" s="915">
        <v>3010100030</v>
      </c>
      <c r="D395" s="915" t="s">
        <v>3072</v>
      </c>
      <c r="E395" s="915">
        <v>-35818498</v>
      </c>
      <c r="F395" s="915">
        <v>36836958</v>
      </c>
      <c r="G395" s="838"/>
      <c r="H395" s="838"/>
      <c r="I395" s="910">
        <v>7512000000</v>
      </c>
      <c r="J395" s="910" t="s">
        <v>3213</v>
      </c>
      <c r="K395" s="915">
        <v>17160270</v>
      </c>
      <c r="L395"/>
    </row>
    <row r="396" spans="2:12">
      <c r="B396" t="s">
        <v>2848</v>
      </c>
      <c r="C396" s="915">
        <v>3010100030</v>
      </c>
      <c r="D396" s="915" t="s">
        <v>3072</v>
      </c>
      <c r="E396" s="915">
        <v>202323</v>
      </c>
      <c r="F396" s="915">
        <v>248502</v>
      </c>
      <c r="G396" s="838"/>
      <c r="H396" s="838"/>
      <c r="I396" s="910">
        <v>7512120000</v>
      </c>
      <c r="J396" s="910" t="s">
        <v>3214</v>
      </c>
      <c r="K396" s="915">
        <v>124637123</v>
      </c>
      <c r="L396"/>
    </row>
    <row r="397" spans="2:12">
      <c r="B397" t="s">
        <v>2848</v>
      </c>
      <c r="C397" s="915">
        <v>3010100030</v>
      </c>
      <c r="D397" s="915" t="s">
        <v>3072</v>
      </c>
      <c r="E397" s="915">
        <v>-5812634</v>
      </c>
      <c r="F397" s="915">
        <v>25334047</v>
      </c>
      <c r="G397" s="838"/>
      <c r="H397" s="838"/>
      <c r="I397" s="910">
        <v>7512130000</v>
      </c>
      <c r="J397" s="910" t="s">
        <v>3215</v>
      </c>
      <c r="K397" s="915">
        <v>0</v>
      </c>
      <c r="L397"/>
    </row>
    <row r="398" spans="2:12">
      <c r="B398" t="s">
        <v>2848</v>
      </c>
      <c r="C398" s="915">
        <v>3010100030</v>
      </c>
      <c r="D398" s="915" t="s">
        <v>3072</v>
      </c>
      <c r="E398" s="915">
        <v>30349488</v>
      </c>
      <c r="F398" s="915">
        <v>32707379</v>
      </c>
      <c r="G398" s="838"/>
      <c r="H398" s="838"/>
      <c r="I398" s="910">
        <v>7520130000</v>
      </c>
      <c r="J398" s="910" t="s">
        <v>3216</v>
      </c>
      <c r="K398" s="915">
        <v>0</v>
      </c>
      <c r="L398"/>
    </row>
    <row r="399" spans="2:12">
      <c r="B399" t="s">
        <v>2848</v>
      </c>
      <c r="C399" s="915">
        <v>3010100030</v>
      </c>
      <c r="D399" s="915" t="s">
        <v>3072</v>
      </c>
      <c r="E399" s="915">
        <v>97488</v>
      </c>
      <c r="F399" s="915">
        <v>1210597</v>
      </c>
      <c r="G399" s="838"/>
      <c r="H399" s="838"/>
      <c r="I399" s="910">
        <v>7521000000</v>
      </c>
      <c r="J399" s="910" t="s">
        <v>3217</v>
      </c>
      <c r="K399" s="915">
        <v>27000</v>
      </c>
      <c r="L399"/>
    </row>
    <row r="400" spans="2:12">
      <c r="B400" t="s">
        <v>2848</v>
      </c>
      <c r="C400" s="915">
        <v>3010100030</v>
      </c>
      <c r="D400" s="915" t="s">
        <v>3072</v>
      </c>
      <c r="E400" s="915">
        <v>-5004967</v>
      </c>
      <c r="F400" s="915">
        <v>3512177</v>
      </c>
      <c r="G400" s="838"/>
      <c r="H400" s="838"/>
      <c r="I400" s="910">
        <v>7521100000</v>
      </c>
      <c r="J400" s="910" t="s">
        <v>3218</v>
      </c>
      <c r="K400" s="915">
        <v>0</v>
      </c>
      <c r="L400"/>
    </row>
    <row r="401" spans="2:12">
      <c r="B401" t="s">
        <v>2848</v>
      </c>
      <c r="C401" s="915">
        <v>3010100030</v>
      </c>
      <c r="D401" s="915" t="s">
        <v>3072</v>
      </c>
      <c r="E401" s="915">
        <v>18753334</v>
      </c>
      <c r="F401" s="915">
        <v>-21933538</v>
      </c>
      <c r="G401" s="838"/>
      <c r="H401" s="838"/>
      <c r="I401" s="910">
        <v>7521100001</v>
      </c>
      <c r="J401" s="910" t="s">
        <v>3219</v>
      </c>
      <c r="K401" s="915">
        <v>19801376</v>
      </c>
      <c r="L401"/>
    </row>
    <row r="402" spans="2:12">
      <c r="B402" t="s">
        <v>2848</v>
      </c>
      <c r="C402" s="915">
        <v>3010100030</v>
      </c>
      <c r="D402" s="915" t="s">
        <v>3072</v>
      </c>
      <c r="E402" s="915">
        <v>3241333</v>
      </c>
      <c r="F402" s="915">
        <v>90547564</v>
      </c>
      <c r="G402" s="838"/>
      <c r="H402" s="838"/>
      <c r="I402" s="910">
        <v>7521100002</v>
      </c>
      <c r="J402" s="910" t="s">
        <v>3220</v>
      </c>
      <c r="K402" s="915">
        <v>4550000</v>
      </c>
      <c r="L402"/>
    </row>
    <row r="403" spans="2:12">
      <c r="B403" t="s">
        <v>2848</v>
      </c>
      <c r="C403" s="915">
        <v>3010100030</v>
      </c>
      <c r="D403" s="915" t="s">
        <v>3072</v>
      </c>
      <c r="E403" s="915">
        <v>-14728386</v>
      </c>
      <c r="F403" s="915">
        <v>-7123310</v>
      </c>
      <c r="G403" s="838"/>
      <c r="H403" s="838"/>
      <c r="I403" s="910">
        <v>7521100003</v>
      </c>
      <c r="J403" s="910" t="s">
        <v>3221</v>
      </c>
      <c r="K403" s="915">
        <v>0</v>
      </c>
      <c r="L403"/>
    </row>
    <row r="404" spans="2:12">
      <c r="B404" t="s">
        <v>2848</v>
      </c>
      <c r="C404" s="915">
        <v>3010100030</v>
      </c>
      <c r="D404" s="915" t="s">
        <v>3072</v>
      </c>
      <c r="E404" s="915">
        <v>4610712</v>
      </c>
      <c r="F404" s="915">
        <v>-394999</v>
      </c>
      <c r="G404" s="838"/>
      <c r="H404" s="838"/>
      <c r="I404" s="910">
        <v>7521200000</v>
      </c>
      <c r="J404" s="910" t="s">
        <v>3222</v>
      </c>
      <c r="K404" s="915">
        <v>32302805</v>
      </c>
      <c r="L404"/>
    </row>
    <row r="405" spans="2:12">
      <c r="B405" t="s">
        <v>2848</v>
      </c>
      <c r="C405" s="915">
        <v>3010100030</v>
      </c>
      <c r="D405" s="915" t="s">
        <v>3072</v>
      </c>
      <c r="E405" s="915">
        <v>51152413</v>
      </c>
      <c r="F405" s="915">
        <v>-37667844</v>
      </c>
      <c r="G405" s="838"/>
      <c r="H405" s="838"/>
      <c r="I405" s="910">
        <v>7521200002</v>
      </c>
      <c r="J405" s="910" t="s">
        <v>3223</v>
      </c>
      <c r="K405" s="915">
        <v>1318000</v>
      </c>
      <c r="L405"/>
    </row>
    <row r="406" spans="2:12">
      <c r="B406" t="s">
        <v>2848</v>
      </c>
      <c r="C406" s="915">
        <v>3010100030</v>
      </c>
      <c r="D406" s="915" t="s">
        <v>3072</v>
      </c>
      <c r="E406" s="915">
        <v>-4383824</v>
      </c>
      <c r="F406" s="915">
        <v>13631472</v>
      </c>
      <c r="G406" s="838"/>
      <c r="H406" s="838"/>
      <c r="I406" s="910">
        <v>7522200000</v>
      </c>
      <c r="J406" s="910" t="s">
        <v>3224</v>
      </c>
      <c r="K406" s="915">
        <v>4858654</v>
      </c>
      <c r="L406"/>
    </row>
    <row r="407" spans="2:12">
      <c r="B407" t="s">
        <v>2848</v>
      </c>
      <c r="C407" s="915">
        <v>3010100030</v>
      </c>
      <c r="D407" s="915" t="s">
        <v>3072</v>
      </c>
      <c r="E407" s="915">
        <v>-1702724</v>
      </c>
      <c r="F407" s="915">
        <v>11310240</v>
      </c>
      <c r="G407" s="838"/>
      <c r="H407" s="838"/>
      <c r="I407" s="910">
        <v>7522400000</v>
      </c>
      <c r="J407" s="910" t="s">
        <v>3225</v>
      </c>
      <c r="K407" s="915">
        <v>0</v>
      </c>
      <c r="L407"/>
    </row>
    <row r="408" spans="2:12">
      <c r="B408" t="s">
        <v>2848</v>
      </c>
      <c r="C408" s="915">
        <v>3010100030</v>
      </c>
      <c r="D408" s="915" t="s">
        <v>3072</v>
      </c>
      <c r="E408" s="915">
        <v>-703</v>
      </c>
      <c r="F408" s="915">
        <v>-1221</v>
      </c>
      <c r="G408" s="838"/>
      <c r="H408" s="838"/>
      <c r="I408" s="910">
        <v>7523000000</v>
      </c>
      <c r="J408" s="910" t="s">
        <v>3226</v>
      </c>
      <c r="K408" s="915">
        <v>16960860</v>
      </c>
      <c r="L408"/>
    </row>
    <row r="409" spans="2:12">
      <c r="B409" t="s">
        <v>2848</v>
      </c>
      <c r="C409" s="915">
        <v>3010100030</v>
      </c>
      <c r="D409" s="915" t="s">
        <v>3072</v>
      </c>
      <c r="E409" s="915">
        <v>-12188571</v>
      </c>
      <c r="F409" s="915">
        <v>-13698207</v>
      </c>
      <c r="G409" s="838"/>
      <c r="H409" s="838"/>
      <c r="I409" s="910">
        <v>7523100004</v>
      </c>
      <c r="J409" s="910" t="s">
        <v>3227</v>
      </c>
      <c r="K409" s="915">
        <v>17301652</v>
      </c>
      <c r="L409"/>
    </row>
    <row r="410" spans="2:12">
      <c r="B410" t="s">
        <v>2848</v>
      </c>
      <c r="C410" s="915">
        <v>3010100030</v>
      </c>
      <c r="D410" s="915" t="s">
        <v>3072</v>
      </c>
      <c r="E410" s="915">
        <v>-11867199</v>
      </c>
      <c r="F410" s="915">
        <v>6754449</v>
      </c>
      <c r="G410" s="838"/>
      <c r="H410" s="838"/>
      <c r="I410" s="910">
        <v>7525100000</v>
      </c>
      <c r="J410" s="910" t="s">
        <v>3751</v>
      </c>
      <c r="K410" s="915">
        <v>675000</v>
      </c>
      <c r="L410"/>
    </row>
    <row r="411" spans="2:12">
      <c r="B411" t="s">
        <v>2848</v>
      </c>
      <c r="C411" s="915">
        <v>3010100030</v>
      </c>
      <c r="D411" s="915" t="s">
        <v>3072</v>
      </c>
      <c r="E411" s="915">
        <v>-10601424</v>
      </c>
      <c r="F411" s="915">
        <v>-6689922</v>
      </c>
      <c r="G411" s="838"/>
      <c r="H411" s="838"/>
      <c r="I411" s="910">
        <v>7525800000</v>
      </c>
      <c r="J411" s="910" t="s">
        <v>3228</v>
      </c>
      <c r="K411" s="915">
        <v>1083936</v>
      </c>
      <c r="L411"/>
    </row>
    <row r="412" spans="2:12">
      <c r="B412" t="s">
        <v>2848</v>
      </c>
      <c r="C412" s="915">
        <v>3010100030</v>
      </c>
      <c r="D412" s="915" t="s">
        <v>3072</v>
      </c>
      <c r="E412" s="915">
        <v>14261963</v>
      </c>
      <c r="F412" s="915">
        <v>-22193518</v>
      </c>
      <c r="G412" s="838"/>
      <c r="H412" s="838"/>
      <c r="I412" s="910">
        <v>7525810000</v>
      </c>
      <c r="J412" s="910" t="s">
        <v>3229</v>
      </c>
      <c r="K412" s="915">
        <v>0</v>
      </c>
      <c r="L412"/>
    </row>
    <row r="413" spans="2:12">
      <c r="B413" t="s">
        <v>2848</v>
      </c>
      <c r="C413" s="915">
        <v>3010100030</v>
      </c>
      <c r="D413" s="915" t="s">
        <v>3072</v>
      </c>
      <c r="E413" s="915">
        <v>76575316</v>
      </c>
      <c r="F413" s="915">
        <v>-300353678</v>
      </c>
      <c r="G413" s="838"/>
      <c r="H413" s="838"/>
      <c r="I413" s="910">
        <v>7526000000</v>
      </c>
      <c r="J413" s="910" t="s">
        <v>3230</v>
      </c>
      <c r="K413" s="915">
        <v>707428</v>
      </c>
      <c r="L413"/>
    </row>
    <row r="414" spans="2:12">
      <c r="B414" t="s">
        <v>2848</v>
      </c>
      <c r="C414" s="915">
        <v>3010500002</v>
      </c>
      <c r="D414" s="915" t="s">
        <v>3073</v>
      </c>
      <c r="E414" s="915">
        <v>-29353621039</v>
      </c>
      <c r="F414" s="915">
        <v>-116847572540</v>
      </c>
      <c r="G414" s="838"/>
      <c r="H414" s="838"/>
      <c r="I414" s="910">
        <v>7526100000</v>
      </c>
      <c r="J414" s="910" t="s">
        <v>3231</v>
      </c>
      <c r="K414" s="915">
        <v>3217696</v>
      </c>
      <c r="L414"/>
    </row>
    <row r="415" spans="2:12">
      <c r="B415" t="s">
        <v>2848</v>
      </c>
      <c r="C415" s="915">
        <v>3019000000</v>
      </c>
      <c r="D415" s="915" t="s">
        <v>3074</v>
      </c>
      <c r="E415" s="915">
        <v>12800399</v>
      </c>
      <c r="F415" s="915">
        <v>21921262</v>
      </c>
      <c r="G415" s="838"/>
      <c r="H415" s="838"/>
      <c r="I415" s="910">
        <v>7526300000</v>
      </c>
      <c r="J415" s="910" t="s">
        <v>3232</v>
      </c>
      <c r="K415" s="915">
        <v>0</v>
      </c>
      <c r="L415"/>
    </row>
    <row r="416" spans="2:12">
      <c r="B416" t="s">
        <v>2848</v>
      </c>
      <c r="C416" s="915">
        <v>3019000000</v>
      </c>
      <c r="D416" s="915" t="s">
        <v>3074</v>
      </c>
      <c r="E416" s="915">
        <v>0</v>
      </c>
      <c r="F416" s="915">
        <v>20531565</v>
      </c>
      <c r="G416" s="838"/>
      <c r="H416" s="838"/>
      <c r="I416" s="910">
        <v>7527000000</v>
      </c>
      <c r="J416" s="910" t="s">
        <v>3233</v>
      </c>
      <c r="K416" s="915">
        <v>12286325</v>
      </c>
      <c r="L416"/>
    </row>
    <row r="417" spans="2:12">
      <c r="B417" t="s">
        <v>2848</v>
      </c>
      <c r="C417" s="915">
        <v>3019000000</v>
      </c>
      <c r="D417" s="915" t="s">
        <v>3074</v>
      </c>
      <c r="E417" s="915">
        <v>135776</v>
      </c>
      <c r="F417" s="915">
        <v>0</v>
      </c>
      <c r="G417" s="838"/>
      <c r="H417" s="838"/>
      <c r="I417" s="910">
        <v>7530000009</v>
      </c>
      <c r="J417" s="910" t="s">
        <v>3234</v>
      </c>
      <c r="K417" s="915">
        <v>0</v>
      </c>
      <c r="L417"/>
    </row>
    <row r="418" spans="2:12">
      <c r="B418" t="s">
        <v>2848</v>
      </c>
      <c r="C418" s="915">
        <v>3019000000</v>
      </c>
      <c r="D418" s="915" t="s">
        <v>3074</v>
      </c>
      <c r="E418" s="915">
        <v>2544149</v>
      </c>
      <c r="F418" s="915">
        <v>3056114</v>
      </c>
      <c r="G418" s="838"/>
      <c r="H418" s="838"/>
      <c r="I418" s="910">
        <v>7530000100</v>
      </c>
      <c r="J418" s="910" t="s">
        <v>3235</v>
      </c>
      <c r="K418" s="915">
        <v>0</v>
      </c>
      <c r="L418"/>
    </row>
    <row r="419" spans="2:12">
      <c r="B419" t="s">
        <v>2848</v>
      </c>
      <c r="C419" s="915">
        <v>3030000000</v>
      </c>
      <c r="D419" s="915" t="s">
        <v>3075</v>
      </c>
      <c r="E419" s="915">
        <v>0</v>
      </c>
      <c r="F419" s="915">
        <v>120409403</v>
      </c>
      <c r="G419" s="838"/>
      <c r="H419" s="838"/>
      <c r="I419" s="910">
        <v>7600000000</v>
      </c>
      <c r="J419" s="910" t="s">
        <v>3236</v>
      </c>
      <c r="K419" s="915">
        <v>300654437</v>
      </c>
      <c r="L419"/>
    </row>
    <row r="420" spans="2:12">
      <c r="B420" t="s">
        <v>2848</v>
      </c>
      <c r="C420" s="915">
        <v>3030000000</v>
      </c>
      <c r="D420" s="915" t="s">
        <v>3075</v>
      </c>
      <c r="E420" s="915">
        <v>129134394</v>
      </c>
      <c r="F420" s="915">
        <v>542824072</v>
      </c>
      <c r="G420" s="838"/>
      <c r="H420" s="838"/>
      <c r="I420" s="910">
        <v>7600000002</v>
      </c>
      <c r="J420" s="910" t="s">
        <v>3237</v>
      </c>
      <c r="K420" s="915">
        <v>4897244</v>
      </c>
      <c r="L420"/>
    </row>
    <row r="421" spans="2:12">
      <c r="B421" t="s">
        <v>2848</v>
      </c>
      <c r="C421" s="915">
        <v>3030000000</v>
      </c>
      <c r="D421" s="915" t="s">
        <v>3075</v>
      </c>
      <c r="E421" s="915">
        <v>23413168</v>
      </c>
      <c r="F421" s="915">
        <v>-120283165</v>
      </c>
      <c r="G421" s="838"/>
      <c r="H421" s="838"/>
      <c r="I421" s="910">
        <v>7600000014</v>
      </c>
      <c r="J421" s="910" t="s">
        <v>3238</v>
      </c>
      <c r="K421" s="915">
        <v>15670441</v>
      </c>
      <c r="L421"/>
    </row>
    <row r="422" spans="2:12">
      <c r="B422" t="s">
        <v>2848</v>
      </c>
      <c r="C422" s="915">
        <v>3030000000</v>
      </c>
      <c r="D422" s="915" t="s">
        <v>3075</v>
      </c>
      <c r="E422" s="915">
        <v>20494587473</v>
      </c>
      <c r="F422" s="915">
        <v>75136716751</v>
      </c>
      <c r="G422" s="838"/>
      <c r="H422" s="838"/>
      <c r="I422" s="910">
        <v>7602000000</v>
      </c>
      <c r="J422" s="910" t="s">
        <v>3239</v>
      </c>
      <c r="K422" s="915">
        <v>169216575</v>
      </c>
      <c r="L422"/>
    </row>
    <row r="423" spans="2:12">
      <c r="B423" t="s">
        <v>2848</v>
      </c>
      <c r="C423" s="915">
        <v>3030000000</v>
      </c>
      <c r="D423" s="915" t="s">
        <v>3075</v>
      </c>
      <c r="E423" s="915">
        <v>337404</v>
      </c>
      <c r="F423" s="915">
        <v>1072460</v>
      </c>
      <c r="G423" s="838"/>
      <c r="H423" s="838"/>
      <c r="I423" s="910">
        <v>7603000000</v>
      </c>
      <c r="J423" s="910" t="s">
        <v>3240</v>
      </c>
      <c r="K423" s="915">
        <v>0</v>
      </c>
      <c r="L423"/>
    </row>
    <row r="424" spans="2:12">
      <c r="B424" t="s">
        <v>2848</v>
      </c>
      <c r="C424" s="915">
        <v>3030000000</v>
      </c>
      <c r="D424" s="915" t="s">
        <v>3075</v>
      </c>
      <c r="E424" s="915">
        <v>31506361</v>
      </c>
      <c r="F424" s="915">
        <v>120892075</v>
      </c>
      <c r="G424" s="838"/>
      <c r="H424" s="838"/>
      <c r="I424" s="910">
        <v>7607000000</v>
      </c>
      <c r="J424" s="910" t="s">
        <v>3241</v>
      </c>
      <c r="K424" s="915">
        <v>0</v>
      </c>
      <c r="L424"/>
    </row>
    <row r="425" spans="2:12">
      <c r="B425" t="s">
        <v>2848</v>
      </c>
      <c r="C425" s="915">
        <v>3030000000</v>
      </c>
      <c r="D425" s="915" t="s">
        <v>3075</v>
      </c>
      <c r="E425" s="915">
        <v>7134534</v>
      </c>
      <c r="F425" s="915">
        <v>28787592</v>
      </c>
      <c r="G425" s="838"/>
      <c r="H425" s="838"/>
      <c r="I425" s="910">
        <v>7610100000</v>
      </c>
      <c r="J425" s="910" t="s">
        <v>3242</v>
      </c>
      <c r="K425" s="915">
        <v>51741990</v>
      </c>
      <c r="L425"/>
    </row>
    <row r="426" spans="2:12">
      <c r="B426" t="s">
        <v>2848</v>
      </c>
      <c r="C426" s="915">
        <v>3030000000</v>
      </c>
      <c r="D426" s="915" t="s">
        <v>3075</v>
      </c>
      <c r="E426" s="915">
        <v>19751690</v>
      </c>
      <c r="F426" s="915">
        <v>74919368</v>
      </c>
      <c r="G426" s="838"/>
      <c r="H426" s="838"/>
      <c r="I426" s="910">
        <v>7610103000</v>
      </c>
      <c r="J426" s="910" t="s">
        <v>3243</v>
      </c>
      <c r="K426" s="915">
        <v>2465932</v>
      </c>
      <c r="L426"/>
    </row>
    <row r="427" spans="2:12">
      <c r="B427" t="s">
        <v>2848</v>
      </c>
      <c r="C427" s="915">
        <v>3030000000</v>
      </c>
      <c r="D427" s="915" t="s">
        <v>3075</v>
      </c>
      <c r="E427" s="915">
        <v>26636</v>
      </c>
      <c r="F427" s="915">
        <v>76655</v>
      </c>
      <c r="G427" s="838"/>
      <c r="H427" s="838"/>
      <c r="I427" s="910">
        <v>7610200000</v>
      </c>
      <c r="J427" s="910" t="s">
        <v>3244</v>
      </c>
      <c r="K427" s="915">
        <v>341108</v>
      </c>
      <c r="L427"/>
    </row>
    <row r="428" spans="2:12">
      <c r="B428" t="s">
        <v>2848</v>
      </c>
      <c r="C428" s="915">
        <v>3030000000</v>
      </c>
      <c r="D428" s="915" t="s">
        <v>3075</v>
      </c>
      <c r="E428" s="915">
        <v>17463968</v>
      </c>
      <c r="F428" s="915">
        <v>66379391</v>
      </c>
      <c r="G428" s="838"/>
      <c r="H428" s="838"/>
      <c r="I428" s="910">
        <v>7610500000</v>
      </c>
      <c r="J428" s="910" t="s">
        <v>3245</v>
      </c>
      <c r="K428" s="915">
        <v>19999980</v>
      </c>
      <c r="L428"/>
    </row>
    <row r="429" spans="2:12">
      <c r="B429" t="s">
        <v>2848</v>
      </c>
      <c r="C429" s="915">
        <v>3030000000</v>
      </c>
      <c r="D429" s="915" t="s">
        <v>3075</v>
      </c>
      <c r="E429" s="915">
        <v>5445778</v>
      </c>
      <c r="F429" s="915">
        <v>22565532</v>
      </c>
      <c r="G429" s="838"/>
      <c r="H429" s="838"/>
      <c r="I429" s="910">
        <v>7611000000</v>
      </c>
      <c r="J429" s="910" t="s">
        <v>3246</v>
      </c>
      <c r="K429" s="915">
        <v>26829560</v>
      </c>
      <c r="L429"/>
    </row>
    <row r="430" spans="2:12">
      <c r="B430" t="s">
        <v>2848</v>
      </c>
      <c r="C430" s="915">
        <v>3030000000</v>
      </c>
      <c r="D430" s="915" t="s">
        <v>3075</v>
      </c>
      <c r="E430" s="915">
        <v>224381</v>
      </c>
      <c r="F430" s="915">
        <v>1004999</v>
      </c>
      <c r="G430" s="838"/>
      <c r="H430" s="838"/>
      <c r="I430" s="910">
        <v>7612000000</v>
      </c>
      <c r="J430" s="910" t="s">
        <v>3247</v>
      </c>
      <c r="K430" s="915">
        <v>29920594</v>
      </c>
      <c r="L430"/>
    </row>
    <row r="431" spans="2:12">
      <c r="B431" t="s">
        <v>2848</v>
      </c>
      <c r="C431" s="915">
        <v>3030000000</v>
      </c>
      <c r="D431" s="915" t="s">
        <v>3075</v>
      </c>
      <c r="E431" s="915">
        <v>1122757</v>
      </c>
      <c r="F431" s="915">
        <v>4286947</v>
      </c>
      <c r="G431" s="838"/>
      <c r="H431" s="838"/>
      <c r="I431" s="910">
        <v>7612100000</v>
      </c>
      <c r="J431" s="910" t="s">
        <v>3248</v>
      </c>
      <c r="K431" s="915">
        <v>2732769</v>
      </c>
      <c r="L431"/>
    </row>
    <row r="432" spans="2:12">
      <c r="B432" t="s">
        <v>2848</v>
      </c>
      <c r="C432" s="915">
        <v>3030000000</v>
      </c>
      <c r="D432" s="915" t="s">
        <v>3075</v>
      </c>
      <c r="E432" s="915">
        <v>4201936</v>
      </c>
      <c r="F432" s="915">
        <v>17064480</v>
      </c>
      <c r="G432" s="838"/>
      <c r="H432" s="838"/>
      <c r="I432" s="910">
        <v>7612200000</v>
      </c>
      <c r="J432" s="910" t="s">
        <v>3249</v>
      </c>
      <c r="K432" s="915">
        <v>0</v>
      </c>
      <c r="L432"/>
    </row>
    <row r="433" spans="2:12">
      <c r="B433" t="s">
        <v>2848</v>
      </c>
      <c r="C433" s="915">
        <v>3030000000</v>
      </c>
      <c r="D433" s="915" t="s">
        <v>3075</v>
      </c>
      <c r="E433" s="915">
        <v>20697364</v>
      </c>
      <c r="F433" s="915">
        <v>83127888</v>
      </c>
      <c r="G433" s="838"/>
      <c r="H433" s="838"/>
      <c r="I433" s="910">
        <v>7612201000</v>
      </c>
      <c r="J433" s="910" t="s">
        <v>3250</v>
      </c>
      <c r="K433" s="915">
        <v>1378077</v>
      </c>
      <c r="L433"/>
    </row>
    <row r="434" spans="2:12">
      <c r="B434" t="s">
        <v>2848</v>
      </c>
      <c r="C434" s="915">
        <v>3030000000</v>
      </c>
      <c r="D434" s="915" t="s">
        <v>3075</v>
      </c>
      <c r="E434" s="915">
        <v>8241107</v>
      </c>
      <c r="F434" s="915">
        <v>33211674</v>
      </c>
      <c r="G434" s="838"/>
      <c r="H434" s="838"/>
      <c r="I434" s="910">
        <v>7612300000</v>
      </c>
      <c r="J434" s="910" t="s">
        <v>3251</v>
      </c>
      <c r="K434" s="915">
        <v>0</v>
      </c>
      <c r="L434"/>
    </row>
    <row r="435" spans="2:12">
      <c r="B435" t="s">
        <v>2848</v>
      </c>
      <c r="C435" s="915">
        <v>3030000000</v>
      </c>
      <c r="D435" s="915" t="s">
        <v>3075</v>
      </c>
      <c r="E435" s="915">
        <v>8303387</v>
      </c>
      <c r="F435" s="915">
        <v>31674273</v>
      </c>
      <c r="G435" s="838"/>
      <c r="H435" s="838"/>
      <c r="I435" s="910">
        <v>7613100003</v>
      </c>
      <c r="J435" s="910" t="s">
        <v>3252</v>
      </c>
      <c r="K435" s="915">
        <v>6989534</v>
      </c>
      <c r="L435"/>
    </row>
    <row r="436" spans="2:12">
      <c r="B436" t="s">
        <v>2848</v>
      </c>
      <c r="C436" s="915">
        <v>3030000000</v>
      </c>
      <c r="D436" s="915" t="s">
        <v>3075</v>
      </c>
      <c r="E436" s="915">
        <v>14534281</v>
      </c>
      <c r="F436" s="915">
        <v>56884393</v>
      </c>
      <c r="G436" s="838"/>
      <c r="H436" s="838"/>
      <c r="I436" s="910">
        <v>7613200000</v>
      </c>
      <c r="J436" s="910" t="s">
        <v>3253</v>
      </c>
      <c r="K436" s="915">
        <v>287726</v>
      </c>
      <c r="L436"/>
    </row>
    <row r="437" spans="2:12">
      <c r="B437" t="s">
        <v>2848</v>
      </c>
      <c r="C437" s="915">
        <v>3030000000</v>
      </c>
      <c r="D437" s="915" t="s">
        <v>3075</v>
      </c>
      <c r="E437" s="915">
        <v>23436500</v>
      </c>
      <c r="F437" s="915">
        <v>86400154</v>
      </c>
      <c r="G437" s="838"/>
      <c r="H437" s="838"/>
      <c r="I437" s="910">
        <v>7613210000</v>
      </c>
      <c r="J437" s="910" t="s">
        <v>3254</v>
      </c>
      <c r="K437" s="915">
        <v>51871543</v>
      </c>
      <c r="L437"/>
    </row>
    <row r="438" spans="2:12">
      <c r="B438" t="s">
        <v>2848</v>
      </c>
      <c r="C438" s="915">
        <v>3030000000</v>
      </c>
      <c r="D438" s="915" t="s">
        <v>3075</v>
      </c>
      <c r="E438" s="915">
        <v>4620045</v>
      </c>
      <c r="F438" s="915">
        <v>18003306</v>
      </c>
      <c r="G438" s="838"/>
      <c r="H438" s="838"/>
      <c r="I438" s="910">
        <v>7615000000</v>
      </c>
      <c r="J438" s="910" t="s">
        <v>3255</v>
      </c>
      <c r="K438" s="915">
        <v>22704431</v>
      </c>
      <c r="L438"/>
    </row>
    <row r="439" spans="2:12">
      <c r="B439" t="s">
        <v>2848</v>
      </c>
      <c r="C439" s="915">
        <v>3030000000</v>
      </c>
      <c r="D439" s="915" t="s">
        <v>3075</v>
      </c>
      <c r="E439" s="915">
        <v>11978810</v>
      </c>
      <c r="F439" s="915">
        <v>46443260</v>
      </c>
      <c r="G439" s="838"/>
      <c r="H439" s="838"/>
      <c r="I439" s="910">
        <v>7615010000</v>
      </c>
      <c r="J439" s="910" t="s">
        <v>3256</v>
      </c>
      <c r="K439" s="915">
        <v>15603515</v>
      </c>
      <c r="L439"/>
    </row>
    <row r="440" spans="2:12">
      <c r="B440" t="s">
        <v>2848</v>
      </c>
      <c r="C440" s="915">
        <v>3030000000</v>
      </c>
      <c r="D440" s="915" t="s">
        <v>3075</v>
      </c>
      <c r="E440" s="915">
        <v>11422959</v>
      </c>
      <c r="F440" s="915">
        <v>45757196</v>
      </c>
      <c r="G440" s="838"/>
      <c r="H440" s="838"/>
      <c r="I440" s="910">
        <v>7615020000</v>
      </c>
      <c r="J440" s="910" t="s">
        <v>3257</v>
      </c>
      <c r="K440" s="915">
        <v>3298864</v>
      </c>
      <c r="L440"/>
    </row>
    <row r="441" spans="2:12">
      <c r="B441" t="s">
        <v>2848</v>
      </c>
      <c r="C441" s="915">
        <v>3030000000</v>
      </c>
      <c r="D441" s="915" t="s">
        <v>3075</v>
      </c>
      <c r="E441" s="915">
        <v>5878080</v>
      </c>
      <c r="F441" s="915">
        <v>21953788</v>
      </c>
      <c r="G441" s="838"/>
      <c r="H441" s="838"/>
      <c r="I441" s="910">
        <v>7615430000</v>
      </c>
      <c r="J441" s="910" t="s">
        <v>3258</v>
      </c>
      <c r="K441" s="915">
        <v>18028823</v>
      </c>
      <c r="L441"/>
    </row>
    <row r="442" spans="2:12">
      <c r="B442" t="s">
        <v>2848</v>
      </c>
      <c r="C442" s="915">
        <v>3030000000</v>
      </c>
      <c r="D442" s="915" t="s">
        <v>3075</v>
      </c>
      <c r="E442" s="915">
        <v>16826964</v>
      </c>
      <c r="F442" s="915">
        <v>65116314</v>
      </c>
      <c r="G442" s="838"/>
      <c r="H442" s="838"/>
      <c r="I442" s="910">
        <v>7615500000</v>
      </c>
      <c r="J442" s="910" t="s">
        <v>3259</v>
      </c>
      <c r="K442" s="915">
        <v>40031161</v>
      </c>
      <c r="L442"/>
    </row>
    <row r="443" spans="2:12">
      <c r="B443" t="s">
        <v>2848</v>
      </c>
      <c r="C443" s="915">
        <v>3030000000</v>
      </c>
      <c r="D443" s="915" t="s">
        <v>3075</v>
      </c>
      <c r="E443" s="915">
        <v>136397512</v>
      </c>
      <c r="F443" s="915">
        <v>1985474483</v>
      </c>
      <c r="G443" s="838"/>
      <c r="H443" s="838"/>
      <c r="I443" s="910">
        <v>7615600000</v>
      </c>
      <c r="J443" s="910" t="s">
        <v>3260</v>
      </c>
      <c r="K443" s="915">
        <v>336386</v>
      </c>
      <c r="L443"/>
    </row>
    <row r="444" spans="2:12">
      <c r="B444" t="s">
        <v>2848</v>
      </c>
      <c r="C444" s="915">
        <v>3030400030</v>
      </c>
      <c r="D444" s="915" t="s">
        <v>3076</v>
      </c>
      <c r="E444" s="915">
        <v>0</v>
      </c>
      <c r="F444" s="915">
        <v>-78374322</v>
      </c>
      <c r="G444" s="838"/>
      <c r="H444" s="838"/>
      <c r="I444" s="910">
        <v>7617000002</v>
      </c>
      <c r="J444" s="910" t="s">
        <v>3261</v>
      </c>
      <c r="K444" s="915">
        <v>0</v>
      </c>
      <c r="L444"/>
    </row>
    <row r="445" spans="2:12">
      <c r="B445" t="s">
        <v>2848</v>
      </c>
      <c r="C445" s="915">
        <v>3090000000</v>
      </c>
      <c r="D445" s="915" t="s">
        <v>3077</v>
      </c>
      <c r="E445" s="915">
        <v>37774985</v>
      </c>
      <c r="F445" s="915">
        <v>202019410</v>
      </c>
      <c r="G445" s="838"/>
      <c r="H445" s="838"/>
      <c r="I445" s="910">
        <v>7617000004</v>
      </c>
      <c r="J445" s="910" t="s">
        <v>3262</v>
      </c>
      <c r="K445" s="915">
        <v>518437638</v>
      </c>
      <c r="L445"/>
    </row>
    <row r="446" spans="2:12">
      <c r="B446" t="s">
        <v>2848</v>
      </c>
      <c r="C446" s="915">
        <v>3091000000</v>
      </c>
      <c r="D446" s="915" t="s">
        <v>3078</v>
      </c>
      <c r="E446" s="915">
        <v>-15735724</v>
      </c>
      <c r="F446" s="915">
        <v>-1021183515</v>
      </c>
      <c r="G446" s="838"/>
      <c r="H446" s="838"/>
      <c r="I446" s="910">
        <v>7617003003</v>
      </c>
      <c r="J446" s="910" t="s">
        <v>3263</v>
      </c>
      <c r="K446" s="915">
        <v>2585161</v>
      </c>
      <c r="L446"/>
    </row>
    <row r="447" spans="2:12">
      <c r="B447" t="s">
        <v>2848</v>
      </c>
      <c r="C447" s="915">
        <v>3101000000</v>
      </c>
      <c r="D447" s="915" t="s">
        <v>3079</v>
      </c>
      <c r="E447" s="915">
        <v>375497864</v>
      </c>
      <c r="F447" s="915">
        <v>-164297942</v>
      </c>
      <c r="G447" s="838"/>
      <c r="H447" s="838"/>
      <c r="I447" s="910">
        <v>7700000004</v>
      </c>
      <c r="J447" s="910" t="s">
        <v>3264</v>
      </c>
      <c r="K447" s="915">
        <v>178864</v>
      </c>
      <c r="L447"/>
    </row>
    <row r="448" spans="2:12">
      <c r="B448" t="s">
        <v>2848</v>
      </c>
      <c r="C448" s="915">
        <v>3103000000</v>
      </c>
      <c r="D448" s="915" t="s">
        <v>3080</v>
      </c>
      <c r="E448" s="915">
        <v>-190279242</v>
      </c>
      <c r="F448" s="915">
        <v>47494554</v>
      </c>
      <c r="G448" s="838"/>
      <c r="H448" s="838"/>
      <c r="I448" s="910">
        <v>7700021000</v>
      </c>
      <c r="J448" s="910" t="s">
        <v>3265</v>
      </c>
      <c r="K448" s="915">
        <v>112500</v>
      </c>
      <c r="L448"/>
    </row>
    <row r="449" spans="2:12">
      <c r="B449" t="s">
        <v>2848</v>
      </c>
      <c r="C449" s="915">
        <v>3301100000</v>
      </c>
      <c r="D449" s="915" t="s">
        <v>3081</v>
      </c>
      <c r="E449" s="915">
        <v>0</v>
      </c>
      <c r="F449" s="915">
        <v>-32471709</v>
      </c>
      <c r="G449" s="838"/>
      <c r="H449" s="838"/>
      <c r="I449" s="910">
        <v>7700300000</v>
      </c>
      <c r="J449" s="910" t="s">
        <v>3266</v>
      </c>
      <c r="K449" s="915">
        <v>181000</v>
      </c>
      <c r="L449"/>
    </row>
    <row r="450" spans="2:12">
      <c r="B450" t="s">
        <v>2848</v>
      </c>
      <c r="C450" s="915">
        <v>3301100008</v>
      </c>
      <c r="D450" s="915" t="s">
        <v>3082</v>
      </c>
      <c r="E450" s="915">
        <v>-123000000</v>
      </c>
      <c r="F450" s="915">
        <v>-492000000</v>
      </c>
      <c r="G450" s="838"/>
      <c r="H450" s="838"/>
      <c r="I450" s="910">
        <v>7700300002</v>
      </c>
      <c r="J450" s="910" t="s">
        <v>3267</v>
      </c>
      <c r="K450" s="915">
        <v>16271902</v>
      </c>
      <c r="L450"/>
    </row>
    <row r="451" spans="2:12">
      <c r="B451" t="s">
        <v>2848</v>
      </c>
      <c r="C451" s="915">
        <v>3301100010</v>
      </c>
      <c r="D451" s="915" t="s">
        <v>3747</v>
      </c>
      <c r="E451" s="915">
        <v>-34040648</v>
      </c>
      <c r="F451" s="915">
        <v>-130001671</v>
      </c>
      <c r="G451" s="838"/>
      <c r="H451" s="838"/>
      <c r="I451" s="910">
        <v>7700311002</v>
      </c>
      <c r="J451" s="910" t="s">
        <v>3268</v>
      </c>
      <c r="K451" s="915">
        <v>9321969</v>
      </c>
      <c r="L451"/>
    </row>
    <row r="452" spans="2:12">
      <c r="B452" t="s">
        <v>2848</v>
      </c>
      <c r="C452" s="915">
        <v>3301100999</v>
      </c>
      <c r="D452" s="915" t="s">
        <v>3084</v>
      </c>
      <c r="E452" s="915">
        <v>-27577104</v>
      </c>
      <c r="F452" s="915">
        <v>-290850185</v>
      </c>
      <c r="G452" s="838"/>
      <c r="H452" s="838"/>
      <c r="I452" s="910">
        <v>7700320000</v>
      </c>
      <c r="J452" s="910" t="s">
        <v>3269</v>
      </c>
      <c r="K452" s="915">
        <v>0</v>
      </c>
      <c r="L452"/>
    </row>
    <row r="453" spans="2:12">
      <c r="B453" t="s">
        <v>2848</v>
      </c>
      <c r="C453" s="915">
        <v>3301450000</v>
      </c>
      <c r="D453" s="915" t="s">
        <v>3085</v>
      </c>
      <c r="E453" s="915">
        <v>64781</v>
      </c>
      <c r="F453" s="915">
        <v>-140814740</v>
      </c>
      <c r="G453" s="838"/>
      <c r="H453" s="838"/>
      <c r="I453" s="910">
        <v>7702000000</v>
      </c>
      <c r="J453" s="910" t="s">
        <v>3270</v>
      </c>
      <c r="K453" s="915">
        <v>5675560</v>
      </c>
      <c r="L453"/>
    </row>
    <row r="454" spans="2:12">
      <c r="B454" t="s">
        <v>2848</v>
      </c>
      <c r="C454" s="915">
        <v>3591110200</v>
      </c>
      <c r="D454" s="915" t="s">
        <v>3086</v>
      </c>
      <c r="E454" s="915">
        <v>-249304099</v>
      </c>
      <c r="F454" s="915">
        <v>-1004272727</v>
      </c>
      <c r="G454" s="838"/>
      <c r="H454" s="838"/>
      <c r="I454" s="910">
        <v>7702000003</v>
      </c>
      <c r="J454" s="910" t="s">
        <v>3271</v>
      </c>
      <c r="K454" s="915">
        <v>6121129</v>
      </c>
      <c r="L454"/>
    </row>
    <row r="455" spans="2:12">
      <c r="B455" t="s">
        <v>2848</v>
      </c>
      <c r="C455" s="915">
        <v>4002000000</v>
      </c>
      <c r="D455" s="915" t="s">
        <v>3087</v>
      </c>
      <c r="E455" s="915">
        <v>0</v>
      </c>
      <c r="F455" s="915">
        <v>40654279</v>
      </c>
      <c r="G455" s="838"/>
      <c r="H455" s="838"/>
      <c r="I455" s="910">
        <v>7702000007</v>
      </c>
      <c r="J455" s="910" t="s">
        <v>3272</v>
      </c>
      <c r="K455" s="915">
        <v>3153782</v>
      </c>
      <c r="L455"/>
    </row>
    <row r="456" spans="2:12">
      <c r="B456" t="s">
        <v>2848</v>
      </c>
      <c r="C456" s="915">
        <v>4110000000</v>
      </c>
      <c r="D456" s="915" t="s">
        <v>3088</v>
      </c>
      <c r="E456" s="915">
        <v>-715959</v>
      </c>
      <c r="F456" s="915">
        <v>-802669118</v>
      </c>
      <c r="G456" s="838"/>
      <c r="H456" s="838"/>
      <c r="I456" s="910">
        <v>7702000011</v>
      </c>
      <c r="J456" s="910" t="s">
        <v>3273</v>
      </c>
      <c r="K456" s="915">
        <v>127326</v>
      </c>
      <c r="L456"/>
    </row>
    <row r="457" spans="2:12">
      <c r="B457" t="s">
        <v>2848</v>
      </c>
      <c r="C457" s="915">
        <v>4110000000</v>
      </c>
      <c r="D457" s="915" t="s">
        <v>3088</v>
      </c>
      <c r="E457" s="915">
        <v>54051305540</v>
      </c>
      <c r="F457" s="915">
        <v>235737655635</v>
      </c>
      <c r="G457" s="838"/>
      <c r="H457" s="838"/>
      <c r="I457" s="910">
        <v>7702200001</v>
      </c>
      <c r="J457" s="910" t="s">
        <v>3274</v>
      </c>
      <c r="K457" s="915">
        <v>6627536</v>
      </c>
      <c r="L457"/>
    </row>
    <row r="458" spans="2:12">
      <c r="B458" t="s">
        <v>2848</v>
      </c>
      <c r="C458" s="915">
        <v>4110000000</v>
      </c>
      <c r="D458" s="915" t="s">
        <v>3088</v>
      </c>
      <c r="E458" s="915">
        <v>4077891</v>
      </c>
      <c r="F458" s="915">
        <v>9675040</v>
      </c>
      <c r="G458" s="838"/>
      <c r="H458" s="838"/>
      <c r="I458" s="910">
        <v>7702200002</v>
      </c>
      <c r="J458" s="910" t="s">
        <v>3275</v>
      </c>
      <c r="K458" s="915">
        <v>11423058</v>
      </c>
      <c r="L458"/>
    </row>
    <row r="459" spans="2:12">
      <c r="B459" t="s">
        <v>2848</v>
      </c>
      <c r="C459" s="915">
        <v>4110000000</v>
      </c>
      <c r="D459" s="915" t="s">
        <v>3088</v>
      </c>
      <c r="E459" s="915">
        <v>83719021</v>
      </c>
      <c r="F459" s="915">
        <v>290058309</v>
      </c>
      <c r="G459" s="838"/>
      <c r="H459" s="838"/>
      <c r="I459" s="910">
        <v>7704100000</v>
      </c>
      <c r="J459" s="910" t="s">
        <v>3276</v>
      </c>
      <c r="K459" s="915">
        <v>162138</v>
      </c>
      <c r="L459"/>
    </row>
    <row r="460" spans="2:12">
      <c r="B460" t="s">
        <v>2848</v>
      </c>
      <c r="C460" s="915">
        <v>4110000000</v>
      </c>
      <c r="D460" s="915" t="s">
        <v>3088</v>
      </c>
      <c r="E460" s="915">
        <v>8863959</v>
      </c>
      <c r="F460" s="915">
        <v>45867084</v>
      </c>
      <c r="G460" s="838"/>
      <c r="H460" s="838"/>
      <c r="I460" s="910">
        <v>7705000002</v>
      </c>
      <c r="J460" s="910" t="s">
        <v>3277</v>
      </c>
      <c r="K460" s="915">
        <v>740906</v>
      </c>
      <c r="L460"/>
    </row>
    <row r="461" spans="2:12">
      <c r="B461" t="s">
        <v>2848</v>
      </c>
      <c r="C461" s="915">
        <v>4110000000</v>
      </c>
      <c r="D461" s="915" t="s">
        <v>3088</v>
      </c>
      <c r="E461" s="915">
        <v>9791830</v>
      </c>
      <c r="F461" s="915">
        <v>150635166</v>
      </c>
      <c r="G461" s="838"/>
      <c r="H461" s="838"/>
      <c r="I461" s="910">
        <v>7710000000</v>
      </c>
      <c r="J461" s="910" t="s">
        <v>3278</v>
      </c>
      <c r="K461" s="915">
        <v>-705083</v>
      </c>
      <c r="L461"/>
    </row>
    <row r="462" spans="2:12">
      <c r="B462" t="s">
        <v>2848</v>
      </c>
      <c r="C462" s="915">
        <v>4110000000</v>
      </c>
      <c r="D462" s="915" t="s">
        <v>3088</v>
      </c>
      <c r="E462" s="915">
        <v>3432806</v>
      </c>
      <c r="F462" s="915">
        <v>13768296</v>
      </c>
      <c r="G462" s="838"/>
      <c r="H462" s="838"/>
      <c r="I462" s="910">
        <v>7710200000</v>
      </c>
      <c r="J462" s="910" t="s">
        <v>3279</v>
      </c>
      <c r="K462" s="915">
        <v>20541848</v>
      </c>
      <c r="L462"/>
    </row>
    <row r="463" spans="2:12">
      <c r="B463" t="s">
        <v>2848</v>
      </c>
      <c r="C463" s="915">
        <v>4110000000</v>
      </c>
      <c r="D463" s="915" t="s">
        <v>3088</v>
      </c>
      <c r="E463" s="915">
        <v>7935771</v>
      </c>
      <c r="F463" s="915">
        <v>33503399</v>
      </c>
      <c r="G463" s="838"/>
      <c r="H463" s="838"/>
      <c r="I463" s="910">
        <v>7711000000</v>
      </c>
      <c r="J463" s="910" t="s">
        <v>3280</v>
      </c>
      <c r="K463" s="915">
        <v>0</v>
      </c>
      <c r="L463"/>
    </row>
    <row r="464" spans="2:12">
      <c r="B464" t="s">
        <v>2848</v>
      </c>
      <c r="C464" s="915">
        <v>4110000000</v>
      </c>
      <c r="D464" s="915" t="s">
        <v>3088</v>
      </c>
      <c r="E464" s="915">
        <v>50177771</v>
      </c>
      <c r="F464" s="915">
        <v>181858172</v>
      </c>
      <c r="G464" s="838"/>
      <c r="H464" s="838"/>
      <c r="I464" s="910">
        <v>7712000000</v>
      </c>
      <c r="J464" s="910" t="s">
        <v>3281</v>
      </c>
      <c r="K464" s="915">
        <v>233304108</v>
      </c>
      <c r="L464"/>
    </row>
    <row r="465" spans="2:12">
      <c r="B465" t="s">
        <v>2848</v>
      </c>
      <c r="C465" s="915">
        <v>4110000000</v>
      </c>
      <c r="D465" s="915" t="s">
        <v>3088</v>
      </c>
      <c r="E465" s="915">
        <v>21571270</v>
      </c>
      <c r="F465" s="915">
        <v>95521752</v>
      </c>
      <c r="G465" s="838"/>
      <c r="H465" s="838"/>
      <c r="I465" s="910">
        <v>7714000000</v>
      </c>
      <c r="J465" s="910" t="s">
        <v>3282</v>
      </c>
      <c r="K465" s="915">
        <v>16131071</v>
      </c>
      <c r="L465"/>
    </row>
    <row r="466" spans="2:12">
      <c r="B466" t="s">
        <v>2848</v>
      </c>
      <c r="C466" s="915">
        <v>4110000000</v>
      </c>
      <c r="D466" s="915" t="s">
        <v>3088</v>
      </c>
      <c r="E466" s="915">
        <v>59729</v>
      </c>
      <c r="F466" s="915">
        <v>297498</v>
      </c>
      <c r="G466" s="838"/>
      <c r="H466" s="838"/>
      <c r="I466" s="910">
        <v>7715000000</v>
      </c>
      <c r="J466" s="910" t="s">
        <v>3283</v>
      </c>
      <c r="K466" s="915">
        <v>84768420</v>
      </c>
      <c r="L466"/>
    </row>
    <row r="467" spans="2:12">
      <c r="B467" t="s">
        <v>2848</v>
      </c>
      <c r="C467" s="915">
        <v>4110000000</v>
      </c>
      <c r="D467" s="915" t="s">
        <v>3088</v>
      </c>
      <c r="E467" s="915">
        <v>472187</v>
      </c>
      <c r="F467" s="915">
        <v>1926612</v>
      </c>
      <c r="G467" s="838"/>
      <c r="H467" s="838"/>
      <c r="I467" s="910">
        <v>7715000006</v>
      </c>
      <c r="J467" s="910" t="s">
        <v>3284</v>
      </c>
      <c r="K467" s="915">
        <v>0</v>
      </c>
      <c r="L467"/>
    </row>
    <row r="468" spans="2:12">
      <c r="B468" t="s">
        <v>2848</v>
      </c>
      <c r="C468" s="915">
        <v>4110000000</v>
      </c>
      <c r="D468" s="915" t="s">
        <v>3088</v>
      </c>
      <c r="E468" s="915">
        <v>983394</v>
      </c>
      <c r="F468" s="915">
        <v>4228325</v>
      </c>
      <c r="G468" s="838"/>
      <c r="H468" s="838"/>
      <c r="I468" s="910">
        <v>7715000007</v>
      </c>
      <c r="J468" s="910" t="s">
        <v>3285</v>
      </c>
      <c r="K468" s="915">
        <v>156752919</v>
      </c>
      <c r="L468"/>
    </row>
    <row r="469" spans="2:12">
      <c r="B469" t="s">
        <v>2848</v>
      </c>
      <c r="C469" s="915">
        <v>4110000000</v>
      </c>
      <c r="D469" s="915" t="s">
        <v>3088</v>
      </c>
      <c r="E469" s="915">
        <v>4178580</v>
      </c>
      <c r="F469" s="915">
        <v>57925719</v>
      </c>
      <c r="G469" s="838"/>
      <c r="H469" s="838"/>
      <c r="I469" s="910">
        <v>7716000000</v>
      </c>
      <c r="J469" s="910" t="s">
        <v>3286</v>
      </c>
      <c r="K469" s="915">
        <v>77432533</v>
      </c>
      <c r="L469"/>
    </row>
    <row r="470" spans="2:12">
      <c r="B470" t="s">
        <v>2848</v>
      </c>
      <c r="C470" s="915">
        <v>4110000000</v>
      </c>
      <c r="D470" s="915" t="s">
        <v>3088</v>
      </c>
      <c r="E470" s="915">
        <v>1941744</v>
      </c>
      <c r="F470" s="915">
        <v>10243949</v>
      </c>
      <c r="G470" s="838"/>
      <c r="H470" s="838"/>
      <c r="I470" s="910">
        <v>7716010000</v>
      </c>
      <c r="J470" s="910" t="s">
        <v>3287</v>
      </c>
      <c r="K470" s="915">
        <v>183148</v>
      </c>
      <c r="L470"/>
    </row>
    <row r="471" spans="2:12">
      <c r="B471" t="s">
        <v>2848</v>
      </c>
      <c r="C471" s="915">
        <v>4110000000</v>
      </c>
      <c r="D471" s="915" t="s">
        <v>3088</v>
      </c>
      <c r="E471" s="915">
        <v>3815958</v>
      </c>
      <c r="F471" s="915">
        <v>19215090</v>
      </c>
      <c r="G471" s="838"/>
      <c r="H471" s="838"/>
      <c r="I471" s="910">
        <v>7716011001</v>
      </c>
      <c r="J471" s="910" t="s">
        <v>3288</v>
      </c>
      <c r="K471" s="915">
        <v>0</v>
      </c>
      <c r="L471"/>
    </row>
    <row r="472" spans="2:12">
      <c r="B472" t="s">
        <v>2848</v>
      </c>
      <c r="C472" s="915">
        <v>4110000000</v>
      </c>
      <c r="D472" s="915" t="s">
        <v>3088</v>
      </c>
      <c r="E472" s="915">
        <v>15154172</v>
      </c>
      <c r="F472" s="915">
        <v>111464144</v>
      </c>
      <c r="G472" s="838"/>
      <c r="H472" s="838"/>
      <c r="I472" s="910">
        <v>7716013001</v>
      </c>
      <c r="J472" s="910" t="s">
        <v>3289</v>
      </c>
      <c r="K472" s="915">
        <v>0</v>
      </c>
      <c r="L472"/>
    </row>
    <row r="473" spans="2:12">
      <c r="B473" t="s">
        <v>2848</v>
      </c>
      <c r="C473" s="915">
        <v>4110000000</v>
      </c>
      <c r="D473" s="915" t="s">
        <v>3088</v>
      </c>
      <c r="E473" s="915">
        <v>2087591</v>
      </c>
      <c r="F473" s="915">
        <v>7731792</v>
      </c>
      <c r="G473" s="838"/>
      <c r="H473" s="838"/>
      <c r="I473" s="910">
        <v>7716020001</v>
      </c>
      <c r="J473" s="910" t="s">
        <v>3290</v>
      </c>
      <c r="K473" s="915">
        <v>0</v>
      </c>
      <c r="L473"/>
    </row>
    <row r="474" spans="2:12">
      <c r="B474" t="s">
        <v>2848</v>
      </c>
      <c r="C474" s="915">
        <v>4110000000</v>
      </c>
      <c r="D474" s="915" t="s">
        <v>3088</v>
      </c>
      <c r="E474" s="915">
        <v>3146688</v>
      </c>
      <c r="F474" s="915">
        <v>18689626</v>
      </c>
      <c r="G474" s="838"/>
      <c r="H474" s="838"/>
      <c r="I474" s="910">
        <v>7716020003</v>
      </c>
      <c r="J474" s="910" t="s">
        <v>3291</v>
      </c>
      <c r="K474" s="915">
        <v>0</v>
      </c>
      <c r="L474"/>
    </row>
    <row r="475" spans="2:12">
      <c r="B475" t="s">
        <v>2848</v>
      </c>
      <c r="C475" s="915">
        <v>4110000000</v>
      </c>
      <c r="D475" s="915" t="s">
        <v>3088</v>
      </c>
      <c r="E475" s="915">
        <v>8737139</v>
      </c>
      <c r="F475" s="915">
        <v>48252874</v>
      </c>
      <c r="G475" s="838"/>
      <c r="H475" s="838"/>
      <c r="I475" s="910">
        <v>7716030000</v>
      </c>
      <c r="J475" s="910" t="s">
        <v>3292</v>
      </c>
      <c r="K475" s="915">
        <v>152181561</v>
      </c>
      <c r="L475"/>
    </row>
    <row r="476" spans="2:12">
      <c r="B476" t="s">
        <v>2848</v>
      </c>
      <c r="C476" s="915">
        <v>4110000000</v>
      </c>
      <c r="D476" s="915" t="s">
        <v>3088</v>
      </c>
      <c r="E476" s="915">
        <v>11949781</v>
      </c>
      <c r="F476" s="915">
        <v>46928125</v>
      </c>
      <c r="G476" s="838"/>
      <c r="H476" s="838"/>
      <c r="I476" s="910">
        <v>7716030001</v>
      </c>
      <c r="J476" s="910" t="s">
        <v>3293</v>
      </c>
      <c r="K476" s="915">
        <v>301775</v>
      </c>
      <c r="L476"/>
    </row>
    <row r="477" spans="2:12">
      <c r="B477" t="s">
        <v>2848</v>
      </c>
      <c r="C477" s="915">
        <v>4110000000</v>
      </c>
      <c r="D477" s="915" t="s">
        <v>3088</v>
      </c>
      <c r="E477" s="915">
        <v>922543</v>
      </c>
      <c r="F477" s="915">
        <v>2931490</v>
      </c>
      <c r="G477" s="838"/>
      <c r="H477" s="838"/>
      <c r="I477" s="910">
        <v>7716030002</v>
      </c>
      <c r="J477" s="910" t="s">
        <v>3294</v>
      </c>
      <c r="K477" s="915">
        <v>5475326</v>
      </c>
      <c r="L477"/>
    </row>
    <row r="478" spans="2:12">
      <c r="B478" t="s">
        <v>2848</v>
      </c>
      <c r="C478" s="915">
        <v>4110000000</v>
      </c>
      <c r="D478" s="915" t="s">
        <v>3088</v>
      </c>
      <c r="E478" s="915">
        <v>1951179</v>
      </c>
      <c r="F478" s="915">
        <v>13453942</v>
      </c>
      <c r="G478" s="838"/>
      <c r="H478" s="838"/>
      <c r="I478" s="910">
        <v>7716050000</v>
      </c>
      <c r="J478" s="910" t="s">
        <v>3295</v>
      </c>
      <c r="K478" s="915">
        <v>-160714984</v>
      </c>
      <c r="L478"/>
    </row>
    <row r="479" spans="2:12">
      <c r="B479" t="s">
        <v>2848</v>
      </c>
      <c r="C479" s="915">
        <v>4110000000</v>
      </c>
      <c r="D479" s="915" t="s">
        <v>3088</v>
      </c>
      <c r="E479" s="915">
        <v>-29419324</v>
      </c>
      <c r="F479" s="915">
        <v>-29344205</v>
      </c>
      <c r="G479" s="838"/>
      <c r="H479" s="838"/>
      <c r="I479" s="910">
        <v>7716050005</v>
      </c>
      <c r="J479" s="910" t="s">
        <v>3296</v>
      </c>
      <c r="K479" s="915">
        <v>7107951</v>
      </c>
      <c r="L479"/>
    </row>
    <row r="480" spans="2:12">
      <c r="B480" t="s">
        <v>2848</v>
      </c>
      <c r="C480" s="915">
        <v>4112000000</v>
      </c>
      <c r="D480" s="915" t="s">
        <v>3089</v>
      </c>
      <c r="E480" s="915">
        <v>1410729209</v>
      </c>
      <c r="F480" s="915">
        <v>4939414468</v>
      </c>
      <c r="G480" s="838"/>
      <c r="H480" s="838"/>
      <c r="I480" s="910">
        <v>7720100000</v>
      </c>
      <c r="J480" s="910" t="s">
        <v>3297</v>
      </c>
      <c r="K480" s="915">
        <v>79299882</v>
      </c>
      <c r="L480"/>
    </row>
    <row r="481" spans="2:12">
      <c r="B481" t="s">
        <v>2848</v>
      </c>
      <c r="C481" s="915">
        <v>4113000000</v>
      </c>
      <c r="D481" s="915" t="s">
        <v>3090</v>
      </c>
      <c r="E481" s="915">
        <v>0</v>
      </c>
      <c r="F481" s="915">
        <v>-1001535</v>
      </c>
      <c r="G481" s="838"/>
      <c r="H481" s="838"/>
      <c r="I481" s="910">
        <v>7720100008</v>
      </c>
      <c r="J481" s="910" t="s">
        <v>3298</v>
      </c>
      <c r="K481" s="915">
        <v>0</v>
      </c>
      <c r="L481"/>
    </row>
    <row r="482" spans="2:12">
      <c r="B482" t="s">
        <v>2848</v>
      </c>
      <c r="C482" s="915">
        <v>4113000000</v>
      </c>
      <c r="D482" s="915" t="s">
        <v>3090</v>
      </c>
      <c r="E482" s="915">
        <v>11691006970</v>
      </c>
      <c r="F482" s="915">
        <v>42414289959</v>
      </c>
      <c r="G482" s="838"/>
      <c r="H482" s="838"/>
      <c r="I482" s="910">
        <v>7720200000</v>
      </c>
      <c r="J482" s="910" t="s">
        <v>3299</v>
      </c>
      <c r="K482" s="915">
        <v>11221</v>
      </c>
      <c r="L482"/>
    </row>
    <row r="483" spans="2:12">
      <c r="B483" t="s">
        <v>2848</v>
      </c>
      <c r="C483" s="915">
        <v>4113000000</v>
      </c>
      <c r="D483" s="915" t="s">
        <v>3090</v>
      </c>
      <c r="E483" s="915">
        <v>0</v>
      </c>
      <c r="F483" s="915">
        <v>801</v>
      </c>
      <c r="G483" s="838"/>
      <c r="H483" s="838"/>
      <c r="I483" s="910">
        <v>7720300000</v>
      </c>
      <c r="J483" s="910" t="s">
        <v>3752</v>
      </c>
      <c r="K483" s="915">
        <v>3465939</v>
      </c>
      <c r="L483"/>
    </row>
    <row r="484" spans="2:12">
      <c r="B484" t="s">
        <v>2848</v>
      </c>
      <c r="C484" s="915">
        <v>4113000000</v>
      </c>
      <c r="D484" s="915" t="s">
        <v>3090</v>
      </c>
      <c r="E484" s="915">
        <v>5644761</v>
      </c>
      <c r="F484" s="915">
        <v>22319060</v>
      </c>
      <c r="G484" s="838"/>
      <c r="H484" s="838"/>
      <c r="I484" s="910">
        <v>7720310000</v>
      </c>
      <c r="J484" s="910" t="s">
        <v>3300</v>
      </c>
      <c r="K484" s="915">
        <v>32361</v>
      </c>
      <c r="L484"/>
    </row>
    <row r="485" spans="2:12">
      <c r="B485" t="s">
        <v>2848</v>
      </c>
      <c r="C485" s="915">
        <v>4113000000</v>
      </c>
      <c r="D485" s="915" t="s">
        <v>3090</v>
      </c>
      <c r="E485" s="915">
        <v>10347650</v>
      </c>
      <c r="F485" s="915">
        <v>33011028</v>
      </c>
      <c r="G485" s="838"/>
      <c r="H485" s="838"/>
      <c r="I485" s="910">
        <v>7721000000</v>
      </c>
      <c r="J485" s="910" t="s">
        <v>3301</v>
      </c>
      <c r="K485" s="915">
        <v>741680</v>
      </c>
      <c r="L485"/>
    </row>
    <row r="486" spans="2:12">
      <c r="B486" t="s">
        <v>2848</v>
      </c>
      <c r="C486" s="915">
        <v>4113000000</v>
      </c>
      <c r="D486" s="915" t="s">
        <v>3090</v>
      </c>
      <c r="E486" s="915">
        <v>13595806</v>
      </c>
      <c r="F486" s="915">
        <v>12012216</v>
      </c>
      <c r="G486" s="838"/>
      <c r="H486" s="838"/>
      <c r="I486" s="910">
        <v>7721100000</v>
      </c>
      <c r="J486" s="910" t="s">
        <v>3302</v>
      </c>
      <c r="K486" s="915">
        <v>0</v>
      </c>
      <c r="L486"/>
    </row>
    <row r="487" spans="2:12">
      <c r="B487" t="s">
        <v>2848</v>
      </c>
      <c r="C487" s="915">
        <v>4113000000</v>
      </c>
      <c r="D487" s="915" t="s">
        <v>3090</v>
      </c>
      <c r="E487" s="915">
        <v>0</v>
      </c>
      <c r="F487" s="915">
        <v>450088</v>
      </c>
      <c r="G487" s="838"/>
      <c r="H487" s="838"/>
      <c r="I487" s="910">
        <v>7721200000</v>
      </c>
      <c r="J487" s="910" t="s">
        <v>3303</v>
      </c>
      <c r="K487" s="915">
        <v>30412184</v>
      </c>
      <c r="L487"/>
    </row>
    <row r="488" spans="2:12">
      <c r="B488" t="s">
        <v>2848</v>
      </c>
      <c r="C488" s="915">
        <v>4113000000</v>
      </c>
      <c r="D488" s="915" t="s">
        <v>3090</v>
      </c>
      <c r="E488" s="915">
        <v>4999644</v>
      </c>
      <c r="F488" s="915">
        <v>19768311</v>
      </c>
      <c r="G488" s="838"/>
      <c r="H488" s="838"/>
      <c r="I488" s="910">
        <v>7721400000</v>
      </c>
      <c r="J488" s="910" t="s">
        <v>3304</v>
      </c>
      <c r="K488" s="915">
        <v>69307889</v>
      </c>
      <c r="L488"/>
    </row>
    <row r="489" spans="2:12">
      <c r="B489" t="s">
        <v>2848</v>
      </c>
      <c r="C489" s="915">
        <v>4113000000</v>
      </c>
      <c r="D489" s="915" t="s">
        <v>3090</v>
      </c>
      <c r="E489" s="915">
        <v>0</v>
      </c>
      <c r="F489" s="915">
        <v>-558119</v>
      </c>
      <c r="G489" s="838"/>
      <c r="H489" s="838"/>
      <c r="I489" s="910">
        <v>7721500000</v>
      </c>
      <c r="J489" s="910" t="s">
        <v>3305</v>
      </c>
      <c r="K489" s="915">
        <v>1319153</v>
      </c>
      <c r="L489"/>
    </row>
    <row r="490" spans="2:12">
      <c r="B490" t="s">
        <v>2848</v>
      </c>
      <c r="C490" s="915">
        <v>4114000000</v>
      </c>
      <c r="D490" s="915" t="s">
        <v>3091</v>
      </c>
      <c r="E490" s="915">
        <v>363505451</v>
      </c>
      <c r="F490" s="915">
        <v>1651293332</v>
      </c>
      <c r="G490" s="838"/>
      <c r="H490" s="838"/>
      <c r="I490" s="910">
        <v>7721600000</v>
      </c>
      <c r="J490" s="910" t="s">
        <v>3306</v>
      </c>
      <c r="K490" s="915">
        <v>2263922</v>
      </c>
      <c r="L490"/>
    </row>
    <row r="491" spans="2:12">
      <c r="B491" t="s">
        <v>2848</v>
      </c>
      <c r="C491" s="915">
        <v>4115010000</v>
      </c>
      <c r="D491" s="915" t="s">
        <v>3092</v>
      </c>
      <c r="E491" s="915">
        <v>1836255</v>
      </c>
      <c r="F491" s="915">
        <v>1490008</v>
      </c>
      <c r="G491" s="838"/>
      <c r="H491" s="838"/>
      <c r="I491" s="910">
        <v>7722000000</v>
      </c>
      <c r="J491" s="910" t="s">
        <v>3307</v>
      </c>
      <c r="K491" s="915">
        <v>42560</v>
      </c>
      <c r="L491"/>
    </row>
    <row r="492" spans="2:12">
      <c r="B492" t="s">
        <v>2848</v>
      </c>
      <c r="C492" s="915">
        <v>4115010000</v>
      </c>
      <c r="D492" s="915" t="s">
        <v>3092</v>
      </c>
      <c r="E492" s="915">
        <v>694123585</v>
      </c>
      <c r="F492" s="915">
        <v>2751053343</v>
      </c>
      <c r="G492" s="838"/>
      <c r="H492" s="838"/>
      <c r="I492" s="910">
        <v>7722004000</v>
      </c>
      <c r="J492" s="910" t="s">
        <v>3308</v>
      </c>
      <c r="K492" s="915">
        <v>0</v>
      </c>
      <c r="L492"/>
    </row>
    <row r="493" spans="2:12">
      <c r="B493" t="s">
        <v>2848</v>
      </c>
      <c r="C493" s="915">
        <v>4115010000</v>
      </c>
      <c r="D493" s="915" t="s">
        <v>3092</v>
      </c>
      <c r="E493" s="915">
        <v>13632253020</v>
      </c>
      <c r="F493" s="915">
        <v>52956452593</v>
      </c>
      <c r="G493" s="838"/>
      <c r="H493" s="838"/>
      <c r="I493" s="910">
        <v>7722300000</v>
      </c>
      <c r="J493" s="910" t="s">
        <v>3309</v>
      </c>
      <c r="K493" s="915">
        <v>193429312</v>
      </c>
      <c r="L493"/>
    </row>
    <row r="494" spans="2:12">
      <c r="B494" t="s">
        <v>2848</v>
      </c>
      <c r="C494" s="915">
        <v>4115010000</v>
      </c>
      <c r="D494" s="915" t="s">
        <v>3092</v>
      </c>
      <c r="E494" s="915">
        <v>81359485</v>
      </c>
      <c r="F494" s="915">
        <v>322243420</v>
      </c>
      <c r="G494" s="838"/>
      <c r="H494" s="838"/>
      <c r="I494" s="910">
        <v>7723000000</v>
      </c>
      <c r="J494" s="910" t="s">
        <v>3310</v>
      </c>
      <c r="K494" s="915">
        <v>0</v>
      </c>
      <c r="L494"/>
    </row>
    <row r="495" spans="2:12">
      <c r="B495" t="s">
        <v>2848</v>
      </c>
      <c r="C495" s="915">
        <v>4115010000</v>
      </c>
      <c r="D495" s="915" t="s">
        <v>3092</v>
      </c>
      <c r="E495" s="915">
        <v>1597331354</v>
      </c>
      <c r="F495" s="915">
        <v>6104921512</v>
      </c>
      <c r="G495" s="838"/>
      <c r="H495" s="838"/>
      <c r="I495" s="910">
        <v>7723000001</v>
      </c>
      <c r="J495" s="910" t="s">
        <v>3311</v>
      </c>
      <c r="K495" s="915">
        <v>0</v>
      </c>
      <c r="L495"/>
    </row>
    <row r="496" spans="2:12">
      <c r="B496" t="s">
        <v>2848</v>
      </c>
      <c r="C496" s="915">
        <v>4115010000</v>
      </c>
      <c r="D496" s="915" t="s">
        <v>3092</v>
      </c>
      <c r="E496" s="915">
        <v>104055349</v>
      </c>
      <c r="F496" s="915">
        <v>415013704</v>
      </c>
      <c r="G496" s="838"/>
      <c r="H496" s="838"/>
      <c r="I496" s="910">
        <v>7725000000</v>
      </c>
      <c r="J496" s="910" t="s">
        <v>3312</v>
      </c>
      <c r="K496" s="915">
        <v>33429588</v>
      </c>
      <c r="L496"/>
    </row>
    <row r="497" spans="2:12">
      <c r="B497" t="s">
        <v>2848</v>
      </c>
      <c r="C497" s="915">
        <v>4115010000</v>
      </c>
      <c r="D497" s="915" t="s">
        <v>3092</v>
      </c>
      <c r="E497" s="915">
        <v>624372767</v>
      </c>
      <c r="F497" s="915">
        <v>2459114839</v>
      </c>
      <c r="G497" s="838"/>
      <c r="H497" s="838"/>
      <c r="I497" s="910">
        <v>7725000003</v>
      </c>
      <c r="J497" s="910" t="s">
        <v>3313</v>
      </c>
      <c r="K497" s="915">
        <v>5000</v>
      </c>
      <c r="L497"/>
    </row>
    <row r="498" spans="2:12">
      <c r="B498" t="s">
        <v>2848</v>
      </c>
      <c r="C498" s="915">
        <v>4115010000</v>
      </c>
      <c r="D498" s="915" t="s">
        <v>3092</v>
      </c>
      <c r="E498" s="915">
        <v>579960</v>
      </c>
      <c r="F498" s="915">
        <v>2292646</v>
      </c>
      <c r="G498" s="838"/>
      <c r="H498" s="838"/>
      <c r="I498" s="910">
        <v>7725000010</v>
      </c>
      <c r="J498" s="910" t="s">
        <v>3314</v>
      </c>
      <c r="K498" s="915">
        <v>65713</v>
      </c>
      <c r="L498"/>
    </row>
    <row r="499" spans="2:12">
      <c r="B499" t="s">
        <v>2848</v>
      </c>
      <c r="C499" s="915">
        <v>4115010000</v>
      </c>
      <c r="D499" s="915" t="s">
        <v>3092</v>
      </c>
      <c r="E499" s="915">
        <v>1038781505</v>
      </c>
      <c r="F499" s="915">
        <v>3831129931</v>
      </c>
      <c r="G499" s="838"/>
      <c r="H499" s="838"/>
      <c r="I499" s="910">
        <v>7725000900</v>
      </c>
      <c r="J499" s="910" t="s">
        <v>3315</v>
      </c>
      <c r="K499" s="915">
        <v>0</v>
      </c>
      <c r="L499"/>
    </row>
    <row r="500" spans="2:12">
      <c r="B500" t="s">
        <v>2848</v>
      </c>
      <c r="C500" s="915">
        <v>4115010000</v>
      </c>
      <c r="D500" s="915" t="s">
        <v>3092</v>
      </c>
      <c r="E500" s="915">
        <v>330264226</v>
      </c>
      <c r="F500" s="915">
        <v>1333861432</v>
      </c>
      <c r="G500" s="838"/>
      <c r="H500" s="838"/>
      <c r="I500" s="910">
        <v>7730000002</v>
      </c>
      <c r="J500" s="910" t="s">
        <v>3316</v>
      </c>
      <c r="K500" s="915">
        <v>538238272</v>
      </c>
      <c r="L500"/>
    </row>
    <row r="501" spans="2:12">
      <c r="B501" t="s">
        <v>2848</v>
      </c>
      <c r="C501" s="915">
        <v>4115010000</v>
      </c>
      <c r="D501" s="915" t="s">
        <v>3092</v>
      </c>
      <c r="E501" s="915">
        <v>91277516</v>
      </c>
      <c r="F501" s="915">
        <v>381696825</v>
      </c>
      <c r="G501" s="838"/>
      <c r="H501" s="838"/>
      <c r="I501" s="910">
        <v>7730000003</v>
      </c>
      <c r="J501" s="910" t="s">
        <v>3317</v>
      </c>
      <c r="K501" s="915">
        <v>805165</v>
      </c>
      <c r="L501"/>
    </row>
    <row r="502" spans="2:12">
      <c r="B502" t="s">
        <v>2848</v>
      </c>
      <c r="C502" s="915">
        <v>4115010000</v>
      </c>
      <c r="D502" s="915" t="s">
        <v>3092</v>
      </c>
      <c r="E502" s="915">
        <v>149785840</v>
      </c>
      <c r="F502" s="915">
        <v>595624296</v>
      </c>
      <c r="G502" s="838"/>
      <c r="H502" s="838"/>
      <c r="I502" s="910">
        <v>7730000007</v>
      </c>
      <c r="J502" s="910" t="s">
        <v>3318</v>
      </c>
      <c r="K502" s="915">
        <v>19312629</v>
      </c>
      <c r="L502"/>
    </row>
    <row r="503" spans="2:12">
      <c r="B503" t="s">
        <v>2848</v>
      </c>
      <c r="C503" s="915">
        <v>4115010000</v>
      </c>
      <c r="D503" s="915" t="s">
        <v>3092</v>
      </c>
      <c r="E503" s="915">
        <v>262077432</v>
      </c>
      <c r="F503" s="915">
        <v>1041505993</v>
      </c>
      <c r="G503" s="838"/>
      <c r="H503" s="838"/>
      <c r="I503" s="910">
        <v>7730000019</v>
      </c>
      <c r="J503" s="910" t="s">
        <v>3319</v>
      </c>
      <c r="K503" s="915">
        <v>12860994</v>
      </c>
      <c r="L503"/>
    </row>
    <row r="504" spans="2:12">
      <c r="B504" t="s">
        <v>2848</v>
      </c>
      <c r="C504" s="915">
        <v>4115010000</v>
      </c>
      <c r="D504" s="915" t="s">
        <v>3092</v>
      </c>
      <c r="E504" s="915">
        <v>3198834268</v>
      </c>
      <c r="F504" s="915">
        <v>12463946759</v>
      </c>
      <c r="G504" s="838"/>
      <c r="H504" s="838"/>
      <c r="I504" s="910">
        <v>7730000024</v>
      </c>
      <c r="J504" s="910" t="s">
        <v>3320</v>
      </c>
      <c r="K504" s="915">
        <v>48319568</v>
      </c>
      <c r="L504"/>
    </row>
    <row r="505" spans="2:12">
      <c r="B505" t="s">
        <v>2848</v>
      </c>
      <c r="C505" s="915">
        <v>4115010000</v>
      </c>
      <c r="D505" s="915" t="s">
        <v>3092</v>
      </c>
      <c r="E505" s="915">
        <v>181926751</v>
      </c>
      <c r="F505" s="915">
        <v>648747298</v>
      </c>
      <c r="G505" s="838"/>
      <c r="H505" s="838"/>
      <c r="I505" s="910">
        <v>7730200000</v>
      </c>
      <c r="J505" s="910" t="s">
        <v>3321</v>
      </c>
      <c r="K505" s="915">
        <v>46851505</v>
      </c>
      <c r="L505"/>
    </row>
    <row r="506" spans="2:12">
      <c r="B506" t="s">
        <v>2848</v>
      </c>
      <c r="C506" s="915">
        <v>4115010000</v>
      </c>
      <c r="D506" s="915" t="s">
        <v>3092</v>
      </c>
      <c r="E506" s="915">
        <v>666821791</v>
      </c>
      <c r="F506" s="915">
        <v>2635255128</v>
      </c>
      <c r="G506" s="838"/>
      <c r="H506" s="838"/>
      <c r="I506" s="910">
        <v>7731000000</v>
      </c>
      <c r="J506" s="910" t="s">
        <v>3322</v>
      </c>
      <c r="K506" s="915">
        <v>651000</v>
      </c>
      <c r="L506"/>
    </row>
    <row r="507" spans="2:12">
      <c r="B507" t="s">
        <v>2848</v>
      </c>
      <c r="C507" s="915">
        <v>4115010000</v>
      </c>
      <c r="D507" s="915" t="s">
        <v>3092</v>
      </c>
      <c r="E507" s="915">
        <v>696883058</v>
      </c>
      <c r="F507" s="915">
        <v>2706317475</v>
      </c>
      <c r="G507" s="838"/>
      <c r="H507" s="838"/>
      <c r="I507" s="910">
        <v>7732000000</v>
      </c>
      <c r="J507" s="910" t="s">
        <v>3323</v>
      </c>
      <c r="K507" s="915">
        <v>0</v>
      </c>
      <c r="L507"/>
    </row>
    <row r="508" spans="2:12">
      <c r="B508" t="s">
        <v>2848</v>
      </c>
      <c r="C508" s="915">
        <v>4115010000</v>
      </c>
      <c r="D508" s="915" t="s">
        <v>3092</v>
      </c>
      <c r="E508" s="915">
        <v>515273682</v>
      </c>
      <c r="F508" s="915">
        <v>2067401663</v>
      </c>
      <c r="G508" s="838"/>
      <c r="H508" s="838"/>
      <c r="I508" s="910">
        <v>7732000007</v>
      </c>
      <c r="J508" s="910" t="s">
        <v>3324</v>
      </c>
      <c r="K508" s="915">
        <v>0</v>
      </c>
      <c r="L508"/>
    </row>
    <row r="509" spans="2:12">
      <c r="B509" t="s">
        <v>2848</v>
      </c>
      <c r="C509" s="915">
        <v>4115010000</v>
      </c>
      <c r="D509" s="915" t="s">
        <v>3092</v>
      </c>
      <c r="E509" s="915">
        <v>81678423</v>
      </c>
      <c r="F509" s="915">
        <v>320162134</v>
      </c>
      <c r="G509" s="838"/>
      <c r="H509" s="838"/>
      <c r="I509" s="910">
        <v>7732000014</v>
      </c>
      <c r="J509" s="910" t="s">
        <v>3325</v>
      </c>
      <c r="K509" s="915">
        <v>0</v>
      </c>
      <c r="L509"/>
    </row>
    <row r="510" spans="2:12">
      <c r="B510" t="s">
        <v>2848</v>
      </c>
      <c r="C510" s="915">
        <v>4115010000</v>
      </c>
      <c r="D510" s="915" t="s">
        <v>3092</v>
      </c>
      <c r="E510" s="915">
        <v>6068203</v>
      </c>
      <c r="F510" s="915">
        <v>23988279</v>
      </c>
      <c r="G510" s="838"/>
      <c r="H510" s="838"/>
      <c r="I510" s="910">
        <v>7732000030</v>
      </c>
      <c r="J510" s="910" t="s">
        <v>3326</v>
      </c>
      <c r="K510" s="915">
        <v>0</v>
      </c>
      <c r="L510"/>
    </row>
    <row r="511" spans="2:12">
      <c r="B511" t="s">
        <v>2848</v>
      </c>
      <c r="C511" s="915">
        <v>4115010000</v>
      </c>
      <c r="D511" s="915" t="s">
        <v>3092</v>
      </c>
      <c r="E511" s="915">
        <v>201683385</v>
      </c>
      <c r="F511" s="915">
        <v>753621194</v>
      </c>
      <c r="G511" s="838"/>
      <c r="H511" s="838"/>
      <c r="I511" s="910">
        <v>7732000037</v>
      </c>
      <c r="J511" s="910" t="s">
        <v>3327</v>
      </c>
      <c r="K511" s="915">
        <v>1215410</v>
      </c>
      <c r="L511"/>
    </row>
    <row r="512" spans="2:12">
      <c r="B512" t="s">
        <v>2848</v>
      </c>
      <c r="C512" s="915">
        <v>4115010000</v>
      </c>
      <c r="D512" s="915" t="s">
        <v>3092</v>
      </c>
      <c r="E512" s="915">
        <v>2469566141</v>
      </c>
      <c r="F512" s="915">
        <v>9544040916</v>
      </c>
      <c r="G512" s="838"/>
      <c r="H512" s="838"/>
      <c r="I512" s="910">
        <v>7732000050</v>
      </c>
      <c r="J512" s="910" t="s">
        <v>3328</v>
      </c>
      <c r="K512" s="915">
        <v>1540746</v>
      </c>
      <c r="L512"/>
    </row>
    <row r="513" spans="2:12">
      <c r="B513" t="s">
        <v>2848</v>
      </c>
      <c r="C513" s="915">
        <v>4115010000</v>
      </c>
      <c r="D513" s="915" t="s">
        <v>3092</v>
      </c>
      <c r="E513" s="915">
        <v>139084558</v>
      </c>
      <c r="F513" s="915">
        <v>534550691</v>
      </c>
      <c r="G513" s="838"/>
      <c r="H513" s="838"/>
      <c r="I513" s="910">
        <v>7732000052</v>
      </c>
      <c r="J513" s="910" t="s">
        <v>3329</v>
      </c>
      <c r="K513" s="915">
        <v>0</v>
      </c>
      <c r="L513"/>
    </row>
    <row r="514" spans="2:12">
      <c r="B514" t="s">
        <v>2848</v>
      </c>
      <c r="C514" s="915">
        <v>4115010000</v>
      </c>
      <c r="D514" s="915" t="s">
        <v>3092</v>
      </c>
      <c r="E514" s="915">
        <v>291417533</v>
      </c>
      <c r="F514" s="915">
        <v>1145814004</v>
      </c>
      <c r="G514" s="838"/>
      <c r="H514" s="838"/>
      <c r="I514" s="910">
        <v>7732000053</v>
      </c>
      <c r="J514" s="910" t="s">
        <v>3330</v>
      </c>
      <c r="K514" s="915">
        <v>3290105</v>
      </c>
      <c r="L514"/>
    </row>
    <row r="515" spans="2:12">
      <c r="B515" t="s">
        <v>2848</v>
      </c>
      <c r="C515" s="915">
        <v>4115010000</v>
      </c>
      <c r="D515" s="915" t="s">
        <v>3092</v>
      </c>
      <c r="E515" s="915">
        <v>4455017</v>
      </c>
      <c r="F515" s="915">
        <v>22572077</v>
      </c>
      <c r="G515" s="838"/>
      <c r="H515" s="838"/>
      <c r="I515" s="910">
        <v>7732000054</v>
      </c>
      <c r="J515" s="910" t="s">
        <v>3753</v>
      </c>
      <c r="K515" s="915">
        <v>1620000</v>
      </c>
      <c r="L515"/>
    </row>
    <row r="516" spans="2:12">
      <c r="B516" t="s">
        <v>2848</v>
      </c>
      <c r="C516" s="915">
        <v>4130000000</v>
      </c>
      <c r="D516" s="915" t="s">
        <v>3093</v>
      </c>
      <c r="E516" s="915">
        <v>0</v>
      </c>
      <c r="F516" s="915">
        <v>-84387972</v>
      </c>
      <c r="G516" s="838"/>
      <c r="H516" s="838"/>
      <c r="I516" s="910">
        <v>7732003007</v>
      </c>
      <c r="J516" s="910" t="s">
        <v>3331</v>
      </c>
      <c r="K516" s="915">
        <v>86110493</v>
      </c>
      <c r="L516"/>
    </row>
    <row r="517" spans="2:12">
      <c r="B517" t="s">
        <v>2848</v>
      </c>
      <c r="C517" s="915">
        <v>4130000000</v>
      </c>
      <c r="D517" s="915" t="s">
        <v>3093</v>
      </c>
      <c r="E517" s="915">
        <v>-103197364</v>
      </c>
      <c r="F517" s="915">
        <v>-399137207</v>
      </c>
      <c r="G517" s="838"/>
      <c r="H517" s="838"/>
      <c r="I517" s="910">
        <v>7732005004</v>
      </c>
      <c r="J517" s="910" t="s">
        <v>3332</v>
      </c>
      <c r="K517" s="915">
        <v>109500</v>
      </c>
      <c r="L517"/>
    </row>
    <row r="518" spans="2:12">
      <c r="B518" t="s">
        <v>2848</v>
      </c>
      <c r="C518" s="915">
        <v>4130000000</v>
      </c>
      <c r="D518" s="915" t="s">
        <v>3093</v>
      </c>
      <c r="E518" s="915">
        <v>-106871</v>
      </c>
      <c r="F518" s="915">
        <v>-19769431</v>
      </c>
      <c r="G518" s="838"/>
      <c r="H518" s="838"/>
      <c r="I518" s="910">
        <v>7732005006</v>
      </c>
      <c r="J518" s="910" t="s">
        <v>3333</v>
      </c>
      <c r="K518" s="915">
        <v>0</v>
      </c>
      <c r="L518"/>
    </row>
    <row r="519" spans="2:12">
      <c r="B519" t="s">
        <v>2848</v>
      </c>
      <c r="C519" s="915">
        <v>4130000000</v>
      </c>
      <c r="D519" s="915" t="s">
        <v>3093</v>
      </c>
      <c r="E519" s="915">
        <v>-15459126868</v>
      </c>
      <c r="F519" s="915">
        <v>-60752133454</v>
      </c>
      <c r="G519" s="838"/>
      <c r="H519" s="838"/>
      <c r="I519" s="910">
        <v>7732005010</v>
      </c>
      <c r="J519" s="910" t="s">
        <v>3334</v>
      </c>
      <c r="K519" s="915">
        <v>2230565</v>
      </c>
      <c r="L519"/>
    </row>
    <row r="520" spans="2:12">
      <c r="B520" t="s">
        <v>2848</v>
      </c>
      <c r="C520" s="915">
        <v>4130000000</v>
      </c>
      <c r="D520" s="915" t="s">
        <v>3093</v>
      </c>
      <c r="E520" s="915">
        <v>-9055312</v>
      </c>
      <c r="F520" s="915">
        <v>-61082195</v>
      </c>
      <c r="G520" s="838"/>
      <c r="H520" s="838"/>
      <c r="I520" s="910">
        <v>7732005011</v>
      </c>
      <c r="J520" s="910" t="s">
        <v>3335</v>
      </c>
      <c r="K520" s="915">
        <v>3209803</v>
      </c>
      <c r="L520"/>
    </row>
    <row r="521" spans="2:12">
      <c r="B521" t="s">
        <v>2848</v>
      </c>
      <c r="C521" s="915">
        <v>4130000000</v>
      </c>
      <c r="D521" s="915" t="s">
        <v>3093</v>
      </c>
      <c r="E521" s="915">
        <v>-245456</v>
      </c>
      <c r="F521" s="915">
        <v>-22193055</v>
      </c>
      <c r="G521" s="838"/>
      <c r="H521" s="838"/>
      <c r="I521" s="910">
        <v>7732005016</v>
      </c>
      <c r="J521" s="910" t="s">
        <v>3336</v>
      </c>
      <c r="K521" s="915">
        <v>26261424</v>
      </c>
      <c r="L521"/>
    </row>
    <row r="522" spans="2:12">
      <c r="B522" t="s">
        <v>2848</v>
      </c>
      <c r="C522" s="915">
        <v>4130000000</v>
      </c>
      <c r="D522" s="915" t="s">
        <v>3093</v>
      </c>
      <c r="E522" s="915">
        <v>-1193145</v>
      </c>
      <c r="F522" s="915">
        <v>-11626147</v>
      </c>
      <c r="G522" s="838"/>
      <c r="H522" s="838"/>
      <c r="I522" s="910">
        <v>7732005028</v>
      </c>
      <c r="J522" s="910" t="s">
        <v>3337</v>
      </c>
      <c r="K522" s="915">
        <v>0</v>
      </c>
      <c r="L522"/>
    </row>
    <row r="523" spans="2:12">
      <c r="B523" t="s">
        <v>2848</v>
      </c>
      <c r="C523" s="915">
        <v>4130000000</v>
      </c>
      <c r="D523" s="915" t="s">
        <v>3093</v>
      </c>
      <c r="E523" s="915">
        <v>-6659081</v>
      </c>
      <c r="F523" s="915">
        <v>-230268838</v>
      </c>
      <c r="G523" s="838"/>
      <c r="H523" s="838"/>
      <c r="I523" s="910">
        <v>7732100000</v>
      </c>
      <c r="J523" s="910" t="s">
        <v>3338</v>
      </c>
      <c r="K523" s="915">
        <v>0</v>
      </c>
      <c r="L523"/>
    </row>
    <row r="524" spans="2:12">
      <c r="B524" t="s">
        <v>2848</v>
      </c>
      <c r="C524" s="915">
        <v>4130000000</v>
      </c>
      <c r="D524" s="915" t="s">
        <v>3093</v>
      </c>
      <c r="E524" s="915">
        <v>0</v>
      </c>
      <c r="F524" s="915">
        <v>-133755410</v>
      </c>
      <c r="G524" s="838"/>
      <c r="H524" s="838"/>
      <c r="I524" s="910">
        <v>7735000000</v>
      </c>
      <c r="J524" s="910" t="s">
        <v>3339</v>
      </c>
      <c r="K524" s="915">
        <v>435177575</v>
      </c>
      <c r="L524"/>
    </row>
    <row r="525" spans="2:12">
      <c r="B525" t="s">
        <v>2848</v>
      </c>
      <c r="C525" s="915">
        <v>4130000000</v>
      </c>
      <c r="D525" s="915" t="s">
        <v>3093</v>
      </c>
      <c r="E525" s="915">
        <v>0</v>
      </c>
      <c r="F525" s="915">
        <v>-997519</v>
      </c>
      <c r="G525" s="838"/>
      <c r="H525" s="838"/>
      <c r="I525" s="910">
        <v>7737005000</v>
      </c>
      <c r="J525" s="910" t="s">
        <v>3340</v>
      </c>
      <c r="K525" s="915">
        <v>0</v>
      </c>
      <c r="L525"/>
    </row>
    <row r="526" spans="2:12">
      <c r="B526" t="s">
        <v>2848</v>
      </c>
      <c r="C526" s="915">
        <v>4130000000</v>
      </c>
      <c r="D526" s="915" t="s">
        <v>3093</v>
      </c>
      <c r="E526" s="915">
        <v>0</v>
      </c>
      <c r="F526" s="915">
        <v>-4001374</v>
      </c>
      <c r="G526" s="838"/>
      <c r="H526" s="838"/>
      <c r="I526" s="910">
        <v>7800000003</v>
      </c>
      <c r="J526" s="910" t="s">
        <v>3341</v>
      </c>
      <c r="K526" s="915">
        <v>0</v>
      </c>
      <c r="L526"/>
    </row>
    <row r="527" spans="2:12">
      <c r="B527" t="s">
        <v>2848</v>
      </c>
      <c r="C527" s="915">
        <v>4130000000</v>
      </c>
      <c r="D527" s="915" t="s">
        <v>3093</v>
      </c>
      <c r="E527" s="915">
        <v>-2055926</v>
      </c>
      <c r="F527" s="915">
        <v>-211189512</v>
      </c>
      <c r="G527" s="838"/>
      <c r="H527" s="838"/>
      <c r="I527" s="910">
        <v>7801000000</v>
      </c>
      <c r="J527" s="910" t="s">
        <v>3342</v>
      </c>
      <c r="K527" s="915">
        <v>1740586</v>
      </c>
      <c r="L527"/>
    </row>
    <row r="528" spans="2:12">
      <c r="B528" t="s">
        <v>2848</v>
      </c>
      <c r="C528" s="915">
        <v>4130000000</v>
      </c>
      <c r="D528" s="915" t="s">
        <v>3093</v>
      </c>
      <c r="E528" s="915">
        <v>-9789238</v>
      </c>
      <c r="F528" s="915">
        <v>-1331678</v>
      </c>
      <c r="G528" s="838"/>
      <c r="H528" s="838"/>
      <c r="I528" s="910">
        <v>7801100001</v>
      </c>
      <c r="J528" s="910" t="s">
        <v>3343</v>
      </c>
      <c r="K528" s="915">
        <v>1816669</v>
      </c>
      <c r="L528"/>
    </row>
    <row r="529" spans="2:12">
      <c r="B529" t="s">
        <v>2848</v>
      </c>
      <c r="C529" s="915">
        <v>4130000000</v>
      </c>
      <c r="D529" s="915" t="s">
        <v>3093</v>
      </c>
      <c r="E529" s="915">
        <v>-143657</v>
      </c>
      <c r="F529" s="915">
        <v>-8496442</v>
      </c>
      <c r="G529" s="838"/>
      <c r="H529" s="838"/>
      <c r="I529" s="910">
        <v>7801200004</v>
      </c>
      <c r="J529" s="910" t="s">
        <v>3344</v>
      </c>
      <c r="K529" s="915">
        <v>83287997</v>
      </c>
      <c r="L529"/>
    </row>
    <row r="530" spans="2:12">
      <c r="B530" t="s">
        <v>2848</v>
      </c>
      <c r="C530" s="915">
        <v>4130000000</v>
      </c>
      <c r="D530" s="915" t="s">
        <v>3093</v>
      </c>
      <c r="E530" s="915">
        <v>-6710038</v>
      </c>
      <c r="F530" s="915">
        <v>-7366871</v>
      </c>
      <c r="G530" s="838"/>
      <c r="H530" s="838"/>
      <c r="I530" s="910">
        <v>7801200047</v>
      </c>
      <c r="J530" s="910" t="s">
        <v>3345</v>
      </c>
      <c r="K530" s="915">
        <v>40968373</v>
      </c>
      <c r="L530"/>
    </row>
    <row r="531" spans="2:12">
      <c r="B531" t="s">
        <v>2848</v>
      </c>
      <c r="C531" s="915">
        <v>4130000000</v>
      </c>
      <c r="D531" s="915" t="s">
        <v>3093</v>
      </c>
      <c r="E531" s="915">
        <v>-2507957</v>
      </c>
      <c r="F531" s="915">
        <v>-40696288</v>
      </c>
      <c r="G531" s="838"/>
      <c r="H531" s="838"/>
      <c r="I531" s="910">
        <v>7801300002</v>
      </c>
      <c r="J531" s="910" t="s">
        <v>3346</v>
      </c>
      <c r="K531" s="915">
        <v>28431631</v>
      </c>
      <c r="L531"/>
    </row>
    <row r="532" spans="2:12">
      <c r="B532" t="s">
        <v>2848</v>
      </c>
      <c r="C532" s="915">
        <v>4130000000</v>
      </c>
      <c r="D532" s="915" t="s">
        <v>3093</v>
      </c>
      <c r="E532" s="915">
        <v>0</v>
      </c>
      <c r="F532" s="915">
        <v>-1176274</v>
      </c>
      <c r="G532" s="838"/>
      <c r="H532" s="838"/>
      <c r="I532" s="910">
        <v>7804000005</v>
      </c>
      <c r="J532" s="910" t="s">
        <v>3347</v>
      </c>
      <c r="K532" s="915">
        <v>17014254</v>
      </c>
      <c r="L532"/>
    </row>
    <row r="533" spans="2:12">
      <c r="B533" t="s">
        <v>2848</v>
      </c>
      <c r="C533" s="915">
        <v>4130000000</v>
      </c>
      <c r="D533" s="915" t="s">
        <v>3093</v>
      </c>
      <c r="E533" s="915">
        <v>-41801932</v>
      </c>
      <c r="F533" s="915">
        <v>-28486726</v>
      </c>
      <c r="G533" s="838"/>
      <c r="H533" s="838"/>
      <c r="I533" s="910">
        <v>7804000006</v>
      </c>
      <c r="J533" s="910" t="s">
        <v>3348</v>
      </c>
      <c r="K533" s="915">
        <v>218764818</v>
      </c>
      <c r="L533"/>
    </row>
    <row r="534" spans="2:12">
      <c r="B534" t="s">
        <v>2848</v>
      </c>
      <c r="C534" s="915">
        <v>4130000000</v>
      </c>
      <c r="D534" s="915" t="s">
        <v>3093</v>
      </c>
      <c r="E534" s="915">
        <v>-11657468</v>
      </c>
      <c r="F534" s="915">
        <v>-3223792</v>
      </c>
      <c r="G534" s="838"/>
      <c r="H534" s="838"/>
      <c r="I534" s="910">
        <v>7804000008</v>
      </c>
      <c r="J534" s="910" t="s">
        <v>3349</v>
      </c>
      <c r="K534" s="915">
        <v>66957745</v>
      </c>
      <c r="L534"/>
    </row>
    <row r="535" spans="2:12">
      <c r="B535" t="s">
        <v>2848</v>
      </c>
      <c r="C535" s="915">
        <v>4130000000</v>
      </c>
      <c r="D535" s="915" t="s">
        <v>3093</v>
      </c>
      <c r="E535" s="915">
        <v>-139688</v>
      </c>
      <c r="F535" s="915">
        <v>-11888355</v>
      </c>
      <c r="G535" s="838"/>
      <c r="H535" s="838"/>
      <c r="I535" s="910">
        <v>7804000019</v>
      </c>
      <c r="J535" s="910" t="s">
        <v>3350</v>
      </c>
      <c r="K535" s="915">
        <v>16241190</v>
      </c>
      <c r="L535"/>
    </row>
    <row r="536" spans="2:12">
      <c r="B536" t="s">
        <v>2848</v>
      </c>
      <c r="C536" s="915">
        <v>4130000000</v>
      </c>
      <c r="D536" s="915" t="s">
        <v>3093</v>
      </c>
      <c r="E536" s="915">
        <v>-15641</v>
      </c>
      <c r="F536" s="915">
        <v>-43890442</v>
      </c>
      <c r="G536" s="838"/>
      <c r="H536" s="838"/>
      <c r="I536" s="910">
        <v>7804000025</v>
      </c>
      <c r="J536" s="910" t="s">
        <v>3754</v>
      </c>
      <c r="K536" s="915">
        <v>242944709</v>
      </c>
      <c r="L536"/>
    </row>
    <row r="537" spans="2:12">
      <c r="B537" t="s">
        <v>2848</v>
      </c>
      <c r="C537" s="915">
        <v>4130000000</v>
      </c>
      <c r="D537" s="915" t="s">
        <v>3093</v>
      </c>
      <c r="E537" s="915">
        <v>-931985387</v>
      </c>
      <c r="F537" s="915">
        <v>-4188801165</v>
      </c>
      <c r="G537" s="838"/>
      <c r="H537" s="838"/>
      <c r="I537" s="910">
        <v>7834000000</v>
      </c>
      <c r="J537" s="910" t="s">
        <v>3351</v>
      </c>
      <c r="K537" s="915">
        <v>105786846</v>
      </c>
      <c r="L537"/>
    </row>
    <row r="538" spans="2:12">
      <c r="B538" t="s">
        <v>2848</v>
      </c>
      <c r="C538" s="915">
        <v>4130000600</v>
      </c>
      <c r="D538" s="915" t="s">
        <v>3094</v>
      </c>
      <c r="E538" s="915">
        <v>238597455</v>
      </c>
      <c r="F538" s="915">
        <v>1107695781</v>
      </c>
      <c r="G538" s="838"/>
      <c r="H538" s="838"/>
      <c r="I538" s="910">
        <v>7861020000</v>
      </c>
      <c r="J538" s="910" t="s">
        <v>3352</v>
      </c>
      <c r="K538" s="915">
        <v>0</v>
      </c>
      <c r="L538"/>
    </row>
    <row r="539" spans="2:12">
      <c r="B539" t="s">
        <v>2848</v>
      </c>
      <c r="C539" s="915">
        <v>4130000600</v>
      </c>
      <c r="D539" s="915" t="s">
        <v>3094</v>
      </c>
      <c r="E539" s="915">
        <v>9931308</v>
      </c>
      <c r="F539" s="915">
        <v>95447045</v>
      </c>
      <c r="G539" s="838"/>
      <c r="H539" s="838"/>
      <c r="I539" s="910">
        <v>7861080000</v>
      </c>
      <c r="J539" s="910" t="s">
        <v>3353</v>
      </c>
      <c r="K539" s="915">
        <v>6403106</v>
      </c>
      <c r="L539"/>
    </row>
    <row r="540" spans="2:12">
      <c r="B540" t="s">
        <v>2848</v>
      </c>
      <c r="C540" s="915">
        <v>4130000600</v>
      </c>
      <c r="D540" s="915" t="s">
        <v>3094</v>
      </c>
      <c r="E540" s="915">
        <v>16515400</v>
      </c>
      <c r="F540" s="915">
        <v>110130578</v>
      </c>
      <c r="G540" s="838"/>
      <c r="H540" s="838"/>
      <c r="I540" s="910">
        <v>7861091000</v>
      </c>
      <c r="J540" s="910" t="s">
        <v>3354</v>
      </c>
      <c r="K540" s="915">
        <v>151811299</v>
      </c>
      <c r="L540"/>
    </row>
    <row r="541" spans="2:12">
      <c r="B541" t="s">
        <v>2848</v>
      </c>
      <c r="C541" s="915">
        <v>4130000600</v>
      </c>
      <c r="D541" s="915" t="s">
        <v>3094</v>
      </c>
      <c r="E541" s="915">
        <v>4310029</v>
      </c>
      <c r="F541" s="915">
        <v>60695266</v>
      </c>
      <c r="G541" s="838"/>
      <c r="H541" s="838"/>
      <c r="I541" s="910">
        <v>7861092000</v>
      </c>
      <c r="J541" s="910" t="s">
        <v>3355</v>
      </c>
      <c r="K541" s="915">
        <v>-48573528</v>
      </c>
      <c r="L541"/>
    </row>
    <row r="542" spans="2:12">
      <c r="B542" t="s">
        <v>2848</v>
      </c>
      <c r="C542" s="915">
        <v>4130000600</v>
      </c>
      <c r="D542" s="915" t="s">
        <v>3094</v>
      </c>
      <c r="E542" s="915">
        <v>2841084</v>
      </c>
      <c r="F542" s="915">
        <v>11252909</v>
      </c>
      <c r="G542" s="838"/>
      <c r="H542" s="838"/>
      <c r="I542" s="910">
        <v>7861100000</v>
      </c>
      <c r="J542" s="910" t="s">
        <v>3356</v>
      </c>
      <c r="K542" s="915">
        <v>30229349</v>
      </c>
      <c r="L542"/>
    </row>
    <row r="543" spans="2:12">
      <c r="B543" t="s">
        <v>2848</v>
      </c>
      <c r="C543" s="915">
        <v>4130000600</v>
      </c>
      <c r="D543" s="915" t="s">
        <v>3094</v>
      </c>
      <c r="E543" s="915">
        <v>9009098</v>
      </c>
      <c r="F543" s="915">
        <v>51398717</v>
      </c>
      <c r="G543" s="838"/>
      <c r="H543" s="838"/>
      <c r="I543" s="910">
        <v>7861110000</v>
      </c>
      <c r="J543" s="910" t="s">
        <v>3357</v>
      </c>
      <c r="K543" s="915">
        <v>675000</v>
      </c>
      <c r="L543"/>
    </row>
    <row r="544" spans="2:12">
      <c r="B544" t="s">
        <v>2848</v>
      </c>
      <c r="C544" s="915">
        <v>4130000600</v>
      </c>
      <c r="D544" s="915" t="s">
        <v>3094</v>
      </c>
      <c r="E544" s="915">
        <v>431018</v>
      </c>
      <c r="F544" s="915">
        <v>1717853</v>
      </c>
      <c r="G544" s="838"/>
      <c r="H544" s="838"/>
      <c r="I544" s="910">
        <v>7861140001</v>
      </c>
      <c r="J544" s="910" t="s">
        <v>3358</v>
      </c>
      <c r="K544" s="915">
        <v>0</v>
      </c>
      <c r="L544"/>
    </row>
    <row r="545" spans="2:12">
      <c r="B545" t="s">
        <v>2848</v>
      </c>
      <c r="C545" s="915">
        <v>4130000600</v>
      </c>
      <c r="D545" s="915" t="s">
        <v>3094</v>
      </c>
      <c r="E545" s="915">
        <v>3970271</v>
      </c>
      <c r="F545" s="915">
        <v>29552403</v>
      </c>
      <c r="G545" s="838"/>
      <c r="H545" s="838"/>
      <c r="I545" s="910">
        <v>7861150110</v>
      </c>
      <c r="J545" s="910" t="s">
        <v>3359</v>
      </c>
      <c r="K545" s="915">
        <v>103147913</v>
      </c>
      <c r="L545"/>
    </row>
    <row r="546" spans="2:12">
      <c r="B546" t="s">
        <v>2848</v>
      </c>
      <c r="C546" s="915">
        <v>4130000600</v>
      </c>
      <c r="D546" s="915" t="s">
        <v>3094</v>
      </c>
      <c r="E546" s="915">
        <v>5117347</v>
      </c>
      <c r="F546" s="915">
        <v>26282688</v>
      </c>
      <c r="G546" s="838"/>
      <c r="H546" s="838"/>
      <c r="I546" s="910">
        <v>7861150410</v>
      </c>
      <c r="J546" s="910" t="s">
        <v>3360</v>
      </c>
      <c r="K546" s="915">
        <v>437234861</v>
      </c>
      <c r="L546"/>
    </row>
    <row r="547" spans="2:12">
      <c r="B547" t="s">
        <v>2848</v>
      </c>
      <c r="C547" s="915">
        <v>4130000600</v>
      </c>
      <c r="D547" s="915" t="s">
        <v>3094</v>
      </c>
      <c r="E547" s="915">
        <v>1061946</v>
      </c>
      <c r="F547" s="915">
        <v>19942032</v>
      </c>
      <c r="G547" s="838"/>
      <c r="H547" s="838"/>
      <c r="I547" s="910">
        <v>7861151110</v>
      </c>
      <c r="J547" s="910" t="s">
        <v>3361</v>
      </c>
      <c r="K547" s="915">
        <v>102081813</v>
      </c>
      <c r="L547"/>
    </row>
    <row r="548" spans="2:12">
      <c r="B548" t="s">
        <v>2848</v>
      </c>
      <c r="C548" s="915">
        <v>4130000600</v>
      </c>
      <c r="D548" s="915" t="s">
        <v>3094</v>
      </c>
      <c r="E548" s="915">
        <v>2324182</v>
      </c>
      <c r="F548" s="915">
        <v>9225596</v>
      </c>
      <c r="G548" s="838"/>
      <c r="H548" s="838"/>
      <c r="I548" s="910">
        <v>7861151210</v>
      </c>
      <c r="J548" s="910" t="s">
        <v>3362</v>
      </c>
      <c r="K548" s="915">
        <v>540162</v>
      </c>
      <c r="L548"/>
    </row>
    <row r="549" spans="2:12">
      <c r="B549" t="s">
        <v>2848</v>
      </c>
      <c r="C549" s="915">
        <v>4130000600</v>
      </c>
      <c r="D549" s="915" t="s">
        <v>3094</v>
      </c>
      <c r="E549" s="915">
        <v>4736036</v>
      </c>
      <c r="F549" s="915">
        <v>31656910</v>
      </c>
      <c r="G549" s="838"/>
      <c r="H549" s="838"/>
      <c r="I549" s="910">
        <v>7861151350</v>
      </c>
      <c r="J549" s="910" t="s">
        <v>3363</v>
      </c>
      <c r="K549" s="915">
        <v>19520055</v>
      </c>
      <c r="L549"/>
    </row>
    <row r="550" spans="2:12">
      <c r="B550" t="s">
        <v>2848</v>
      </c>
      <c r="C550" s="915">
        <v>4130000600</v>
      </c>
      <c r="D550" s="915" t="s">
        <v>3094</v>
      </c>
      <c r="E550" s="915">
        <v>226300</v>
      </c>
      <c r="F550" s="915">
        <v>898997</v>
      </c>
      <c r="G550" s="838"/>
      <c r="H550" s="838"/>
      <c r="I550" s="910">
        <v>7861151360</v>
      </c>
      <c r="J550" s="910" t="s">
        <v>3364</v>
      </c>
      <c r="K550" s="915">
        <v>7625885</v>
      </c>
      <c r="L550"/>
    </row>
    <row r="551" spans="2:12">
      <c r="B551" t="s">
        <v>2848</v>
      </c>
      <c r="C551" s="915">
        <v>4130000600</v>
      </c>
      <c r="D551" s="915" t="s">
        <v>3094</v>
      </c>
      <c r="E551" s="915">
        <v>13358284</v>
      </c>
      <c r="F551" s="915">
        <v>646082</v>
      </c>
      <c r="G551" s="838"/>
      <c r="H551" s="838"/>
      <c r="I551" s="910">
        <v>7861151370</v>
      </c>
      <c r="J551" s="910" t="s">
        <v>3365</v>
      </c>
      <c r="K551" s="915">
        <v>21298506</v>
      </c>
      <c r="L551"/>
    </row>
    <row r="552" spans="2:12">
      <c r="B552" t="s">
        <v>2848</v>
      </c>
      <c r="C552" s="915">
        <v>4130000600</v>
      </c>
      <c r="D552" s="915" t="s">
        <v>3094</v>
      </c>
      <c r="E552" s="915">
        <v>57846</v>
      </c>
      <c r="F552" s="915">
        <v>233704</v>
      </c>
      <c r="G552" s="838"/>
      <c r="H552" s="838"/>
      <c r="I552" s="910">
        <v>7861151520</v>
      </c>
      <c r="J552" s="910" t="s">
        <v>3366</v>
      </c>
      <c r="K552" s="915">
        <v>18438</v>
      </c>
    </row>
    <row r="553" spans="2:12">
      <c r="B553" t="s">
        <v>2848</v>
      </c>
      <c r="C553" s="915">
        <v>4130000600</v>
      </c>
      <c r="D553" s="915" t="s">
        <v>3094</v>
      </c>
      <c r="E553" s="915">
        <v>7548953</v>
      </c>
      <c r="F553" s="915">
        <v>30128841</v>
      </c>
      <c r="G553" s="838"/>
      <c r="H553" s="838"/>
      <c r="I553" s="910">
        <v>7861161100</v>
      </c>
      <c r="J553" s="910" t="s">
        <v>3367</v>
      </c>
      <c r="K553" s="915">
        <v>26697153</v>
      </c>
    </row>
    <row r="554" spans="2:12">
      <c r="B554" t="s">
        <v>2848</v>
      </c>
      <c r="C554" s="915">
        <v>4130000600</v>
      </c>
      <c r="D554" s="915" t="s">
        <v>3094</v>
      </c>
      <c r="E554" s="915">
        <v>87441</v>
      </c>
      <c r="F554" s="915">
        <v>346182</v>
      </c>
      <c r="G554" s="838"/>
      <c r="H554" s="838"/>
      <c r="I554" s="910">
        <v>9200100004</v>
      </c>
      <c r="J554" s="910" t="s">
        <v>3368</v>
      </c>
      <c r="K554" s="915">
        <v>0</v>
      </c>
    </row>
    <row r="555" spans="2:12">
      <c r="B555" t="s">
        <v>2848</v>
      </c>
      <c r="C555" s="915">
        <v>4161100000</v>
      </c>
      <c r="D555" s="915" t="s">
        <v>3095</v>
      </c>
      <c r="E555" s="915">
        <v>-133477128</v>
      </c>
      <c r="F555" s="915">
        <v>-802900262</v>
      </c>
      <c r="G555" s="838"/>
      <c r="H555" s="838"/>
      <c r="I555" s="910">
        <v>9200100011</v>
      </c>
      <c r="J555" s="910" t="s">
        <v>3369</v>
      </c>
      <c r="K555" s="915">
        <v>0</v>
      </c>
    </row>
    <row r="556" spans="2:12">
      <c r="B556" t="s">
        <v>2848</v>
      </c>
      <c r="C556" s="915">
        <v>4161100000</v>
      </c>
      <c r="D556" s="915" t="s">
        <v>3095</v>
      </c>
      <c r="E556" s="915">
        <v>22599</v>
      </c>
      <c r="F556" s="915">
        <v>2592750</v>
      </c>
      <c r="G556" s="838"/>
      <c r="H556" s="838"/>
      <c r="I556" s="910">
        <v>9200100012</v>
      </c>
      <c r="J556" s="910" t="s">
        <v>3370</v>
      </c>
      <c r="K556" s="915">
        <v>0</v>
      </c>
    </row>
    <row r="557" spans="2:12">
      <c r="B557" t="s">
        <v>2848</v>
      </c>
      <c r="C557" s="915">
        <v>4161100000</v>
      </c>
      <c r="D557" s="915" t="s">
        <v>3095</v>
      </c>
      <c r="E557" s="915">
        <v>-94738152</v>
      </c>
      <c r="F557" s="915">
        <v>-1007994014</v>
      </c>
      <c r="G557" s="838"/>
      <c r="H557" s="838"/>
      <c r="I557" s="910">
        <v>9200100019</v>
      </c>
      <c r="J557" s="910" t="s">
        <v>3371</v>
      </c>
      <c r="K557" s="915">
        <v>0</v>
      </c>
    </row>
    <row r="558" spans="2:12">
      <c r="B558" t="s">
        <v>2848</v>
      </c>
      <c r="C558" s="915">
        <v>4161100000</v>
      </c>
      <c r="D558" s="915" t="s">
        <v>3095</v>
      </c>
      <c r="E558" s="915">
        <v>37920</v>
      </c>
      <c r="F558" s="915">
        <v>151571</v>
      </c>
      <c r="G558" s="838"/>
      <c r="H558" s="838"/>
      <c r="I558" s="910">
        <v>9200100025</v>
      </c>
      <c r="J558" s="910" t="s">
        <v>3372</v>
      </c>
      <c r="K558" s="915">
        <v>0</v>
      </c>
    </row>
    <row r="559" spans="2:12">
      <c r="B559" t="s">
        <v>2848</v>
      </c>
      <c r="C559" s="915">
        <v>4161100000</v>
      </c>
      <c r="D559" s="915" t="s">
        <v>3095</v>
      </c>
      <c r="E559" s="915">
        <v>-3599573</v>
      </c>
      <c r="F559" s="915">
        <v>-13227166</v>
      </c>
      <c r="G559" s="838"/>
      <c r="H559" s="838"/>
      <c r="I559" s="910">
        <v>9200100039</v>
      </c>
      <c r="J559" s="910" t="s">
        <v>3373</v>
      </c>
      <c r="K559" s="915">
        <v>0</v>
      </c>
    </row>
    <row r="560" spans="2:12">
      <c r="B560" t="s">
        <v>2848</v>
      </c>
      <c r="C560" s="915">
        <v>4161100000</v>
      </c>
      <c r="D560" s="915" t="s">
        <v>3095</v>
      </c>
      <c r="E560" s="915">
        <v>-2609466</v>
      </c>
      <c r="F560" s="915">
        <v>-2577643</v>
      </c>
      <c r="G560" s="838"/>
      <c r="H560" s="838"/>
      <c r="I560" s="910">
        <v>9911000000</v>
      </c>
      <c r="J560" s="910" t="s">
        <v>3374</v>
      </c>
      <c r="K560" s="915">
        <v>-30</v>
      </c>
    </row>
    <row r="561" spans="2:11">
      <c r="B561" t="s">
        <v>2848</v>
      </c>
      <c r="C561" s="915">
        <v>4161100000</v>
      </c>
      <c r="D561" s="915" t="s">
        <v>3095</v>
      </c>
      <c r="E561" s="915">
        <v>5509267</v>
      </c>
      <c r="F561" s="915">
        <v>7508507</v>
      </c>
      <c r="G561" s="838"/>
      <c r="H561" s="838"/>
      <c r="I561" s="910" t="s">
        <v>1503</v>
      </c>
      <c r="J561"/>
      <c r="K561" s="915">
        <v>0</v>
      </c>
    </row>
    <row r="562" spans="2:11">
      <c r="B562" t="s">
        <v>2848</v>
      </c>
      <c r="C562" s="915">
        <v>4161100000</v>
      </c>
      <c r="D562" s="915" t="s">
        <v>3095</v>
      </c>
      <c r="E562" s="915">
        <v>995515</v>
      </c>
      <c r="F562" s="915">
        <v>3877830</v>
      </c>
      <c r="G562" s="838"/>
      <c r="H562" s="838"/>
      <c r="I562"/>
      <c r="J562"/>
    </row>
    <row r="563" spans="2:11">
      <c r="B563" t="s">
        <v>2848</v>
      </c>
      <c r="C563" s="915">
        <v>4161100000</v>
      </c>
      <c r="D563" s="915" t="s">
        <v>3095</v>
      </c>
      <c r="E563" s="915">
        <v>4774684</v>
      </c>
      <c r="F563" s="915">
        <v>-38018719</v>
      </c>
      <c r="G563" s="838"/>
      <c r="H563" s="838"/>
      <c r="I563"/>
      <c r="J563"/>
    </row>
    <row r="564" spans="2:11">
      <c r="B564" t="s">
        <v>2848</v>
      </c>
      <c r="C564" s="915">
        <v>4161100000</v>
      </c>
      <c r="D564" s="915" t="s">
        <v>3095</v>
      </c>
      <c r="E564" s="915">
        <v>3035796</v>
      </c>
      <c r="F564" s="915">
        <v>-12953374</v>
      </c>
      <c r="G564" s="838"/>
      <c r="H564" s="838"/>
      <c r="I564"/>
      <c r="J564"/>
    </row>
    <row r="565" spans="2:11">
      <c r="B565" t="s">
        <v>2848</v>
      </c>
      <c r="C565" s="915">
        <v>4161100000</v>
      </c>
      <c r="D565" s="915" t="s">
        <v>3095</v>
      </c>
      <c r="E565" s="915">
        <v>417783</v>
      </c>
      <c r="F565" s="915">
        <v>1582405</v>
      </c>
      <c r="G565" s="838"/>
      <c r="H565" s="838"/>
      <c r="I565"/>
      <c r="J565"/>
    </row>
    <row r="566" spans="2:11">
      <c r="B566" t="s">
        <v>2848</v>
      </c>
      <c r="C566" s="915">
        <v>4161100000</v>
      </c>
      <c r="D566" s="915" t="s">
        <v>3095</v>
      </c>
      <c r="E566" s="915">
        <v>29057</v>
      </c>
      <c r="F566" s="915">
        <v>-2552546</v>
      </c>
      <c r="G566" s="838"/>
      <c r="H566" s="838"/>
      <c r="I566"/>
      <c r="J566"/>
    </row>
    <row r="567" spans="2:11">
      <c r="B567" t="s">
        <v>2848</v>
      </c>
      <c r="C567" s="915">
        <v>4161100000</v>
      </c>
      <c r="D567" s="915" t="s">
        <v>3095</v>
      </c>
      <c r="E567" s="915">
        <v>-25503</v>
      </c>
      <c r="F567" s="915">
        <v>2419324</v>
      </c>
      <c r="G567" s="838"/>
      <c r="H567" s="838"/>
      <c r="I567"/>
      <c r="J567"/>
    </row>
    <row r="568" spans="2:11">
      <c r="B568" t="s">
        <v>2848</v>
      </c>
      <c r="C568" s="915">
        <v>4161100000</v>
      </c>
      <c r="D568" s="915" t="s">
        <v>3095</v>
      </c>
      <c r="E568" s="915">
        <v>-48954066</v>
      </c>
      <c r="F568" s="915">
        <v>11133508</v>
      </c>
      <c r="G568" s="838"/>
      <c r="H568" s="838"/>
      <c r="I568"/>
      <c r="J568"/>
    </row>
    <row r="569" spans="2:11">
      <c r="B569" t="s">
        <v>2848</v>
      </c>
      <c r="C569" s="915">
        <v>4161100000</v>
      </c>
      <c r="D569" s="915" t="s">
        <v>3095</v>
      </c>
      <c r="E569" s="915">
        <v>-3173087</v>
      </c>
      <c r="F569" s="915">
        <v>-55174847</v>
      </c>
      <c r="G569" s="838"/>
      <c r="H569" s="838"/>
      <c r="I569"/>
      <c r="J569"/>
    </row>
    <row r="570" spans="2:11">
      <c r="B570" t="s">
        <v>2848</v>
      </c>
      <c r="C570" s="915">
        <v>4161100000</v>
      </c>
      <c r="D570" s="915" t="s">
        <v>3095</v>
      </c>
      <c r="E570" s="915">
        <v>1006399</v>
      </c>
      <c r="F570" s="915">
        <v>-45889411</v>
      </c>
      <c r="G570" s="838"/>
      <c r="H570" s="838"/>
      <c r="I570"/>
      <c r="J570"/>
    </row>
    <row r="571" spans="2:11">
      <c r="B571" t="s">
        <v>2848</v>
      </c>
      <c r="C571" s="915">
        <v>4161100000</v>
      </c>
      <c r="D571" s="915" t="s">
        <v>3095</v>
      </c>
      <c r="E571" s="915">
        <v>-18316995</v>
      </c>
      <c r="F571" s="915">
        <v>-44277460</v>
      </c>
      <c r="G571" s="838"/>
      <c r="H571" s="838"/>
      <c r="I571"/>
      <c r="J571"/>
    </row>
    <row r="572" spans="2:11">
      <c r="B572" t="s">
        <v>2848</v>
      </c>
      <c r="C572" s="915">
        <v>4161100000</v>
      </c>
      <c r="D572" s="915" t="s">
        <v>3095</v>
      </c>
      <c r="E572" s="915">
        <v>-48225249</v>
      </c>
      <c r="F572" s="915">
        <v>9624198</v>
      </c>
      <c r="G572" s="838"/>
      <c r="H572" s="838"/>
      <c r="I572"/>
      <c r="J572"/>
    </row>
    <row r="573" spans="2:11">
      <c r="B573" t="s">
        <v>2848</v>
      </c>
      <c r="C573" s="915">
        <v>4161100000</v>
      </c>
      <c r="D573" s="915" t="s">
        <v>3095</v>
      </c>
      <c r="E573" s="915">
        <v>3250457</v>
      </c>
      <c r="F573" s="915">
        <v>7148989</v>
      </c>
      <c r="G573" s="838"/>
      <c r="H573" s="838"/>
      <c r="I573"/>
      <c r="J573"/>
    </row>
    <row r="574" spans="2:11">
      <c r="B574" t="s">
        <v>2848</v>
      </c>
      <c r="C574" s="915">
        <v>4161100000</v>
      </c>
      <c r="D574" s="915" t="s">
        <v>3095</v>
      </c>
      <c r="E574" s="915">
        <v>18679063</v>
      </c>
      <c r="F574" s="915">
        <v>39513056</v>
      </c>
      <c r="G574" s="838"/>
      <c r="H574" s="838"/>
      <c r="I574"/>
      <c r="J574"/>
    </row>
    <row r="575" spans="2:11">
      <c r="B575" t="s">
        <v>2848</v>
      </c>
      <c r="C575" s="915">
        <v>4161100000</v>
      </c>
      <c r="D575" s="915" t="s">
        <v>3095</v>
      </c>
      <c r="E575" s="915">
        <v>14957362</v>
      </c>
      <c r="F575" s="915">
        <v>40856244</v>
      </c>
      <c r="G575" s="838"/>
      <c r="H575" s="838"/>
      <c r="I575"/>
      <c r="J575"/>
    </row>
    <row r="576" spans="2:11">
      <c r="B576" t="s">
        <v>2848</v>
      </c>
      <c r="C576" s="915">
        <v>4161100000</v>
      </c>
      <c r="D576" s="915" t="s">
        <v>3095</v>
      </c>
      <c r="E576" s="915">
        <v>-355071</v>
      </c>
      <c r="F576" s="915">
        <v>-4616135</v>
      </c>
      <c r="G576" s="838"/>
      <c r="H576" s="838"/>
      <c r="I576"/>
      <c r="J576"/>
    </row>
    <row r="577" spans="2:10">
      <c r="B577" t="s">
        <v>2848</v>
      </c>
      <c r="C577" s="915">
        <v>4161100000</v>
      </c>
      <c r="D577" s="915" t="s">
        <v>3095</v>
      </c>
      <c r="E577" s="915">
        <v>17382381</v>
      </c>
      <c r="F577" s="915">
        <v>28395722</v>
      </c>
      <c r="G577" s="838"/>
      <c r="H577" s="838"/>
      <c r="I577"/>
      <c r="J577"/>
    </row>
    <row r="578" spans="2:10">
      <c r="B578" t="s">
        <v>2848</v>
      </c>
      <c r="C578" s="915">
        <v>4161100000</v>
      </c>
      <c r="D578" s="915" t="s">
        <v>3095</v>
      </c>
      <c r="E578" s="915">
        <v>151840</v>
      </c>
      <c r="F578" s="915">
        <v>895553</v>
      </c>
      <c r="G578" s="838"/>
      <c r="H578" s="838"/>
      <c r="I578"/>
      <c r="J578"/>
    </row>
    <row r="579" spans="2:10">
      <c r="B579" t="s">
        <v>2848</v>
      </c>
      <c r="C579" s="915">
        <v>4161100000</v>
      </c>
      <c r="D579" s="915" t="s">
        <v>3095</v>
      </c>
      <c r="E579" s="915">
        <v>-52923040</v>
      </c>
      <c r="F579" s="915">
        <v>1078469003</v>
      </c>
      <c r="G579" s="838"/>
      <c r="H579" s="838"/>
      <c r="I579"/>
      <c r="J579"/>
    </row>
    <row r="580" spans="2:10">
      <c r="B580" t="s">
        <v>2848</v>
      </c>
      <c r="C580" s="915">
        <v>4161100001</v>
      </c>
      <c r="D580" s="915" t="s">
        <v>3096</v>
      </c>
      <c r="E580" s="915">
        <v>-605190925</v>
      </c>
      <c r="F580" s="915">
        <v>5121765324</v>
      </c>
      <c r="G580" s="838"/>
      <c r="H580" s="838"/>
      <c r="I580"/>
      <c r="J580"/>
    </row>
    <row r="581" spans="2:10">
      <c r="B581" t="s">
        <v>2848</v>
      </c>
      <c r="C581" s="915">
        <v>4161100001</v>
      </c>
      <c r="D581" s="915" t="s">
        <v>3096</v>
      </c>
      <c r="E581" s="915">
        <v>801385625</v>
      </c>
      <c r="F581" s="915">
        <v>3504127799</v>
      </c>
      <c r="G581" s="838"/>
      <c r="H581" s="838"/>
      <c r="I581"/>
      <c r="J581"/>
    </row>
    <row r="582" spans="2:10">
      <c r="B582" t="s">
        <v>2848</v>
      </c>
      <c r="C582" s="915">
        <v>4161100001</v>
      </c>
      <c r="D582" s="915" t="s">
        <v>3096</v>
      </c>
      <c r="E582" s="915">
        <v>-2487169058</v>
      </c>
      <c r="F582" s="915">
        <v>20767879547</v>
      </c>
      <c r="G582" s="838"/>
      <c r="H582" s="838"/>
      <c r="I582"/>
      <c r="J582"/>
    </row>
    <row r="583" spans="2:10">
      <c r="B583" t="s">
        <v>2848</v>
      </c>
      <c r="C583" s="915">
        <v>4161100001</v>
      </c>
      <c r="D583" s="915" t="s">
        <v>3096</v>
      </c>
      <c r="E583" s="915">
        <v>1299640</v>
      </c>
      <c r="F583" s="915">
        <v>1542233</v>
      </c>
      <c r="G583" s="838"/>
      <c r="H583" s="838"/>
      <c r="I583"/>
      <c r="J583"/>
    </row>
    <row r="584" spans="2:10">
      <c r="B584" t="s">
        <v>2848</v>
      </c>
      <c r="C584" s="915">
        <v>4161100001</v>
      </c>
      <c r="D584" s="915" t="s">
        <v>3096</v>
      </c>
      <c r="E584" s="915">
        <v>-44301128</v>
      </c>
      <c r="F584" s="915">
        <v>3543658603</v>
      </c>
      <c r="G584" s="838"/>
      <c r="H584" s="838"/>
      <c r="I584"/>
      <c r="J584"/>
    </row>
    <row r="585" spans="2:10">
      <c r="B585" t="s">
        <v>2848</v>
      </c>
      <c r="C585" s="915">
        <v>4161100001</v>
      </c>
      <c r="D585" s="915" t="s">
        <v>3096</v>
      </c>
      <c r="E585" s="915">
        <v>-9911149</v>
      </c>
      <c r="F585" s="915">
        <v>347323191</v>
      </c>
      <c r="G585" s="838"/>
      <c r="H585" s="838"/>
      <c r="I585"/>
      <c r="J585"/>
    </row>
    <row r="586" spans="2:10">
      <c r="B586" t="s">
        <v>2848</v>
      </c>
      <c r="C586" s="915">
        <v>4161100001</v>
      </c>
      <c r="D586" s="915" t="s">
        <v>3096</v>
      </c>
      <c r="E586" s="915">
        <v>2357971</v>
      </c>
      <c r="F586" s="915">
        <v>1022534361</v>
      </c>
      <c r="G586" s="838"/>
      <c r="H586" s="838"/>
      <c r="I586"/>
      <c r="J586"/>
    </row>
    <row r="587" spans="2:10">
      <c r="B587" t="s">
        <v>2848</v>
      </c>
      <c r="C587" s="915">
        <v>4161100001</v>
      </c>
      <c r="D587" s="915" t="s">
        <v>3096</v>
      </c>
      <c r="E587" s="915">
        <v>4345</v>
      </c>
      <c r="F587" s="915">
        <v>-2882468</v>
      </c>
      <c r="G587" s="838"/>
      <c r="H587" s="838"/>
      <c r="I587"/>
      <c r="J587"/>
    </row>
    <row r="588" spans="2:10">
      <c r="B588" t="s">
        <v>2848</v>
      </c>
      <c r="C588" s="915">
        <v>4161100001</v>
      </c>
      <c r="D588" s="915" t="s">
        <v>3096</v>
      </c>
      <c r="E588" s="915">
        <v>-163598893</v>
      </c>
      <c r="F588" s="915">
        <v>410990251</v>
      </c>
      <c r="G588" s="838"/>
      <c r="H588" s="838"/>
      <c r="I588"/>
      <c r="J588"/>
    </row>
    <row r="589" spans="2:10">
      <c r="B589" t="s">
        <v>2848</v>
      </c>
      <c r="C589" s="915">
        <v>4161100001</v>
      </c>
      <c r="D589" s="915" t="s">
        <v>3096</v>
      </c>
      <c r="E589" s="915">
        <v>-34178227</v>
      </c>
      <c r="F589" s="915">
        <v>-102088604</v>
      </c>
      <c r="G589" s="838"/>
      <c r="H589" s="838"/>
      <c r="I589"/>
      <c r="J589"/>
    </row>
    <row r="590" spans="2:10">
      <c r="B590" t="s">
        <v>2848</v>
      </c>
      <c r="C590" s="915">
        <v>4161100001</v>
      </c>
      <c r="D590" s="915" t="s">
        <v>3096</v>
      </c>
      <c r="E590" s="915">
        <v>-16839973</v>
      </c>
      <c r="F590" s="915">
        <v>6944377</v>
      </c>
      <c r="G590" s="838"/>
      <c r="H590" s="838"/>
      <c r="I590"/>
      <c r="J590"/>
    </row>
    <row r="591" spans="2:10">
      <c r="B591" t="s">
        <v>2848</v>
      </c>
      <c r="C591" s="915">
        <v>4161100001</v>
      </c>
      <c r="D591" s="915" t="s">
        <v>3096</v>
      </c>
      <c r="E591" s="915">
        <v>4617469</v>
      </c>
      <c r="F591" s="915">
        <v>28327919</v>
      </c>
      <c r="G591" s="838"/>
      <c r="H591" s="838"/>
      <c r="I591"/>
      <c r="J591"/>
    </row>
    <row r="592" spans="2:10">
      <c r="B592" t="s">
        <v>2848</v>
      </c>
      <c r="C592" s="915">
        <v>4161100001</v>
      </c>
      <c r="D592" s="915" t="s">
        <v>3096</v>
      </c>
      <c r="E592" s="915">
        <v>-4722734</v>
      </c>
      <c r="F592" s="915">
        <v>27645403</v>
      </c>
      <c r="G592" s="838"/>
      <c r="H592" s="838"/>
      <c r="I592"/>
      <c r="J592"/>
    </row>
    <row r="593" spans="2:10">
      <c r="B593" t="s">
        <v>2848</v>
      </c>
      <c r="C593" s="915">
        <v>4161100001</v>
      </c>
      <c r="D593" s="915" t="s">
        <v>3096</v>
      </c>
      <c r="E593" s="915">
        <v>-147159005</v>
      </c>
      <c r="F593" s="915">
        <v>624497331</v>
      </c>
      <c r="G593" s="838"/>
      <c r="H593" s="838"/>
      <c r="I593"/>
      <c r="J593"/>
    </row>
    <row r="594" spans="2:10">
      <c r="B594" t="s">
        <v>2848</v>
      </c>
      <c r="C594" s="915">
        <v>4161100001</v>
      </c>
      <c r="D594" s="915" t="s">
        <v>3096</v>
      </c>
      <c r="E594" s="915">
        <v>40376911</v>
      </c>
      <c r="F594" s="915">
        <v>363739201</v>
      </c>
      <c r="G594" s="838"/>
      <c r="H594" s="838"/>
      <c r="I594"/>
      <c r="J594"/>
    </row>
    <row r="595" spans="2:10">
      <c r="B595" t="s">
        <v>2848</v>
      </c>
      <c r="C595" s="915">
        <v>4161100001</v>
      </c>
      <c r="D595" s="915" t="s">
        <v>3096</v>
      </c>
      <c r="E595" s="915">
        <v>78785393</v>
      </c>
      <c r="F595" s="915">
        <v>223407636</v>
      </c>
      <c r="G595" s="838"/>
      <c r="H595" s="838"/>
      <c r="I595"/>
      <c r="J595"/>
    </row>
    <row r="596" spans="2:10">
      <c r="B596" t="s">
        <v>2848</v>
      </c>
      <c r="C596" s="915">
        <v>4161100001</v>
      </c>
      <c r="D596" s="915" t="s">
        <v>3096</v>
      </c>
      <c r="E596" s="915">
        <v>100928574</v>
      </c>
      <c r="F596" s="915">
        <v>859177931</v>
      </c>
      <c r="G596" s="838"/>
      <c r="H596" s="838"/>
      <c r="I596"/>
      <c r="J596"/>
    </row>
    <row r="597" spans="2:10">
      <c r="B597" t="s">
        <v>2848</v>
      </c>
      <c r="C597" s="915">
        <v>4161100001</v>
      </c>
      <c r="D597" s="915" t="s">
        <v>3096</v>
      </c>
      <c r="E597" s="915">
        <v>370709718</v>
      </c>
      <c r="F597" s="915">
        <v>695208246</v>
      </c>
      <c r="G597" s="838"/>
      <c r="H597" s="838"/>
      <c r="I597"/>
      <c r="J597"/>
    </row>
    <row r="598" spans="2:10">
      <c r="B598" t="s">
        <v>2848</v>
      </c>
      <c r="C598" s="915">
        <v>4161100001</v>
      </c>
      <c r="D598" s="915" t="s">
        <v>3096</v>
      </c>
      <c r="E598" s="915">
        <v>11989283</v>
      </c>
      <c r="F598" s="915">
        <v>141861747</v>
      </c>
      <c r="G598" s="838"/>
      <c r="H598" s="838"/>
      <c r="I598"/>
      <c r="J598"/>
    </row>
    <row r="599" spans="2:10">
      <c r="B599" t="s">
        <v>2848</v>
      </c>
      <c r="C599" s="915">
        <v>4161100001</v>
      </c>
      <c r="D599" s="915" t="s">
        <v>3096</v>
      </c>
      <c r="E599" s="915">
        <v>119692546</v>
      </c>
      <c r="F599" s="915">
        <v>-14856075</v>
      </c>
      <c r="G599" s="838"/>
      <c r="H599" s="838"/>
      <c r="I599"/>
      <c r="J599"/>
    </row>
    <row r="600" spans="2:10">
      <c r="B600" t="s">
        <v>2848</v>
      </c>
      <c r="C600" s="915">
        <v>4161100001</v>
      </c>
      <c r="D600" s="915" t="s">
        <v>3096</v>
      </c>
      <c r="E600" s="915">
        <v>4979131</v>
      </c>
      <c r="F600" s="915">
        <v>166622711</v>
      </c>
      <c r="G600" s="838"/>
      <c r="H600" s="838"/>
      <c r="I600"/>
      <c r="J600"/>
    </row>
    <row r="601" spans="2:10">
      <c r="B601" t="s">
        <v>2848</v>
      </c>
      <c r="C601" s="915">
        <v>4161100001</v>
      </c>
      <c r="D601" s="915" t="s">
        <v>3096</v>
      </c>
      <c r="E601" s="915">
        <v>13505347</v>
      </c>
      <c r="F601" s="915">
        <v>516414981</v>
      </c>
      <c r="G601" s="838"/>
      <c r="H601" s="838"/>
      <c r="I601"/>
      <c r="J601"/>
    </row>
    <row r="602" spans="2:10">
      <c r="B602" t="s">
        <v>2848</v>
      </c>
      <c r="C602" s="915">
        <v>4161100001</v>
      </c>
      <c r="D602" s="915" t="s">
        <v>3096</v>
      </c>
      <c r="E602" s="915">
        <v>246805324</v>
      </c>
      <c r="F602" s="915">
        <v>1386073180</v>
      </c>
      <c r="G602" s="838"/>
      <c r="H602" s="838"/>
      <c r="I602"/>
      <c r="J602"/>
    </row>
    <row r="603" spans="2:10">
      <c r="B603" t="s">
        <v>2848</v>
      </c>
      <c r="C603" s="915">
        <v>4161100001</v>
      </c>
      <c r="D603" s="915" t="s">
        <v>3096</v>
      </c>
      <c r="E603" s="915">
        <v>50000000</v>
      </c>
      <c r="F603" s="915">
        <v>0</v>
      </c>
      <c r="G603" s="838"/>
      <c r="H603" s="838"/>
      <c r="I603"/>
      <c r="J603"/>
    </row>
    <row r="604" spans="2:10">
      <c r="B604" t="s">
        <v>2848</v>
      </c>
      <c r="C604" s="915">
        <v>4161200000</v>
      </c>
      <c r="D604" s="915" t="s">
        <v>3097</v>
      </c>
      <c r="E604" s="915">
        <v>-4499009</v>
      </c>
      <c r="F604" s="915">
        <v>59630358</v>
      </c>
      <c r="G604" s="838"/>
      <c r="H604" s="838"/>
      <c r="I604"/>
      <c r="J604"/>
    </row>
    <row r="605" spans="2:10">
      <c r="B605" t="s">
        <v>2848</v>
      </c>
      <c r="C605" s="915">
        <v>4161200000</v>
      </c>
      <c r="D605" s="915" t="s">
        <v>3097</v>
      </c>
      <c r="E605" s="915">
        <v>-376152</v>
      </c>
      <c r="F605" s="915">
        <v>36041457</v>
      </c>
      <c r="G605" s="838"/>
      <c r="H605" s="838"/>
      <c r="I605"/>
      <c r="J605"/>
    </row>
    <row r="606" spans="2:10">
      <c r="B606" t="s">
        <v>2848</v>
      </c>
      <c r="C606" s="915">
        <v>4161200000</v>
      </c>
      <c r="D606" s="915" t="s">
        <v>3097</v>
      </c>
      <c r="E606" s="915">
        <v>596198884</v>
      </c>
      <c r="F606" s="915">
        <v>-370613258</v>
      </c>
      <c r="G606" s="838"/>
      <c r="H606" s="838"/>
      <c r="I606"/>
      <c r="J606"/>
    </row>
    <row r="607" spans="2:10">
      <c r="B607" t="s">
        <v>2848</v>
      </c>
      <c r="C607" s="915">
        <v>4161200000</v>
      </c>
      <c r="D607" s="915" t="s">
        <v>3097</v>
      </c>
      <c r="E607" s="915">
        <v>-4691963</v>
      </c>
      <c r="F607" s="915">
        <v>76939623</v>
      </c>
      <c r="G607" s="838"/>
      <c r="H607" s="838"/>
      <c r="I607"/>
      <c r="J607"/>
    </row>
    <row r="608" spans="2:10">
      <c r="B608" t="s">
        <v>2848</v>
      </c>
      <c r="C608" s="915">
        <v>4161200000</v>
      </c>
      <c r="D608" s="915" t="s">
        <v>3097</v>
      </c>
      <c r="E608" s="915">
        <v>-18043945</v>
      </c>
      <c r="F608" s="915">
        <v>33171258</v>
      </c>
      <c r="G608" s="838"/>
      <c r="H608" s="838"/>
      <c r="I608"/>
      <c r="J608"/>
    </row>
    <row r="609" spans="2:10">
      <c r="B609" t="s">
        <v>2848</v>
      </c>
      <c r="C609" s="915">
        <v>4161200000</v>
      </c>
      <c r="D609" s="915" t="s">
        <v>3097</v>
      </c>
      <c r="E609" s="915">
        <v>-4936832</v>
      </c>
      <c r="F609" s="915">
        <v>26254</v>
      </c>
      <c r="G609" s="838"/>
      <c r="H609" s="838"/>
      <c r="I609"/>
      <c r="J609"/>
    </row>
    <row r="610" spans="2:10">
      <c r="B610" t="s">
        <v>2848</v>
      </c>
      <c r="C610" s="915">
        <v>4161200000</v>
      </c>
      <c r="D610" s="915" t="s">
        <v>3097</v>
      </c>
      <c r="E610" s="915">
        <v>-19339454</v>
      </c>
      <c r="F610" s="915">
        <v>46852155</v>
      </c>
      <c r="G610" s="838"/>
      <c r="H610" s="838"/>
      <c r="I610"/>
      <c r="J610"/>
    </row>
    <row r="611" spans="2:10">
      <c r="B611" t="s">
        <v>2848</v>
      </c>
      <c r="C611" s="915">
        <v>4161200000</v>
      </c>
      <c r="D611" s="915" t="s">
        <v>3097</v>
      </c>
      <c r="E611" s="915">
        <v>-2233</v>
      </c>
      <c r="F611" s="915">
        <v>11272</v>
      </c>
      <c r="G611" s="838"/>
      <c r="H611" s="838"/>
      <c r="I611"/>
      <c r="J611"/>
    </row>
    <row r="612" spans="2:10">
      <c r="B612" t="s">
        <v>2848</v>
      </c>
      <c r="C612" s="915">
        <v>4161200000</v>
      </c>
      <c r="D612" s="915" t="s">
        <v>3097</v>
      </c>
      <c r="E612" s="915">
        <v>-41451082</v>
      </c>
      <c r="F612" s="915">
        <v>31686169</v>
      </c>
      <c r="G612" s="838"/>
      <c r="H612" s="838"/>
      <c r="I612"/>
      <c r="J612"/>
    </row>
    <row r="613" spans="2:10">
      <c r="B613" t="s">
        <v>2848</v>
      </c>
      <c r="C613" s="915">
        <v>4161200000</v>
      </c>
      <c r="D613" s="915" t="s">
        <v>3097</v>
      </c>
      <c r="E613" s="915">
        <v>-7673621</v>
      </c>
      <c r="F613" s="915">
        <v>-2986704</v>
      </c>
      <c r="G613" s="838"/>
      <c r="H613" s="838"/>
      <c r="I613"/>
      <c r="J613"/>
    </row>
    <row r="614" spans="2:10">
      <c r="B614" t="s">
        <v>2848</v>
      </c>
      <c r="C614" s="915">
        <v>4161200000</v>
      </c>
      <c r="D614" s="915" t="s">
        <v>3097</v>
      </c>
      <c r="E614" s="915">
        <v>-145951</v>
      </c>
      <c r="F614" s="915">
        <v>-748354</v>
      </c>
      <c r="G614" s="838"/>
      <c r="H614" s="838"/>
      <c r="I614"/>
      <c r="J614"/>
    </row>
    <row r="615" spans="2:10">
      <c r="B615" t="s">
        <v>2848</v>
      </c>
      <c r="C615" s="915">
        <v>4161200000</v>
      </c>
      <c r="D615" s="915" t="s">
        <v>3097</v>
      </c>
      <c r="E615" s="915">
        <v>-2423037</v>
      </c>
      <c r="F615" s="915">
        <v>6443301</v>
      </c>
      <c r="G615" s="838"/>
      <c r="H615" s="838"/>
      <c r="I615"/>
      <c r="J615"/>
    </row>
    <row r="616" spans="2:10">
      <c r="B616" t="s">
        <v>2848</v>
      </c>
      <c r="C616" s="915">
        <v>4161200000</v>
      </c>
      <c r="D616" s="915" t="s">
        <v>3097</v>
      </c>
      <c r="E616" s="915">
        <v>4577052</v>
      </c>
      <c r="F616" s="915">
        <v>4953692</v>
      </c>
      <c r="G616" s="838"/>
      <c r="H616" s="838"/>
      <c r="I616"/>
      <c r="J616"/>
    </row>
    <row r="617" spans="2:10">
      <c r="B617" t="s">
        <v>2848</v>
      </c>
      <c r="C617" s="915">
        <v>4161200000</v>
      </c>
      <c r="D617" s="915" t="s">
        <v>3097</v>
      </c>
      <c r="E617" s="915">
        <v>-4103039</v>
      </c>
      <c r="F617" s="915">
        <v>33589684</v>
      </c>
      <c r="G617" s="838"/>
      <c r="H617" s="838"/>
      <c r="I617"/>
      <c r="J617"/>
    </row>
    <row r="618" spans="2:10">
      <c r="B618" t="s">
        <v>2848</v>
      </c>
      <c r="C618" s="915">
        <v>4161200000</v>
      </c>
      <c r="D618" s="915" t="s">
        <v>3097</v>
      </c>
      <c r="E618" s="915">
        <v>479416</v>
      </c>
      <c r="F618" s="915">
        <v>27965068</v>
      </c>
      <c r="G618" s="838"/>
      <c r="H618" s="838"/>
      <c r="I618"/>
      <c r="J618"/>
    </row>
    <row r="619" spans="2:10">
      <c r="B619" t="s">
        <v>2848</v>
      </c>
      <c r="C619" s="915">
        <v>4161200000</v>
      </c>
      <c r="D619" s="915" t="s">
        <v>3097</v>
      </c>
      <c r="E619" s="915">
        <v>-4068146</v>
      </c>
      <c r="F619" s="915">
        <v>11235431</v>
      </c>
      <c r="G619" s="838"/>
      <c r="H619" s="838"/>
      <c r="I619"/>
      <c r="J619"/>
    </row>
    <row r="620" spans="2:10">
      <c r="B620" t="s">
        <v>2848</v>
      </c>
      <c r="C620" s="915">
        <v>4161200000</v>
      </c>
      <c r="D620" s="915" t="s">
        <v>3097</v>
      </c>
      <c r="E620" s="915">
        <v>-5230727</v>
      </c>
      <c r="F620" s="915">
        <v>39442282</v>
      </c>
      <c r="G620" s="838"/>
      <c r="H620" s="838"/>
      <c r="I620"/>
      <c r="J620"/>
    </row>
    <row r="621" spans="2:10">
      <c r="B621" t="s">
        <v>2848</v>
      </c>
      <c r="C621" s="915">
        <v>4161200000</v>
      </c>
      <c r="D621" s="915" t="s">
        <v>3097</v>
      </c>
      <c r="E621" s="915">
        <v>-5513391</v>
      </c>
      <c r="F621" s="915">
        <v>32834523</v>
      </c>
      <c r="G621" s="838"/>
      <c r="H621" s="838"/>
      <c r="I621"/>
      <c r="J621"/>
    </row>
    <row r="622" spans="2:10">
      <c r="B622" t="s">
        <v>2848</v>
      </c>
      <c r="C622" s="915">
        <v>4161200000</v>
      </c>
      <c r="D622" s="915" t="s">
        <v>3097</v>
      </c>
      <c r="E622" s="915">
        <v>-5244514</v>
      </c>
      <c r="F622" s="915">
        <v>20863508</v>
      </c>
      <c r="G622" s="838"/>
      <c r="H622" s="838"/>
      <c r="I622"/>
      <c r="J622"/>
    </row>
    <row r="623" spans="2:10">
      <c r="B623" t="s">
        <v>2848</v>
      </c>
      <c r="C623" s="915">
        <v>4161200000</v>
      </c>
      <c r="D623" s="915" t="s">
        <v>3097</v>
      </c>
      <c r="E623" s="915">
        <v>0</v>
      </c>
      <c r="F623" s="915">
        <v>1404</v>
      </c>
      <c r="G623" s="838"/>
      <c r="H623" s="838"/>
      <c r="I623"/>
      <c r="J623"/>
    </row>
    <row r="624" spans="2:10">
      <c r="B624" t="s">
        <v>2848</v>
      </c>
      <c r="C624" s="915">
        <v>4161200000</v>
      </c>
      <c r="D624" s="915" t="s">
        <v>3097</v>
      </c>
      <c r="E624" s="915">
        <v>-8938134</v>
      </c>
      <c r="F624" s="915">
        <v>24229179</v>
      </c>
      <c r="G624" s="838"/>
      <c r="H624" s="838"/>
      <c r="I624"/>
      <c r="J624"/>
    </row>
    <row r="625" spans="2:10">
      <c r="B625" t="s">
        <v>2848</v>
      </c>
      <c r="C625" s="915">
        <v>4161200000</v>
      </c>
      <c r="D625" s="915" t="s">
        <v>3097</v>
      </c>
      <c r="E625" s="915">
        <v>2816067</v>
      </c>
      <c r="F625" s="915">
        <v>36279105</v>
      </c>
      <c r="G625" s="838"/>
      <c r="H625" s="838"/>
      <c r="I625"/>
      <c r="J625"/>
    </row>
    <row r="626" spans="2:10">
      <c r="B626" t="s">
        <v>2848</v>
      </c>
      <c r="C626" s="915">
        <v>4161200000</v>
      </c>
      <c r="D626" s="915" t="s">
        <v>3097</v>
      </c>
      <c r="E626" s="915">
        <v>-10924755</v>
      </c>
      <c r="F626" s="915">
        <v>30955501</v>
      </c>
      <c r="G626" s="838"/>
      <c r="H626" s="838"/>
      <c r="I626"/>
      <c r="J626"/>
    </row>
    <row r="627" spans="2:10">
      <c r="B627" t="s">
        <v>2848</v>
      </c>
      <c r="C627" s="915">
        <v>4161200000</v>
      </c>
      <c r="D627" s="915" t="s">
        <v>3097</v>
      </c>
      <c r="E627" s="915">
        <v>-701970</v>
      </c>
      <c r="F627" s="915">
        <v>15112686</v>
      </c>
      <c r="G627" s="838"/>
      <c r="H627" s="838"/>
      <c r="I627"/>
      <c r="J627"/>
    </row>
    <row r="628" spans="2:10">
      <c r="B628" t="s">
        <v>2848</v>
      </c>
      <c r="C628" s="915">
        <v>4161200000</v>
      </c>
      <c r="D628" s="915" t="s">
        <v>3097</v>
      </c>
      <c r="E628" s="915">
        <v>-540</v>
      </c>
      <c r="F628" s="915">
        <v>-5</v>
      </c>
      <c r="G628" s="838"/>
      <c r="H628" s="838"/>
      <c r="I628"/>
      <c r="J628"/>
    </row>
    <row r="629" spans="2:10">
      <c r="B629" t="s">
        <v>2848</v>
      </c>
      <c r="C629" s="915">
        <v>4161320000</v>
      </c>
      <c r="D629" s="915" t="s">
        <v>3098</v>
      </c>
      <c r="E629" s="915">
        <v>-356776089</v>
      </c>
      <c r="F629" s="915">
        <v>-1410724485</v>
      </c>
      <c r="G629" s="838"/>
      <c r="H629" s="838"/>
      <c r="I629"/>
      <c r="J629"/>
    </row>
    <row r="630" spans="2:10">
      <c r="B630" t="s">
        <v>2848</v>
      </c>
      <c r="C630" s="915">
        <v>4161320000</v>
      </c>
      <c r="D630" s="915" t="s">
        <v>3098</v>
      </c>
      <c r="E630" s="915">
        <v>7343756851</v>
      </c>
      <c r="F630" s="915">
        <v>129749333</v>
      </c>
      <c r="G630" s="838"/>
      <c r="H630" s="838"/>
      <c r="I630"/>
      <c r="J630"/>
    </row>
    <row r="631" spans="2:10">
      <c r="B631" t="s">
        <v>2848</v>
      </c>
      <c r="C631" s="915">
        <v>4161320000</v>
      </c>
      <c r="D631" s="915" t="s">
        <v>3098</v>
      </c>
      <c r="E631" s="915">
        <v>-32903395</v>
      </c>
      <c r="F631" s="915">
        <v>-142097763</v>
      </c>
      <c r="G631" s="838"/>
      <c r="H631" s="838"/>
      <c r="I631"/>
      <c r="J631"/>
    </row>
    <row r="632" spans="2:10">
      <c r="B632" t="s">
        <v>2848</v>
      </c>
      <c r="C632" s="915">
        <v>4161320000</v>
      </c>
      <c r="D632" s="915" t="s">
        <v>3098</v>
      </c>
      <c r="E632" s="915">
        <v>2345167389</v>
      </c>
      <c r="F632" s="915">
        <v>6674855274</v>
      </c>
      <c r="G632" s="838"/>
      <c r="H632" s="838"/>
      <c r="I632"/>
      <c r="J632"/>
    </row>
    <row r="633" spans="2:10">
      <c r="B633" t="s">
        <v>2848</v>
      </c>
      <c r="C633" s="915">
        <v>4161320000</v>
      </c>
      <c r="D633" s="915" t="s">
        <v>3098</v>
      </c>
      <c r="E633" s="915">
        <v>-41809934</v>
      </c>
      <c r="F633" s="915">
        <v>-228245558</v>
      </c>
      <c r="G633" s="838"/>
      <c r="H633" s="838"/>
      <c r="I633"/>
      <c r="J633"/>
    </row>
    <row r="634" spans="2:10">
      <c r="B634" t="s">
        <v>2848</v>
      </c>
      <c r="C634" s="915">
        <v>4161320000</v>
      </c>
      <c r="D634" s="915" t="s">
        <v>3098</v>
      </c>
      <c r="E634" s="915">
        <v>1487682926</v>
      </c>
      <c r="F634" s="915">
        <v>-520728523</v>
      </c>
      <c r="G634" s="838"/>
      <c r="H634" s="838"/>
      <c r="I634"/>
      <c r="J634"/>
    </row>
    <row r="635" spans="2:10">
      <c r="B635" t="s">
        <v>2848</v>
      </c>
      <c r="C635" s="915">
        <v>4161320000</v>
      </c>
      <c r="D635" s="915" t="s">
        <v>3098</v>
      </c>
      <c r="E635" s="915">
        <v>-271204</v>
      </c>
      <c r="F635" s="915">
        <v>-1096218</v>
      </c>
      <c r="G635" s="838"/>
      <c r="H635" s="838"/>
      <c r="I635"/>
      <c r="J635"/>
    </row>
    <row r="636" spans="2:10">
      <c r="B636" t="s">
        <v>2848</v>
      </c>
      <c r="C636" s="915">
        <v>4161320000</v>
      </c>
      <c r="D636" s="915" t="s">
        <v>3098</v>
      </c>
      <c r="E636" s="915">
        <v>1086414161</v>
      </c>
      <c r="F636" s="915">
        <v>5046008642</v>
      </c>
      <c r="G636" s="838"/>
      <c r="H636" s="838"/>
      <c r="I636"/>
      <c r="J636"/>
    </row>
    <row r="637" spans="2:10">
      <c r="B637" t="s">
        <v>2848</v>
      </c>
      <c r="C637" s="915">
        <v>4161320000</v>
      </c>
      <c r="D637" s="915" t="s">
        <v>3098</v>
      </c>
      <c r="E637" s="915">
        <v>-150544258</v>
      </c>
      <c r="F637" s="915">
        <v>-1092878966</v>
      </c>
      <c r="G637" s="838"/>
      <c r="H637" s="838"/>
      <c r="I637"/>
      <c r="J637"/>
    </row>
    <row r="638" spans="2:10">
      <c r="B638" t="s">
        <v>2848</v>
      </c>
      <c r="C638" s="915">
        <v>4161320000</v>
      </c>
      <c r="D638" s="915" t="s">
        <v>3098</v>
      </c>
      <c r="E638" s="915">
        <v>-37589623</v>
      </c>
      <c r="F638" s="915">
        <v>-459661661</v>
      </c>
      <c r="G638" s="838"/>
      <c r="H638" s="838"/>
      <c r="I638"/>
      <c r="J638"/>
    </row>
    <row r="639" spans="2:10">
      <c r="B639" t="s">
        <v>2848</v>
      </c>
      <c r="C639" s="915">
        <v>4161320000</v>
      </c>
      <c r="D639" s="915" t="s">
        <v>3098</v>
      </c>
      <c r="E639" s="915">
        <v>-83063749</v>
      </c>
      <c r="F639" s="915">
        <v>-290077121</v>
      </c>
      <c r="G639" s="838"/>
      <c r="H639" s="838"/>
      <c r="I639"/>
      <c r="J639"/>
    </row>
    <row r="640" spans="2:10">
      <c r="B640" t="s">
        <v>2848</v>
      </c>
      <c r="C640" s="915">
        <v>4161320000</v>
      </c>
      <c r="D640" s="915" t="s">
        <v>3098</v>
      </c>
      <c r="E640" s="915">
        <v>-178733156</v>
      </c>
      <c r="F640" s="915">
        <v>-597307633</v>
      </c>
      <c r="G640" s="838"/>
      <c r="H640" s="838"/>
      <c r="I640"/>
      <c r="J640"/>
    </row>
    <row r="641" spans="2:10">
      <c r="B641" t="s">
        <v>2848</v>
      </c>
      <c r="C641" s="915">
        <v>4161320000</v>
      </c>
      <c r="D641" s="915" t="s">
        <v>3098</v>
      </c>
      <c r="E641" s="915">
        <v>1774992546</v>
      </c>
      <c r="F641" s="915">
        <v>8371371914</v>
      </c>
      <c r="G641" s="838"/>
      <c r="H641" s="838"/>
      <c r="I641"/>
      <c r="J641"/>
    </row>
    <row r="642" spans="2:10">
      <c r="B642" t="s">
        <v>2848</v>
      </c>
      <c r="C642" s="915">
        <v>4161320000</v>
      </c>
      <c r="D642" s="915" t="s">
        <v>3098</v>
      </c>
      <c r="E642" s="915">
        <v>-87912741</v>
      </c>
      <c r="F642" s="915">
        <v>-188579832</v>
      </c>
      <c r="G642" s="838"/>
      <c r="H642" s="838"/>
      <c r="I642"/>
      <c r="J642"/>
    </row>
    <row r="643" spans="2:10">
      <c r="B643" t="s">
        <v>2848</v>
      </c>
      <c r="C643" s="915">
        <v>4161320000</v>
      </c>
      <c r="D643" s="915" t="s">
        <v>3098</v>
      </c>
      <c r="E643" s="915">
        <v>-290598876</v>
      </c>
      <c r="F643" s="915">
        <v>-1114772496</v>
      </c>
      <c r="G643" s="838"/>
      <c r="H643" s="838"/>
      <c r="I643"/>
      <c r="J643"/>
    </row>
    <row r="644" spans="2:10">
      <c r="B644" t="s">
        <v>2848</v>
      </c>
      <c r="C644" s="915">
        <v>4161320000</v>
      </c>
      <c r="D644" s="915" t="s">
        <v>3098</v>
      </c>
      <c r="E644" s="915">
        <v>1078966959</v>
      </c>
      <c r="F644" s="915">
        <v>1308812826</v>
      </c>
      <c r="G644" s="838"/>
      <c r="H644" s="838"/>
      <c r="I644"/>
      <c r="J644"/>
    </row>
    <row r="645" spans="2:10">
      <c r="B645" t="s">
        <v>2848</v>
      </c>
      <c r="C645" s="915">
        <v>4161320000</v>
      </c>
      <c r="D645" s="915" t="s">
        <v>3098</v>
      </c>
      <c r="E645" s="915">
        <v>-8455049</v>
      </c>
      <c r="F645" s="915">
        <v>-849484521</v>
      </c>
      <c r="G645" s="838"/>
      <c r="H645" s="838"/>
      <c r="I645"/>
      <c r="J645"/>
    </row>
    <row r="646" spans="2:10">
      <c r="B646" t="s">
        <v>2848</v>
      </c>
      <c r="C646" s="915">
        <v>4161320000</v>
      </c>
      <c r="D646" s="915" t="s">
        <v>3098</v>
      </c>
      <c r="E646" s="915">
        <v>90090281</v>
      </c>
      <c r="F646" s="915">
        <v>70760131</v>
      </c>
      <c r="G646" s="838"/>
      <c r="H646" s="838"/>
      <c r="I646"/>
      <c r="J646"/>
    </row>
    <row r="647" spans="2:10">
      <c r="B647" t="s">
        <v>2848</v>
      </c>
      <c r="C647" s="915">
        <v>4161320000</v>
      </c>
      <c r="D647" s="915" t="s">
        <v>3098</v>
      </c>
      <c r="E647" s="915">
        <v>-1767738</v>
      </c>
      <c r="F647" s="915">
        <v>-11183909</v>
      </c>
      <c r="G647" s="838"/>
      <c r="H647" s="838"/>
      <c r="I647"/>
      <c r="J647"/>
    </row>
    <row r="648" spans="2:10">
      <c r="B648" t="s">
        <v>2848</v>
      </c>
      <c r="C648" s="915">
        <v>4161320000</v>
      </c>
      <c r="D648" s="915" t="s">
        <v>3098</v>
      </c>
      <c r="E648" s="915">
        <v>769994</v>
      </c>
      <c r="F648" s="915">
        <v>839555986</v>
      </c>
      <c r="G648" s="838"/>
      <c r="H648" s="838"/>
      <c r="I648"/>
      <c r="J648"/>
    </row>
    <row r="649" spans="2:10">
      <c r="B649" t="s">
        <v>2848</v>
      </c>
      <c r="C649" s="915">
        <v>4161320000</v>
      </c>
      <c r="D649" s="915" t="s">
        <v>3098</v>
      </c>
      <c r="E649" s="915">
        <v>2152307878</v>
      </c>
      <c r="F649" s="915">
        <v>3833826600</v>
      </c>
      <c r="G649" s="838"/>
      <c r="H649" s="838"/>
      <c r="I649"/>
      <c r="J649"/>
    </row>
    <row r="650" spans="2:10">
      <c r="B650" t="s">
        <v>2848</v>
      </c>
      <c r="C650" s="915">
        <v>4161320000</v>
      </c>
      <c r="D650" s="915" t="s">
        <v>3098</v>
      </c>
      <c r="E650" s="915">
        <v>398091430</v>
      </c>
      <c r="F650" s="915">
        <v>-234181664</v>
      </c>
      <c r="G650" s="838"/>
      <c r="H650" s="838"/>
      <c r="I650"/>
      <c r="J650"/>
    </row>
    <row r="651" spans="2:10">
      <c r="B651" t="s">
        <v>2848</v>
      </c>
      <c r="C651" s="915">
        <v>4161320000</v>
      </c>
      <c r="D651" s="915" t="s">
        <v>3098</v>
      </c>
      <c r="E651" s="915">
        <v>22478193</v>
      </c>
      <c r="F651" s="915">
        <v>454375839</v>
      </c>
      <c r="G651" s="838"/>
      <c r="H651" s="838"/>
      <c r="I651"/>
      <c r="J651"/>
    </row>
    <row r="652" spans="2:10">
      <c r="B652" t="s">
        <v>2848</v>
      </c>
      <c r="C652" s="915">
        <v>4161320000</v>
      </c>
      <c r="D652" s="915" t="s">
        <v>3098</v>
      </c>
      <c r="E652" s="915">
        <v>-150836401</v>
      </c>
      <c r="F652" s="915">
        <v>29137051989</v>
      </c>
      <c r="G652" s="838"/>
      <c r="H652" s="838"/>
      <c r="I652"/>
      <c r="J652"/>
    </row>
    <row r="653" spans="2:10">
      <c r="B653" t="s">
        <v>2848</v>
      </c>
      <c r="C653" s="915">
        <v>4161400000</v>
      </c>
      <c r="D653" s="915" t="s">
        <v>3099</v>
      </c>
      <c r="E653" s="915">
        <v>1965339360</v>
      </c>
      <c r="F653" s="915">
        <v>8031428097</v>
      </c>
      <c r="G653" s="838"/>
      <c r="H653" s="838"/>
      <c r="I653"/>
      <c r="J653"/>
    </row>
    <row r="654" spans="2:10">
      <c r="B654" t="s">
        <v>2848</v>
      </c>
      <c r="C654" s="915">
        <v>4163100000</v>
      </c>
      <c r="D654" s="915" t="s">
        <v>3100</v>
      </c>
      <c r="E654" s="915">
        <v>47681927</v>
      </c>
      <c r="F654" s="915">
        <v>-112511314</v>
      </c>
      <c r="G654" s="838"/>
      <c r="H654" s="838"/>
      <c r="I654"/>
      <c r="J654"/>
    </row>
    <row r="655" spans="2:10">
      <c r="B655" t="s">
        <v>2848</v>
      </c>
      <c r="C655" s="915">
        <v>4163160000</v>
      </c>
      <c r="D655" s="915" t="s">
        <v>3101</v>
      </c>
      <c r="E655" s="915">
        <v>-1874071</v>
      </c>
      <c r="F655" s="915">
        <v>-1194771</v>
      </c>
      <c r="G655" s="838"/>
      <c r="H655" s="838"/>
      <c r="I655"/>
      <c r="J655"/>
    </row>
    <row r="656" spans="2:10">
      <c r="B656" t="s">
        <v>2848</v>
      </c>
      <c r="C656" s="915">
        <v>4163160000</v>
      </c>
      <c r="D656" s="915" t="s">
        <v>3101</v>
      </c>
      <c r="E656" s="915">
        <v>0</v>
      </c>
      <c r="F656" s="915">
        <v>-129062</v>
      </c>
      <c r="G656" s="838"/>
      <c r="H656" s="838"/>
      <c r="I656"/>
      <c r="J656"/>
    </row>
    <row r="657" spans="2:10">
      <c r="B657" t="s">
        <v>2848</v>
      </c>
      <c r="C657" s="915">
        <v>4163160000</v>
      </c>
      <c r="D657" s="915" t="s">
        <v>3101</v>
      </c>
      <c r="E657" s="915">
        <v>-149087057</v>
      </c>
      <c r="F657" s="915">
        <v>236464536</v>
      </c>
      <c r="G657" s="838"/>
      <c r="H657" s="838"/>
      <c r="I657"/>
      <c r="J657"/>
    </row>
    <row r="658" spans="2:10">
      <c r="B658" t="s">
        <v>2848</v>
      </c>
      <c r="C658" s="915">
        <v>4163160000</v>
      </c>
      <c r="D658" s="915" t="s">
        <v>3101</v>
      </c>
      <c r="E658" s="915">
        <v>183696</v>
      </c>
      <c r="F658" s="915">
        <v>-183697</v>
      </c>
      <c r="G658" s="838"/>
      <c r="H658" s="838"/>
      <c r="I658"/>
      <c r="J658"/>
    </row>
    <row r="659" spans="2:10">
      <c r="B659" t="s">
        <v>2848</v>
      </c>
      <c r="C659" s="915">
        <v>4163160000</v>
      </c>
      <c r="D659" s="915" t="s">
        <v>3101</v>
      </c>
      <c r="E659" s="915">
        <v>-2344226</v>
      </c>
      <c r="F659" s="915">
        <v>0</v>
      </c>
      <c r="G659" s="838"/>
      <c r="H659" s="838"/>
      <c r="I659"/>
      <c r="J659"/>
    </row>
    <row r="660" spans="2:10">
      <c r="B660" t="s">
        <v>2848</v>
      </c>
      <c r="C660" s="915">
        <v>4163160000</v>
      </c>
      <c r="D660" s="915" t="s">
        <v>3101</v>
      </c>
      <c r="E660" s="915">
        <v>0</v>
      </c>
      <c r="F660" s="915">
        <v>54179610</v>
      </c>
      <c r="G660" s="838"/>
      <c r="H660" s="838"/>
      <c r="I660"/>
      <c r="J660"/>
    </row>
    <row r="661" spans="2:10">
      <c r="B661" t="s">
        <v>2848</v>
      </c>
      <c r="C661" s="915">
        <v>4163160000</v>
      </c>
      <c r="D661" s="915" t="s">
        <v>3101</v>
      </c>
      <c r="E661" s="915">
        <v>-2917668</v>
      </c>
      <c r="F661" s="915">
        <v>7110238</v>
      </c>
      <c r="G661" s="838"/>
      <c r="H661" s="838"/>
      <c r="I661"/>
      <c r="J661"/>
    </row>
    <row r="662" spans="2:10">
      <c r="B662" t="s">
        <v>2848</v>
      </c>
      <c r="C662" s="915">
        <v>4163160000</v>
      </c>
      <c r="D662" s="915" t="s">
        <v>3101</v>
      </c>
      <c r="E662" s="915">
        <v>0</v>
      </c>
      <c r="F662" s="915">
        <v>-27120</v>
      </c>
      <c r="G662" s="838"/>
      <c r="H662" s="838"/>
      <c r="I662"/>
      <c r="J662"/>
    </row>
    <row r="663" spans="2:10">
      <c r="B663" t="s">
        <v>2848</v>
      </c>
      <c r="C663" s="915">
        <v>4163160000</v>
      </c>
      <c r="D663" s="915" t="s">
        <v>3101</v>
      </c>
      <c r="E663" s="915">
        <v>234750</v>
      </c>
      <c r="F663" s="915">
        <v>-308685</v>
      </c>
      <c r="G663" s="838"/>
      <c r="H663" s="838"/>
      <c r="I663"/>
      <c r="J663"/>
    </row>
    <row r="664" spans="2:10">
      <c r="B664" t="s">
        <v>2848</v>
      </c>
      <c r="C664" s="915">
        <v>4163160000</v>
      </c>
      <c r="D664" s="915" t="s">
        <v>3101</v>
      </c>
      <c r="E664" s="915">
        <v>-1209703</v>
      </c>
      <c r="F664" s="915">
        <v>0</v>
      </c>
      <c r="G664" s="838"/>
      <c r="H664" s="838"/>
      <c r="I664"/>
      <c r="J664"/>
    </row>
    <row r="665" spans="2:10">
      <c r="B665" t="s">
        <v>2848</v>
      </c>
      <c r="C665" s="915">
        <v>4163160000</v>
      </c>
      <c r="D665" s="915" t="s">
        <v>3101</v>
      </c>
      <c r="E665" s="915">
        <v>31006</v>
      </c>
      <c r="F665" s="915">
        <v>-31006</v>
      </c>
      <c r="G665" s="838"/>
      <c r="H665" s="838"/>
      <c r="I665"/>
      <c r="J665"/>
    </row>
    <row r="666" spans="2:10">
      <c r="B666" t="s">
        <v>2848</v>
      </c>
      <c r="C666" s="915">
        <v>4163160000</v>
      </c>
      <c r="D666" s="915" t="s">
        <v>3101</v>
      </c>
      <c r="E666" s="915">
        <v>-25554865</v>
      </c>
      <c r="F666" s="915">
        <v>2049155</v>
      </c>
      <c r="G666" s="838"/>
      <c r="H666" s="838"/>
      <c r="I666"/>
      <c r="J666"/>
    </row>
    <row r="667" spans="2:10">
      <c r="B667" t="s">
        <v>2848</v>
      </c>
      <c r="C667" s="915">
        <v>4163160000</v>
      </c>
      <c r="D667" s="915" t="s">
        <v>3101</v>
      </c>
      <c r="E667" s="915">
        <v>25696</v>
      </c>
      <c r="F667" s="915">
        <v>271170</v>
      </c>
      <c r="G667" s="838"/>
      <c r="H667" s="838"/>
      <c r="I667"/>
      <c r="J667"/>
    </row>
    <row r="668" spans="2:10">
      <c r="B668" t="s">
        <v>2848</v>
      </c>
      <c r="C668" s="915">
        <v>4163160000</v>
      </c>
      <c r="D668" s="915" t="s">
        <v>3101</v>
      </c>
      <c r="E668" s="915">
        <v>-2567633</v>
      </c>
      <c r="F668" s="915">
        <v>264659</v>
      </c>
      <c r="G668" s="838"/>
      <c r="H668" s="838"/>
      <c r="I668"/>
      <c r="J668"/>
    </row>
    <row r="669" spans="2:10">
      <c r="B669" t="s">
        <v>2848</v>
      </c>
      <c r="C669" s="915">
        <v>4163160000</v>
      </c>
      <c r="D669" s="915" t="s">
        <v>3101</v>
      </c>
      <c r="E669" s="915">
        <v>735000</v>
      </c>
      <c r="F669" s="915">
        <v>-735000</v>
      </c>
      <c r="G669" s="838"/>
      <c r="H669" s="838"/>
      <c r="I669"/>
      <c r="J669"/>
    </row>
    <row r="670" spans="2:10">
      <c r="B670" t="s">
        <v>2848</v>
      </c>
      <c r="C670" s="915">
        <v>4163160000</v>
      </c>
      <c r="D670" s="915" t="s">
        <v>3101</v>
      </c>
      <c r="E670" s="915">
        <v>24362307</v>
      </c>
      <c r="F670" s="915">
        <v>-25206059</v>
      </c>
      <c r="G670" s="838"/>
      <c r="H670" s="838"/>
      <c r="I670"/>
      <c r="J670"/>
    </row>
    <row r="671" spans="2:10">
      <c r="B671" t="s">
        <v>2848</v>
      </c>
      <c r="C671" s="915">
        <v>4163160000</v>
      </c>
      <c r="D671" s="915" t="s">
        <v>3101</v>
      </c>
      <c r="E671" s="915">
        <v>2229561478</v>
      </c>
      <c r="F671" s="915">
        <v>-21064495416</v>
      </c>
      <c r="G671" s="838"/>
      <c r="H671" s="838"/>
      <c r="I671"/>
      <c r="J671"/>
    </row>
    <row r="672" spans="2:10">
      <c r="B672" t="s">
        <v>2848</v>
      </c>
      <c r="C672" s="915">
        <v>4163400000</v>
      </c>
      <c r="D672" s="915" t="s">
        <v>3102</v>
      </c>
      <c r="E672" s="915">
        <v>-683779541</v>
      </c>
      <c r="F672" s="915">
        <v>-1678644918</v>
      </c>
      <c r="G672" s="838"/>
      <c r="H672" s="838"/>
      <c r="I672"/>
      <c r="J672"/>
    </row>
    <row r="673" spans="2:10">
      <c r="B673" t="s">
        <v>2848</v>
      </c>
      <c r="C673" s="915">
        <v>4281120000</v>
      </c>
      <c r="D673" s="915" t="s">
        <v>3103</v>
      </c>
      <c r="E673" s="915">
        <v>-1532865445</v>
      </c>
      <c r="F673" s="915">
        <v>2662839449</v>
      </c>
      <c r="G673" s="838"/>
      <c r="H673" s="838"/>
      <c r="I673"/>
      <c r="J673"/>
    </row>
    <row r="674" spans="2:10">
      <c r="B674" t="s">
        <v>2848</v>
      </c>
      <c r="C674" s="915">
        <v>4281320000</v>
      </c>
      <c r="D674" s="915" t="s">
        <v>3104</v>
      </c>
      <c r="E674" s="915">
        <v>981382567</v>
      </c>
      <c r="F674" s="915">
        <v>-1680718864</v>
      </c>
      <c r="G674" s="838"/>
      <c r="H674" s="838"/>
      <c r="I674"/>
      <c r="J674"/>
    </row>
    <row r="675" spans="2:10">
      <c r="B675" t="s">
        <v>2848</v>
      </c>
      <c r="C675" s="915">
        <v>4281430000</v>
      </c>
      <c r="D675" s="915" t="s">
        <v>3105</v>
      </c>
      <c r="E675" s="915">
        <v>544896408</v>
      </c>
      <c r="F675" s="915">
        <v>1496395576</v>
      </c>
      <c r="G675" s="838"/>
      <c r="H675" s="838"/>
      <c r="I675"/>
      <c r="J675"/>
    </row>
    <row r="676" spans="2:10">
      <c r="B676" t="s">
        <v>2848</v>
      </c>
      <c r="C676" s="915">
        <v>4281430000</v>
      </c>
      <c r="D676" s="915" t="s">
        <v>3105</v>
      </c>
      <c r="E676" s="915">
        <v>-3549402</v>
      </c>
      <c r="F676" s="915">
        <v>83409665</v>
      </c>
      <c r="G676" s="838"/>
      <c r="H676" s="838"/>
      <c r="I676"/>
      <c r="J676"/>
    </row>
    <row r="677" spans="2:10">
      <c r="B677" t="s">
        <v>2848</v>
      </c>
      <c r="C677" s="915">
        <v>4281430000</v>
      </c>
      <c r="D677" s="915" t="s">
        <v>3105</v>
      </c>
      <c r="E677" s="915">
        <v>-5359365</v>
      </c>
      <c r="F677" s="915">
        <v>9175267</v>
      </c>
      <c r="G677" s="838"/>
      <c r="H677" s="838"/>
      <c r="I677"/>
      <c r="J677"/>
    </row>
    <row r="678" spans="2:10">
      <c r="B678" t="s">
        <v>2848</v>
      </c>
      <c r="C678" s="915">
        <v>4281430000</v>
      </c>
      <c r="D678" s="915" t="s">
        <v>3105</v>
      </c>
      <c r="E678" s="915">
        <v>317639857</v>
      </c>
      <c r="F678" s="915">
        <v>-472424834</v>
      </c>
      <c r="G678" s="838"/>
      <c r="H678" s="838"/>
      <c r="I678"/>
      <c r="J678"/>
    </row>
    <row r="679" spans="2:10">
      <c r="B679" t="s">
        <v>2848</v>
      </c>
      <c r="C679" s="915">
        <v>4281430000</v>
      </c>
      <c r="D679" s="915" t="s">
        <v>3105</v>
      </c>
      <c r="E679" s="915">
        <v>7097873</v>
      </c>
      <c r="F679" s="915">
        <v>255845</v>
      </c>
      <c r="G679" s="838"/>
      <c r="H679" s="838"/>
      <c r="I679"/>
      <c r="J679"/>
    </row>
    <row r="680" spans="2:10">
      <c r="B680" t="s">
        <v>2848</v>
      </c>
      <c r="C680" s="915">
        <v>4281430000</v>
      </c>
      <c r="D680" s="915" t="s">
        <v>3105</v>
      </c>
      <c r="E680" s="915">
        <v>-6959429</v>
      </c>
      <c r="F680" s="915">
        <v>31804710</v>
      </c>
      <c r="G680" s="838"/>
      <c r="H680" s="838"/>
      <c r="I680"/>
      <c r="J680"/>
    </row>
    <row r="681" spans="2:10">
      <c r="B681" t="s">
        <v>2848</v>
      </c>
      <c r="C681" s="915">
        <v>4281430000</v>
      </c>
      <c r="D681" s="915" t="s">
        <v>3105</v>
      </c>
      <c r="E681" s="915">
        <v>4809412</v>
      </c>
      <c r="F681" s="915">
        <v>-21243471</v>
      </c>
      <c r="G681" s="838"/>
      <c r="H681" s="838"/>
      <c r="I681"/>
      <c r="J681"/>
    </row>
    <row r="682" spans="2:10">
      <c r="B682" t="s">
        <v>2848</v>
      </c>
      <c r="C682" s="915">
        <v>4281430000</v>
      </c>
      <c r="D682" s="915" t="s">
        <v>3105</v>
      </c>
      <c r="E682" s="915">
        <v>4489740</v>
      </c>
      <c r="F682" s="915">
        <v>-161253728</v>
      </c>
      <c r="G682" s="838"/>
      <c r="H682" s="838"/>
      <c r="I682"/>
      <c r="J682"/>
    </row>
    <row r="683" spans="2:10">
      <c r="B683" t="s">
        <v>2848</v>
      </c>
      <c r="C683" s="915">
        <v>4281430000</v>
      </c>
      <c r="D683" s="915" t="s">
        <v>3105</v>
      </c>
      <c r="E683" s="915">
        <v>0</v>
      </c>
      <c r="F683" s="915">
        <v>158</v>
      </c>
      <c r="G683" s="838"/>
      <c r="H683" s="838"/>
      <c r="I683"/>
      <c r="J683"/>
    </row>
    <row r="684" spans="2:10">
      <c r="B684" t="s">
        <v>2848</v>
      </c>
      <c r="C684" s="915">
        <v>4281430000</v>
      </c>
      <c r="D684" s="915" t="s">
        <v>3105</v>
      </c>
      <c r="E684" s="915">
        <v>-4676244</v>
      </c>
      <c r="F684" s="915">
        <v>23631204</v>
      </c>
      <c r="G684" s="838"/>
      <c r="H684" s="838"/>
      <c r="I684"/>
      <c r="J684"/>
    </row>
    <row r="685" spans="2:10">
      <c r="B685" t="s">
        <v>2848</v>
      </c>
      <c r="C685" s="915">
        <v>4281430000</v>
      </c>
      <c r="D685" s="915" t="s">
        <v>3105</v>
      </c>
      <c r="E685" s="915">
        <v>-5211381</v>
      </c>
      <c r="F685" s="915">
        <v>-4581812</v>
      </c>
      <c r="G685" s="838"/>
      <c r="H685" s="838"/>
      <c r="I685"/>
      <c r="J685"/>
    </row>
    <row r="686" spans="2:10">
      <c r="B686" t="s">
        <v>2848</v>
      </c>
      <c r="C686" s="915">
        <v>4281430000</v>
      </c>
      <c r="D686" s="915" t="s">
        <v>3105</v>
      </c>
      <c r="E686" s="915">
        <v>-2801</v>
      </c>
      <c r="F686" s="915">
        <v>265208</v>
      </c>
      <c r="G686" s="838"/>
      <c r="H686" s="838"/>
      <c r="I686"/>
      <c r="J686"/>
    </row>
    <row r="687" spans="2:10">
      <c r="B687" t="s">
        <v>2848</v>
      </c>
      <c r="C687" s="915">
        <v>4281430000</v>
      </c>
      <c r="D687" s="915" t="s">
        <v>3105</v>
      </c>
      <c r="E687" s="915">
        <v>3653644</v>
      </c>
      <c r="F687" s="915">
        <v>-773060</v>
      </c>
      <c r="G687" s="838"/>
      <c r="H687" s="838"/>
      <c r="I687"/>
      <c r="J687"/>
    </row>
    <row r="688" spans="2:10">
      <c r="B688" t="s">
        <v>2848</v>
      </c>
      <c r="C688" s="915">
        <v>4281430000</v>
      </c>
      <c r="D688" s="915" t="s">
        <v>3105</v>
      </c>
      <c r="E688" s="915">
        <v>8028883</v>
      </c>
      <c r="F688" s="915">
        <v>-26404901</v>
      </c>
      <c r="G688" s="838"/>
      <c r="H688" s="838"/>
      <c r="I688"/>
      <c r="J688"/>
    </row>
    <row r="689" spans="2:10">
      <c r="B689" t="s">
        <v>2848</v>
      </c>
      <c r="C689" s="915">
        <v>4281430000</v>
      </c>
      <c r="D689" s="915" t="s">
        <v>3105</v>
      </c>
      <c r="E689" s="915">
        <v>10435769</v>
      </c>
      <c r="F689" s="915">
        <v>-22525953</v>
      </c>
      <c r="G689" s="838"/>
      <c r="H689" s="838"/>
      <c r="I689"/>
      <c r="J689"/>
    </row>
    <row r="690" spans="2:10">
      <c r="B690" t="s">
        <v>2848</v>
      </c>
      <c r="C690" s="915">
        <v>4281430000</v>
      </c>
      <c r="D690" s="915" t="s">
        <v>3105</v>
      </c>
      <c r="E690" s="915">
        <v>13775646</v>
      </c>
      <c r="F690" s="915">
        <v>-26738200</v>
      </c>
      <c r="G690" s="838"/>
      <c r="H690" s="838"/>
      <c r="I690"/>
      <c r="J690"/>
    </row>
    <row r="691" spans="2:10">
      <c r="B691" t="s">
        <v>2848</v>
      </c>
      <c r="C691" s="915">
        <v>4281430000</v>
      </c>
      <c r="D691" s="915" t="s">
        <v>3105</v>
      </c>
      <c r="E691" s="915">
        <v>6339134</v>
      </c>
      <c r="F691" s="915">
        <v>3797948</v>
      </c>
      <c r="G691" s="838"/>
      <c r="H691" s="838"/>
      <c r="I691"/>
      <c r="J691"/>
    </row>
    <row r="692" spans="2:10">
      <c r="B692" t="s">
        <v>2848</v>
      </c>
      <c r="C692" s="915">
        <v>4281430000</v>
      </c>
      <c r="D692" s="915" t="s">
        <v>3105</v>
      </c>
      <c r="E692" s="915">
        <v>40217068</v>
      </c>
      <c r="F692" s="915">
        <v>-97767984</v>
      </c>
      <c r="G692" s="838"/>
      <c r="H692" s="838"/>
      <c r="I692"/>
      <c r="J692"/>
    </row>
    <row r="693" spans="2:10">
      <c r="B693" t="s">
        <v>2848</v>
      </c>
      <c r="C693" s="915">
        <v>4281430000</v>
      </c>
      <c r="D693" s="915" t="s">
        <v>3105</v>
      </c>
      <c r="E693" s="915">
        <v>13153661</v>
      </c>
      <c r="F693" s="915">
        <v>17063810</v>
      </c>
      <c r="G693" s="838"/>
      <c r="H693" s="838"/>
      <c r="I693"/>
      <c r="J693"/>
    </row>
    <row r="694" spans="2:10">
      <c r="B694" t="s">
        <v>2848</v>
      </c>
      <c r="C694" s="915">
        <v>4281430000</v>
      </c>
      <c r="D694" s="915" t="s">
        <v>3105</v>
      </c>
      <c r="E694" s="915">
        <v>385569</v>
      </c>
      <c r="F694" s="915">
        <v>-6423282</v>
      </c>
      <c r="G694" s="838"/>
      <c r="H694" s="838"/>
      <c r="I694"/>
      <c r="J694"/>
    </row>
    <row r="695" spans="2:10">
      <c r="B695" t="s">
        <v>2848</v>
      </c>
      <c r="C695" s="915">
        <v>4281430000</v>
      </c>
      <c r="D695" s="915" t="s">
        <v>3105</v>
      </c>
      <c r="E695" s="915">
        <v>26268846</v>
      </c>
      <c r="F695" s="915">
        <v>16690530</v>
      </c>
      <c r="G695" s="838"/>
      <c r="H695" s="838"/>
      <c r="I695"/>
      <c r="J695"/>
    </row>
    <row r="696" spans="2:10">
      <c r="B696" t="s">
        <v>2848</v>
      </c>
      <c r="C696" s="915">
        <v>4281430000</v>
      </c>
      <c r="D696" s="915" t="s">
        <v>3105</v>
      </c>
      <c r="E696" s="915">
        <v>7235948</v>
      </c>
      <c r="F696" s="915">
        <v>-17023324</v>
      </c>
      <c r="G696" s="838"/>
      <c r="H696" s="838"/>
      <c r="I696"/>
      <c r="J696"/>
    </row>
    <row r="697" spans="2:10">
      <c r="B697" t="s">
        <v>2848</v>
      </c>
      <c r="C697" s="915">
        <v>4281430000</v>
      </c>
      <c r="D697" s="915" t="s">
        <v>3105</v>
      </c>
      <c r="E697" s="915">
        <v>22596909</v>
      </c>
      <c r="F697" s="915">
        <v>83880698</v>
      </c>
      <c r="G697" s="838"/>
      <c r="H697" s="838"/>
      <c r="I697"/>
      <c r="J697"/>
    </row>
    <row r="698" spans="2:10">
      <c r="B698" t="s">
        <v>2848</v>
      </c>
      <c r="C698" s="915">
        <v>4281430000</v>
      </c>
      <c r="D698" s="915" t="s">
        <v>3105</v>
      </c>
      <c r="E698" s="915">
        <v>-23396358</v>
      </c>
      <c r="F698" s="915">
        <v>46370347</v>
      </c>
      <c r="G698" s="838"/>
      <c r="H698" s="838"/>
      <c r="I698"/>
      <c r="J698"/>
    </row>
    <row r="699" spans="2:10">
      <c r="B699" t="s">
        <v>2848</v>
      </c>
      <c r="C699" s="915">
        <v>4281430000</v>
      </c>
      <c r="D699" s="915" t="s">
        <v>3105</v>
      </c>
      <c r="E699" s="915">
        <v>993126630</v>
      </c>
      <c r="F699" s="915">
        <v>12853258001</v>
      </c>
      <c r="G699" s="838"/>
      <c r="H699" s="838"/>
      <c r="I699"/>
      <c r="J699"/>
    </row>
    <row r="700" spans="2:10">
      <c r="B700" t="s">
        <v>2848</v>
      </c>
      <c r="C700" s="915">
        <v>4301125100</v>
      </c>
      <c r="D700" s="915" t="s">
        <v>3106</v>
      </c>
      <c r="E700" s="915">
        <v>0</v>
      </c>
      <c r="F700" s="915">
        <v>-39133056</v>
      </c>
      <c r="G700" s="838"/>
      <c r="H700" s="838"/>
      <c r="I700"/>
      <c r="J700"/>
    </row>
    <row r="701" spans="2:10">
      <c r="B701" t="s">
        <v>2848</v>
      </c>
      <c r="C701" s="915">
        <v>4301125100</v>
      </c>
      <c r="D701" s="915" t="s">
        <v>3106</v>
      </c>
      <c r="E701" s="915">
        <v>-2445070</v>
      </c>
      <c r="F701" s="915">
        <v>-66213336</v>
      </c>
      <c r="G701" s="838"/>
      <c r="H701" s="838"/>
      <c r="I701"/>
      <c r="J701"/>
    </row>
    <row r="702" spans="2:10">
      <c r="B702" t="s">
        <v>2848</v>
      </c>
      <c r="C702" s="915">
        <v>4401000000</v>
      </c>
      <c r="D702" s="915" t="s">
        <v>3107</v>
      </c>
      <c r="E702" s="915">
        <v>37983651</v>
      </c>
      <c r="F702" s="915">
        <v>147716689</v>
      </c>
      <c r="G702" s="838"/>
      <c r="H702" s="838"/>
      <c r="I702"/>
      <c r="J702"/>
    </row>
    <row r="703" spans="2:10">
      <c r="B703" t="s">
        <v>2848</v>
      </c>
      <c r="C703" s="915">
        <v>4401000000</v>
      </c>
      <c r="D703" s="915" t="s">
        <v>3107</v>
      </c>
      <c r="E703" s="915">
        <v>-94897688</v>
      </c>
      <c r="F703" s="915">
        <v>-411342386</v>
      </c>
      <c r="G703" s="838"/>
      <c r="H703" s="838"/>
      <c r="I703"/>
      <c r="J703"/>
    </row>
    <row r="704" spans="2:10">
      <c r="B704" t="s">
        <v>2848</v>
      </c>
      <c r="C704" s="915">
        <v>4401000000</v>
      </c>
      <c r="D704" s="915" t="s">
        <v>3107</v>
      </c>
      <c r="E704" s="915">
        <v>12126987</v>
      </c>
      <c r="F704" s="915">
        <v>39469760</v>
      </c>
      <c r="G704" s="838"/>
      <c r="H704" s="838"/>
      <c r="I704"/>
      <c r="J704"/>
    </row>
    <row r="705" spans="2:10">
      <c r="B705" t="s">
        <v>2848</v>
      </c>
      <c r="C705" s="915">
        <v>4401000000</v>
      </c>
      <c r="D705" s="915" t="s">
        <v>3107</v>
      </c>
      <c r="E705" s="915">
        <v>818722404</v>
      </c>
      <c r="F705" s="915">
        <v>3283666703</v>
      </c>
      <c r="G705" s="838"/>
      <c r="H705" s="838"/>
      <c r="I705"/>
      <c r="J705"/>
    </row>
    <row r="706" spans="2:10">
      <c r="B706" t="s">
        <v>2848</v>
      </c>
      <c r="C706" s="915">
        <v>4401000000</v>
      </c>
      <c r="D706" s="915" t="s">
        <v>3107</v>
      </c>
      <c r="E706" s="915">
        <v>4844070</v>
      </c>
      <c r="F706" s="915">
        <v>17528860</v>
      </c>
      <c r="G706" s="838"/>
      <c r="H706" s="838"/>
      <c r="I706"/>
      <c r="J706"/>
    </row>
    <row r="707" spans="2:10">
      <c r="B707" t="s">
        <v>2848</v>
      </c>
      <c r="C707" s="915">
        <v>4401000000</v>
      </c>
      <c r="D707" s="915" t="s">
        <v>3107</v>
      </c>
      <c r="E707" s="915">
        <v>18886632</v>
      </c>
      <c r="F707" s="915">
        <v>48880532</v>
      </c>
      <c r="G707" s="838"/>
      <c r="H707" s="838"/>
      <c r="I707"/>
      <c r="J707"/>
    </row>
    <row r="708" spans="2:10">
      <c r="B708" t="s">
        <v>2848</v>
      </c>
      <c r="C708" s="915">
        <v>4401000000</v>
      </c>
      <c r="D708" s="915" t="s">
        <v>3107</v>
      </c>
      <c r="E708" s="915">
        <v>19680</v>
      </c>
      <c r="F708" s="915">
        <v>1217590</v>
      </c>
      <c r="G708" s="838"/>
      <c r="H708" s="838"/>
      <c r="I708"/>
      <c r="J708"/>
    </row>
    <row r="709" spans="2:10">
      <c r="B709" t="s">
        <v>2848</v>
      </c>
      <c r="C709" s="915">
        <v>4401000000</v>
      </c>
      <c r="D709" s="915" t="s">
        <v>3107</v>
      </c>
      <c r="E709" s="915">
        <v>19586644</v>
      </c>
      <c r="F709" s="915">
        <v>27443605</v>
      </c>
      <c r="G709" s="838"/>
      <c r="H709" s="838"/>
      <c r="I709"/>
      <c r="J709"/>
    </row>
    <row r="710" spans="2:10">
      <c r="B710" t="s">
        <v>2848</v>
      </c>
      <c r="C710" s="915">
        <v>4401000000</v>
      </c>
      <c r="D710" s="915" t="s">
        <v>3107</v>
      </c>
      <c r="E710" s="915">
        <v>12553</v>
      </c>
      <c r="F710" s="915">
        <v>167313</v>
      </c>
      <c r="G710" s="838"/>
      <c r="H710" s="838"/>
      <c r="I710"/>
      <c r="J710"/>
    </row>
    <row r="711" spans="2:10">
      <c r="B711" t="s">
        <v>2848</v>
      </c>
      <c r="C711" s="915">
        <v>4401000000</v>
      </c>
      <c r="D711" s="915" t="s">
        <v>3107</v>
      </c>
      <c r="E711" s="915">
        <v>6007305</v>
      </c>
      <c r="F711" s="915">
        <v>22531979</v>
      </c>
      <c r="G711" s="838"/>
      <c r="H711" s="838"/>
      <c r="I711"/>
      <c r="J711"/>
    </row>
    <row r="712" spans="2:10">
      <c r="B712" t="s">
        <v>2848</v>
      </c>
      <c r="C712" s="915">
        <v>4401000000</v>
      </c>
      <c r="D712" s="915" t="s">
        <v>3107</v>
      </c>
      <c r="E712" s="915">
        <v>472614</v>
      </c>
      <c r="F712" s="915">
        <v>6685837</v>
      </c>
      <c r="G712" s="838"/>
      <c r="H712" s="838"/>
      <c r="I712"/>
      <c r="J712"/>
    </row>
    <row r="713" spans="2:10">
      <c r="B713" t="s">
        <v>2848</v>
      </c>
      <c r="C713" s="915">
        <v>4401000000</v>
      </c>
      <c r="D713" s="915" t="s">
        <v>3107</v>
      </c>
      <c r="E713" s="915">
        <v>574757</v>
      </c>
      <c r="F713" s="915">
        <v>2461836</v>
      </c>
      <c r="G713" s="838"/>
      <c r="H713" s="838"/>
      <c r="I713"/>
      <c r="J713"/>
    </row>
    <row r="714" spans="2:10">
      <c r="B714" t="s">
        <v>2848</v>
      </c>
      <c r="C714" s="915">
        <v>4401000000</v>
      </c>
      <c r="D714" s="915" t="s">
        <v>3107</v>
      </c>
      <c r="E714" s="915">
        <v>1571249</v>
      </c>
      <c r="F714" s="915">
        <v>5360336</v>
      </c>
      <c r="G714" s="838"/>
      <c r="H714" s="838"/>
      <c r="I714"/>
      <c r="J714"/>
    </row>
    <row r="715" spans="2:10">
      <c r="B715" t="s">
        <v>2848</v>
      </c>
      <c r="C715" s="915">
        <v>4401000000</v>
      </c>
      <c r="D715" s="915" t="s">
        <v>3107</v>
      </c>
      <c r="E715" s="915">
        <v>12893298</v>
      </c>
      <c r="F715" s="915">
        <v>70842376</v>
      </c>
      <c r="G715" s="838"/>
      <c r="H715" s="838"/>
      <c r="I715"/>
      <c r="J715"/>
    </row>
    <row r="716" spans="2:10">
      <c r="B716" t="s">
        <v>2848</v>
      </c>
      <c r="C716" s="915">
        <v>4401000000</v>
      </c>
      <c r="D716" s="915" t="s">
        <v>3107</v>
      </c>
      <c r="E716" s="915">
        <v>4159331</v>
      </c>
      <c r="F716" s="915">
        <v>12599195</v>
      </c>
      <c r="G716" s="838"/>
      <c r="H716" s="838"/>
      <c r="I716"/>
      <c r="J716"/>
    </row>
    <row r="717" spans="2:10">
      <c r="B717" t="s">
        <v>2848</v>
      </c>
      <c r="C717" s="915">
        <v>4401000000</v>
      </c>
      <c r="D717" s="915" t="s">
        <v>3107</v>
      </c>
      <c r="E717" s="915">
        <v>1227273</v>
      </c>
      <c r="F717" s="915">
        <v>13520386</v>
      </c>
      <c r="G717" s="838"/>
      <c r="H717" s="838"/>
      <c r="I717"/>
      <c r="J717"/>
    </row>
    <row r="718" spans="2:10">
      <c r="B718" t="s">
        <v>2848</v>
      </c>
      <c r="C718" s="915">
        <v>4401000000</v>
      </c>
      <c r="D718" s="915" t="s">
        <v>3107</v>
      </c>
      <c r="E718" s="915">
        <v>23707610</v>
      </c>
      <c r="F718" s="915">
        <v>55159268</v>
      </c>
      <c r="G718" s="838"/>
      <c r="H718" s="838"/>
      <c r="I718"/>
      <c r="J718"/>
    </row>
    <row r="719" spans="2:10">
      <c r="B719" t="s">
        <v>2848</v>
      </c>
      <c r="C719" s="915">
        <v>4401000000</v>
      </c>
      <c r="D719" s="915" t="s">
        <v>3107</v>
      </c>
      <c r="E719" s="915">
        <v>3081441</v>
      </c>
      <c r="F719" s="915">
        <v>19031029</v>
      </c>
      <c r="G719" s="838"/>
      <c r="H719" s="838"/>
      <c r="I719"/>
      <c r="J719"/>
    </row>
    <row r="720" spans="2:10">
      <c r="B720" t="s">
        <v>2848</v>
      </c>
      <c r="C720" s="915">
        <v>4401000000</v>
      </c>
      <c r="D720" s="915" t="s">
        <v>3107</v>
      </c>
      <c r="E720" s="915">
        <v>34115</v>
      </c>
      <c r="F720" s="915">
        <v>858665</v>
      </c>
      <c r="G720" s="838"/>
      <c r="H720" s="838"/>
      <c r="I720"/>
      <c r="J720"/>
    </row>
    <row r="721" spans="2:10">
      <c r="B721" t="s">
        <v>2848</v>
      </c>
      <c r="C721" s="915">
        <v>4401000000</v>
      </c>
      <c r="D721" s="915" t="s">
        <v>3107</v>
      </c>
      <c r="E721" s="915">
        <v>730650</v>
      </c>
      <c r="F721" s="915">
        <v>6682176</v>
      </c>
      <c r="G721" s="838"/>
      <c r="H721" s="838"/>
      <c r="I721"/>
      <c r="J721"/>
    </row>
    <row r="722" spans="2:10">
      <c r="B722" t="s">
        <v>2848</v>
      </c>
      <c r="C722" s="915">
        <v>4401000000</v>
      </c>
      <c r="D722" s="915" t="s">
        <v>3107</v>
      </c>
      <c r="E722" s="915">
        <v>29657704</v>
      </c>
      <c r="F722" s="915">
        <v>94297917</v>
      </c>
      <c r="G722" s="838"/>
      <c r="H722" s="838"/>
      <c r="I722"/>
      <c r="J722"/>
    </row>
    <row r="723" spans="2:10">
      <c r="B723" t="s">
        <v>2848</v>
      </c>
      <c r="C723" s="915">
        <v>4401000000</v>
      </c>
      <c r="D723" s="915" t="s">
        <v>3107</v>
      </c>
      <c r="E723" s="915">
        <v>603615</v>
      </c>
      <c r="F723" s="915">
        <v>2308567</v>
      </c>
      <c r="G723" s="838"/>
      <c r="H723" s="838"/>
      <c r="I723"/>
      <c r="J723"/>
    </row>
    <row r="724" spans="2:10">
      <c r="B724" t="s">
        <v>2848</v>
      </c>
      <c r="C724" s="915">
        <v>4401000000</v>
      </c>
      <c r="D724" s="915" t="s">
        <v>3107</v>
      </c>
      <c r="E724" s="915">
        <v>7638417</v>
      </c>
      <c r="F724" s="915">
        <v>38482984</v>
      </c>
      <c r="G724" s="838"/>
      <c r="H724" s="838"/>
      <c r="I724"/>
      <c r="J724"/>
    </row>
    <row r="725" spans="2:10">
      <c r="B725" t="s">
        <v>2848</v>
      </c>
      <c r="C725" s="915">
        <v>4401000000</v>
      </c>
      <c r="D725" s="915" t="s">
        <v>3107</v>
      </c>
      <c r="E725" s="915">
        <v>0</v>
      </c>
      <c r="F725" s="915">
        <v>3502832</v>
      </c>
      <c r="G725" s="838"/>
      <c r="H725" s="838"/>
      <c r="I725"/>
      <c r="J725"/>
    </row>
    <row r="726" spans="2:10">
      <c r="B726" t="s">
        <v>2848</v>
      </c>
      <c r="C726" s="915">
        <v>4401000050</v>
      </c>
      <c r="D726" s="915" t="s">
        <v>3107</v>
      </c>
      <c r="E726" s="915">
        <v>42494666</v>
      </c>
      <c r="F726" s="915">
        <v>337748895</v>
      </c>
      <c r="G726" s="838"/>
      <c r="H726" s="838"/>
      <c r="I726"/>
      <c r="J726"/>
    </row>
    <row r="727" spans="2:10">
      <c r="B727" t="s">
        <v>2848</v>
      </c>
      <c r="C727" s="915">
        <v>4401000050</v>
      </c>
      <c r="D727" s="915" t="s">
        <v>3107</v>
      </c>
      <c r="E727" s="915">
        <v>88713385</v>
      </c>
      <c r="F727" s="915">
        <v>264507194</v>
      </c>
      <c r="G727" s="838"/>
      <c r="H727" s="838"/>
      <c r="I727"/>
      <c r="J727"/>
    </row>
    <row r="728" spans="2:10">
      <c r="B728" t="s">
        <v>2848</v>
      </c>
      <c r="C728" s="915">
        <v>4401000050</v>
      </c>
      <c r="D728" s="915" t="s">
        <v>3107</v>
      </c>
      <c r="E728" s="915">
        <v>194383592</v>
      </c>
      <c r="F728" s="915">
        <v>604881532</v>
      </c>
      <c r="G728" s="838"/>
      <c r="H728" s="838"/>
      <c r="I728"/>
      <c r="J728"/>
    </row>
    <row r="729" spans="2:10">
      <c r="B729" t="s">
        <v>2848</v>
      </c>
      <c r="C729" s="915">
        <v>4401000050</v>
      </c>
      <c r="D729" s="915" t="s">
        <v>3107</v>
      </c>
      <c r="E729" s="915">
        <v>416477678</v>
      </c>
      <c r="F729" s="915">
        <v>1697752188</v>
      </c>
      <c r="G729" s="838"/>
      <c r="H729" s="838"/>
      <c r="I729"/>
      <c r="J729"/>
    </row>
    <row r="730" spans="2:10">
      <c r="B730" t="s">
        <v>2848</v>
      </c>
      <c r="C730" s="915">
        <v>4401000050</v>
      </c>
      <c r="D730" s="915" t="s">
        <v>3107</v>
      </c>
      <c r="E730" s="915">
        <v>223124150</v>
      </c>
      <c r="F730" s="915">
        <v>919927801</v>
      </c>
      <c r="G730" s="838"/>
      <c r="H730" s="838"/>
      <c r="I730"/>
      <c r="J730"/>
    </row>
    <row r="731" spans="2:10">
      <c r="B731" t="s">
        <v>2848</v>
      </c>
      <c r="C731" s="915">
        <v>4401000050</v>
      </c>
      <c r="D731" s="915" t="s">
        <v>3107</v>
      </c>
      <c r="E731" s="915">
        <v>24869235</v>
      </c>
      <c r="F731" s="915">
        <v>123040311</v>
      </c>
      <c r="G731" s="838"/>
      <c r="H731" s="838"/>
      <c r="I731"/>
      <c r="J731"/>
    </row>
    <row r="732" spans="2:10">
      <c r="B732" t="s">
        <v>2848</v>
      </c>
      <c r="C732" s="915">
        <v>4401000050</v>
      </c>
      <c r="D732" s="915" t="s">
        <v>3107</v>
      </c>
      <c r="E732" s="915">
        <v>103305035</v>
      </c>
      <c r="F732" s="915">
        <v>390424273</v>
      </c>
      <c r="G732" s="838"/>
      <c r="H732" s="838"/>
      <c r="I732"/>
      <c r="J732"/>
    </row>
    <row r="733" spans="2:10">
      <c r="B733" t="s">
        <v>2848</v>
      </c>
      <c r="C733" s="915">
        <v>4401000050</v>
      </c>
      <c r="D733" s="915" t="s">
        <v>3107</v>
      </c>
      <c r="E733" s="915">
        <v>223201</v>
      </c>
      <c r="F733" s="915">
        <v>445083</v>
      </c>
      <c r="G733" s="838"/>
      <c r="H733" s="838"/>
      <c r="I733"/>
      <c r="J733"/>
    </row>
    <row r="734" spans="2:10">
      <c r="B734" t="s">
        <v>2848</v>
      </c>
      <c r="C734" s="915">
        <v>4401000050</v>
      </c>
      <c r="D734" s="915" t="s">
        <v>3107</v>
      </c>
      <c r="E734" s="915">
        <v>78620959</v>
      </c>
      <c r="F734" s="915">
        <v>375558202</v>
      </c>
      <c r="G734" s="838"/>
      <c r="H734" s="838"/>
      <c r="I734"/>
      <c r="J734"/>
    </row>
    <row r="735" spans="2:10">
      <c r="B735" t="s">
        <v>2848</v>
      </c>
      <c r="C735" s="915">
        <v>4401000050</v>
      </c>
      <c r="D735" s="915" t="s">
        <v>3107</v>
      </c>
      <c r="E735" s="915">
        <v>27992887</v>
      </c>
      <c r="F735" s="915">
        <v>126565449</v>
      </c>
      <c r="G735" s="838"/>
      <c r="H735" s="838"/>
      <c r="I735"/>
      <c r="J735"/>
    </row>
    <row r="736" spans="2:10">
      <c r="B736" t="s">
        <v>2848</v>
      </c>
      <c r="C736" s="915">
        <v>4401000050</v>
      </c>
      <c r="D736" s="915" t="s">
        <v>3107</v>
      </c>
      <c r="E736" s="915">
        <v>247227</v>
      </c>
      <c r="F736" s="915">
        <v>1284969</v>
      </c>
      <c r="G736" s="838"/>
      <c r="H736" s="838"/>
      <c r="I736"/>
      <c r="J736"/>
    </row>
    <row r="737" spans="2:10">
      <c r="B737" t="s">
        <v>2848</v>
      </c>
      <c r="C737" s="915">
        <v>4401000050</v>
      </c>
      <c r="D737" s="915" t="s">
        <v>3107</v>
      </c>
      <c r="E737" s="915">
        <v>18395215</v>
      </c>
      <c r="F737" s="915">
        <v>79603680</v>
      </c>
      <c r="G737" s="838"/>
      <c r="H737" s="838"/>
      <c r="I737"/>
      <c r="J737"/>
    </row>
    <row r="738" spans="2:10">
      <c r="B738" t="s">
        <v>2848</v>
      </c>
      <c r="C738" s="915">
        <v>4401000050</v>
      </c>
      <c r="D738" s="915" t="s">
        <v>3107</v>
      </c>
      <c r="E738" s="915">
        <v>15963674</v>
      </c>
      <c r="F738" s="915">
        <v>84129702</v>
      </c>
      <c r="G738" s="838"/>
      <c r="H738" s="838"/>
      <c r="I738"/>
      <c r="J738"/>
    </row>
    <row r="739" spans="2:10">
      <c r="B739" t="s">
        <v>2848</v>
      </c>
      <c r="C739" s="915">
        <v>4401000050</v>
      </c>
      <c r="D739" s="915" t="s">
        <v>3107</v>
      </c>
      <c r="E739" s="915">
        <v>204220215</v>
      </c>
      <c r="F739" s="915">
        <v>837967996</v>
      </c>
      <c r="G739" s="838"/>
      <c r="H739" s="838"/>
      <c r="I739"/>
      <c r="J739"/>
    </row>
    <row r="740" spans="2:10">
      <c r="B740" t="s">
        <v>2848</v>
      </c>
      <c r="C740" s="915">
        <v>4401000050</v>
      </c>
      <c r="D740" s="915" t="s">
        <v>3107</v>
      </c>
      <c r="E740" s="915">
        <v>38995680</v>
      </c>
      <c r="F740" s="915">
        <v>169968099</v>
      </c>
      <c r="G740" s="838"/>
      <c r="H740" s="838"/>
      <c r="I740"/>
      <c r="J740"/>
    </row>
    <row r="741" spans="2:10">
      <c r="B741" t="s">
        <v>2848</v>
      </c>
      <c r="C741" s="915">
        <v>4401000050</v>
      </c>
      <c r="D741" s="915" t="s">
        <v>3107</v>
      </c>
      <c r="E741" s="915">
        <v>39630797</v>
      </c>
      <c r="F741" s="915">
        <v>153855607</v>
      </c>
      <c r="G741" s="838"/>
      <c r="H741" s="838"/>
      <c r="I741"/>
      <c r="J741"/>
    </row>
    <row r="742" spans="2:10">
      <c r="B742" t="s">
        <v>2848</v>
      </c>
      <c r="C742" s="915">
        <v>4401000050</v>
      </c>
      <c r="D742" s="915" t="s">
        <v>3107</v>
      </c>
      <c r="E742" s="915">
        <v>155118373</v>
      </c>
      <c r="F742" s="915">
        <v>667078190</v>
      </c>
      <c r="G742" s="838"/>
      <c r="H742" s="838"/>
      <c r="I742"/>
      <c r="J742"/>
    </row>
    <row r="743" spans="2:10">
      <c r="B743" t="s">
        <v>2848</v>
      </c>
      <c r="C743" s="915">
        <v>4401000050</v>
      </c>
      <c r="D743" s="915" t="s">
        <v>3107</v>
      </c>
      <c r="E743" s="915">
        <v>40613538</v>
      </c>
      <c r="F743" s="915">
        <v>234293065</v>
      </c>
      <c r="G743" s="838"/>
      <c r="H743" s="838"/>
      <c r="I743"/>
      <c r="J743"/>
    </row>
    <row r="744" spans="2:10">
      <c r="B744" t="s">
        <v>2848</v>
      </c>
      <c r="C744" s="915">
        <v>4401000050</v>
      </c>
      <c r="D744" s="915" t="s">
        <v>3107</v>
      </c>
      <c r="E744" s="915">
        <v>55719138</v>
      </c>
      <c r="F744" s="915">
        <v>269947567</v>
      </c>
      <c r="G744" s="838"/>
      <c r="H744" s="838"/>
      <c r="I744"/>
      <c r="J744"/>
    </row>
    <row r="745" spans="2:10">
      <c r="B745" t="s">
        <v>2848</v>
      </c>
      <c r="C745" s="915">
        <v>4401000050</v>
      </c>
      <c r="D745" s="915" t="s">
        <v>3107</v>
      </c>
      <c r="E745" s="915">
        <v>1336</v>
      </c>
      <c r="F745" s="915">
        <v>5687</v>
      </c>
      <c r="G745" s="838"/>
      <c r="H745" s="838"/>
      <c r="I745"/>
      <c r="J745"/>
    </row>
    <row r="746" spans="2:10">
      <c r="B746" t="s">
        <v>2848</v>
      </c>
      <c r="C746" s="915">
        <v>4401000050</v>
      </c>
      <c r="D746" s="915" t="s">
        <v>3107</v>
      </c>
      <c r="E746" s="915">
        <v>75649129</v>
      </c>
      <c r="F746" s="915">
        <v>339750610</v>
      </c>
      <c r="G746" s="838"/>
      <c r="H746" s="838"/>
      <c r="I746"/>
      <c r="J746"/>
    </row>
    <row r="747" spans="2:10">
      <c r="B747" t="s">
        <v>2848</v>
      </c>
      <c r="C747" s="915">
        <v>4401000050</v>
      </c>
      <c r="D747" s="915" t="s">
        <v>3107</v>
      </c>
      <c r="E747" s="915">
        <v>133027497</v>
      </c>
      <c r="F747" s="915">
        <v>529078158</v>
      </c>
      <c r="G747" s="838"/>
      <c r="H747" s="838"/>
      <c r="I747"/>
      <c r="J747"/>
    </row>
    <row r="748" spans="2:10">
      <c r="B748" t="s">
        <v>2848</v>
      </c>
      <c r="C748" s="915">
        <v>4401000050</v>
      </c>
      <c r="D748" s="915" t="s">
        <v>3107</v>
      </c>
      <c r="E748" s="915">
        <v>75791486</v>
      </c>
      <c r="F748" s="915">
        <v>311881316</v>
      </c>
      <c r="G748" s="838"/>
      <c r="H748" s="838"/>
      <c r="I748"/>
      <c r="J748"/>
    </row>
    <row r="749" spans="2:10">
      <c r="B749" t="s">
        <v>2848</v>
      </c>
      <c r="C749" s="915">
        <v>4401000050</v>
      </c>
      <c r="D749" s="915" t="s">
        <v>3107</v>
      </c>
      <c r="E749" s="915">
        <v>49161738</v>
      </c>
      <c r="F749" s="915">
        <v>210895590</v>
      </c>
      <c r="G749" s="838"/>
      <c r="H749" s="838"/>
      <c r="I749"/>
      <c r="J749"/>
    </row>
    <row r="750" spans="2:10">
      <c r="B750" t="s">
        <v>2848</v>
      </c>
      <c r="C750" s="915">
        <v>4401000050</v>
      </c>
      <c r="D750" s="915" t="s">
        <v>3107</v>
      </c>
      <c r="E750" s="915">
        <v>1039748</v>
      </c>
      <c r="F750" s="915">
        <v>0</v>
      </c>
      <c r="G750" s="838"/>
      <c r="H750" s="838"/>
      <c r="I750"/>
      <c r="J750"/>
    </row>
    <row r="751" spans="2:10">
      <c r="B751" t="s">
        <v>2848</v>
      </c>
      <c r="C751" s="915">
        <v>4401000070</v>
      </c>
      <c r="D751" s="915" t="s">
        <v>3108</v>
      </c>
      <c r="E751" s="915">
        <v>-113951415</v>
      </c>
      <c r="F751" s="915">
        <v>-2440028</v>
      </c>
      <c r="G751" s="838"/>
      <c r="H751" s="838"/>
      <c r="I751"/>
      <c r="J751"/>
    </row>
    <row r="752" spans="2:10">
      <c r="B752" t="s">
        <v>2848</v>
      </c>
      <c r="C752" s="915">
        <v>4401000070</v>
      </c>
      <c r="D752" s="915" t="s">
        <v>3108</v>
      </c>
      <c r="E752" s="915">
        <v>223497265</v>
      </c>
      <c r="F752" s="915">
        <v>990297890</v>
      </c>
      <c r="G752" s="838"/>
      <c r="H752" s="838"/>
      <c r="I752"/>
      <c r="J752"/>
    </row>
    <row r="753" spans="2:10">
      <c r="B753" t="s">
        <v>2848</v>
      </c>
      <c r="C753" s="915">
        <v>4401000070</v>
      </c>
      <c r="D753" s="915" t="s">
        <v>3108</v>
      </c>
      <c r="E753" s="915">
        <v>46043165</v>
      </c>
      <c r="F753" s="915">
        <v>186200350</v>
      </c>
      <c r="G753" s="838"/>
      <c r="H753" s="838"/>
      <c r="I753"/>
      <c r="J753"/>
    </row>
    <row r="754" spans="2:10">
      <c r="B754" t="s">
        <v>2848</v>
      </c>
      <c r="C754" s="915">
        <v>4401000070</v>
      </c>
      <c r="D754" s="915" t="s">
        <v>3108</v>
      </c>
      <c r="E754" s="915">
        <v>106869980</v>
      </c>
      <c r="F754" s="915">
        <v>512024094</v>
      </c>
      <c r="G754" s="838"/>
      <c r="H754" s="838"/>
      <c r="I754"/>
      <c r="J754"/>
    </row>
    <row r="755" spans="2:10">
      <c r="B755" t="s">
        <v>2848</v>
      </c>
      <c r="C755" s="915">
        <v>4401000070</v>
      </c>
      <c r="D755" s="915" t="s">
        <v>3108</v>
      </c>
      <c r="E755" s="915">
        <v>456618303</v>
      </c>
      <c r="F755" s="915">
        <v>2245408476</v>
      </c>
      <c r="G755" s="838"/>
      <c r="H755" s="838"/>
      <c r="I755"/>
      <c r="J755"/>
    </row>
    <row r="756" spans="2:10">
      <c r="B756" t="s">
        <v>2848</v>
      </c>
      <c r="C756" s="915">
        <v>4401000070</v>
      </c>
      <c r="D756" s="915" t="s">
        <v>3108</v>
      </c>
      <c r="E756" s="915">
        <v>213889697</v>
      </c>
      <c r="F756" s="915">
        <v>730570099</v>
      </c>
      <c r="G756" s="838"/>
      <c r="H756" s="838"/>
      <c r="I756"/>
      <c r="J756"/>
    </row>
    <row r="757" spans="2:10">
      <c r="B757" t="s">
        <v>2848</v>
      </c>
      <c r="C757" s="915">
        <v>4401000070</v>
      </c>
      <c r="D757" s="915" t="s">
        <v>3108</v>
      </c>
      <c r="E757" s="915">
        <v>20641664</v>
      </c>
      <c r="F757" s="915">
        <v>78543664</v>
      </c>
      <c r="G757" s="838"/>
      <c r="H757" s="838"/>
      <c r="I757"/>
      <c r="J757"/>
    </row>
    <row r="758" spans="2:10">
      <c r="B758" t="s">
        <v>2848</v>
      </c>
      <c r="C758" s="915">
        <v>4401000070</v>
      </c>
      <c r="D758" s="915" t="s">
        <v>3108</v>
      </c>
      <c r="E758" s="915">
        <v>82826184</v>
      </c>
      <c r="F758" s="915">
        <v>296777668</v>
      </c>
      <c r="G758" s="838"/>
      <c r="H758" s="838"/>
      <c r="I758"/>
      <c r="J758"/>
    </row>
    <row r="759" spans="2:10">
      <c r="B759" t="s">
        <v>2848</v>
      </c>
      <c r="C759" s="915">
        <v>4401000070</v>
      </c>
      <c r="D759" s="915" t="s">
        <v>3108</v>
      </c>
      <c r="E759" s="915">
        <v>108016</v>
      </c>
      <c r="F759" s="915">
        <v>-859174</v>
      </c>
      <c r="G759" s="838"/>
      <c r="H759" s="838"/>
      <c r="I759"/>
      <c r="J759"/>
    </row>
    <row r="760" spans="2:10">
      <c r="B760" t="s">
        <v>2848</v>
      </c>
      <c r="C760" s="915">
        <v>4401000070</v>
      </c>
      <c r="D760" s="915" t="s">
        <v>3108</v>
      </c>
      <c r="E760" s="915">
        <v>79446380</v>
      </c>
      <c r="F760" s="915">
        <v>312911562</v>
      </c>
      <c r="G760" s="838"/>
      <c r="H760" s="838"/>
      <c r="I760"/>
      <c r="J760"/>
    </row>
    <row r="761" spans="2:10">
      <c r="B761" t="s">
        <v>2848</v>
      </c>
      <c r="C761" s="915">
        <v>4401000070</v>
      </c>
      <c r="D761" s="915" t="s">
        <v>3108</v>
      </c>
      <c r="E761" s="915">
        <v>31676698</v>
      </c>
      <c r="F761" s="915">
        <v>116061150</v>
      </c>
      <c r="G761" s="838"/>
      <c r="H761" s="838"/>
      <c r="I761"/>
      <c r="J761"/>
    </row>
    <row r="762" spans="2:10">
      <c r="B762" t="s">
        <v>2848</v>
      </c>
      <c r="C762" s="915">
        <v>4401000070</v>
      </c>
      <c r="D762" s="915" t="s">
        <v>3108</v>
      </c>
      <c r="E762" s="915">
        <v>674887</v>
      </c>
      <c r="F762" s="915">
        <v>2802512</v>
      </c>
      <c r="G762" s="838"/>
      <c r="H762" s="838"/>
      <c r="I762"/>
      <c r="J762"/>
    </row>
    <row r="763" spans="2:10">
      <c r="B763" t="s">
        <v>2848</v>
      </c>
      <c r="C763" s="915">
        <v>4401000070</v>
      </c>
      <c r="D763" s="915" t="s">
        <v>3108</v>
      </c>
      <c r="E763" s="915">
        <v>14831846</v>
      </c>
      <c r="F763" s="915">
        <v>55609414</v>
      </c>
      <c r="G763" s="838"/>
      <c r="H763" s="838"/>
      <c r="I763"/>
      <c r="J763"/>
    </row>
    <row r="764" spans="2:10">
      <c r="B764" t="s">
        <v>2848</v>
      </c>
      <c r="C764" s="915">
        <v>4401000070</v>
      </c>
      <c r="D764" s="915" t="s">
        <v>3108</v>
      </c>
      <c r="E764" s="915">
        <v>27908695</v>
      </c>
      <c r="F764" s="915">
        <v>105589346</v>
      </c>
      <c r="G764" s="838"/>
      <c r="H764" s="838"/>
      <c r="I764"/>
      <c r="J764"/>
    </row>
    <row r="765" spans="2:10">
      <c r="B765" t="s">
        <v>2848</v>
      </c>
      <c r="C765" s="915">
        <v>4401000070</v>
      </c>
      <c r="D765" s="915" t="s">
        <v>3108</v>
      </c>
      <c r="E765" s="915">
        <v>279761908</v>
      </c>
      <c r="F765" s="915">
        <v>1035802551</v>
      </c>
      <c r="G765" s="838"/>
      <c r="H765" s="838"/>
      <c r="I765"/>
      <c r="J765"/>
    </row>
    <row r="766" spans="2:10">
      <c r="B766" t="s">
        <v>2848</v>
      </c>
      <c r="C766" s="915">
        <v>4401000070</v>
      </c>
      <c r="D766" s="915" t="s">
        <v>3108</v>
      </c>
      <c r="E766" s="915">
        <v>29027227</v>
      </c>
      <c r="F766" s="915">
        <v>113327212</v>
      </c>
      <c r="G766" s="838"/>
      <c r="H766" s="838"/>
      <c r="I766"/>
      <c r="J766"/>
    </row>
    <row r="767" spans="2:10">
      <c r="B767" t="s">
        <v>2848</v>
      </c>
      <c r="C767" s="915">
        <v>4401000070</v>
      </c>
      <c r="D767" s="915" t="s">
        <v>3108</v>
      </c>
      <c r="E767" s="915">
        <v>21079964</v>
      </c>
      <c r="F767" s="915">
        <v>83828723</v>
      </c>
      <c r="G767" s="838"/>
      <c r="H767" s="838"/>
      <c r="I767"/>
      <c r="J767"/>
    </row>
    <row r="768" spans="2:10">
      <c r="B768" t="s">
        <v>2848</v>
      </c>
      <c r="C768" s="915">
        <v>4401000070</v>
      </c>
      <c r="D768" s="915" t="s">
        <v>3108</v>
      </c>
      <c r="E768" s="915">
        <v>87709351</v>
      </c>
      <c r="F768" s="915">
        <v>310746502</v>
      </c>
      <c r="G768" s="838"/>
      <c r="H768" s="838"/>
      <c r="I768"/>
      <c r="J768"/>
    </row>
    <row r="769" spans="2:10">
      <c r="B769" t="s">
        <v>2848</v>
      </c>
      <c r="C769" s="915">
        <v>4401000070</v>
      </c>
      <c r="D769" s="915" t="s">
        <v>3108</v>
      </c>
      <c r="E769" s="915">
        <v>46972206</v>
      </c>
      <c r="F769" s="915">
        <v>195731518</v>
      </c>
      <c r="G769" s="838"/>
      <c r="H769" s="838"/>
      <c r="I769"/>
      <c r="J769"/>
    </row>
    <row r="770" spans="2:10">
      <c r="B770" t="s">
        <v>2848</v>
      </c>
      <c r="C770" s="915">
        <v>4401000070</v>
      </c>
      <c r="D770" s="915" t="s">
        <v>3108</v>
      </c>
      <c r="E770" s="915">
        <v>26650825</v>
      </c>
      <c r="F770" s="915">
        <v>104048042</v>
      </c>
      <c r="G770" s="838"/>
      <c r="H770" s="838"/>
      <c r="I770"/>
      <c r="J770"/>
    </row>
    <row r="771" spans="2:10">
      <c r="B771" t="s">
        <v>2848</v>
      </c>
      <c r="C771" s="915">
        <v>4401000070</v>
      </c>
      <c r="D771" s="915" t="s">
        <v>3108</v>
      </c>
      <c r="E771" s="915">
        <v>3661</v>
      </c>
      <c r="F771" s="915">
        <v>13071</v>
      </c>
      <c r="G771" s="838"/>
      <c r="H771" s="838"/>
      <c r="I771"/>
      <c r="J771"/>
    </row>
    <row r="772" spans="2:10">
      <c r="B772" t="s">
        <v>2848</v>
      </c>
      <c r="C772" s="915">
        <v>4401000070</v>
      </c>
      <c r="D772" s="915" t="s">
        <v>3108</v>
      </c>
      <c r="E772" s="915">
        <v>62924558</v>
      </c>
      <c r="F772" s="915">
        <v>231477183</v>
      </c>
      <c r="G772" s="838"/>
      <c r="H772" s="838"/>
      <c r="I772"/>
      <c r="J772"/>
    </row>
    <row r="773" spans="2:10">
      <c r="B773" t="s">
        <v>2848</v>
      </c>
      <c r="C773" s="915">
        <v>4401000070</v>
      </c>
      <c r="D773" s="915" t="s">
        <v>3108</v>
      </c>
      <c r="E773" s="915">
        <v>91598995</v>
      </c>
      <c r="F773" s="915">
        <v>331750805</v>
      </c>
      <c r="G773" s="838"/>
      <c r="H773" s="838"/>
      <c r="I773"/>
      <c r="J773"/>
    </row>
    <row r="774" spans="2:10">
      <c r="B774" t="s">
        <v>2848</v>
      </c>
      <c r="C774" s="915">
        <v>4401000070</v>
      </c>
      <c r="D774" s="915" t="s">
        <v>3108</v>
      </c>
      <c r="E774" s="915">
        <v>52204600</v>
      </c>
      <c r="F774" s="915">
        <v>174226511</v>
      </c>
      <c r="G774" s="838"/>
      <c r="H774" s="838"/>
      <c r="I774"/>
      <c r="J774"/>
    </row>
    <row r="775" spans="2:10">
      <c r="B775" t="s">
        <v>2848</v>
      </c>
      <c r="C775" s="915">
        <v>4401000070</v>
      </c>
      <c r="D775" s="915" t="s">
        <v>3108</v>
      </c>
      <c r="E775" s="915">
        <v>40165846</v>
      </c>
      <c r="F775" s="915">
        <v>139486493</v>
      </c>
      <c r="G775" s="838"/>
      <c r="H775" s="838"/>
      <c r="I775"/>
      <c r="J775"/>
    </row>
    <row r="776" spans="2:10">
      <c r="B776" t="s">
        <v>2848</v>
      </c>
      <c r="C776" s="915">
        <v>4401000070</v>
      </c>
      <c r="D776" s="915" t="s">
        <v>3108</v>
      </c>
      <c r="E776" s="915">
        <v>3190825</v>
      </c>
      <c r="F776" s="915">
        <v>50258432</v>
      </c>
      <c r="G776" s="838"/>
      <c r="H776" s="838"/>
      <c r="I776"/>
      <c r="J776"/>
    </row>
    <row r="777" spans="2:10">
      <c r="B777" t="s">
        <v>2848</v>
      </c>
      <c r="C777" s="915">
        <v>4401000072</v>
      </c>
      <c r="D777" s="915" t="s">
        <v>3109</v>
      </c>
      <c r="E777" s="915">
        <v>68981893</v>
      </c>
      <c r="F777" s="915">
        <v>296054464</v>
      </c>
      <c r="G777" s="838"/>
      <c r="H777" s="838"/>
      <c r="I777"/>
      <c r="J777"/>
    </row>
    <row r="778" spans="2:10">
      <c r="B778" t="s">
        <v>2848</v>
      </c>
      <c r="C778" s="915">
        <v>4401000072</v>
      </c>
      <c r="D778" s="915" t="s">
        <v>3109</v>
      </c>
      <c r="E778" s="915">
        <v>14300826</v>
      </c>
      <c r="F778" s="915">
        <v>56376662</v>
      </c>
      <c r="G778" s="838"/>
      <c r="H778" s="838"/>
      <c r="I778"/>
      <c r="J778"/>
    </row>
    <row r="779" spans="2:10">
      <c r="B779" t="s">
        <v>2848</v>
      </c>
      <c r="C779" s="915">
        <v>4401000072</v>
      </c>
      <c r="D779" s="915" t="s">
        <v>3109</v>
      </c>
      <c r="E779" s="915">
        <v>60251309</v>
      </c>
      <c r="F779" s="915">
        <v>206401687</v>
      </c>
      <c r="G779" s="838"/>
      <c r="H779" s="838"/>
      <c r="I779"/>
      <c r="J779"/>
    </row>
    <row r="780" spans="2:10">
      <c r="B780" t="s">
        <v>2848</v>
      </c>
      <c r="C780" s="915">
        <v>4401000072</v>
      </c>
      <c r="D780" s="915" t="s">
        <v>3109</v>
      </c>
      <c r="E780" s="915">
        <v>266639200</v>
      </c>
      <c r="F780" s="915">
        <v>998169498</v>
      </c>
      <c r="G780" s="838"/>
      <c r="H780" s="838"/>
      <c r="I780"/>
      <c r="J780"/>
    </row>
    <row r="781" spans="2:10">
      <c r="B781" t="s">
        <v>2848</v>
      </c>
      <c r="C781" s="915">
        <v>4401000072</v>
      </c>
      <c r="D781" s="915" t="s">
        <v>3109</v>
      </c>
      <c r="E781" s="915">
        <v>78315842</v>
      </c>
      <c r="F781" s="915">
        <v>278713235</v>
      </c>
      <c r="G781" s="838"/>
      <c r="H781" s="838"/>
      <c r="I781"/>
      <c r="J781"/>
    </row>
    <row r="782" spans="2:10">
      <c r="B782" t="s">
        <v>2848</v>
      </c>
      <c r="C782" s="915">
        <v>4401000072</v>
      </c>
      <c r="D782" s="915" t="s">
        <v>3109</v>
      </c>
      <c r="E782" s="915">
        <v>9205260</v>
      </c>
      <c r="F782" s="915">
        <v>34987442</v>
      </c>
      <c r="G782" s="838"/>
      <c r="H782" s="838"/>
      <c r="I782"/>
      <c r="J782"/>
    </row>
    <row r="783" spans="2:10">
      <c r="B783" t="s">
        <v>2848</v>
      </c>
      <c r="C783" s="915">
        <v>4401000072</v>
      </c>
      <c r="D783" s="915" t="s">
        <v>3109</v>
      </c>
      <c r="E783" s="915">
        <v>32193588</v>
      </c>
      <c r="F783" s="915">
        <v>120629745</v>
      </c>
      <c r="G783" s="838"/>
      <c r="H783" s="838"/>
      <c r="I783"/>
      <c r="J783"/>
    </row>
    <row r="784" spans="2:10">
      <c r="B784" t="s">
        <v>2848</v>
      </c>
      <c r="C784" s="915">
        <v>4401000072</v>
      </c>
      <c r="D784" s="915" t="s">
        <v>3109</v>
      </c>
      <c r="E784" s="915">
        <v>50300</v>
      </c>
      <c r="F784" s="915">
        <v>176304</v>
      </c>
      <c r="G784" s="838"/>
      <c r="H784" s="838"/>
      <c r="I784"/>
      <c r="J784"/>
    </row>
    <row r="785" spans="2:10">
      <c r="B785" t="s">
        <v>2848</v>
      </c>
      <c r="C785" s="915">
        <v>4401000072</v>
      </c>
      <c r="D785" s="915" t="s">
        <v>3109</v>
      </c>
      <c r="E785" s="915">
        <v>32514259</v>
      </c>
      <c r="F785" s="915">
        <v>125706215</v>
      </c>
      <c r="G785" s="838"/>
      <c r="H785" s="838"/>
      <c r="I785"/>
      <c r="J785"/>
    </row>
    <row r="786" spans="2:10">
      <c r="B786" t="s">
        <v>2848</v>
      </c>
      <c r="C786" s="915">
        <v>4401000072</v>
      </c>
      <c r="D786" s="915" t="s">
        <v>3109</v>
      </c>
      <c r="E786" s="915">
        <v>12142270</v>
      </c>
      <c r="F786" s="915">
        <v>44844409</v>
      </c>
      <c r="G786" s="838"/>
      <c r="H786" s="838"/>
      <c r="I786"/>
      <c r="J786"/>
    </row>
    <row r="787" spans="2:10">
      <c r="B787" t="s">
        <v>2848</v>
      </c>
      <c r="C787" s="915">
        <v>4401000072</v>
      </c>
      <c r="D787" s="915" t="s">
        <v>3109</v>
      </c>
      <c r="E787" s="915">
        <v>278589</v>
      </c>
      <c r="F787" s="915">
        <v>1184061</v>
      </c>
      <c r="G787" s="838"/>
      <c r="H787" s="838"/>
      <c r="I787"/>
      <c r="J787"/>
    </row>
    <row r="788" spans="2:10">
      <c r="B788" t="s">
        <v>2848</v>
      </c>
      <c r="C788" s="915">
        <v>4401000072</v>
      </c>
      <c r="D788" s="915" t="s">
        <v>3109</v>
      </c>
      <c r="E788" s="915">
        <v>6341338</v>
      </c>
      <c r="F788" s="915">
        <v>26105983</v>
      </c>
      <c r="G788" s="838"/>
      <c r="H788" s="838"/>
      <c r="I788"/>
      <c r="J788"/>
    </row>
    <row r="789" spans="2:10">
      <c r="B789" t="s">
        <v>2848</v>
      </c>
      <c r="C789" s="915">
        <v>4401000072</v>
      </c>
      <c r="D789" s="915" t="s">
        <v>3109</v>
      </c>
      <c r="E789" s="915">
        <v>9702238</v>
      </c>
      <c r="F789" s="915">
        <v>37360266</v>
      </c>
      <c r="G789" s="838"/>
      <c r="H789" s="838"/>
      <c r="I789"/>
      <c r="J789"/>
    </row>
    <row r="790" spans="2:10">
      <c r="B790" t="s">
        <v>2848</v>
      </c>
      <c r="C790" s="915">
        <v>4401000072</v>
      </c>
      <c r="D790" s="915" t="s">
        <v>3109</v>
      </c>
      <c r="E790" s="915">
        <v>133982091</v>
      </c>
      <c r="F790" s="915">
        <v>473350328</v>
      </c>
      <c r="G790" s="838"/>
      <c r="H790" s="838"/>
      <c r="I790"/>
      <c r="J790"/>
    </row>
    <row r="791" spans="2:10">
      <c r="B791" t="s">
        <v>2848</v>
      </c>
      <c r="C791" s="915">
        <v>4401000072</v>
      </c>
      <c r="D791" s="915" t="s">
        <v>3109</v>
      </c>
      <c r="E791" s="915">
        <v>12481596</v>
      </c>
      <c r="F791" s="915">
        <v>49675183</v>
      </c>
      <c r="G791" s="838"/>
      <c r="H791" s="838"/>
      <c r="I791"/>
      <c r="J791"/>
    </row>
    <row r="792" spans="2:10">
      <c r="B792" t="s">
        <v>2848</v>
      </c>
      <c r="C792" s="915">
        <v>4401000072</v>
      </c>
      <c r="D792" s="915" t="s">
        <v>3109</v>
      </c>
      <c r="E792" s="915">
        <v>8569908</v>
      </c>
      <c r="F792" s="915">
        <v>33774192</v>
      </c>
      <c r="G792" s="838"/>
      <c r="H792" s="838"/>
      <c r="I792"/>
      <c r="J792"/>
    </row>
    <row r="793" spans="2:10">
      <c r="B793" t="s">
        <v>2848</v>
      </c>
      <c r="C793" s="915">
        <v>4401000072</v>
      </c>
      <c r="D793" s="915" t="s">
        <v>3109</v>
      </c>
      <c r="E793" s="915">
        <v>37593231</v>
      </c>
      <c r="F793" s="915">
        <v>141248193</v>
      </c>
      <c r="G793" s="838"/>
      <c r="H793" s="838"/>
      <c r="I793"/>
      <c r="J793"/>
    </row>
    <row r="794" spans="2:10">
      <c r="B794" t="s">
        <v>2848</v>
      </c>
      <c r="C794" s="915">
        <v>4401000072</v>
      </c>
      <c r="D794" s="915" t="s">
        <v>3109</v>
      </c>
      <c r="E794" s="915">
        <v>19636681</v>
      </c>
      <c r="F794" s="915">
        <v>74391886</v>
      </c>
      <c r="G794" s="838"/>
      <c r="H794" s="838"/>
      <c r="I794"/>
      <c r="J794"/>
    </row>
    <row r="795" spans="2:10">
      <c r="B795" t="s">
        <v>2848</v>
      </c>
      <c r="C795" s="915">
        <v>4401000072</v>
      </c>
      <c r="D795" s="915" t="s">
        <v>3109</v>
      </c>
      <c r="E795" s="915">
        <v>11609272</v>
      </c>
      <c r="F795" s="915">
        <v>45974253</v>
      </c>
      <c r="G795" s="838"/>
      <c r="H795" s="838"/>
      <c r="I795"/>
      <c r="J795"/>
    </row>
    <row r="796" spans="2:10">
      <c r="B796" t="s">
        <v>2848</v>
      </c>
      <c r="C796" s="915">
        <v>4401000072</v>
      </c>
      <c r="D796" s="915" t="s">
        <v>3109</v>
      </c>
      <c r="E796" s="915">
        <v>1946</v>
      </c>
      <c r="F796" s="915">
        <v>6945</v>
      </c>
      <c r="G796" s="838"/>
      <c r="H796" s="838"/>
      <c r="I796"/>
      <c r="J796"/>
    </row>
    <row r="797" spans="2:10">
      <c r="B797" t="s">
        <v>2848</v>
      </c>
      <c r="C797" s="915">
        <v>4401000072</v>
      </c>
      <c r="D797" s="915" t="s">
        <v>3109</v>
      </c>
      <c r="E797" s="915">
        <v>27943800</v>
      </c>
      <c r="F797" s="915">
        <v>103279728</v>
      </c>
      <c r="G797" s="838"/>
      <c r="H797" s="838"/>
      <c r="I797"/>
      <c r="J797"/>
    </row>
    <row r="798" spans="2:10">
      <c r="B798" t="s">
        <v>2848</v>
      </c>
      <c r="C798" s="915">
        <v>4401000072</v>
      </c>
      <c r="D798" s="915" t="s">
        <v>3109</v>
      </c>
      <c r="E798" s="915">
        <v>40599489</v>
      </c>
      <c r="F798" s="915">
        <v>151727466</v>
      </c>
      <c r="G798" s="838"/>
      <c r="H798" s="838"/>
      <c r="I798"/>
      <c r="J798"/>
    </row>
    <row r="799" spans="2:10">
      <c r="B799" t="s">
        <v>2848</v>
      </c>
      <c r="C799" s="915">
        <v>4401000072</v>
      </c>
      <c r="D799" s="915" t="s">
        <v>3109</v>
      </c>
      <c r="E799" s="915">
        <v>21592412</v>
      </c>
      <c r="F799" s="915">
        <v>76118953</v>
      </c>
      <c r="G799" s="838"/>
      <c r="H799" s="838"/>
      <c r="I799"/>
      <c r="J799"/>
    </row>
    <row r="800" spans="2:10">
      <c r="B800" t="s">
        <v>2848</v>
      </c>
      <c r="C800" s="915">
        <v>4401000072</v>
      </c>
      <c r="D800" s="915" t="s">
        <v>3109</v>
      </c>
      <c r="E800" s="915">
        <v>17339866</v>
      </c>
      <c r="F800" s="915">
        <v>61141446</v>
      </c>
      <c r="G800" s="838"/>
      <c r="H800" s="838"/>
      <c r="I800"/>
      <c r="J800"/>
    </row>
    <row r="801" spans="2:10">
      <c r="B801" t="s">
        <v>2848</v>
      </c>
      <c r="C801" s="915">
        <v>4401000072</v>
      </c>
      <c r="D801" s="915" t="s">
        <v>3109</v>
      </c>
      <c r="E801" s="915">
        <v>77305700</v>
      </c>
      <c r="F801" s="915">
        <v>253368958</v>
      </c>
      <c r="G801" s="838"/>
      <c r="H801" s="838"/>
      <c r="I801"/>
      <c r="J801"/>
    </row>
    <row r="802" spans="2:10">
      <c r="B802" t="s">
        <v>2848</v>
      </c>
      <c r="C802" s="915">
        <v>4401100000</v>
      </c>
      <c r="D802" s="915" t="s">
        <v>3110</v>
      </c>
      <c r="E802" s="915">
        <v>367215300</v>
      </c>
      <c r="F802" s="915">
        <v>2000235515</v>
      </c>
      <c r="G802" s="838"/>
      <c r="H802" s="838"/>
      <c r="I802"/>
      <c r="J802"/>
    </row>
    <row r="803" spans="2:10">
      <c r="B803" t="s">
        <v>2848</v>
      </c>
      <c r="C803" s="915">
        <v>4401100000</v>
      </c>
      <c r="D803" s="915" t="s">
        <v>3110</v>
      </c>
      <c r="E803" s="915">
        <v>391291</v>
      </c>
      <c r="F803" s="915">
        <v>-307718</v>
      </c>
      <c r="G803" s="838"/>
      <c r="H803" s="838"/>
      <c r="I803"/>
      <c r="J803"/>
    </row>
    <row r="804" spans="2:10">
      <c r="B804" t="s">
        <v>2848</v>
      </c>
      <c r="C804" s="915">
        <v>4401100000</v>
      </c>
      <c r="D804" s="915" t="s">
        <v>3110</v>
      </c>
      <c r="E804" s="915">
        <v>5880727</v>
      </c>
      <c r="F804" s="915">
        <v>21591530</v>
      </c>
      <c r="G804" s="838"/>
      <c r="H804" s="838"/>
      <c r="I804"/>
      <c r="J804"/>
    </row>
    <row r="805" spans="2:10">
      <c r="B805" t="s">
        <v>2848</v>
      </c>
      <c r="C805" s="915">
        <v>4401100000</v>
      </c>
      <c r="D805" s="915" t="s">
        <v>3110</v>
      </c>
      <c r="E805" s="915">
        <v>156382720</v>
      </c>
      <c r="F805" s="915">
        <v>643719644</v>
      </c>
      <c r="G805" s="838"/>
      <c r="H805" s="838"/>
      <c r="I805"/>
      <c r="J805"/>
    </row>
    <row r="806" spans="2:10">
      <c r="B806" t="s">
        <v>2848</v>
      </c>
      <c r="C806" s="915">
        <v>4401100000</v>
      </c>
      <c r="D806" s="915" t="s">
        <v>3110</v>
      </c>
      <c r="E806" s="915">
        <v>35029710</v>
      </c>
      <c r="F806" s="915">
        <v>142430030</v>
      </c>
      <c r="G806" s="838"/>
      <c r="H806" s="838"/>
      <c r="I806"/>
      <c r="J806"/>
    </row>
    <row r="807" spans="2:10">
      <c r="B807" t="s">
        <v>2848</v>
      </c>
      <c r="C807" s="915">
        <v>4401100000</v>
      </c>
      <c r="D807" s="915" t="s">
        <v>3110</v>
      </c>
      <c r="E807" s="915">
        <v>6474541</v>
      </c>
      <c r="F807" s="915">
        <v>24982099</v>
      </c>
      <c r="G807" s="838"/>
      <c r="H807" s="838"/>
      <c r="I807"/>
      <c r="J807"/>
    </row>
    <row r="808" spans="2:10">
      <c r="B808" t="s">
        <v>2848</v>
      </c>
      <c r="C808" s="915">
        <v>4401100000</v>
      </c>
      <c r="D808" s="915" t="s">
        <v>3110</v>
      </c>
      <c r="E808" s="915">
        <v>43573089</v>
      </c>
      <c r="F808" s="915">
        <v>87755742</v>
      </c>
      <c r="G808" s="838"/>
      <c r="H808" s="838"/>
      <c r="I808"/>
      <c r="J808"/>
    </row>
    <row r="809" spans="2:10">
      <c r="B809" t="s">
        <v>2848</v>
      </c>
      <c r="C809" s="915">
        <v>4401100000</v>
      </c>
      <c r="D809" s="915" t="s">
        <v>3110</v>
      </c>
      <c r="E809" s="915">
        <v>43373</v>
      </c>
      <c r="F809" s="915">
        <v>170141</v>
      </c>
      <c r="G809" s="838"/>
      <c r="H809" s="838"/>
      <c r="I809"/>
      <c r="J809"/>
    </row>
    <row r="810" spans="2:10">
      <c r="B810" t="s">
        <v>2848</v>
      </c>
      <c r="C810" s="915">
        <v>4401100000</v>
      </c>
      <c r="D810" s="915" t="s">
        <v>3110</v>
      </c>
      <c r="E810" s="915">
        <v>8630721</v>
      </c>
      <c r="F810" s="915">
        <v>30532814</v>
      </c>
      <c r="G810" s="838"/>
      <c r="H810" s="838"/>
      <c r="I810"/>
      <c r="J810"/>
    </row>
    <row r="811" spans="2:10">
      <c r="B811" t="s">
        <v>2848</v>
      </c>
      <c r="C811" s="915">
        <v>4401100000</v>
      </c>
      <c r="D811" s="915" t="s">
        <v>3110</v>
      </c>
      <c r="E811" s="915">
        <v>5467026</v>
      </c>
      <c r="F811" s="915">
        <v>19594170</v>
      </c>
      <c r="G811" s="838"/>
      <c r="H811" s="838"/>
      <c r="I811"/>
      <c r="J811"/>
    </row>
    <row r="812" spans="2:10">
      <c r="B812" t="s">
        <v>2848</v>
      </c>
      <c r="C812" s="915">
        <v>4401100000</v>
      </c>
      <c r="D812" s="915" t="s">
        <v>3110</v>
      </c>
      <c r="E812" s="915">
        <v>153344</v>
      </c>
      <c r="F812" s="915">
        <v>652060</v>
      </c>
      <c r="G812" s="838"/>
      <c r="H812" s="838"/>
      <c r="I812"/>
      <c r="J812"/>
    </row>
    <row r="813" spans="2:10">
      <c r="B813" t="s">
        <v>2848</v>
      </c>
      <c r="C813" s="915">
        <v>4401100000</v>
      </c>
      <c r="D813" s="915" t="s">
        <v>3110</v>
      </c>
      <c r="E813" s="915">
        <v>4247525</v>
      </c>
      <c r="F813" s="915">
        <v>15168949</v>
      </c>
      <c r="G813" s="838"/>
      <c r="H813" s="838"/>
      <c r="I813"/>
      <c r="J813"/>
    </row>
    <row r="814" spans="2:10">
      <c r="B814" t="s">
        <v>2848</v>
      </c>
      <c r="C814" s="915">
        <v>4401100000</v>
      </c>
      <c r="D814" s="915" t="s">
        <v>3110</v>
      </c>
      <c r="E814" s="915">
        <v>5771415</v>
      </c>
      <c r="F814" s="915">
        <v>22576323</v>
      </c>
      <c r="G814" s="838"/>
      <c r="H814" s="838"/>
      <c r="I814"/>
      <c r="J814"/>
    </row>
    <row r="815" spans="2:10">
      <c r="B815" t="s">
        <v>2848</v>
      </c>
      <c r="C815" s="915">
        <v>4401100000</v>
      </c>
      <c r="D815" s="915" t="s">
        <v>3110</v>
      </c>
      <c r="E815" s="915">
        <v>22117771</v>
      </c>
      <c r="F815" s="915">
        <v>83904646</v>
      </c>
      <c r="G815" s="838"/>
      <c r="H815" s="838"/>
      <c r="I815"/>
      <c r="J815"/>
    </row>
    <row r="816" spans="2:10">
      <c r="B816" t="s">
        <v>2848</v>
      </c>
      <c r="C816" s="915">
        <v>4401100000</v>
      </c>
      <c r="D816" s="915" t="s">
        <v>3110</v>
      </c>
      <c r="E816" s="915">
        <v>5769534</v>
      </c>
      <c r="F816" s="915">
        <v>21029710</v>
      </c>
      <c r="G816" s="838"/>
      <c r="H816" s="838"/>
      <c r="I816"/>
      <c r="J816"/>
    </row>
    <row r="817" spans="2:10">
      <c r="B817" t="s">
        <v>2848</v>
      </c>
      <c r="C817" s="915">
        <v>4401100000</v>
      </c>
      <c r="D817" s="915" t="s">
        <v>3110</v>
      </c>
      <c r="E817" s="915">
        <v>3911755</v>
      </c>
      <c r="F817" s="915">
        <v>14590084</v>
      </c>
      <c r="G817" s="838"/>
      <c r="H817" s="838"/>
      <c r="I817"/>
      <c r="J817"/>
    </row>
    <row r="818" spans="2:10">
      <c r="B818" t="s">
        <v>2848</v>
      </c>
      <c r="C818" s="915">
        <v>4401100000</v>
      </c>
      <c r="D818" s="915" t="s">
        <v>3110</v>
      </c>
      <c r="E818" s="915">
        <v>24532273</v>
      </c>
      <c r="F818" s="915">
        <v>85735713</v>
      </c>
      <c r="G818" s="838"/>
      <c r="H818" s="838"/>
      <c r="I818"/>
      <c r="J818"/>
    </row>
    <row r="819" spans="2:10">
      <c r="B819" t="s">
        <v>2848</v>
      </c>
      <c r="C819" s="915">
        <v>4401100000</v>
      </c>
      <c r="D819" s="915" t="s">
        <v>3110</v>
      </c>
      <c r="E819" s="915">
        <v>7506554</v>
      </c>
      <c r="F819" s="915">
        <v>28951681</v>
      </c>
      <c r="G819" s="838"/>
      <c r="H819" s="838"/>
      <c r="I819"/>
      <c r="J819"/>
    </row>
    <row r="820" spans="2:10">
      <c r="B820" t="s">
        <v>2848</v>
      </c>
      <c r="C820" s="915">
        <v>4401100000</v>
      </c>
      <c r="D820" s="915" t="s">
        <v>3110</v>
      </c>
      <c r="E820" s="915">
        <v>6379494</v>
      </c>
      <c r="F820" s="915">
        <v>24841562</v>
      </c>
      <c r="G820" s="838"/>
      <c r="H820" s="838"/>
      <c r="I820"/>
      <c r="J820"/>
    </row>
    <row r="821" spans="2:10">
      <c r="B821" t="s">
        <v>2848</v>
      </c>
      <c r="C821" s="915">
        <v>4401100000</v>
      </c>
      <c r="D821" s="915" t="s">
        <v>3110</v>
      </c>
      <c r="E821" s="915">
        <v>2867</v>
      </c>
      <c r="F821" s="915">
        <v>12143</v>
      </c>
      <c r="G821" s="838"/>
      <c r="H821" s="838"/>
      <c r="I821"/>
      <c r="J821"/>
    </row>
    <row r="822" spans="2:10">
      <c r="B822" t="s">
        <v>2848</v>
      </c>
      <c r="C822" s="915">
        <v>4401100000</v>
      </c>
      <c r="D822" s="915" t="s">
        <v>3110</v>
      </c>
      <c r="E822" s="915">
        <v>11490306</v>
      </c>
      <c r="F822" s="915">
        <v>42599394</v>
      </c>
      <c r="G822" s="838"/>
      <c r="H822" s="838"/>
      <c r="I822"/>
      <c r="J822"/>
    </row>
    <row r="823" spans="2:10">
      <c r="B823" t="s">
        <v>2848</v>
      </c>
      <c r="C823" s="915">
        <v>4401100000</v>
      </c>
      <c r="D823" s="915" t="s">
        <v>3110</v>
      </c>
      <c r="E823" s="915">
        <v>16982080</v>
      </c>
      <c r="F823" s="915">
        <v>61987303</v>
      </c>
      <c r="G823" s="838"/>
      <c r="H823" s="838"/>
      <c r="I823"/>
      <c r="J823"/>
    </row>
    <row r="824" spans="2:10">
      <c r="B824" t="s">
        <v>2848</v>
      </c>
      <c r="C824" s="915">
        <v>4401100000</v>
      </c>
      <c r="D824" s="915" t="s">
        <v>3110</v>
      </c>
      <c r="E824" s="915">
        <v>10457735</v>
      </c>
      <c r="F824" s="915">
        <v>37315757</v>
      </c>
      <c r="G824" s="838"/>
      <c r="H824" s="838"/>
      <c r="I824"/>
      <c r="J824"/>
    </row>
    <row r="825" spans="2:10">
      <c r="B825" t="s">
        <v>2848</v>
      </c>
      <c r="C825" s="915">
        <v>4401100000</v>
      </c>
      <c r="D825" s="915" t="s">
        <v>3110</v>
      </c>
      <c r="E825" s="915">
        <v>6305391</v>
      </c>
      <c r="F825" s="915">
        <v>25673497</v>
      </c>
      <c r="G825" s="838"/>
      <c r="H825" s="838"/>
      <c r="I825"/>
      <c r="J825"/>
    </row>
    <row r="826" spans="2:10">
      <c r="B826" t="s">
        <v>2848</v>
      </c>
      <c r="C826" s="915">
        <v>4401100000</v>
      </c>
      <c r="D826" s="915" t="s">
        <v>3110</v>
      </c>
      <c r="E826" s="915">
        <v>74231198</v>
      </c>
      <c r="F826" s="915">
        <v>1288348448</v>
      </c>
      <c r="G826" s="838"/>
      <c r="H826" s="838"/>
      <c r="I826"/>
      <c r="J826"/>
    </row>
    <row r="827" spans="2:10">
      <c r="B827" t="s">
        <v>2848</v>
      </c>
      <c r="C827" s="915">
        <v>4403000000</v>
      </c>
      <c r="D827" s="915" t="s">
        <v>3111</v>
      </c>
      <c r="E827" s="915">
        <v>-1423312</v>
      </c>
      <c r="F827" s="915">
        <v>0</v>
      </c>
      <c r="G827" s="838"/>
      <c r="H827" s="838"/>
      <c r="I827"/>
      <c r="J827"/>
    </row>
    <row r="828" spans="2:10">
      <c r="B828" t="s">
        <v>2848</v>
      </c>
      <c r="C828" s="915">
        <v>4403000000</v>
      </c>
      <c r="D828" s="915" t="s">
        <v>3111</v>
      </c>
      <c r="E828" s="915">
        <v>-1997741</v>
      </c>
      <c r="F828" s="915">
        <v>-9599824</v>
      </c>
      <c r="G828" s="838"/>
      <c r="H828" s="838"/>
      <c r="I828"/>
      <c r="J828"/>
    </row>
    <row r="829" spans="2:10">
      <c r="B829" t="s">
        <v>2848</v>
      </c>
      <c r="C829" s="915">
        <v>4403000000</v>
      </c>
      <c r="D829" s="915" t="s">
        <v>3111</v>
      </c>
      <c r="E829" s="915">
        <v>-2946902</v>
      </c>
      <c r="F829" s="915">
        <v>52116921</v>
      </c>
      <c r="G829" s="838"/>
      <c r="H829" s="838"/>
      <c r="I829"/>
      <c r="J829"/>
    </row>
    <row r="830" spans="2:10">
      <c r="B830" t="s">
        <v>2848</v>
      </c>
      <c r="C830" s="915">
        <v>4403000000</v>
      </c>
      <c r="D830" s="915" t="s">
        <v>3111</v>
      </c>
      <c r="E830" s="915">
        <v>-517889325</v>
      </c>
      <c r="F830" s="915">
        <v>-1752925885</v>
      </c>
      <c r="G830" s="838"/>
      <c r="H830" s="838"/>
      <c r="I830"/>
      <c r="J830"/>
    </row>
    <row r="831" spans="2:10">
      <c r="B831" t="s">
        <v>2848</v>
      </c>
      <c r="C831" s="915">
        <v>4403000000</v>
      </c>
      <c r="D831" s="915" t="s">
        <v>3111</v>
      </c>
      <c r="E831" s="915">
        <v>-42513</v>
      </c>
      <c r="F831" s="915">
        <v>-123600</v>
      </c>
      <c r="G831" s="838"/>
      <c r="H831" s="838"/>
      <c r="I831"/>
      <c r="J831"/>
    </row>
    <row r="832" spans="2:10">
      <c r="B832" t="s">
        <v>2848</v>
      </c>
      <c r="C832" s="915">
        <v>4403000000</v>
      </c>
      <c r="D832" s="915" t="s">
        <v>3111</v>
      </c>
      <c r="E832" s="915">
        <v>-784430</v>
      </c>
      <c r="F832" s="915">
        <v>-3372019</v>
      </c>
      <c r="G832" s="838"/>
      <c r="H832" s="838"/>
      <c r="I832"/>
      <c r="J832"/>
    </row>
    <row r="833" spans="2:10">
      <c r="B833" t="s">
        <v>2848</v>
      </c>
      <c r="C833" s="915">
        <v>4403000000</v>
      </c>
      <c r="D833" s="915" t="s">
        <v>3111</v>
      </c>
      <c r="E833" s="915">
        <v>-933868</v>
      </c>
      <c r="F833" s="915">
        <v>-2040555</v>
      </c>
      <c r="G833" s="838"/>
      <c r="H833" s="838"/>
      <c r="I833"/>
      <c r="J833"/>
    </row>
    <row r="834" spans="2:10">
      <c r="B834" t="s">
        <v>2848</v>
      </c>
      <c r="C834" s="915">
        <v>4403000000</v>
      </c>
      <c r="D834" s="915" t="s">
        <v>3111</v>
      </c>
      <c r="E834" s="915">
        <v>0</v>
      </c>
      <c r="F834" s="915">
        <v>-106922</v>
      </c>
      <c r="G834" s="838"/>
      <c r="H834" s="838"/>
      <c r="I834"/>
      <c r="J834"/>
    </row>
    <row r="835" spans="2:10">
      <c r="B835" t="s">
        <v>2848</v>
      </c>
      <c r="C835" s="915">
        <v>4403000000</v>
      </c>
      <c r="D835" s="915" t="s">
        <v>3111</v>
      </c>
      <c r="E835" s="915">
        <v>-97665</v>
      </c>
      <c r="F835" s="915">
        <v>-373328</v>
      </c>
      <c r="G835" s="838"/>
      <c r="H835" s="838"/>
      <c r="I835"/>
      <c r="J835"/>
    </row>
    <row r="836" spans="2:10">
      <c r="B836" t="s">
        <v>2848</v>
      </c>
      <c r="C836" s="915">
        <v>4403000000</v>
      </c>
      <c r="D836" s="915" t="s">
        <v>3111</v>
      </c>
      <c r="E836" s="915">
        <v>-268037</v>
      </c>
      <c r="F836" s="915">
        <v>-775190</v>
      </c>
      <c r="G836" s="838"/>
      <c r="H836" s="838"/>
      <c r="I836"/>
      <c r="J836"/>
    </row>
    <row r="837" spans="2:10">
      <c r="B837" t="s">
        <v>2848</v>
      </c>
      <c r="C837" s="915">
        <v>4403000000</v>
      </c>
      <c r="D837" s="915" t="s">
        <v>3111</v>
      </c>
      <c r="E837" s="915">
        <v>-74258</v>
      </c>
      <c r="F837" s="915">
        <v>-287190</v>
      </c>
      <c r="G837" s="838"/>
      <c r="H837" s="838"/>
      <c r="I837"/>
      <c r="J837"/>
    </row>
    <row r="838" spans="2:10">
      <c r="B838" t="s">
        <v>2848</v>
      </c>
      <c r="C838" s="915">
        <v>4403000000</v>
      </c>
      <c r="D838" s="915" t="s">
        <v>3111</v>
      </c>
      <c r="E838" s="915">
        <v>0</v>
      </c>
      <c r="F838" s="915">
        <v>-38425</v>
      </c>
      <c r="G838" s="838"/>
      <c r="H838" s="838"/>
      <c r="I838"/>
      <c r="J838"/>
    </row>
    <row r="839" spans="2:10">
      <c r="B839" t="s">
        <v>2848</v>
      </c>
      <c r="C839" s="915">
        <v>4403000000</v>
      </c>
      <c r="D839" s="915" t="s">
        <v>3111</v>
      </c>
      <c r="E839" s="915">
        <v>-535771</v>
      </c>
      <c r="F839" s="915">
        <v>-1259521</v>
      </c>
      <c r="G839" s="838"/>
      <c r="H839" s="838"/>
      <c r="I839"/>
      <c r="J839"/>
    </row>
    <row r="840" spans="2:10">
      <c r="B840" t="s">
        <v>2848</v>
      </c>
      <c r="C840" s="915">
        <v>4403000000</v>
      </c>
      <c r="D840" s="915" t="s">
        <v>3111</v>
      </c>
      <c r="E840" s="915">
        <v>-37936</v>
      </c>
      <c r="F840" s="915">
        <v>-146775</v>
      </c>
      <c r="G840" s="838"/>
      <c r="H840" s="838"/>
      <c r="I840"/>
      <c r="J840"/>
    </row>
    <row r="841" spans="2:10">
      <c r="B841" t="s">
        <v>2848</v>
      </c>
      <c r="C841" s="915">
        <v>4403000000</v>
      </c>
      <c r="D841" s="915" t="s">
        <v>3111</v>
      </c>
      <c r="E841" s="915">
        <v>-81522</v>
      </c>
      <c r="F841" s="915">
        <v>-312707</v>
      </c>
      <c r="G841" s="838"/>
      <c r="H841" s="838"/>
      <c r="I841"/>
      <c r="J841"/>
    </row>
    <row r="842" spans="2:10">
      <c r="B842" t="s">
        <v>2848</v>
      </c>
      <c r="C842" s="915">
        <v>4403000000</v>
      </c>
      <c r="D842" s="915" t="s">
        <v>3111</v>
      </c>
      <c r="E842" s="915">
        <v>-19401</v>
      </c>
      <c r="F842" s="915">
        <v>0</v>
      </c>
      <c r="G842" s="838"/>
      <c r="H842" s="838"/>
      <c r="I842"/>
      <c r="J842"/>
    </row>
    <row r="843" spans="2:10">
      <c r="B843" t="s">
        <v>2848</v>
      </c>
      <c r="C843" s="915">
        <v>4403000000</v>
      </c>
      <c r="D843" s="915" t="s">
        <v>3111</v>
      </c>
      <c r="E843" s="915">
        <v>0</v>
      </c>
      <c r="F843" s="915">
        <v>-237451</v>
      </c>
      <c r="G843" s="838"/>
      <c r="H843" s="838"/>
      <c r="I843"/>
      <c r="J843"/>
    </row>
    <row r="844" spans="2:10">
      <c r="B844" t="s">
        <v>2848</v>
      </c>
      <c r="C844" s="915">
        <v>4403100000</v>
      </c>
      <c r="D844" s="915" t="s">
        <v>3112</v>
      </c>
      <c r="E844" s="915">
        <v>0</v>
      </c>
      <c r="F844" s="915">
        <v>-1607361</v>
      </c>
      <c r="G844" s="838"/>
      <c r="H844" s="838"/>
      <c r="I844"/>
      <c r="J844"/>
    </row>
    <row r="845" spans="2:10">
      <c r="B845" t="s">
        <v>2848</v>
      </c>
      <c r="C845" s="915">
        <v>4403100000</v>
      </c>
      <c r="D845" s="915" t="s">
        <v>3112</v>
      </c>
      <c r="E845" s="915">
        <v>-52308238</v>
      </c>
      <c r="F845" s="915">
        <v>-136065165</v>
      </c>
      <c r="G845" s="838"/>
      <c r="H845" s="838"/>
      <c r="I845"/>
      <c r="J845"/>
    </row>
    <row r="846" spans="2:10">
      <c r="B846" t="s">
        <v>2848</v>
      </c>
      <c r="C846" s="915">
        <v>4403100000</v>
      </c>
      <c r="D846" s="915" t="s">
        <v>3112</v>
      </c>
      <c r="E846" s="915">
        <v>-798412</v>
      </c>
      <c r="F846" s="915">
        <v>-2780815</v>
      </c>
      <c r="G846" s="838"/>
      <c r="H846" s="838"/>
      <c r="I846"/>
      <c r="J846"/>
    </row>
    <row r="847" spans="2:10">
      <c r="B847" t="s">
        <v>2848</v>
      </c>
      <c r="C847" s="915">
        <v>4403100000</v>
      </c>
      <c r="D847" s="915" t="s">
        <v>3112</v>
      </c>
      <c r="E847" s="915">
        <v>-22092</v>
      </c>
      <c r="F847" s="915">
        <v>-53688</v>
      </c>
      <c r="G847" s="838"/>
      <c r="H847" s="838"/>
      <c r="I847"/>
      <c r="J847"/>
    </row>
    <row r="848" spans="2:10">
      <c r="B848" t="s">
        <v>2848</v>
      </c>
      <c r="C848" s="915">
        <v>4403100000</v>
      </c>
      <c r="D848" s="915" t="s">
        <v>3112</v>
      </c>
      <c r="E848" s="915">
        <v>-19282503</v>
      </c>
      <c r="F848" s="915">
        <v>-132531257</v>
      </c>
      <c r="G848" s="838"/>
      <c r="H848" s="838"/>
      <c r="I848"/>
      <c r="J848"/>
    </row>
    <row r="849" spans="2:10">
      <c r="B849" t="s">
        <v>2848</v>
      </c>
      <c r="C849" s="915">
        <v>5111100000</v>
      </c>
      <c r="D849" s="915" t="s">
        <v>3113</v>
      </c>
      <c r="E849" s="915">
        <v>-129314867</v>
      </c>
      <c r="F849" s="915">
        <v>-278866025</v>
      </c>
      <c r="G849" s="838"/>
      <c r="H849" s="838"/>
      <c r="I849"/>
      <c r="J849"/>
    </row>
    <row r="850" spans="2:10">
      <c r="B850" t="s">
        <v>2848</v>
      </c>
      <c r="C850" s="915">
        <v>5121100000</v>
      </c>
      <c r="D850" s="915" t="s">
        <v>3114</v>
      </c>
      <c r="E850" s="915">
        <v>-122003302</v>
      </c>
      <c r="F850" s="915">
        <v>-3181880243</v>
      </c>
      <c r="G850" s="838"/>
      <c r="H850" s="838"/>
      <c r="I850"/>
      <c r="J850"/>
    </row>
    <row r="851" spans="2:10">
      <c r="B851" t="s">
        <v>2848</v>
      </c>
      <c r="C851" s="915">
        <v>5131000300</v>
      </c>
      <c r="D851" s="915" t="s">
        <v>3115</v>
      </c>
      <c r="E851" s="915">
        <v>-784971</v>
      </c>
      <c r="F851" s="915">
        <v>-1498612</v>
      </c>
      <c r="G851" s="838"/>
      <c r="H851" s="838"/>
      <c r="I851"/>
      <c r="J851"/>
    </row>
    <row r="852" spans="2:10">
      <c r="B852" t="s">
        <v>2848</v>
      </c>
      <c r="C852" s="915">
        <v>5131022040</v>
      </c>
      <c r="D852" s="915" t="s">
        <v>3116</v>
      </c>
      <c r="E852" s="915">
        <v>-12691860402</v>
      </c>
      <c r="F852" s="915">
        <v>-48584861430</v>
      </c>
      <c r="G852" s="838"/>
      <c r="H852" s="838"/>
      <c r="I852"/>
      <c r="J852"/>
    </row>
    <row r="853" spans="2:10">
      <c r="B853" t="s">
        <v>2848</v>
      </c>
      <c r="C853" s="915">
        <v>5131104000</v>
      </c>
      <c r="D853" s="915" t="s">
        <v>3117</v>
      </c>
      <c r="E853" s="915">
        <v>59762666</v>
      </c>
      <c r="F853" s="915">
        <v>-2992748728</v>
      </c>
      <c r="G853" s="838"/>
      <c r="H853" s="838"/>
      <c r="I853"/>
      <c r="J853"/>
    </row>
    <row r="854" spans="2:10">
      <c r="B854" t="s">
        <v>2848</v>
      </c>
      <c r="C854" s="915">
        <v>5141000000</v>
      </c>
      <c r="D854" s="915" t="s">
        <v>3118</v>
      </c>
      <c r="E854" s="915">
        <v>-2939040181</v>
      </c>
      <c r="F854" s="915">
        <v>-9693091586</v>
      </c>
      <c r="G854" s="838"/>
      <c r="H854" s="838"/>
      <c r="I854"/>
      <c r="J854"/>
    </row>
    <row r="855" spans="2:10">
      <c r="B855" t="s">
        <v>2848</v>
      </c>
      <c r="C855" s="915">
        <v>5151000000</v>
      </c>
      <c r="D855" s="915" t="s">
        <v>3119</v>
      </c>
      <c r="E855" s="915">
        <v>-1329587004</v>
      </c>
      <c r="F855" s="915">
        <v>-4887682722</v>
      </c>
      <c r="G855" s="838"/>
      <c r="H855" s="838"/>
      <c r="I855"/>
      <c r="J855"/>
    </row>
    <row r="856" spans="2:10">
      <c r="B856" t="s">
        <v>2848</v>
      </c>
      <c r="C856" s="915">
        <v>5153000000</v>
      </c>
      <c r="D856" s="915" t="s">
        <v>3120</v>
      </c>
      <c r="E856" s="915">
        <v>-349208423</v>
      </c>
      <c r="F856" s="915">
        <v>-1388510960</v>
      </c>
      <c r="G856" s="838"/>
      <c r="H856" s="838"/>
      <c r="I856"/>
      <c r="J856"/>
    </row>
    <row r="857" spans="2:10">
      <c r="B857" t="s">
        <v>2848</v>
      </c>
      <c r="C857" s="915">
        <v>5153100000</v>
      </c>
      <c r="D857" s="915" t="s">
        <v>3121</v>
      </c>
      <c r="E857" s="915">
        <v>-8817309</v>
      </c>
      <c r="F857" s="915">
        <v>-30170044</v>
      </c>
      <c r="G857" s="838"/>
      <c r="H857" s="838"/>
      <c r="I857"/>
      <c r="J857"/>
    </row>
    <row r="858" spans="2:10">
      <c r="B858" t="s">
        <v>2848</v>
      </c>
      <c r="C858" s="915">
        <v>5157310000</v>
      </c>
      <c r="D858" s="915" t="s">
        <v>3122</v>
      </c>
      <c r="E858" s="915">
        <v>-1817490875</v>
      </c>
      <c r="F858" s="915">
        <v>-7741530201</v>
      </c>
      <c r="G858" s="838"/>
      <c r="H858" s="838"/>
      <c r="I858"/>
      <c r="J858"/>
    </row>
    <row r="859" spans="2:10">
      <c r="B859" t="s">
        <v>2848</v>
      </c>
      <c r="C859" s="915">
        <v>5157320000</v>
      </c>
      <c r="D859" s="915" t="s">
        <v>3124</v>
      </c>
      <c r="E859" s="915">
        <v>-177975754</v>
      </c>
      <c r="F859" s="915">
        <v>12899139</v>
      </c>
      <c r="G859" s="838"/>
      <c r="H859" s="838"/>
      <c r="I859"/>
      <c r="J859"/>
    </row>
    <row r="860" spans="2:10">
      <c r="B860" t="s">
        <v>2848</v>
      </c>
      <c r="C860" s="915">
        <v>5321110000</v>
      </c>
      <c r="D860" s="915" t="s">
        <v>3125</v>
      </c>
      <c r="E860" s="915">
        <v>-2232364514</v>
      </c>
      <c r="F860" s="915">
        <v>-13623356421</v>
      </c>
      <c r="G860" s="838"/>
      <c r="H860" s="838"/>
      <c r="I860"/>
      <c r="J860"/>
    </row>
    <row r="861" spans="2:10">
      <c r="B861" t="s">
        <v>2848</v>
      </c>
      <c r="C861" s="915">
        <v>5323300000</v>
      </c>
      <c r="D861" s="915" t="s">
        <v>3126</v>
      </c>
      <c r="E861" s="915">
        <v>-231094123</v>
      </c>
      <c r="F861" s="915">
        <v>-755183592</v>
      </c>
      <c r="G861" s="838"/>
      <c r="H861" s="838"/>
      <c r="I861"/>
      <c r="J861"/>
    </row>
    <row r="862" spans="2:10">
      <c r="B862" t="s">
        <v>2848</v>
      </c>
      <c r="C862" s="915">
        <v>5324140000</v>
      </c>
      <c r="D862" s="915" t="s">
        <v>3127</v>
      </c>
      <c r="E862" s="915">
        <v>0</v>
      </c>
      <c r="F862" s="915">
        <v>-940840453</v>
      </c>
      <c r="G862" s="838"/>
      <c r="H862" s="838"/>
      <c r="I862"/>
      <c r="J862"/>
    </row>
    <row r="863" spans="2:10">
      <c r="B863" t="s">
        <v>2848</v>
      </c>
      <c r="C863" s="915">
        <v>5331100000</v>
      </c>
      <c r="D863" s="915" t="s">
        <v>3128</v>
      </c>
      <c r="E863" s="915">
        <v>-288584220</v>
      </c>
      <c r="F863" s="915">
        <v>-2578497393</v>
      </c>
      <c r="G863" s="838"/>
      <c r="H863" s="838"/>
      <c r="I863"/>
      <c r="J863"/>
    </row>
    <row r="864" spans="2:10">
      <c r="B864" t="s">
        <v>2848</v>
      </c>
      <c r="C864" s="915">
        <v>5341000000</v>
      </c>
      <c r="D864" s="915" t="s">
        <v>3129</v>
      </c>
      <c r="E864" s="915">
        <v>0</v>
      </c>
      <c r="F864" s="915">
        <v>3</v>
      </c>
      <c r="G864" s="838"/>
      <c r="H864" s="838"/>
      <c r="I864"/>
      <c r="J864"/>
    </row>
    <row r="865" spans="2:10">
      <c r="B865" t="s">
        <v>2848</v>
      </c>
      <c r="C865" s="915">
        <v>5351000000</v>
      </c>
      <c r="D865" s="915" t="s">
        <v>3130</v>
      </c>
      <c r="E865" s="915">
        <v>-1683044</v>
      </c>
      <c r="F865" s="915">
        <v>18912252</v>
      </c>
      <c r="G865" s="838"/>
      <c r="H865" s="838"/>
      <c r="I865"/>
      <c r="J865"/>
    </row>
    <row r="866" spans="2:10">
      <c r="B866" t="s">
        <v>2848</v>
      </c>
      <c r="C866" s="915">
        <v>5354000000</v>
      </c>
      <c r="D866" s="915" t="s">
        <v>3131</v>
      </c>
      <c r="E866" s="915">
        <v>-662499649</v>
      </c>
      <c r="F866" s="915">
        <v>-115516151</v>
      </c>
      <c r="G866" s="838"/>
      <c r="H866" s="838"/>
      <c r="I866"/>
      <c r="J866"/>
    </row>
    <row r="867" spans="2:10">
      <c r="B867" t="s">
        <v>2848</v>
      </c>
      <c r="C867" s="915">
        <v>5372620000</v>
      </c>
      <c r="D867" s="915" t="s">
        <v>3132</v>
      </c>
      <c r="E867" s="915">
        <v>-1485699739</v>
      </c>
      <c r="F867" s="915">
        <v>-5692583589</v>
      </c>
      <c r="G867" s="838"/>
      <c r="H867" s="838"/>
      <c r="I867"/>
      <c r="J867"/>
    </row>
    <row r="868" spans="2:10">
      <c r="B868" t="s">
        <v>2848</v>
      </c>
      <c r="C868" s="915">
        <v>5372630000</v>
      </c>
      <c r="D868" s="915" t="s">
        <v>3133</v>
      </c>
      <c r="E868" s="915">
        <v>-2826744824</v>
      </c>
      <c r="F868" s="915">
        <v>-11057892646</v>
      </c>
      <c r="G868" s="838"/>
      <c r="H868" s="838"/>
      <c r="I868"/>
      <c r="J868"/>
    </row>
    <row r="869" spans="2:10">
      <c r="B869" t="s">
        <v>2848</v>
      </c>
      <c r="C869" s="915">
        <v>5421110000</v>
      </c>
      <c r="D869" s="915" t="s">
        <v>3134</v>
      </c>
      <c r="E869" s="915">
        <v>2837019243</v>
      </c>
      <c r="F869" s="915">
        <v>5815863219</v>
      </c>
      <c r="G869" s="838"/>
      <c r="H869" s="838"/>
      <c r="I869"/>
      <c r="J869"/>
    </row>
    <row r="870" spans="2:10">
      <c r="B870" t="s">
        <v>2848</v>
      </c>
      <c r="C870" s="915">
        <v>5424140000</v>
      </c>
      <c r="D870" s="915" t="s">
        <v>3135</v>
      </c>
      <c r="E870" s="915">
        <v>0</v>
      </c>
      <c r="F870" s="915">
        <v>847223772</v>
      </c>
      <c r="G870" s="838"/>
      <c r="H870" s="838"/>
      <c r="I870"/>
      <c r="J870"/>
    </row>
    <row r="871" spans="2:10">
      <c r="B871" t="s">
        <v>2848</v>
      </c>
      <c r="C871" s="915">
        <v>5424150000</v>
      </c>
      <c r="D871" s="915" t="s">
        <v>3136</v>
      </c>
      <c r="E871" s="915">
        <v>95469464</v>
      </c>
      <c r="F871" s="915">
        <v>1116870625</v>
      </c>
      <c r="G871" s="838"/>
      <c r="H871" s="838"/>
      <c r="I871"/>
      <c r="J871"/>
    </row>
    <row r="872" spans="2:10">
      <c r="B872" t="s">
        <v>2848</v>
      </c>
      <c r="C872" s="915">
        <v>5431100000</v>
      </c>
      <c r="D872" s="915" t="s">
        <v>3137</v>
      </c>
      <c r="E872" s="915">
        <v>0</v>
      </c>
      <c r="F872" s="915">
        <v>266816</v>
      </c>
      <c r="G872" s="838"/>
      <c r="H872" s="838"/>
      <c r="I872"/>
      <c r="J872"/>
    </row>
    <row r="873" spans="2:10">
      <c r="B873" t="s">
        <v>2848</v>
      </c>
      <c r="C873" s="915">
        <v>5442000000</v>
      </c>
      <c r="D873" s="915" t="s">
        <v>3138</v>
      </c>
      <c r="E873" s="915">
        <v>137066029</v>
      </c>
      <c r="F873" s="915">
        <v>342751945</v>
      </c>
      <c r="G873" s="838"/>
      <c r="H873" s="838"/>
      <c r="I873"/>
      <c r="J873"/>
    </row>
    <row r="874" spans="2:10">
      <c r="B874" t="s">
        <v>2848</v>
      </c>
      <c r="C874" s="915">
        <v>5451000000</v>
      </c>
      <c r="D874" s="915" t="s">
        <v>3139</v>
      </c>
      <c r="E874" s="915">
        <v>27856</v>
      </c>
      <c r="F874" s="915">
        <v>-21692489</v>
      </c>
      <c r="G874" s="838"/>
      <c r="H874" s="838"/>
      <c r="I874"/>
      <c r="J874"/>
    </row>
    <row r="875" spans="2:10">
      <c r="B875" t="s">
        <v>2848</v>
      </c>
      <c r="C875" s="915">
        <v>5472620000</v>
      </c>
      <c r="D875" s="915" t="s">
        <v>3140</v>
      </c>
      <c r="E875" s="915">
        <v>1114999435</v>
      </c>
      <c r="F875" s="915">
        <v>2028646770</v>
      </c>
      <c r="G875" s="838"/>
      <c r="H875" s="838"/>
      <c r="I875"/>
      <c r="J875"/>
    </row>
    <row r="876" spans="2:10">
      <c r="B876" t="s">
        <v>2848</v>
      </c>
      <c r="C876" s="915">
        <v>5472630000</v>
      </c>
      <c r="D876" s="915" t="s">
        <v>3141</v>
      </c>
      <c r="E876" s="915">
        <v>3258545972</v>
      </c>
      <c r="F876" s="915">
        <v>5133401189</v>
      </c>
      <c r="G876" s="838"/>
      <c r="H876" s="838"/>
      <c r="I876"/>
      <c r="J876"/>
    </row>
    <row r="877" spans="2:10">
      <c r="B877" t="s">
        <v>2848</v>
      </c>
      <c r="C877" s="915">
        <v>5495100000</v>
      </c>
      <c r="D877" s="915" t="s">
        <v>3142</v>
      </c>
      <c r="E877" s="915">
        <v>38199734</v>
      </c>
      <c r="F877" s="915">
        <v>22930543</v>
      </c>
      <c r="G877" s="838"/>
      <c r="H877" s="838"/>
      <c r="I877"/>
      <c r="J877"/>
    </row>
    <row r="878" spans="2:10">
      <c r="B878" t="s">
        <v>2848</v>
      </c>
      <c r="C878" s="915">
        <v>6012110000</v>
      </c>
      <c r="D878" s="915" t="s">
        <v>3143</v>
      </c>
      <c r="E878" s="915">
        <v>-75775241</v>
      </c>
      <c r="F878" s="915">
        <v>-30435546</v>
      </c>
      <c r="G878" s="838"/>
      <c r="H878" s="838"/>
      <c r="I878"/>
      <c r="J878"/>
    </row>
    <row r="879" spans="2:10">
      <c r="B879" t="s">
        <v>2848</v>
      </c>
      <c r="C879" s="915">
        <v>6012130000</v>
      </c>
      <c r="D879" s="915" t="s">
        <v>3144</v>
      </c>
      <c r="E879" s="915">
        <v>-512339134</v>
      </c>
      <c r="F879" s="915">
        <v>-1312943252</v>
      </c>
      <c r="G879" s="838"/>
      <c r="H879" s="838"/>
      <c r="I879"/>
      <c r="J879"/>
    </row>
    <row r="880" spans="2:10">
      <c r="B880" t="s">
        <v>2848</v>
      </c>
      <c r="C880" s="915">
        <v>6012210000</v>
      </c>
      <c r="D880" s="915" t="s">
        <v>3145</v>
      </c>
      <c r="E880" s="915">
        <v>-28752627</v>
      </c>
      <c r="F880" s="915">
        <v>-70544046</v>
      </c>
      <c r="G880" s="838"/>
      <c r="H880" s="838"/>
      <c r="I880"/>
      <c r="J880"/>
    </row>
    <row r="881" spans="2:10">
      <c r="B881" t="s">
        <v>2848</v>
      </c>
      <c r="C881" s="915">
        <v>6012230000</v>
      </c>
      <c r="D881" s="915" t="s">
        <v>3146</v>
      </c>
      <c r="E881" s="915">
        <v>-9379424440</v>
      </c>
      <c r="F881" s="915">
        <v>-26837835364</v>
      </c>
      <c r="G881" s="838"/>
      <c r="H881" s="838"/>
      <c r="I881"/>
      <c r="J881"/>
    </row>
    <row r="882" spans="2:10">
      <c r="B882" t="s">
        <v>2848</v>
      </c>
      <c r="C882" s="915">
        <v>6012310000</v>
      </c>
      <c r="D882" s="915" t="s">
        <v>3147</v>
      </c>
      <c r="E882" s="915">
        <v>93031734</v>
      </c>
      <c r="F882" s="915">
        <v>78362175</v>
      </c>
      <c r="G882" s="838"/>
      <c r="H882" s="838"/>
      <c r="I882"/>
      <c r="J882"/>
    </row>
    <row r="883" spans="2:10">
      <c r="B883" t="s">
        <v>2848</v>
      </c>
      <c r="C883" s="915">
        <v>6012410000</v>
      </c>
      <c r="D883" s="915" t="s">
        <v>3148</v>
      </c>
      <c r="E883" s="915">
        <v>15535197</v>
      </c>
      <c r="F883" s="915">
        <v>40477263</v>
      </c>
      <c r="G883" s="838"/>
      <c r="H883" s="838"/>
      <c r="I883"/>
      <c r="J883"/>
    </row>
    <row r="884" spans="2:10">
      <c r="B884" t="s">
        <v>2848</v>
      </c>
      <c r="C884" s="915">
        <v>6012430000</v>
      </c>
      <c r="D884" s="915" t="s">
        <v>3149</v>
      </c>
      <c r="E884" s="915">
        <v>164804</v>
      </c>
      <c r="F884" s="915">
        <v>1949701312</v>
      </c>
      <c r="G884" s="838"/>
      <c r="H884" s="838"/>
      <c r="I884"/>
      <c r="J884"/>
    </row>
    <row r="885" spans="2:10">
      <c r="B885" t="s">
        <v>2848</v>
      </c>
      <c r="C885" s="915">
        <v>6013210000</v>
      </c>
      <c r="D885" s="915" t="s">
        <v>3150</v>
      </c>
      <c r="E885" s="915">
        <v>0</v>
      </c>
      <c r="F885" s="915">
        <v>-40720145</v>
      </c>
      <c r="G885" s="838"/>
      <c r="H885" s="838"/>
      <c r="I885"/>
      <c r="J885"/>
    </row>
    <row r="886" spans="2:10">
      <c r="B886" t="s">
        <v>2848</v>
      </c>
      <c r="C886" s="915">
        <v>6031110000</v>
      </c>
      <c r="D886" s="915" t="s">
        <v>3152</v>
      </c>
      <c r="E886" s="915">
        <v>76497645</v>
      </c>
      <c r="F886" s="915">
        <v>-445708094</v>
      </c>
      <c r="G886" s="838"/>
      <c r="H886" s="838"/>
      <c r="I886"/>
      <c r="J886"/>
    </row>
    <row r="887" spans="2:10">
      <c r="B887" t="s">
        <v>2848</v>
      </c>
      <c r="C887" s="915">
        <v>6031120000</v>
      </c>
      <c r="D887" s="915" t="s">
        <v>3153</v>
      </c>
      <c r="E887" s="915">
        <v>-1159639345</v>
      </c>
      <c r="F887" s="915">
        <v>-2866293878</v>
      </c>
      <c r="G887" s="838"/>
      <c r="H887" s="838"/>
      <c r="I887"/>
      <c r="J887"/>
    </row>
    <row r="888" spans="2:10">
      <c r="B888" t="s">
        <v>2848</v>
      </c>
      <c r="C888" s="915">
        <v>6031130000</v>
      </c>
      <c r="D888" s="915" t="s">
        <v>3154</v>
      </c>
      <c r="E888" s="915">
        <v>-448596954</v>
      </c>
      <c r="F888" s="915">
        <v>-2663454326</v>
      </c>
      <c r="G888" s="838"/>
      <c r="H888" s="838"/>
      <c r="I888"/>
      <c r="J888"/>
    </row>
    <row r="889" spans="2:10">
      <c r="B889" t="s">
        <v>2848</v>
      </c>
      <c r="C889" s="915">
        <v>6031140000</v>
      </c>
      <c r="D889" s="915" t="s">
        <v>3155</v>
      </c>
      <c r="E889" s="915">
        <v>-15382751</v>
      </c>
      <c r="F889" s="915">
        <v>-143189779</v>
      </c>
      <c r="G889" s="838"/>
      <c r="H889" s="838"/>
      <c r="I889"/>
      <c r="J889"/>
    </row>
    <row r="890" spans="2:10">
      <c r="B890" t="s">
        <v>2848</v>
      </c>
      <c r="C890" s="915">
        <v>6031150000</v>
      </c>
      <c r="D890" s="915" t="s">
        <v>3156</v>
      </c>
      <c r="E890" s="915">
        <v>-9639959</v>
      </c>
      <c r="F890" s="915">
        <v>-6458902874</v>
      </c>
      <c r="G890" s="838"/>
      <c r="H890" s="838"/>
      <c r="I890"/>
      <c r="J890"/>
    </row>
    <row r="891" spans="2:10">
      <c r="B891" t="s">
        <v>2848</v>
      </c>
      <c r="C891" s="915">
        <v>6031190000</v>
      </c>
      <c r="D891" s="915" t="s">
        <v>3157</v>
      </c>
      <c r="E891" s="915">
        <v>-1210085</v>
      </c>
      <c r="F891" s="915">
        <v>-20770700</v>
      </c>
      <c r="G891" s="838"/>
      <c r="H891" s="838"/>
      <c r="I891"/>
      <c r="J891"/>
    </row>
    <row r="892" spans="2:10">
      <c r="B892" t="s">
        <v>2848</v>
      </c>
      <c r="C892" s="915">
        <v>6031210000</v>
      </c>
      <c r="D892" s="915" t="s">
        <v>3158</v>
      </c>
      <c r="E892" s="915">
        <v>-1203319</v>
      </c>
      <c r="F892" s="915">
        <v>-167122988</v>
      </c>
      <c r="G892" s="838"/>
      <c r="H892" s="838"/>
      <c r="I892"/>
      <c r="J892"/>
    </row>
    <row r="893" spans="2:10">
      <c r="B893" t="s">
        <v>2848</v>
      </c>
      <c r="C893" s="915">
        <v>6031220000</v>
      </c>
      <c r="D893" s="915" t="s">
        <v>3159</v>
      </c>
      <c r="E893" s="915">
        <v>-566866</v>
      </c>
      <c r="F893" s="915">
        <v>3579476</v>
      </c>
      <c r="G893" s="838"/>
      <c r="H893" s="838"/>
      <c r="I893"/>
      <c r="J893"/>
    </row>
    <row r="894" spans="2:10">
      <c r="B894" t="s">
        <v>2848</v>
      </c>
      <c r="C894" s="915">
        <v>6031240000</v>
      </c>
      <c r="D894" s="915" t="s">
        <v>3160</v>
      </c>
      <c r="E894" s="915">
        <v>-9825998</v>
      </c>
      <c r="F894" s="915">
        <v>-38215171</v>
      </c>
      <c r="G894" s="838"/>
      <c r="H894" s="838"/>
      <c r="I894"/>
      <c r="J894"/>
    </row>
    <row r="895" spans="2:10">
      <c r="B895" t="s">
        <v>2848</v>
      </c>
      <c r="C895" s="915">
        <v>6031290000</v>
      </c>
      <c r="D895" s="915" t="s">
        <v>3161</v>
      </c>
      <c r="E895" s="915">
        <v>-224164</v>
      </c>
      <c r="F895" s="915">
        <v>-28505050</v>
      </c>
      <c r="G895" s="838"/>
      <c r="H895" s="838"/>
      <c r="I895"/>
      <c r="J895"/>
    </row>
    <row r="896" spans="2:10">
      <c r="B896" t="s">
        <v>2848</v>
      </c>
      <c r="C896" s="915">
        <v>6032110000</v>
      </c>
      <c r="D896" s="915" t="s">
        <v>3162</v>
      </c>
      <c r="E896" s="915">
        <v>-86904427</v>
      </c>
      <c r="F896" s="915">
        <v>447932632</v>
      </c>
      <c r="G896" s="838"/>
      <c r="H896" s="838"/>
      <c r="I896"/>
      <c r="J896"/>
    </row>
    <row r="897" spans="2:10">
      <c r="B897" t="s">
        <v>2848</v>
      </c>
      <c r="C897" s="915">
        <v>6032120000</v>
      </c>
      <c r="D897" s="915" t="s">
        <v>3163</v>
      </c>
      <c r="E897" s="915">
        <v>73446141</v>
      </c>
      <c r="F897" s="915">
        <v>174542840</v>
      </c>
      <c r="G897" s="838"/>
      <c r="H897" s="838"/>
      <c r="I897"/>
      <c r="J897"/>
    </row>
    <row r="898" spans="2:10">
      <c r="B898" t="s">
        <v>2848</v>
      </c>
      <c r="C898" s="915">
        <v>6032130000</v>
      </c>
      <c r="D898" s="915" t="s">
        <v>3164</v>
      </c>
      <c r="E898" s="915">
        <v>1703341283</v>
      </c>
      <c r="F898" s="915">
        <v>5643851939</v>
      </c>
      <c r="G898" s="838"/>
      <c r="H898" s="838"/>
      <c r="I898"/>
      <c r="J898"/>
    </row>
    <row r="899" spans="2:10">
      <c r="B899" t="s">
        <v>2848</v>
      </c>
      <c r="C899" s="915">
        <v>6032140000</v>
      </c>
      <c r="D899" s="915" t="s">
        <v>3165</v>
      </c>
      <c r="E899" s="915">
        <v>-771807</v>
      </c>
      <c r="F899" s="915">
        <v>126652974</v>
      </c>
      <c r="G899" s="838"/>
      <c r="H899" s="838"/>
      <c r="I899"/>
      <c r="J899"/>
    </row>
    <row r="900" spans="2:10">
      <c r="B900" t="s">
        <v>2848</v>
      </c>
      <c r="C900" s="915">
        <v>6032150000</v>
      </c>
      <c r="D900" s="915" t="s">
        <v>3166</v>
      </c>
      <c r="E900" s="915">
        <v>9315395839</v>
      </c>
      <c r="F900" s="915">
        <v>30711824241</v>
      </c>
      <c r="G900" s="838"/>
      <c r="H900" s="838"/>
      <c r="I900"/>
      <c r="J900"/>
    </row>
    <row r="901" spans="2:10">
      <c r="B901" t="s">
        <v>2848</v>
      </c>
      <c r="C901" s="915">
        <v>6032190000</v>
      </c>
      <c r="D901" s="915" t="s">
        <v>3167</v>
      </c>
      <c r="E901" s="915">
        <v>0</v>
      </c>
      <c r="F901" s="915">
        <v>6098107</v>
      </c>
      <c r="G901" s="838"/>
      <c r="H901" s="838"/>
      <c r="I901"/>
      <c r="J901"/>
    </row>
    <row r="902" spans="2:10">
      <c r="B902" t="s">
        <v>2848</v>
      </c>
      <c r="C902" s="915">
        <v>6032210000</v>
      </c>
      <c r="D902" s="915" t="s">
        <v>3168</v>
      </c>
      <c r="E902" s="915">
        <v>2962893</v>
      </c>
      <c r="F902" s="915">
        <v>46566915</v>
      </c>
      <c r="G902" s="838"/>
      <c r="H902" s="838"/>
      <c r="I902"/>
      <c r="J902"/>
    </row>
    <row r="903" spans="2:10">
      <c r="B903" t="s">
        <v>2848</v>
      </c>
      <c r="C903" s="915">
        <v>6032230000</v>
      </c>
      <c r="D903" s="915" t="s">
        <v>3169</v>
      </c>
      <c r="E903" s="915">
        <v>0</v>
      </c>
      <c r="F903" s="915">
        <v>22252874</v>
      </c>
      <c r="G903" s="838"/>
      <c r="H903" s="838"/>
      <c r="I903"/>
      <c r="J903"/>
    </row>
    <row r="904" spans="2:10">
      <c r="B904" t="s">
        <v>2848</v>
      </c>
      <c r="C904" s="915">
        <v>6032240000</v>
      </c>
      <c r="D904" s="915" t="s">
        <v>3170</v>
      </c>
      <c r="E904" s="915">
        <v>9662653</v>
      </c>
      <c r="F904" s="915">
        <v>31550694</v>
      </c>
      <c r="G904" s="838"/>
      <c r="H904" s="838"/>
      <c r="I904"/>
      <c r="J904"/>
    </row>
    <row r="905" spans="2:10">
      <c r="B905" t="s">
        <v>2848</v>
      </c>
      <c r="C905" s="915">
        <v>6032290000</v>
      </c>
      <c r="D905" s="915" t="s">
        <v>3171</v>
      </c>
      <c r="E905" s="915">
        <v>798603</v>
      </c>
      <c r="F905" s="915">
        <v>33416107</v>
      </c>
      <c r="G905" s="838"/>
      <c r="H905" s="838"/>
      <c r="I905"/>
      <c r="J905"/>
    </row>
    <row r="906" spans="2:10">
      <c r="B906" t="s">
        <v>2848</v>
      </c>
      <c r="C906" s="915">
        <v>6543100010</v>
      </c>
      <c r="D906" s="915" t="s">
        <v>3172</v>
      </c>
      <c r="E906" s="915">
        <v>0</v>
      </c>
      <c r="F906" s="915">
        <v>-9494161</v>
      </c>
      <c r="G906" s="838"/>
      <c r="H906" s="838"/>
      <c r="I906"/>
      <c r="J906"/>
    </row>
    <row r="907" spans="2:10">
      <c r="B907" t="s">
        <v>2848</v>
      </c>
      <c r="C907" s="915">
        <v>6543200010</v>
      </c>
      <c r="D907" s="915" t="s">
        <v>3173</v>
      </c>
      <c r="E907" s="915">
        <v>0</v>
      </c>
      <c r="F907" s="915">
        <v>-5832</v>
      </c>
      <c r="G907" s="838"/>
      <c r="H907" s="838"/>
      <c r="I907"/>
      <c r="J907"/>
    </row>
    <row r="908" spans="2:10">
      <c r="B908" t="s">
        <v>2848</v>
      </c>
      <c r="C908" s="915">
        <v>6543400010</v>
      </c>
      <c r="D908" s="915" t="s">
        <v>3174</v>
      </c>
      <c r="E908" s="915">
        <v>0</v>
      </c>
      <c r="F908" s="915">
        <v>-365726</v>
      </c>
      <c r="G908" s="838"/>
      <c r="H908" s="838"/>
      <c r="I908"/>
      <c r="J908"/>
    </row>
    <row r="909" spans="2:10">
      <c r="B909" t="s">
        <v>2848</v>
      </c>
      <c r="C909" s="915">
        <v>6595910106</v>
      </c>
      <c r="D909" s="915" t="s">
        <v>3175</v>
      </c>
      <c r="E909" s="915">
        <v>0</v>
      </c>
      <c r="F909" s="915">
        <v>303000</v>
      </c>
      <c r="G909" s="838"/>
      <c r="H909" s="838"/>
      <c r="I909"/>
      <c r="J909"/>
    </row>
    <row r="910" spans="2:10">
      <c r="B910" t="s">
        <v>2848</v>
      </c>
      <c r="C910" s="915">
        <v>6643400010</v>
      </c>
      <c r="D910" s="915" t="s">
        <v>3176</v>
      </c>
      <c r="E910" s="915">
        <v>0</v>
      </c>
      <c r="F910" s="915">
        <v>223440</v>
      </c>
      <c r="G910" s="838"/>
      <c r="H910" s="838"/>
      <c r="I910"/>
      <c r="J910"/>
    </row>
    <row r="911" spans="2:10">
      <c r="B911" t="s">
        <v>2848</v>
      </c>
      <c r="C911" s="915">
        <v>6810010000</v>
      </c>
      <c r="D911" s="915" t="s">
        <v>3177</v>
      </c>
      <c r="E911" s="915">
        <v>-110756550</v>
      </c>
      <c r="F911" s="915">
        <v>2063297670</v>
      </c>
      <c r="G911" s="838"/>
      <c r="H911" s="838"/>
      <c r="I911"/>
      <c r="J911"/>
    </row>
    <row r="912" spans="2:10">
      <c r="B912" t="s">
        <v>2848</v>
      </c>
      <c r="C912" s="915">
        <v>6810020000</v>
      </c>
      <c r="D912" s="915" t="s">
        <v>3178</v>
      </c>
      <c r="E912" s="915">
        <v>0</v>
      </c>
      <c r="F912" s="915">
        <v>311188945</v>
      </c>
      <c r="G912" s="838"/>
      <c r="H912" s="838"/>
      <c r="I912"/>
      <c r="J912"/>
    </row>
    <row r="913" spans="2:10">
      <c r="B913" t="s">
        <v>2848</v>
      </c>
      <c r="C913" s="915">
        <v>6810110000</v>
      </c>
      <c r="D913" s="915" t="s">
        <v>3179</v>
      </c>
      <c r="E913" s="915">
        <v>1949932861</v>
      </c>
      <c r="F913" s="915">
        <v>-2435657666</v>
      </c>
      <c r="G913" s="838"/>
      <c r="H913" s="838"/>
      <c r="I913"/>
      <c r="J913"/>
    </row>
    <row r="914" spans="2:10">
      <c r="B914" t="s">
        <v>2848</v>
      </c>
      <c r="C914" s="915">
        <v>7020000003</v>
      </c>
      <c r="D914" s="915" t="s">
        <v>3180</v>
      </c>
      <c r="E914" s="915">
        <v>0</v>
      </c>
      <c r="F914" s="915">
        <v>642718616</v>
      </c>
      <c r="G914" s="838"/>
      <c r="H914" s="838"/>
      <c r="I914"/>
      <c r="J914"/>
    </row>
    <row r="915" spans="2:10">
      <c r="B915" t="s">
        <v>2848</v>
      </c>
      <c r="C915" s="915">
        <v>7020000003</v>
      </c>
      <c r="D915" s="915" t="s">
        <v>3180</v>
      </c>
      <c r="E915" s="915">
        <v>0</v>
      </c>
      <c r="F915" s="915">
        <v>1935727</v>
      </c>
      <c r="G915" s="838"/>
      <c r="H915" s="838"/>
      <c r="I915"/>
      <c r="J915"/>
    </row>
    <row r="916" spans="2:10">
      <c r="B916" t="s">
        <v>2848</v>
      </c>
      <c r="C916" s="915">
        <v>7020000109</v>
      </c>
      <c r="D916" s="915" t="s">
        <v>3181</v>
      </c>
      <c r="E916" s="915">
        <v>530200</v>
      </c>
      <c r="F916" s="915">
        <v>1976374</v>
      </c>
      <c r="G916" s="838"/>
      <c r="H916" s="838"/>
      <c r="I916"/>
      <c r="J916"/>
    </row>
    <row r="917" spans="2:10">
      <c r="B917" t="s">
        <v>2848</v>
      </c>
      <c r="C917" s="915">
        <v>7020000109</v>
      </c>
      <c r="D917" s="915" t="s">
        <v>3181</v>
      </c>
      <c r="E917" s="915">
        <v>176682</v>
      </c>
      <c r="F917" s="915">
        <v>698396</v>
      </c>
      <c r="G917" s="838"/>
      <c r="H917" s="838"/>
      <c r="I917"/>
      <c r="J917"/>
    </row>
    <row r="918" spans="2:10">
      <c r="B918" t="s">
        <v>2848</v>
      </c>
      <c r="C918" s="915">
        <v>7020000109</v>
      </c>
      <c r="D918" s="915" t="s">
        <v>3181</v>
      </c>
      <c r="E918" s="915">
        <v>176682</v>
      </c>
      <c r="F918" s="915">
        <v>698396</v>
      </c>
      <c r="G918" s="838"/>
      <c r="H918" s="838"/>
      <c r="I918"/>
      <c r="J918"/>
    </row>
    <row r="919" spans="2:10">
      <c r="B919" t="s">
        <v>2848</v>
      </c>
      <c r="C919" s="915">
        <v>7020000109</v>
      </c>
      <c r="D919" s="915" t="s">
        <v>3181</v>
      </c>
      <c r="E919" s="915">
        <v>176682</v>
      </c>
      <c r="F919" s="915">
        <v>698396</v>
      </c>
      <c r="G919" s="838"/>
      <c r="H919" s="838"/>
      <c r="I919"/>
      <c r="J919"/>
    </row>
    <row r="920" spans="2:10">
      <c r="B920" t="s">
        <v>2848</v>
      </c>
      <c r="C920" s="915">
        <v>7020000109</v>
      </c>
      <c r="D920" s="915" t="s">
        <v>3181</v>
      </c>
      <c r="E920" s="915">
        <v>0</v>
      </c>
      <c r="F920" s="915">
        <v>52400</v>
      </c>
      <c r="G920" s="838"/>
      <c r="H920" s="838"/>
      <c r="I920"/>
      <c r="J920"/>
    </row>
    <row r="921" spans="2:10">
      <c r="B921" t="s">
        <v>2848</v>
      </c>
      <c r="C921" s="915">
        <v>7020000109</v>
      </c>
      <c r="D921" s="915" t="s">
        <v>3181</v>
      </c>
      <c r="E921" s="915">
        <v>176682</v>
      </c>
      <c r="F921" s="915">
        <v>698396</v>
      </c>
      <c r="G921" s="838"/>
      <c r="H921" s="838"/>
      <c r="I921"/>
      <c r="J921"/>
    </row>
    <row r="922" spans="2:10">
      <c r="B922" t="s">
        <v>2848</v>
      </c>
      <c r="C922" s="915">
        <v>7020000109</v>
      </c>
      <c r="D922" s="915" t="s">
        <v>3181</v>
      </c>
      <c r="E922" s="915">
        <v>176682</v>
      </c>
      <c r="F922" s="915">
        <v>698396</v>
      </c>
      <c r="G922" s="838"/>
      <c r="H922" s="838"/>
      <c r="I922"/>
      <c r="J922"/>
    </row>
    <row r="923" spans="2:10">
      <c r="B923" t="s">
        <v>2848</v>
      </c>
      <c r="C923" s="915">
        <v>7020000109</v>
      </c>
      <c r="D923" s="915" t="s">
        <v>3181</v>
      </c>
      <c r="E923" s="915">
        <v>176682</v>
      </c>
      <c r="F923" s="915">
        <v>698396</v>
      </c>
      <c r="G923" s="838"/>
      <c r="H923" s="838"/>
      <c r="I923"/>
      <c r="J923"/>
    </row>
    <row r="924" spans="2:10">
      <c r="B924" t="s">
        <v>2848</v>
      </c>
      <c r="C924" s="915">
        <v>7020000112</v>
      </c>
      <c r="D924" s="915" t="s">
        <v>3182</v>
      </c>
      <c r="E924" s="915">
        <v>813874</v>
      </c>
      <c r="F924" s="915">
        <v>126473882</v>
      </c>
      <c r="G924" s="838"/>
      <c r="H924" s="838"/>
      <c r="I924"/>
      <c r="J924"/>
    </row>
    <row r="925" spans="2:10">
      <c r="B925" t="s">
        <v>2848</v>
      </c>
      <c r="C925" s="915">
        <v>7020000112</v>
      </c>
      <c r="D925" s="915" t="s">
        <v>3182</v>
      </c>
      <c r="E925" s="915">
        <v>0</v>
      </c>
      <c r="F925" s="915">
        <v>817125</v>
      </c>
      <c r="G925" s="838"/>
      <c r="H925" s="838"/>
      <c r="I925"/>
      <c r="J925"/>
    </row>
    <row r="926" spans="2:10">
      <c r="B926" t="s">
        <v>2848</v>
      </c>
      <c r="C926" s="915">
        <v>7020000112</v>
      </c>
      <c r="D926" s="915" t="s">
        <v>3182</v>
      </c>
      <c r="E926" s="915">
        <v>128520</v>
      </c>
      <c r="F926" s="915">
        <v>78286</v>
      </c>
      <c r="G926" s="838"/>
      <c r="H926" s="838"/>
      <c r="I926"/>
      <c r="J926"/>
    </row>
    <row r="927" spans="2:10">
      <c r="B927" t="s">
        <v>2848</v>
      </c>
      <c r="C927" s="915">
        <v>7020000112</v>
      </c>
      <c r="D927" s="915" t="s">
        <v>3182</v>
      </c>
      <c r="E927" s="915">
        <v>0</v>
      </c>
      <c r="F927" s="915">
        <v>400460</v>
      </c>
      <c r="G927" s="838"/>
      <c r="H927" s="838"/>
      <c r="I927"/>
      <c r="J927"/>
    </row>
    <row r="928" spans="2:10">
      <c r="B928" t="s">
        <v>2848</v>
      </c>
      <c r="C928" s="915">
        <v>7020000112</v>
      </c>
      <c r="D928" s="915" t="s">
        <v>3182</v>
      </c>
      <c r="E928" s="915">
        <v>104024</v>
      </c>
      <c r="F928" s="915">
        <v>176572</v>
      </c>
      <c r="G928" s="838"/>
      <c r="H928" s="838"/>
      <c r="I928"/>
      <c r="J928"/>
    </row>
    <row r="929" spans="2:10">
      <c r="B929" t="s">
        <v>2848</v>
      </c>
      <c r="C929" s="915">
        <v>7020000112</v>
      </c>
      <c r="D929" s="915" t="s">
        <v>3182</v>
      </c>
      <c r="E929" s="915">
        <v>0</v>
      </c>
      <c r="F929" s="915">
        <v>241065</v>
      </c>
      <c r="G929" s="838"/>
      <c r="H929" s="838"/>
      <c r="I929"/>
      <c r="J929"/>
    </row>
    <row r="930" spans="2:10">
      <c r="B930" t="s">
        <v>2848</v>
      </c>
      <c r="C930" s="915">
        <v>7020000112</v>
      </c>
      <c r="D930" s="915" t="s">
        <v>3182</v>
      </c>
      <c r="E930" s="915">
        <v>0</v>
      </c>
      <c r="F930" s="915">
        <v>78286</v>
      </c>
      <c r="G930" s="838"/>
      <c r="H930" s="838"/>
      <c r="I930"/>
      <c r="J930"/>
    </row>
    <row r="931" spans="2:10">
      <c r="B931" t="s">
        <v>2848</v>
      </c>
      <c r="C931" s="915">
        <v>7020000112</v>
      </c>
      <c r="D931" s="915" t="s">
        <v>3182</v>
      </c>
      <c r="E931" s="915">
        <v>193277</v>
      </c>
      <c r="F931" s="915">
        <v>124827</v>
      </c>
      <c r="G931" s="838"/>
      <c r="H931" s="838"/>
      <c r="I931"/>
      <c r="J931"/>
    </row>
    <row r="932" spans="2:10">
      <c r="B932" t="s">
        <v>2848</v>
      </c>
      <c r="C932" s="915">
        <v>7020000112</v>
      </c>
      <c r="D932" s="915" t="s">
        <v>3182</v>
      </c>
      <c r="E932" s="915">
        <v>0</v>
      </c>
      <c r="F932" s="915">
        <v>78286</v>
      </c>
      <c r="G932" s="838"/>
      <c r="H932" s="838"/>
      <c r="I932"/>
      <c r="J932"/>
    </row>
    <row r="933" spans="2:10">
      <c r="B933" t="s">
        <v>2848</v>
      </c>
      <c r="C933" s="915">
        <v>7020000112</v>
      </c>
      <c r="D933" s="915" t="s">
        <v>3182</v>
      </c>
      <c r="E933" s="915">
        <v>0</v>
      </c>
      <c r="F933" s="915">
        <v>594891</v>
      </c>
      <c r="G933" s="838"/>
      <c r="H933" s="838"/>
      <c r="I933"/>
      <c r="J933"/>
    </row>
    <row r="934" spans="2:10">
      <c r="B934" t="s">
        <v>2848</v>
      </c>
      <c r="C934" s="915">
        <v>7020000112</v>
      </c>
      <c r="D934" s="915" t="s">
        <v>3182</v>
      </c>
      <c r="E934" s="915">
        <v>171030</v>
      </c>
      <c r="F934" s="915">
        <v>78286</v>
      </c>
      <c r="G934" s="838"/>
      <c r="H934" s="838"/>
      <c r="I934"/>
      <c r="J934"/>
    </row>
    <row r="935" spans="2:10">
      <c r="B935" t="s">
        <v>2848</v>
      </c>
      <c r="C935" s="915">
        <v>7020000112</v>
      </c>
      <c r="D935" s="915" t="s">
        <v>3182</v>
      </c>
      <c r="E935" s="915">
        <v>0</v>
      </c>
      <c r="F935" s="915">
        <v>78286</v>
      </c>
      <c r="G935" s="838"/>
      <c r="H935" s="838"/>
      <c r="I935"/>
      <c r="J935"/>
    </row>
    <row r="936" spans="2:10">
      <c r="B936" t="s">
        <v>2848</v>
      </c>
      <c r="C936" s="915">
        <v>7020000112</v>
      </c>
      <c r="D936" s="915" t="s">
        <v>3182</v>
      </c>
      <c r="E936" s="915">
        <v>140712</v>
      </c>
      <c r="F936" s="915">
        <v>195715</v>
      </c>
      <c r="G936" s="838"/>
      <c r="H936" s="838"/>
      <c r="I936"/>
      <c r="J936"/>
    </row>
    <row r="937" spans="2:10">
      <c r="B937" t="s">
        <v>2848</v>
      </c>
      <c r="C937" s="915">
        <v>7020000112</v>
      </c>
      <c r="D937" s="915" t="s">
        <v>3182</v>
      </c>
      <c r="E937" s="915">
        <v>148538</v>
      </c>
      <c r="F937" s="915">
        <v>117429</v>
      </c>
      <c r="G937" s="838"/>
      <c r="H937" s="838"/>
      <c r="I937"/>
      <c r="J937"/>
    </row>
    <row r="938" spans="2:10">
      <c r="B938" t="s">
        <v>2848</v>
      </c>
      <c r="C938" s="915">
        <v>7020000112</v>
      </c>
      <c r="D938" s="915" t="s">
        <v>3182</v>
      </c>
      <c r="E938" s="915">
        <v>0</v>
      </c>
      <c r="F938" s="915">
        <v>117429</v>
      </c>
      <c r="G938" s="838"/>
      <c r="H938" s="838"/>
      <c r="I938"/>
      <c r="J938"/>
    </row>
    <row r="939" spans="2:10">
      <c r="B939" t="s">
        <v>2848</v>
      </c>
      <c r="C939" s="915">
        <v>7020000112</v>
      </c>
      <c r="D939" s="915" t="s">
        <v>3182</v>
      </c>
      <c r="E939" s="915">
        <v>0</v>
      </c>
      <c r="F939" s="915">
        <v>21550</v>
      </c>
      <c r="G939" s="838"/>
      <c r="H939" s="838"/>
      <c r="I939"/>
      <c r="J939"/>
    </row>
    <row r="940" spans="2:10">
      <c r="B940" t="s">
        <v>2848</v>
      </c>
      <c r="C940" s="915">
        <v>7020000112</v>
      </c>
      <c r="D940" s="915" t="s">
        <v>3182</v>
      </c>
      <c r="E940" s="915">
        <v>0</v>
      </c>
      <c r="F940" s="915">
        <v>162232</v>
      </c>
      <c r="G940" s="838"/>
      <c r="H940" s="838"/>
      <c r="I940"/>
      <c r="J940"/>
    </row>
    <row r="941" spans="2:10">
      <c r="B941" t="s">
        <v>2848</v>
      </c>
      <c r="C941" s="915">
        <v>7020000112</v>
      </c>
      <c r="D941" s="915" t="s">
        <v>3182</v>
      </c>
      <c r="E941" s="915">
        <v>0</v>
      </c>
      <c r="F941" s="915">
        <v>358976</v>
      </c>
      <c r="G941" s="838"/>
      <c r="H941" s="838"/>
      <c r="I941"/>
      <c r="J941"/>
    </row>
    <row r="942" spans="2:10">
      <c r="B942" t="s">
        <v>2848</v>
      </c>
      <c r="C942" s="915">
        <v>7020000112</v>
      </c>
      <c r="D942" s="915" t="s">
        <v>3182</v>
      </c>
      <c r="E942" s="915">
        <v>0</v>
      </c>
      <c r="F942" s="915">
        <v>234858</v>
      </c>
      <c r="G942" s="838"/>
      <c r="H942" s="838"/>
      <c r="I942"/>
      <c r="J942"/>
    </row>
    <row r="943" spans="2:10">
      <c r="B943" t="s">
        <v>2848</v>
      </c>
      <c r="C943" s="915">
        <v>7020000112</v>
      </c>
      <c r="D943" s="915" t="s">
        <v>3182</v>
      </c>
      <c r="E943" s="915">
        <v>0</v>
      </c>
      <c r="F943" s="915">
        <v>291572</v>
      </c>
      <c r="G943" s="838"/>
      <c r="H943" s="838"/>
      <c r="I943"/>
      <c r="J943"/>
    </row>
    <row r="944" spans="2:10">
      <c r="B944" t="s">
        <v>2848</v>
      </c>
      <c r="C944" s="915">
        <v>7020000112</v>
      </c>
      <c r="D944" s="915" t="s">
        <v>3182</v>
      </c>
      <c r="E944" s="915">
        <v>0</v>
      </c>
      <c r="F944" s="915">
        <v>39143</v>
      </c>
      <c r="G944" s="838"/>
      <c r="H944" s="838"/>
      <c r="I944"/>
      <c r="J944"/>
    </row>
    <row r="945" spans="2:10">
      <c r="B945" t="s">
        <v>2848</v>
      </c>
      <c r="C945" s="915">
        <v>7020000112</v>
      </c>
      <c r="D945" s="915" t="s">
        <v>3182</v>
      </c>
      <c r="E945" s="915">
        <v>0</v>
      </c>
      <c r="F945" s="915">
        <v>117429</v>
      </c>
      <c r="G945" s="838"/>
      <c r="H945" s="838"/>
      <c r="I945"/>
      <c r="J945"/>
    </row>
    <row r="946" spans="2:10">
      <c r="B946" t="s">
        <v>2848</v>
      </c>
      <c r="C946" s="915">
        <v>7020000408</v>
      </c>
      <c r="D946" s="915" t="s">
        <v>3183</v>
      </c>
      <c r="E946" s="915">
        <v>227432981</v>
      </c>
      <c r="F946" s="915">
        <v>1018473438</v>
      </c>
      <c r="G946" s="838"/>
      <c r="H946" s="838"/>
      <c r="I946"/>
      <c r="J946"/>
    </row>
    <row r="947" spans="2:10">
      <c r="B947" t="s">
        <v>2848</v>
      </c>
      <c r="C947" s="915">
        <v>7100000000</v>
      </c>
      <c r="D947" s="915" t="s">
        <v>3184</v>
      </c>
      <c r="E947" s="915">
        <v>1121341639</v>
      </c>
      <c r="F947" s="915">
        <v>4463785679</v>
      </c>
      <c r="G947" s="838"/>
      <c r="H947" s="838"/>
      <c r="I947"/>
      <c r="J947"/>
    </row>
    <row r="948" spans="2:10">
      <c r="B948" t="s">
        <v>2848</v>
      </c>
      <c r="C948" s="915">
        <v>7100000000</v>
      </c>
      <c r="D948" s="915" t="s">
        <v>3184</v>
      </c>
      <c r="E948" s="915">
        <v>8552130</v>
      </c>
      <c r="F948" s="915">
        <v>33407132</v>
      </c>
      <c r="G948" s="838"/>
      <c r="H948" s="838"/>
      <c r="I948"/>
      <c r="J948"/>
    </row>
    <row r="949" spans="2:10">
      <c r="B949" t="s">
        <v>2848</v>
      </c>
      <c r="C949" s="915">
        <v>7100000000</v>
      </c>
      <c r="D949" s="915" t="s">
        <v>3184</v>
      </c>
      <c r="E949" s="915">
        <v>2373847</v>
      </c>
      <c r="F949" s="915">
        <v>10342420</v>
      </c>
      <c r="G949" s="838"/>
      <c r="H949" s="838"/>
      <c r="I949"/>
      <c r="J949"/>
    </row>
    <row r="950" spans="2:10">
      <c r="B950" t="s">
        <v>2848</v>
      </c>
      <c r="C950" s="915">
        <v>7100000000</v>
      </c>
      <c r="D950" s="915" t="s">
        <v>3184</v>
      </c>
      <c r="E950" s="915">
        <v>8517485</v>
      </c>
      <c r="F950" s="915">
        <v>44862094</v>
      </c>
      <c r="G950" s="838"/>
      <c r="H950" s="838"/>
      <c r="I950"/>
      <c r="J950"/>
    </row>
    <row r="951" spans="2:10">
      <c r="B951" t="s">
        <v>2848</v>
      </c>
      <c r="C951" s="915">
        <v>7100000000</v>
      </c>
      <c r="D951" s="915" t="s">
        <v>3184</v>
      </c>
      <c r="E951" s="915">
        <v>6299870</v>
      </c>
      <c r="F951" s="915">
        <v>24788560</v>
      </c>
      <c r="G951" s="838"/>
      <c r="H951" s="838"/>
      <c r="I951"/>
      <c r="J951"/>
    </row>
    <row r="952" spans="2:10">
      <c r="B952" t="s">
        <v>2848</v>
      </c>
      <c r="C952" s="915">
        <v>7100000000</v>
      </c>
      <c r="D952" s="915" t="s">
        <v>3184</v>
      </c>
      <c r="E952" s="915">
        <v>5095117</v>
      </c>
      <c r="F952" s="915">
        <v>15315573</v>
      </c>
      <c r="G952" s="838"/>
      <c r="H952" s="838"/>
      <c r="I952"/>
      <c r="J952"/>
    </row>
    <row r="953" spans="2:10">
      <c r="B953" t="s">
        <v>2848</v>
      </c>
      <c r="C953" s="915">
        <v>7100000000</v>
      </c>
      <c r="D953" s="915" t="s">
        <v>3184</v>
      </c>
      <c r="E953" s="915">
        <v>2052798</v>
      </c>
      <c r="F953" s="915">
        <v>9876423</v>
      </c>
      <c r="G953" s="838"/>
      <c r="H953" s="838"/>
      <c r="I953"/>
      <c r="J953"/>
    </row>
    <row r="954" spans="2:10">
      <c r="B954" t="s">
        <v>2848</v>
      </c>
      <c r="C954" s="915">
        <v>7100000000</v>
      </c>
      <c r="D954" s="915" t="s">
        <v>3184</v>
      </c>
      <c r="E954" s="915">
        <v>7163188</v>
      </c>
      <c r="F954" s="915">
        <v>28321480</v>
      </c>
      <c r="G954" s="838"/>
      <c r="H954" s="838"/>
      <c r="I954"/>
      <c r="J954"/>
    </row>
    <row r="955" spans="2:10">
      <c r="B955" t="s">
        <v>2848</v>
      </c>
      <c r="C955" s="915">
        <v>7100000000</v>
      </c>
      <c r="D955" s="915" t="s">
        <v>3184</v>
      </c>
      <c r="E955" s="915">
        <v>2235557</v>
      </c>
      <c r="F955" s="915">
        <v>8792172</v>
      </c>
      <c r="G955" s="838"/>
      <c r="H955" s="838"/>
      <c r="I955"/>
      <c r="J955"/>
    </row>
    <row r="956" spans="2:10">
      <c r="B956" t="s">
        <v>2848</v>
      </c>
      <c r="C956" s="915">
        <v>7100000000</v>
      </c>
      <c r="D956" s="915" t="s">
        <v>3184</v>
      </c>
      <c r="E956" s="915">
        <v>8915884</v>
      </c>
      <c r="F956" s="915">
        <v>30097506</v>
      </c>
      <c r="G956" s="838"/>
      <c r="H956" s="838"/>
      <c r="I956"/>
      <c r="J956"/>
    </row>
    <row r="957" spans="2:10">
      <c r="B957" t="s">
        <v>2848</v>
      </c>
      <c r="C957" s="915">
        <v>7100000000</v>
      </c>
      <c r="D957" s="915" t="s">
        <v>3184</v>
      </c>
      <c r="E957" s="915">
        <v>3286549</v>
      </c>
      <c r="F957" s="915">
        <v>12055893</v>
      </c>
      <c r="G957" s="838"/>
      <c r="H957" s="838"/>
      <c r="I957"/>
      <c r="J957"/>
    </row>
    <row r="958" spans="2:10">
      <c r="B958" t="s">
        <v>2848</v>
      </c>
      <c r="C958" s="915">
        <v>7100000000</v>
      </c>
      <c r="D958" s="915" t="s">
        <v>3184</v>
      </c>
      <c r="E958" s="915">
        <v>2115909</v>
      </c>
      <c r="F958" s="915">
        <v>8374536</v>
      </c>
      <c r="G958" s="838"/>
      <c r="H958" s="838"/>
      <c r="I958"/>
      <c r="J958"/>
    </row>
    <row r="959" spans="2:10">
      <c r="B959" t="s">
        <v>2848</v>
      </c>
      <c r="C959" s="915">
        <v>7100000000</v>
      </c>
      <c r="D959" s="915" t="s">
        <v>3184</v>
      </c>
      <c r="E959" s="915">
        <v>6387430</v>
      </c>
      <c r="F959" s="915">
        <v>24729610</v>
      </c>
      <c r="G959" s="838"/>
      <c r="H959" s="838"/>
      <c r="I959"/>
      <c r="J959"/>
    </row>
    <row r="960" spans="2:10">
      <c r="B960" t="s">
        <v>2848</v>
      </c>
      <c r="C960" s="915">
        <v>7100000000</v>
      </c>
      <c r="D960" s="915" t="s">
        <v>3184</v>
      </c>
      <c r="E960" s="915">
        <v>3136163</v>
      </c>
      <c r="F960" s="915">
        <v>12412268</v>
      </c>
      <c r="G960" s="838"/>
      <c r="H960" s="838"/>
      <c r="I960"/>
      <c r="J960"/>
    </row>
    <row r="961" spans="2:10">
      <c r="B961" t="s">
        <v>2848</v>
      </c>
      <c r="C961" s="915">
        <v>7100000000</v>
      </c>
      <c r="D961" s="915" t="s">
        <v>3184</v>
      </c>
      <c r="E961" s="915">
        <v>4002990</v>
      </c>
      <c r="F961" s="915">
        <v>9847501</v>
      </c>
      <c r="G961" s="838"/>
      <c r="H961" s="838"/>
      <c r="I961"/>
      <c r="J961"/>
    </row>
    <row r="962" spans="2:10">
      <c r="B962" t="s">
        <v>2848</v>
      </c>
      <c r="C962" s="915">
        <v>7100000000</v>
      </c>
      <c r="D962" s="915" t="s">
        <v>3184</v>
      </c>
      <c r="E962" s="915">
        <v>5585587</v>
      </c>
      <c r="F962" s="915">
        <v>22019672</v>
      </c>
      <c r="G962" s="838"/>
      <c r="H962" s="838"/>
      <c r="I962"/>
      <c r="J962"/>
    </row>
    <row r="963" spans="2:10">
      <c r="B963" t="s">
        <v>2848</v>
      </c>
      <c r="C963" s="915">
        <v>7100000000</v>
      </c>
      <c r="D963" s="915" t="s">
        <v>3184</v>
      </c>
      <c r="E963" s="915">
        <v>5536465</v>
      </c>
      <c r="F963" s="915">
        <v>16429124</v>
      </c>
      <c r="G963" s="838"/>
      <c r="H963" s="838"/>
      <c r="I963"/>
      <c r="J963"/>
    </row>
    <row r="964" spans="2:10">
      <c r="B964" t="s">
        <v>2848</v>
      </c>
      <c r="C964" s="915">
        <v>7100000000</v>
      </c>
      <c r="D964" s="915" t="s">
        <v>3184</v>
      </c>
      <c r="E964" s="915">
        <v>6590342</v>
      </c>
      <c r="F964" s="915">
        <v>23613769</v>
      </c>
      <c r="G964" s="838"/>
      <c r="H964" s="838"/>
      <c r="I964"/>
      <c r="J964"/>
    </row>
    <row r="965" spans="2:10">
      <c r="B965" t="s">
        <v>2848</v>
      </c>
      <c r="C965" s="915">
        <v>7100000000</v>
      </c>
      <c r="D965" s="915" t="s">
        <v>3184</v>
      </c>
      <c r="E965" s="915">
        <v>20637303</v>
      </c>
      <c r="F965" s="915">
        <v>58888246</v>
      </c>
      <c r="G965" s="838"/>
      <c r="H965" s="838"/>
      <c r="I965"/>
      <c r="J965"/>
    </row>
    <row r="966" spans="2:10">
      <c r="B966" t="s">
        <v>2848</v>
      </c>
      <c r="C966" s="915">
        <v>7100000000</v>
      </c>
      <c r="D966" s="915" t="s">
        <v>3184</v>
      </c>
      <c r="E966" s="915">
        <v>1052819</v>
      </c>
      <c r="F966" s="915">
        <v>4548871</v>
      </c>
      <c r="G966" s="838"/>
      <c r="H966" s="838"/>
      <c r="I966"/>
      <c r="J966"/>
    </row>
    <row r="967" spans="2:10">
      <c r="B967" t="s">
        <v>2848</v>
      </c>
      <c r="C967" s="915">
        <v>7100000000</v>
      </c>
      <c r="D967" s="915" t="s">
        <v>3184</v>
      </c>
      <c r="E967" s="915">
        <v>15886399</v>
      </c>
      <c r="F967" s="915">
        <v>64561567</v>
      </c>
      <c r="G967" s="838"/>
      <c r="H967" s="838"/>
      <c r="I967"/>
      <c r="J967"/>
    </row>
    <row r="968" spans="2:10">
      <c r="B968" t="s">
        <v>2848</v>
      </c>
      <c r="C968" s="915">
        <v>7100100000</v>
      </c>
      <c r="D968" s="915" t="s">
        <v>3185</v>
      </c>
      <c r="E968" s="915">
        <v>11550438</v>
      </c>
      <c r="F968" s="915">
        <v>31652659</v>
      </c>
      <c r="G968" s="838"/>
      <c r="H968" s="838"/>
      <c r="I968"/>
      <c r="J968"/>
    </row>
    <row r="969" spans="2:10">
      <c r="B969" t="s">
        <v>2848</v>
      </c>
      <c r="C969" s="915">
        <v>7100100000</v>
      </c>
      <c r="D969" s="915" t="s">
        <v>3185</v>
      </c>
      <c r="E969" s="915">
        <v>0</v>
      </c>
      <c r="F969" s="915">
        <v>170216</v>
      </c>
      <c r="G969" s="838"/>
      <c r="H969" s="838"/>
      <c r="I969"/>
      <c r="J969"/>
    </row>
    <row r="970" spans="2:10">
      <c r="B970" t="s">
        <v>2848</v>
      </c>
      <c r="C970" s="915">
        <v>7100100000</v>
      </c>
      <c r="D970" s="915" t="s">
        <v>3185</v>
      </c>
      <c r="E970" s="915">
        <v>21810</v>
      </c>
      <c r="F970" s="915">
        <v>0</v>
      </c>
      <c r="G970" s="838"/>
      <c r="H970" s="838"/>
      <c r="I970"/>
      <c r="J970"/>
    </row>
    <row r="971" spans="2:10">
      <c r="B971" t="s">
        <v>2848</v>
      </c>
      <c r="C971" s="915">
        <v>7100100000</v>
      </c>
      <c r="D971" s="915" t="s">
        <v>3185</v>
      </c>
      <c r="E971" s="915">
        <v>0</v>
      </c>
      <c r="F971" s="915">
        <v>17524</v>
      </c>
      <c r="G971" s="838"/>
      <c r="H971" s="838"/>
      <c r="I971"/>
      <c r="J971"/>
    </row>
    <row r="972" spans="2:10">
      <c r="B972" t="s">
        <v>2848</v>
      </c>
      <c r="C972" s="915">
        <v>7100200000</v>
      </c>
      <c r="D972" s="915" t="s">
        <v>3186</v>
      </c>
      <c r="E972" s="915">
        <v>2184800</v>
      </c>
      <c r="F972" s="915">
        <v>8600581</v>
      </c>
      <c r="G972" s="838"/>
      <c r="H972" s="838"/>
      <c r="I972"/>
      <c r="J972"/>
    </row>
    <row r="973" spans="2:10">
      <c r="B973" t="s">
        <v>2848</v>
      </c>
      <c r="C973" s="915">
        <v>7100200000</v>
      </c>
      <c r="D973" s="915" t="s">
        <v>3186</v>
      </c>
      <c r="E973" s="915">
        <v>78591</v>
      </c>
      <c r="F973" s="915">
        <v>295487</v>
      </c>
      <c r="G973" s="838"/>
      <c r="H973" s="838"/>
      <c r="I973"/>
      <c r="J973"/>
    </row>
    <row r="974" spans="2:10">
      <c r="B974" t="s">
        <v>2848</v>
      </c>
      <c r="C974" s="915">
        <v>7100200000</v>
      </c>
      <c r="D974" s="915" t="s">
        <v>3186</v>
      </c>
      <c r="E974" s="915">
        <v>37156</v>
      </c>
      <c r="F974" s="915">
        <v>202165</v>
      </c>
      <c r="G974" s="838"/>
      <c r="H974" s="838"/>
      <c r="I974"/>
      <c r="J974"/>
    </row>
    <row r="975" spans="2:10">
      <c r="B975" t="s">
        <v>2848</v>
      </c>
      <c r="C975" s="915">
        <v>7100200000</v>
      </c>
      <c r="D975" s="915" t="s">
        <v>3186</v>
      </c>
      <c r="E975" s="915">
        <v>21536</v>
      </c>
      <c r="F975" s="915">
        <v>212478</v>
      </c>
      <c r="G975" s="838"/>
      <c r="H975" s="838"/>
      <c r="I975"/>
      <c r="J975"/>
    </row>
    <row r="976" spans="2:10">
      <c r="B976" t="s">
        <v>2848</v>
      </c>
      <c r="C976" s="915">
        <v>7100200000</v>
      </c>
      <c r="D976" s="915" t="s">
        <v>3186</v>
      </c>
      <c r="E976" s="915">
        <v>64608</v>
      </c>
      <c r="F976" s="915">
        <v>254594</v>
      </c>
      <c r="G976" s="838"/>
      <c r="H976" s="838"/>
      <c r="I976"/>
      <c r="J976"/>
    </row>
    <row r="977" spans="2:10">
      <c r="B977" t="s">
        <v>2848</v>
      </c>
      <c r="C977" s="915">
        <v>7100200000</v>
      </c>
      <c r="D977" s="915" t="s">
        <v>3186</v>
      </c>
      <c r="E977" s="915">
        <v>12016</v>
      </c>
      <c r="F977" s="915">
        <v>74137</v>
      </c>
      <c r="G977" s="838"/>
      <c r="H977" s="838"/>
      <c r="I977"/>
      <c r="J977"/>
    </row>
    <row r="978" spans="2:10">
      <c r="B978" t="s">
        <v>2848</v>
      </c>
      <c r="C978" s="915">
        <v>7100200000</v>
      </c>
      <c r="D978" s="915" t="s">
        <v>3186</v>
      </c>
      <c r="E978" s="915">
        <v>32304</v>
      </c>
      <c r="F978" s="915">
        <v>127188</v>
      </c>
      <c r="G978" s="838"/>
      <c r="H978" s="838"/>
      <c r="I978"/>
      <c r="J978"/>
    </row>
    <row r="979" spans="2:10">
      <c r="B979" t="s">
        <v>2848</v>
      </c>
      <c r="C979" s="915">
        <v>7100200000</v>
      </c>
      <c r="D979" s="915" t="s">
        <v>3186</v>
      </c>
      <c r="E979" s="915">
        <v>43072</v>
      </c>
      <c r="F979" s="915">
        <v>170196</v>
      </c>
      <c r="G979" s="838"/>
      <c r="H979" s="838"/>
      <c r="I979"/>
      <c r="J979"/>
    </row>
    <row r="980" spans="2:10">
      <c r="B980" t="s">
        <v>2848</v>
      </c>
      <c r="C980" s="915">
        <v>7100200000</v>
      </c>
      <c r="D980" s="915" t="s">
        <v>3186</v>
      </c>
      <c r="E980" s="915">
        <v>40261</v>
      </c>
      <c r="F980" s="915">
        <v>40185</v>
      </c>
      <c r="G980" s="838"/>
      <c r="H980" s="838"/>
      <c r="I980"/>
      <c r="J980"/>
    </row>
    <row r="981" spans="2:10">
      <c r="B981" t="s">
        <v>2848</v>
      </c>
      <c r="C981" s="915">
        <v>7100200000</v>
      </c>
      <c r="D981" s="915" t="s">
        <v>3186</v>
      </c>
      <c r="E981" s="915">
        <v>53840</v>
      </c>
      <c r="F981" s="915">
        <v>125743</v>
      </c>
      <c r="G981" s="838"/>
      <c r="H981" s="838"/>
      <c r="I981"/>
      <c r="J981"/>
    </row>
    <row r="982" spans="2:10">
      <c r="B982" t="s">
        <v>2848</v>
      </c>
      <c r="C982" s="915">
        <v>7100200000</v>
      </c>
      <c r="D982" s="915" t="s">
        <v>3186</v>
      </c>
      <c r="E982" s="915">
        <v>21536</v>
      </c>
      <c r="F982" s="915">
        <v>84868</v>
      </c>
      <c r="G982" s="838"/>
      <c r="H982" s="838"/>
      <c r="I982"/>
      <c r="J982"/>
    </row>
    <row r="983" spans="2:10">
      <c r="B983" t="s">
        <v>2848</v>
      </c>
      <c r="C983" s="915">
        <v>7100200000</v>
      </c>
      <c r="D983" s="915" t="s">
        <v>3186</v>
      </c>
      <c r="E983" s="915">
        <v>43072</v>
      </c>
      <c r="F983" s="915">
        <v>163849</v>
      </c>
      <c r="G983" s="838"/>
      <c r="H983" s="838"/>
      <c r="I983"/>
      <c r="J983"/>
    </row>
    <row r="984" spans="2:10">
      <c r="B984" t="s">
        <v>2848</v>
      </c>
      <c r="C984" s="915">
        <v>7100200000</v>
      </c>
      <c r="D984" s="915" t="s">
        <v>3186</v>
      </c>
      <c r="E984" s="915">
        <v>36322</v>
      </c>
      <c r="F984" s="915">
        <v>145184</v>
      </c>
      <c r="G984" s="838"/>
      <c r="H984" s="838"/>
      <c r="I984"/>
      <c r="J984"/>
    </row>
    <row r="985" spans="2:10">
      <c r="B985" t="s">
        <v>2848</v>
      </c>
      <c r="C985" s="915">
        <v>7100200000</v>
      </c>
      <c r="D985" s="915" t="s">
        <v>3186</v>
      </c>
      <c r="E985" s="915">
        <v>43072</v>
      </c>
      <c r="F985" s="915">
        <v>148555</v>
      </c>
      <c r="G985" s="838"/>
      <c r="H985" s="838"/>
      <c r="I985"/>
      <c r="J985"/>
    </row>
    <row r="986" spans="2:10">
      <c r="B986" t="s">
        <v>2848</v>
      </c>
      <c r="C986" s="915">
        <v>7100200000</v>
      </c>
      <c r="D986" s="915" t="s">
        <v>3186</v>
      </c>
      <c r="E986" s="915">
        <v>39289</v>
      </c>
      <c r="F986" s="915">
        <v>128543</v>
      </c>
      <c r="G986" s="838"/>
      <c r="H986" s="838"/>
      <c r="I986"/>
      <c r="J986"/>
    </row>
    <row r="987" spans="2:10">
      <c r="B987" t="s">
        <v>2848</v>
      </c>
      <c r="C987" s="915">
        <v>7100200000</v>
      </c>
      <c r="D987" s="915" t="s">
        <v>3186</v>
      </c>
      <c r="E987" s="915">
        <v>32304</v>
      </c>
      <c r="F987" s="915">
        <v>202040</v>
      </c>
      <c r="G987" s="838"/>
      <c r="H987" s="838"/>
      <c r="I987"/>
      <c r="J987"/>
    </row>
    <row r="988" spans="2:10">
      <c r="B988" t="s">
        <v>2848</v>
      </c>
      <c r="C988" s="915">
        <v>7100200000</v>
      </c>
      <c r="D988" s="915" t="s">
        <v>3186</v>
      </c>
      <c r="E988" s="915">
        <v>0</v>
      </c>
      <c r="F988" s="915">
        <v>40466</v>
      </c>
      <c r="G988" s="838"/>
      <c r="H988" s="838"/>
      <c r="I988"/>
      <c r="J988"/>
    </row>
    <row r="989" spans="2:10">
      <c r="B989" t="s">
        <v>2848</v>
      </c>
      <c r="C989" s="915">
        <v>7100200000</v>
      </c>
      <c r="D989" s="915" t="s">
        <v>3186</v>
      </c>
      <c r="E989" s="915">
        <v>3606</v>
      </c>
      <c r="F989" s="915">
        <v>70706</v>
      </c>
      <c r="G989" s="838"/>
      <c r="H989" s="838"/>
      <c r="I989"/>
      <c r="J989"/>
    </row>
    <row r="990" spans="2:10">
      <c r="B990" t="s">
        <v>2848</v>
      </c>
      <c r="C990" s="915">
        <v>7100200007</v>
      </c>
      <c r="D990" s="915" t="s">
        <v>3187</v>
      </c>
      <c r="E990" s="915">
        <v>-84471810</v>
      </c>
      <c r="F990" s="915">
        <v>693941926</v>
      </c>
      <c r="G990" s="838"/>
      <c r="H990" s="838"/>
      <c r="I990"/>
      <c r="J990"/>
    </row>
    <row r="991" spans="2:10">
      <c r="B991" t="s">
        <v>2848</v>
      </c>
      <c r="C991" s="915">
        <v>7100200007</v>
      </c>
      <c r="D991" s="915" t="s">
        <v>3187</v>
      </c>
      <c r="E991" s="915">
        <v>0</v>
      </c>
      <c r="F991" s="915">
        <v>4276442</v>
      </c>
      <c r="G991" s="838"/>
      <c r="H991" s="838"/>
      <c r="I991"/>
      <c r="J991"/>
    </row>
    <row r="992" spans="2:10">
      <c r="B992" t="s">
        <v>2848</v>
      </c>
      <c r="C992" s="915">
        <v>7100200007</v>
      </c>
      <c r="D992" s="915" t="s">
        <v>3187</v>
      </c>
      <c r="E992" s="915">
        <v>0</v>
      </c>
      <c r="F992" s="915">
        <v>3734670</v>
      </c>
      <c r="G992" s="838"/>
      <c r="H992" s="838"/>
      <c r="I992"/>
      <c r="J992"/>
    </row>
    <row r="993" spans="2:10">
      <c r="B993" t="s">
        <v>2848</v>
      </c>
      <c r="C993" s="915">
        <v>7100200007</v>
      </c>
      <c r="D993" s="915" t="s">
        <v>3187</v>
      </c>
      <c r="E993" s="915">
        <v>0</v>
      </c>
      <c r="F993" s="915">
        <v>13304583</v>
      </c>
      <c r="G993" s="838"/>
      <c r="H993" s="838"/>
      <c r="I993"/>
      <c r="J993"/>
    </row>
    <row r="994" spans="2:10">
      <c r="B994" t="s">
        <v>2848</v>
      </c>
      <c r="C994" s="915">
        <v>7100200007</v>
      </c>
      <c r="D994" s="915" t="s">
        <v>3187</v>
      </c>
      <c r="E994" s="915">
        <v>0</v>
      </c>
      <c r="F994" s="915">
        <v>11395956</v>
      </c>
      <c r="G994" s="838"/>
      <c r="H994" s="838"/>
      <c r="I994"/>
      <c r="J994"/>
    </row>
    <row r="995" spans="2:10">
      <c r="B995" t="s">
        <v>2848</v>
      </c>
      <c r="C995" s="915">
        <v>7100200007</v>
      </c>
      <c r="D995" s="915" t="s">
        <v>3187</v>
      </c>
      <c r="E995" s="915">
        <v>4395657</v>
      </c>
      <c r="F995" s="915">
        <v>0</v>
      </c>
      <c r="G995" s="838"/>
      <c r="H995" s="838"/>
      <c r="I995"/>
      <c r="J995"/>
    </row>
    <row r="996" spans="2:10">
      <c r="B996" t="s">
        <v>2848</v>
      </c>
      <c r="C996" s="915">
        <v>7100200007</v>
      </c>
      <c r="D996" s="915" t="s">
        <v>3187</v>
      </c>
      <c r="E996" s="915">
        <v>0</v>
      </c>
      <c r="F996" s="915">
        <v>27802</v>
      </c>
      <c r="G996" s="838"/>
      <c r="H996" s="838"/>
      <c r="I996"/>
      <c r="J996"/>
    </row>
    <row r="997" spans="2:10">
      <c r="B997" t="s">
        <v>2848</v>
      </c>
      <c r="C997" s="915">
        <v>7100200007</v>
      </c>
      <c r="D997" s="915" t="s">
        <v>3187</v>
      </c>
      <c r="E997" s="915">
        <v>0</v>
      </c>
      <c r="F997" s="915">
        <v>6208956</v>
      </c>
      <c r="G997" s="838"/>
      <c r="H997" s="838"/>
      <c r="I997"/>
      <c r="J997"/>
    </row>
    <row r="998" spans="2:10">
      <c r="B998" t="s">
        <v>2848</v>
      </c>
      <c r="C998" s="915">
        <v>7100200007</v>
      </c>
      <c r="D998" s="915" t="s">
        <v>3187</v>
      </c>
      <c r="E998" s="915">
        <v>0</v>
      </c>
      <c r="F998" s="915">
        <v>8520036</v>
      </c>
      <c r="G998" s="838"/>
      <c r="H998" s="838"/>
      <c r="I998"/>
      <c r="J998"/>
    </row>
    <row r="999" spans="2:10">
      <c r="B999" t="s">
        <v>2848</v>
      </c>
      <c r="C999" s="915">
        <v>7100322003</v>
      </c>
      <c r="D999" s="915" t="s">
        <v>3188</v>
      </c>
      <c r="E999" s="915">
        <v>557996559</v>
      </c>
      <c r="F999" s="915">
        <v>2222496613</v>
      </c>
      <c r="G999" s="838"/>
      <c r="H999" s="838"/>
      <c r="I999"/>
      <c r="J999"/>
    </row>
    <row r="1000" spans="2:10">
      <c r="B1000" t="s">
        <v>2848</v>
      </c>
      <c r="C1000" s="915">
        <v>7100322003</v>
      </c>
      <c r="D1000" s="915" t="s">
        <v>3188</v>
      </c>
      <c r="E1000" s="915">
        <v>4276070</v>
      </c>
      <c r="F1000" s="915">
        <v>16240965</v>
      </c>
      <c r="G1000" s="838"/>
      <c r="H1000" s="838"/>
      <c r="I1000"/>
      <c r="J1000"/>
    </row>
    <row r="1001" spans="2:10">
      <c r="B1001" t="s">
        <v>2848</v>
      </c>
      <c r="C1001" s="915">
        <v>7100322003</v>
      </c>
      <c r="D1001" s="915" t="s">
        <v>3188</v>
      </c>
      <c r="E1001" s="915">
        <v>1186926</v>
      </c>
      <c r="F1001" s="915">
        <v>5171219</v>
      </c>
      <c r="G1001" s="838"/>
      <c r="H1001" s="838"/>
      <c r="I1001"/>
      <c r="J1001"/>
    </row>
    <row r="1002" spans="2:10">
      <c r="B1002" t="s">
        <v>2848</v>
      </c>
      <c r="C1002" s="915">
        <v>7100322003</v>
      </c>
      <c r="D1002" s="915" t="s">
        <v>3188</v>
      </c>
      <c r="E1002" s="915">
        <v>3050914</v>
      </c>
      <c r="F1002" s="915">
        <v>22431064</v>
      </c>
      <c r="G1002" s="838"/>
      <c r="H1002" s="838"/>
      <c r="I1002"/>
      <c r="J1002"/>
    </row>
    <row r="1003" spans="2:10">
      <c r="B1003" t="s">
        <v>2848</v>
      </c>
      <c r="C1003" s="915">
        <v>7100322003</v>
      </c>
      <c r="D1003" s="915" t="s">
        <v>3188</v>
      </c>
      <c r="E1003" s="915">
        <v>3149938</v>
      </c>
      <c r="F1003" s="915">
        <v>12394294</v>
      </c>
      <c r="G1003" s="838"/>
      <c r="H1003" s="838"/>
      <c r="I1003"/>
      <c r="J1003"/>
    </row>
    <row r="1004" spans="2:10">
      <c r="B1004" t="s">
        <v>2848</v>
      </c>
      <c r="C1004" s="915">
        <v>7100322003</v>
      </c>
      <c r="D1004" s="915" t="s">
        <v>3188</v>
      </c>
      <c r="E1004" s="915">
        <v>2547560</v>
      </c>
      <c r="F1004" s="915">
        <v>7586745</v>
      </c>
      <c r="G1004" s="838"/>
      <c r="H1004" s="838"/>
      <c r="I1004"/>
      <c r="J1004"/>
    </row>
    <row r="1005" spans="2:10">
      <c r="B1005" t="s">
        <v>2848</v>
      </c>
      <c r="C1005" s="915">
        <v>7100322003</v>
      </c>
      <c r="D1005" s="915" t="s">
        <v>3188</v>
      </c>
      <c r="E1005" s="915">
        <v>1026400</v>
      </c>
      <c r="F1005" s="915">
        <v>4938219</v>
      </c>
      <c r="G1005" s="838"/>
      <c r="H1005" s="838"/>
      <c r="I1005"/>
      <c r="J1005"/>
    </row>
    <row r="1006" spans="2:10">
      <c r="B1006" t="s">
        <v>2848</v>
      </c>
      <c r="C1006" s="915">
        <v>7100322003</v>
      </c>
      <c r="D1006" s="915" t="s">
        <v>3188</v>
      </c>
      <c r="E1006" s="915">
        <v>3581596</v>
      </c>
      <c r="F1006" s="915">
        <v>14130443</v>
      </c>
      <c r="G1006" s="838"/>
      <c r="H1006" s="838"/>
      <c r="I1006"/>
      <c r="J1006"/>
    </row>
    <row r="1007" spans="2:10">
      <c r="B1007" t="s">
        <v>2848</v>
      </c>
      <c r="C1007" s="915">
        <v>7100322003</v>
      </c>
      <c r="D1007" s="915" t="s">
        <v>3188</v>
      </c>
      <c r="E1007" s="915">
        <v>1117780</v>
      </c>
      <c r="F1007" s="915">
        <v>4396092</v>
      </c>
      <c r="G1007" s="838"/>
      <c r="H1007" s="838"/>
      <c r="I1007"/>
      <c r="J1007"/>
    </row>
    <row r="1008" spans="2:10">
      <c r="B1008" t="s">
        <v>2848</v>
      </c>
      <c r="C1008" s="915">
        <v>7100322003</v>
      </c>
      <c r="D1008" s="915" t="s">
        <v>3188</v>
      </c>
      <c r="E1008" s="915">
        <v>4358398</v>
      </c>
      <c r="F1008" s="915">
        <v>14877308</v>
      </c>
      <c r="G1008" s="838"/>
      <c r="H1008" s="838"/>
      <c r="I1008"/>
      <c r="J1008"/>
    </row>
    <row r="1009" spans="2:10">
      <c r="B1009" t="s">
        <v>2848</v>
      </c>
      <c r="C1009" s="915">
        <v>7100322003</v>
      </c>
      <c r="D1009" s="915" t="s">
        <v>3188</v>
      </c>
      <c r="E1009" s="915">
        <v>1643277</v>
      </c>
      <c r="F1009" s="915">
        <v>6027953</v>
      </c>
      <c r="G1009" s="838"/>
      <c r="H1009" s="838"/>
      <c r="I1009"/>
      <c r="J1009"/>
    </row>
    <row r="1010" spans="2:10">
      <c r="B1010" t="s">
        <v>2848</v>
      </c>
      <c r="C1010" s="915">
        <v>7100322003</v>
      </c>
      <c r="D1010" s="915" t="s">
        <v>3188</v>
      </c>
      <c r="E1010" s="915">
        <v>1057956</v>
      </c>
      <c r="F1010" s="915">
        <v>4171154</v>
      </c>
      <c r="G1010" s="838"/>
      <c r="H1010" s="838"/>
      <c r="I1010"/>
      <c r="J1010"/>
    </row>
    <row r="1011" spans="2:10">
      <c r="B1011" t="s">
        <v>2848</v>
      </c>
      <c r="C1011" s="915">
        <v>7100322003</v>
      </c>
      <c r="D1011" s="915" t="s">
        <v>3188</v>
      </c>
      <c r="E1011" s="915">
        <v>3193719</v>
      </c>
      <c r="F1011" s="915">
        <v>12269751</v>
      </c>
      <c r="G1011" s="838"/>
      <c r="H1011" s="838"/>
      <c r="I1011"/>
      <c r="J1011"/>
    </row>
    <row r="1012" spans="2:10">
      <c r="B1012" t="s">
        <v>2848</v>
      </c>
      <c r="C1012" s="915">
        <v>7100322003</v>
      </c>
      <c r="D1012" s="915" t="s">
        <v>3188</v>
      </c>
      <c r="E1012" s="915">
        <v>1568083</v>
      </c>
      <c r="F1012" s="915">
        <v>6182758</v>
      </c>
      <c r="G1012" s="838"/>
      <c r="H1012" s="838"/>
      <c r="I1012"/>
      <c r="J1012"/>
    </row>
    <row r="1013" spans="2:10">
      <c r="B1013" t="s">
        <v>2848</v>
      </c>
      <c r="C1013" s="915">
        <v>7100322003</v>
      </c>
      <c r="D1013" s="915" t="s">
        <v>3188</v>
      </c>
      <c r="E1013" s="915">
        <v>2001498</v>
      </c>
      <c r="F1013" s="915">
        <v>4923761</v>
      </c>
      <c r="G1013" s="838"/>
      <c r="H1013" s="838"/>
      <c r="I1013"/>
      <c r="J1013"/>
    </row>
    <row r="1014" spans="2:10">
      <c r="B1014" t="s">
        <v>2848</v>
      </c>
      <c r="C1014" s="915">
        <v>7100322003</v>
      </c>
      <c r="D1014" s="915" t="s">
        <v>3188</v>
      </c>
      <c r="E1014" s="915">
        <v>2792798</v>
      </c>
      <c r="F1014" s="915">
        <v>10994550</v>
      </c>
      <c r="G1014" s="838"/>
      <c r="H1014" s="838"/>
      <c r="I1014"/>
      <c r="J1014"/>
    </row>
    <row r="1015" spans="2:10">
      <c r="B1015" t="s">
        <v>2848</v>
      </c>
      <c r="C1015" s="915">
        <v>7100322003</v>
      </c>
      <c r="D1015" s="915" t="s">
        <v>3188</v>
      </c>
      <c r="E1015" s="915">
        <v>2768233</v>
      </c>
      <c r="F1015" s="915">
        <v>8214567</v>
      </c>
      <c r="G1015" s="838"/>
      <c r="H1015" s="838"/>
      <c r="I1015"/>
      <c r="J1015"/>
    </row>
    <row r="1016" spans="2:10">
      <c r="B1016" t="s">
        <v>2848</v>
      </c>
      <c r="C1016" s="915">
        <v>7100322003</v>
      </c>
      <c r="D1016" s="915" t="s">
        <v>3188</v>
      </c>
      <c r="E1016" s="915">
        <v>3295175</v>
      </c>
      <c r="F1016" s="915">
        <v>11737501</v>
      </c>
      <c r="G1016" s="838"/>
      <c r="H1016" s="838"/>
      <c r="I1016"/>
      <c r="J1016"/>
    </row>
    <row r="1017" spans="2:10">
      <c r="B1017" t="s">
        <v>2848</v>
      </c>
      <c r="C1017" s="915">
        <v>7100322003</v>
      </c>
      <c r="D1017" s="915" t="s">
        <v>3188</v>
      </c>
      <c r="E1017" s="915">
        <v>10318654</v>
      </c>
      <c r="F1017" s="915">
        <v>29385419</v>
      </c>
      <c r="G1017" s="838"/>
      <c r="H1017" s="838"/>
      <c r="I1017"/>
      <c r="J1017"/>
    </row>
    <row r="1018" spans="2:10">
      <c r="B1018" t="s">
        <v>2848</v>
      </c>
      <c r="C1018" s="915">
        <v>7100322003</v>
      </c>
      <c r="D1018" s="915" t="s">
        <v>3188</v>
      </c>
      <c r="E1018" s="915">
        <v>526410</v>
      </c>
      <c r="F1018" s="915">
        <v>2254612</v>
      </c>
      <c r="G1018" s="838"/>
      <c r="H1018" s="838"/>
      <c r="I1018"/>
      <c r="J1018"/>
    </row>
    <row r="1019" spans="2:10">
      <c r="B1019" t="s">
        <v>2848</v>
      </c>
      <c r="C1019" s="915">
        <v>7100322003</v>
      </c>
      <c r="D1019" s="915" t="s">
        <v>3188</v>
      </c>
      <c r="E1019" s="915">
        <v>7943201</v>
      </c>
      <c r="F1019" s="915">
        <v>32232988</v>
      </c>
      <c r="G1019" s="838"/>
      <c r="H1019" s="838"/>
      <c r="I1019"/>
      <c r="J1019"/>
    </row>
    <row r="1020" spans="2:10">
      <c r="B1020" t="s">
        <v>2848</v>
      </c>
      <c r="C1020" s="915">
        <v>7100330002</v>
      </c>
      <c r="D1020" s="915" t="s">
        <v>3189</v>
      </c>
      <c r="E1020" s="915">
        <v>45807554</v>
      </c>
      <c r="F1020" s="915">
        <v>145363909</v>
      </c>
      <c r="G1020" s="838"/>
      <c r="H1020" s="838"/>
      <c r="I1020"/>
      <c r="J1020"/>
    </row>
    <row r="1021" spans="2:10">
      <c r="B1021" t="s">
        <v>2848</v>
      </c>
      <c r="C1021" s="915">
        <v>7100330002</v>
      </c>
      <c r="D1021" s="915" t="s">
        <v>3189</v>
      </c>
      <c r="E1021" s="915">
        <v>0</v>
      </c>
      <c r="F1021" s="915">
        <v>567384</v>
      </c>
      <c r="G1021" s="838"/>
      <c r="H1021" s="838"/>
      <c r="I1021"/>
      <c r="J1021"/>
    </row>
    <row r="1022" spans="2:10">
      <c r="B1022" t="s">
        <v>2848</v>
      </c>
      <c r="C1022" s="915">
        <v>7100330002</v>
      </c>
      <c r="D1022" s="915" t="s">
        <v>3189</v>
      </c>
      <c r="E1022" s="915">
        <v>0</v>
      </c>
      <c r="F1022" s="915">
        <v>73721</v>
      </c>
      <c r="G1022" s="838"/>
      <c r="H1022" s="838"/>
      <c r="I1022"/>
      <c r="J1022"/>
    </row>
    <row r="1023" spans="2:10">
      <c r="B1023" t="s">
        <v>2848</v>
      </c>
      <c r="C1023" s="915">
        <v>7100330002</v>
      </c>
      <c r="D1023" s="915" t="s">
        <v>3189</v>
      </c>
      <c r="E1023" s="915">
        <v>34157</v>
      </c>
      <c r="F1023" s="915">
        <v>2160847</v>
      </c>
      <c r="G1023" s="838"/>
      <c r="H1023" s="838"/>
      <c r="I1023"/>
      <c r="J1023"/>
    </row>
    <row r="1024" spans="2:10">
      <c r="B1024" t="s">
        <v>2848</v>
      </c>
      <c r="C1024" s="915">
        <v>7100330002</v>
      </c>
      <c r="D1024" s="915" t="s">
        <v>3189</v>
      </c>
      <c r="E1024" s="915">
        <v>0</v>
      </c>
      <c r="F1024" s="915">
        <v>1318787</v>
      </c>
      <c r="G1024" s="838"/>
      <c r="H1024" s="838"/>
      <c r="I1024"/>
      <c r="J1024"/>
    </row>
    <row r="1025" spans="2:10">
      <c r="B1025" t="s">
        <v>2848</v>
      </c>
      <c r="C1025" s="915">
        <v>7100330002</v>
      </c>
      <c r="D1025" s="915" t="s">
        <v>3189</v>
      </c>
      <c r="E1025" s="915">
        <v>0</v>
      </c>
      <c r="F1025" s="915">
        <v>328784</v>
      </c>
      <c r="G1025" s="838"/>
      <c r="H1025" s="838"/>
      <c r="I1025"/>
      <c r="J1025"/>
    </row>
    <row r="1026" spans="2:10">
      <c r="B1026" t="s">
        <v>2848</v>
      </c>
      <c r="C1026" s="915">
        <v>7100330002</v>
      </c>
      <c r="D1026" s="915" t="s">
        <v>3189</v>
      </c>
      <c r="E1026" s="915">
        <v>250111</v>
      </c>
      <c r="F1026" s="915">
        <v>185938</v>
      </c>
      <c r="G1026" s="838"/>
      <c r="H1026" s="838"/>
      <c r="I1026"/>
      <c r="J1026"/>
    </row>
    <row r="1027" spans="2:10">
      <c r="B1027" t="s">
        <v>2848</v>
      </c>
      <c r="C1027" s="915">
        <v>7100330002</v>
      </c>
      <c r="D1027" s="915" t="s">
        <v>3189</v>
      </c>
      <c r="E1027" s="915">
        <v>0</v>
      </c>
      <c r="F1027" s="915">
        <v>806946</v>
      </c>
      <c r="G1027" s="838"/>
      <c r="H1027" s="838"/>
      <c r="I1027"/>
      <c r="J1027"/>
    </row>
    <row r="1028" spans="2:10">
      <c r="B1028" t="s">
        <v>2848</v>
      </c>
      <c r="C1028" s="915">
        <v>7100330002</v>
      </c>
      <c r="D1028" s="915" t="s">
        <v>3189</v>
      </c>
      <c r="E1028" s="915">
        <v>0</v>
      </c>
      <c r="F1028" s="915">
        <v>88810</v>
      </c>
      <c r="G1028" s="838"/>
      <c r="H1028" s="838"/>
      <c r="I1028"/>
      <c r="J1028"/>
    </row>
    <row r="1029" spans="2:10">
      <c r="B1029" t="s">
        <v>2848</v>
      </c>
      <c r="C1029" s="915">
        <v>7100330002</v>
      </c>
      <c r="D1029" s="915" t="s">
        <v>3189</v>
      </c>
      <c r="E1029" s="915">
        <v>0</v>
      </c>
      <c r="F1029" s="915">
        <v>366874</v>
      </c>
      <c r="G1029" s="838"/>
      <c r="H1029" s="838"/>
      <c r="I1029"/>
      <c r="J1029"/>
    </row>
    <row r="1030" spans="2:10">
      <c r="B1030" t="s">
        <v>2848</v>
      </c>
      <c r="C1030" s="915">
        <v>7100330002</v>
      </c>
      <c r="D1030" s="915" t="s">
        <v>3189</v>
      </c>
      <c r="E1030" s="915">
        <v>0</v>
      </c>
      <c r="F1030" s="915">
        <v>155224</v>
      </c>
      <c r="G1030" s="838"/>
      <c r="H1030" s="838"/>
      <c r="I1030"/>
      <c r="J1030"/>
    </row>
    <row r="1031" spans="2:10">
      <c r="B1031" t="s">
        <v>2848</v>
      </c>
      <c r="C1031" s="915">
        <v>7100330002</v>
      </c>
      <c r="D1031" s="915" t="s">
        <v>3189</v>
      </c>
      <c r="E1031" s="915">
        <v>0</v>
      </c>
      <c r="F1031" s="915">
        <v>90547</v>
      </c>
      <c r="G1031" s="838"/>
      <c r="H1031" s="838"/>
      <c r="I1031"/>
      <c r="J1031"/>
    </row>
    <row r="1032" spans="2:10">
      <c r="B1032" t="s">
        <v>2848</v>
      </c>
      <c r="C1032" s="915">
        <v>7100330002</v>
      </c>
      <c r="D1032" s="915" t="s">
        <v>3189</v>
      </c>
      <c r="E1032" s="915">
        <v>0</v>
      </c>
      <c r="F1032" s="915">
        <v>124826</v>
      </c>
      <c r="G1032" s="838"/>
      <c r="H1032" s="838"/>
      <c r="I1032"/>
      <c r="J1032"/>
    </row>
    <row r="1033" spans="2:10">
      <c r="B1033" t="s">
        <v>2848</v>
      </c>
      <c r="C1033" s="915">
        <v>7100330002</v>
      </c>
      <c r="D1033" s="915" t="s">
        <v>3189</v>
      </c>
      <c r="E1033" s="915">
        <v>0</v>
      </c>
      <c r="F1033" s="915">
        <v>1279899</v>
      </c>
      <c r="G1033" s="838"/>
      <c r="H1033" s="838"/>
      <c r="I1033"/>
      <c r="J1033"/>
    </row>
    <row r="1034" spans="2:10">
      <c r="B1034" t="s">
        <v>2848</v>
      </c>
      <c r="C1034" s="915">
        <v>7100340003</v>
      </c>
      <c r="D1034" s="915" t="s">
        <v>3190</v>
      </c>
      <c r="E1034" s="915">
        <v>70720375</v>
      </c>
      <c r="F1034" s="915">
        <v>266450506</v>
      </c>
      <c r="G1034" s="838"/>
      <c r="H1034" s="838"/>
      <c r="I1034"/>
      <c r="J1034"/>
    </row>
    <row r="1035" spans="2:10">
      <c r="B1035" t="s">
        <v>2848</v>
      </c>
      <c r="C1035" s="915">
        <v>7100340003</v>
      </c>
      <c r="D1035" s="915" t="s">
        <v>3190</v>
      </c>
      <c r="E1035" s="915">
        <v>469619</v>
      </c>
      <c r="F1035" s="915">
        <v>0</v>
      </c>
      <c r="G1035" s="838"/>
      <c r="H1035" s="838"/>
      <c r="I1035"/>
      <c r="J1035"/>
    </row>
    <row r="1036" spans="2:10">
      <c r="B1036" t="s">
        <v>2848</v>
      </c>
      <c r="C1036" s="915">
        <v>7100340003</v>
      </c>
      <c r="D1036" s="915" t="s">
        <v>3190</v>
      </c>
      <c r="E1036" s="915">
        <v>0</v>
      </c>
      <c r="F1036" s="915">
        <v>259135</v>
      </c>
      <c r="G1036" s="838"/>
      <c r="H1036" s="838"/>
      <c r="I1036"/>
      <c r="J1036"/>
    </row>
    <row r="1037" spans="2:10">
      <c r="B1037" t="s">
        <v>2848</v>
      </c>
      <c r="C1037" s="915">
        <v>7100340003</v>
      </c>
      <c r="D1037" s="915" t="s">
        <v>3190</v>
      </c>
      <c r="E1037" s="915">
        <v>308003</v>
      </c>
      <c r="F1037" s="915">
        <v>741006</v>
      </c>
      <c r="G1037" s="838"/>
      <c r="H1037" s="838"/>
      <c r="I1037"/>
      <c r="J1037"/>
    </row>
    <row r="1038" spans="2:10">
      <c r="B1038" t="s">
        <v>2848</v>
      </c>
      <c r="C1038" s="915">
        <v>7100340003</v>
      </c>
      <c r="D1038" s="915" t="s">
        <v>3190</v>
      </c>
      <c r="E1038" s="915">
        <v>316213</v>
      </c>
      <c r="F1038" s="915">
        <v>0</v>
      </c>
      <c r="G1038" s="838"/>
      <c r="H1038" s="838"/>
      <c r="I1038"/>
      <c r="J1038"/>
    </row>
    <row r="1039" spans="2:10">
      <c r="B1039" t="s">
        <v>2848</v>
      </c>
      <c r="C1039" s="915">
        <v>7100340003</v>
      </c>
      <c r="D1039" s="915" t="s">
        <v>3190</v>
      </c>
      <c r="E1039" s="915">
        <v>0</v>
      </c>
      <c r="F1039" s="915">
        <v>331539</v>
      </c>
      <c r="G1039" s="838"/>
      <c r="H1039" s="838"/>
      <c r="I1039"/>
      <c r="J1039"/>
    </row>
    <row r="1040" spans="2:10">
      <c r="B1040" t="s">
        <v>2848</v>
      </c>
      <c r="C1040" s="915">
        <v>7100340003</v>
      </c>
      <c r="D1040" s="915" t="s">
        <v>3190</v>
      </c>
      <c r="E1040" s="915">
        <v>0</v>
      </c>
      <c r="F1040" s="915">
        <v>530383</v>
      </c>
      <c r="G1040" s="838"/>
      <c r="H1040" s="838"/>
      <c r="I1040"/>
      <c r="J1040"/>
    </row>
    <row r="1041" spans="2:10">
      <c r="B1041" t="s">
        <v>2848</v>
      </c>
      <c r="C1041" s="915">
        <v>7100340003</v>
      </c>
      <c r="D1041" s="915" t="s">
        <v>3190</v>
      </c>
      <c r="E1041" s="915">
        <v>0</v>
      </c>
      <c r="F1041" s="915">
        <v>550098</v>
      </c>
      <c r="G1041" s="838"/>
      <c r="H1041" s="838"/>
      <c r="I1041"/>
      <c r="J1041"/>
    </row>
    <row r="1042" spans="2:10">
      <c r="B1042" t="s">
        <v>2848</v>
      </c>
      <c r="C1042" s="915">
        <v>7100340003</v>
      </c>
      <c r="D1042" s="915" t="s">
        <v>3190</v>
      </c>
      <c r="E1042" s="915">
        <v>0</v>
      </c>
      <c r="F1042" s="915">
        <v>-946518</v>
      </c>
      <c r="G1042" s="838"/>
      <c r="H1042" s="838"/>
      <c r="I1042"/>
      <c r="J1042"/>
    </row>
    <row r="1043" spans="2:10">
      <c r="B1043" t="s">
        <v>2848</v>
      </c>
      <c r="C1043" s="915">
        <v>7100340003</v>
      </c>
      <c r="D1043" s="915" t="s">
        <v>3190</v>
      </c>
      <c r="E1043" s="915">
        <v>0</v>
      </c>
      <c r="F1043" s="915">
        <v>249101</v>
      </c>
      <c r="G1043" s="838"/>
      <c r="H1043" s="838"/>
      <c r="I1043"/>
      <c r="J1043"/>
    </row>
    <row r="1044" spans="2:10">
      <c r="B1044" t="s">
        <v>2848</v>
      </c>
      <c r="C1044" s="915">
        <v>7100340003</v>
      </c>
      <c r="D1044" s="915" t="s">
        <v>3190</v>
      </c>
      <c r="E1044" s="915">
        <v>0</v>
      </c>
      <c r="F1044" s="915">
        <v>6215874</v>
      </c>
      <c r="G1044" s="838"/>
      <c r="H1044" s="838"/>
      <c r="I1044"/>
      <c r="J1044"/>
    </row>
    <row r="1045" spans="2:10">
      <c r="B1045" t="s">
        <v>2848</v>
      </c>
      <c r="C1045" s="915">
        <v>7100340003</v>
      </c>
      <c r="D1045" s="915" t="s">
        <v>3190</v>
      </c>
      <c r="E1045" s="915">
        <v>0</v>
      </c>
      <c r="F1045" s="915">
        <v>2619575</v>
      </c>
      <c r="G1045" s="838"/>
      <c r="H1045" s="838"/>
      <c r="I1045"/>
      <c r="J1045"/>
    </row>
    <row r="1046" spans="2:10">
      <c r="B1046" t="s">
        <v>2848</v>
      </c>
      <c r="C1046" s="915">
        <v>7102000001</v>
      </c>
      <c r="D1046" s="915" t="s">
        <v>3191</v>
      </c>
      <c r="E1046" s="915">
        <v>133725346</v>
      </c>
      <c r="F1046" s="915">
        <v>664809056</v>
      </c>
      <c r="G1046" s="838"/>
      <c r="H1046" s="838"/>
      <c r="I1046"/>
      <c r="J1046"/>
    </row>
    <row r="1047" spans="2:10">
      <c r="B1047" t="s">
        <v>2848</v>
      </c>
      <c r="C1047" s="915">
        <v>7116000000</v>
      </c>
      <c r="D1047" s="915" t="s">
        <v>3192</v>
      </c>
      <c r="E1047" s="915">
        <v>125643461</v>
      </c>
      <c r="F1047" s="915">
        <v>457792706</v>
      </c>
      <c r="G1047" s="838"/>
      <c r="H1047" s="838"/>
      <c r="I1047"/>
      <c r="J1047"/>
    </row>
    <row r="1048" spans="2:10">
      <c r="B1048" t="s">
        <v>2848</v>
      </c>
      <c r="C1048" s="915">
        <v>7116000000</v>
      </c>
      <c r="D1048" s="915" t="s">
        <v>3192</v>
      </c>
      <c r="E1048" s="915">
        <v>891153</v>
      </c>
      <c r="F1048" s="915">
        <v>6725504</v>
      </c>
      <c r="G1048" s="838"/>
      <c r="H1048" s="838"/>
      <c r="I1048"/>
      <c r="J1048"/>
    </row>
    <row r="1049" spans="2:10">
      <c r="B1049" t="s">
        <v>2848</v>
      </c>
      <c r="C1049" s="915">
        <v>7116000000</v>
      </c>
      <c r="D1049" s="915" t="s">
        <v>3192</v>
      </c>
      <c r="E1049" s="915">
        <v>662820</v>
      </c>
      <c r="F1049" s="915">
        <v>1503248</v>
      </c>
      <c r="G1049" s="838"/>
      <c r="H1049" s="838"/>
      <c r="I1049"/>
      <c r="J1049"/>
    </row>
    <row r="1050" spans="2:10">
      <c r="B1050" t="s">
        <v>2848</v>
      </c>
      <c r="C1050" s="915">
        <v>7116000000</v>
      </c>
      <c r="D1050" s="915" t="s">
        <v>3192</v>
      </c>
      <c r="E1050" s="915">
        <v>1078050</v>
      </c>
      <c r="F1050" s="915">
        <v>7044428</v>
      </c>
      <c r="G1050" s="838"/>
      <c r="H1050" s="838"/>
      <c r="I1050"/>
      <c r="J1050"/>
    </row>
    <row r="1051" spans="2:10">
      <c r="B1051" t="s">
        <v>2848</v>
      </c>
      <c r="C1051" s="915">
        <v>7116000000</v>
      </c>
      <c r="D1051" s="915" t="s">
        <v>3192</v>
      </c>
      <c r="E1051" s="915">
        <v>470304</v>
      </c>
      <c r="F1051" s="915">
        <v>4420788</v>
      </c>
      <c r="G1051" s="838"/>
      <c r="H1051" s="838"/>
      <c r="I1051"/>
      <c r="J1051"/>
    </row>
    <row r="1052" spans="2:10">
      <c r="B1052" t="s">
        <v>2848</v>
      </c>
      <c r="C1052" s="915">
        <v>7116000000</v>
      </c>
      <c r="D1052" s="915" t="s">
        <v>3192</v>
      </c>
      <c r="E1052" s="915">
        <v>677919</v>
      </c>
      <c r="F1052" s="915">
        <v>3407610</v>
      </c>
      <c r="G1052" s="838"/>
      <c r="H1052" s="838"/>
      <c r="I1052"/>
      <c r="J1052"/>
    </row>
    <row r="1053" spans="2:10">
      <c r="B1053" t="s">
        <v>2848</v>
      </c>
      <c r="C1053" s="915">
        <v>7116000000</v>
      </c>
      <c r="D1053" s="915" t="s">
        <v>3192</v>
      </c>
      <c r="E1053" s="915">
        <v>469820</v>
      </c>
      <c r="F1053" s="915">
        <v>2211085</v>
      </c>
      <c r="G1053" s="838"/>
      <c r="H1053" s="838"/>
      <c r="I1053"/>
      <c r="J1053"/>
    </row>
    <row r="1054" spans="2:10">
      <c r="B1054" t="s">
        <v>2848</v>
      </c>
      <c r="C1054" s="915">
        <v>7116000000</v>
      </c>
      <c r="D1054" s="915" t="s">
        <v>3192</v>
      </c>
      <c r="E1054" s="915">
        <v>1777639</v>
      </c>
      <c r="F1054" s="915">
        <v>2522265</v>
      </c>
      <c r="G1054" s="838"/>
      <c r="H1054" s="838"/>
      <c r="I1054"/>
      <c r="J1054"/>
    </row>
    <row r="1055" spans="2:10">
      <c r="B1055" t="s">
        <v>2848</v>
      </c>
      <c r="C1055" s="915">
        <v>7116000000</v>
      </c>
      <c r="D1055" s="915" t="s">
        <v>3192</v>
      </c>
      <c r="E1055" s="915">
        <v>608230</v>
      </c>
      <c r="F1055" s="915">
        <v>1695884</v>
      </c>
      <c r="G1055" s="838"/>
      <c r="H1055" s="838"/>
      <c r="I1055"/>
      <c r="J1055"/>
    </row>
    <row r="1056" spans="2:10">
      <c r="B1056" t="s">
        <v>2848</v>
      </c>
      <c r="C1056" s="915">
        <v>7116000000</v>
      </c>
      <c r="D1056" s="915" t="s">
        <v>3192</v>
      </c>
      <c r="E1056" s="915">
        <v>1604344</v>
      </c>
      <c r="F1056" s="915">
        <v>5369486</v>
      </c>
      <c r="G1056" s="838"/>
      <c r="H1056" s="838"/>
      <c r="I1056"/>
      <c r="J1056"/>
    </row>
    <row r="1057" spans="2:10">
      <c r="B1057" t="s">
        <v>2848</v>
      </c>
      <c r="C1057" s="915">
        <v>7116000000</v>
      </c>
      <c r="D1057" s="915" t="s">
        <v>3192</v>
      </c>
      <c r="E1057" s="915">
        <v>633760</v>
      </c>
      <c r="F1057" s="915">
        <v>2364985</v>
      </c>
      <c r="G1057" s="838"/>
      <c r="H1057" s="838"/>
      <c r="I1057"/>
      <c r="J1057"/>
    </row>
    <row r="1058" spans="2:10">
      <c r="B1058" t="s">
        <v>2848</v>
      </c>
      <c r="C1058" s="915">
        <v>7116000000</v>
      </c>
      <c r="D1058" s="915" t="s">
        <v>3192</v>
      </c>
      <c r="E1058" s="915">
        <v>801230</v>
      </c>
      <c r="F1058" s="915">
        <v>1941352</v>
      </c>
      <c r="G1058" s="838"/>
      <c r="H1058" s="838"/>
      <c r="I1058"/>
      <c r="J1058"/>
    </row>
    <row r="1059" spans="2:10">
      <c r="B1059" t="s">
        <v>2848</v>
      </c>
      <c r="C1059" s="915">
        <v>7116000000</v>
      </c>
      <c r="D1059" s="915" t="s">
        <v>3192</v>
      </c>
      <c r="E1059" s="915">
        <v>1716251</v>
      </c>
      <c r="F1059" s="915">
        <v>3582257</v>
      </c>
      <c r="G1059" s="838"/>
      <c r="H1059" s="838"/>
      <c r="I1059"/>
      <c r="J1059"/>
    </row>
    <row r="1060" spans="2:10">
      <c r="B1060" t="s">
        <v>2848</v>
      </c>
      <c r="C1060" s="915">
        <v>7116000000</v>
      </c>
      <c r="D1060" s="915" t="s">
        <v>3192</v>
      </c>
      <c r="E1060" s="915">
        <v>1065755</v>
      </c>
      <c r="F1060" s="915">
        <v>2793136</v>
      </c>
      <c r="G1060" s="838"/>
      <c r="H1060" s="838"/>
      <c r="I1060"/>
      <c r="J1060"/>
    </row>
    <row r="1061" spans="2:10">
      <c r="B1061" t="s">
        <v>2848</v>
      </c>
      <c r="C1061" s="915">
        <v>7116000000</v>
      </c>
      <c r="D1061" s="915" t="s">
        <v>3192</v>
      </c>
      <c r="E1061" s="915">
        <v>1308012</v>
      </c>
      <c r="F1061" s="915">
        <v>2747633</v>
      </c>
      <c r="G1061" s="838"/>
      <c r="H1061" s="838"/>
      <c r="I1061"/>
      <c r="J1061"/>
    </row>
    <row r="1062" spans="2:10">
      <c r="B1062" t="s">
        <v>2848</v>
      </c>
      <c r="C1062" s="915">
        <v>7116000000</v>
      </c>
      <c r="D1062" s="915" t="s">
        <v>3192</v>
      </c>
      <c r="E1062" s="915">
        <v>1749812</v>
      </c>
      <c r="F1062" s="915">
        <v>3797538</v>
      </c>
      <c r="G1062" s="838"/>
      <c r="H1062" s="838"/>
      <c r="I1062"/>
      <c r="J1062"/>
    </row>
    <row r="1063" spans="2:10">
      <c r="B1063" t="s">
        <v>2848</v>
      </c>
      <c r="C1063" s="915">
        <v>7116000000</v>
      </c>
      <c r="D1063" s="915" t="s">
        <v>3192</v>
      </c>
      <c r="E1063" s="915">
        <v>665140</v>
      </c>
      <c r="F1063" s="915">
        <v>3138524</v>
      </c>
      <c r="G1063" s="838"/>
      <c r="H1063" s="838"/>
      <c r="I1063"/>
      <c r="J1063"/>
    </row>
    <row r="1064" spans="2:10">
      <c r="B1064" t="s">
        <v>2848</v>
      </c>
      <c r="C1064" s="915">
        <v>7116000000</v>
      </c>
      <c r="D1064" s="915" t="s">
        <v>3192</v>
      </c>
      <c r="E1064" s="915">
        <v>1741354</v>
      </c>
      <c r="F1064" s="915">
        <v>4653256</v>
      </c>
      <c r="G1064" s="838"/>
      <c r="H1064" s="838"/>
      <c r="I1064"/>
      <c r="J1064"/>
    </row>
    <row r="1065" spans="2:10">
      <c r="B1065" t="s">
        <v>2848</v>
      </c>
      <c r="C1065" s="915">
        <v>7116000000</v>
      </c>
      <c r="D1065" s="915" t="s">
        <v>3192</v>
      </c>
      <c r="E1065" s="915">
        <v>3780987</v>
      </c>
      <c r="F1065" s="915">
        <v>6452482</v>
      </c>
      <c r="G1065" s="838"/>
      <c r="H1065" s="838"/>
      <c r="I1065"/>
      <c r="J1065"/>
    </row>
    <row r="1066" spans="2:10">
      <c r="B1066" t="s">
        <v>2848</v>
      </c>
      <c r="C1066" s="915">
        <v>7116000000</v>
      </c>
      <c r="D1066" s="915" t="s">
        <v>3192</v>
      </c>
      <c r="E1066" s="915">
        <v>0</v>
      </c>
      <c r="F1066" s="915">
        <v>976046</v>
      </c>
      <c r="G1066" s="838"/>
      <c r="H1066" s="838"/>
      <c r="I1066"/>
      <c r="J1066"/>
    </row>
    <row r="1067" spans="2:10">
      <c r="B1067" t="s">
        <v>2848</v>
      </c>
      <c r="C1067" s="915">
        <v>7116000000</v>
      </c>
      <c r="D1067" s="915" t="s">
        <v>3192</v>
      </c>
      <c r="E1067" s="915">
        <v>1390517</v>
      </c>
      <c r="F1067" s="915">
        <v>5903691</v>
      </c>
      <c r="G1067" s="838"/>
      <c r="H1067" s="838"/>
      <c r="I1067"/>
      <c r="J1067"/>
    </row>
    <row r="1068" spans="2:10">
      <c r="B1068" t="s">
        <v>2848</v>
      </c>
      <c r="C1068" s="915">
        <v>7116000003</v>
      </c>
      <c r="D1068" s="915" t="s">
        <v>3193</v>
      </c>
      <c r="E1068" s="915">
        <v>31319204</v>
      </c>
      <c r="F1068" s="915">
        <v>110909583</v>
      </c>
      <c r="G1068" s="838"/>
      <c r="H1068" s="838"/>
      <c r="I1068"/>
      <c r="J1068"/>
    </row>
    <row r="1069" spans="2:10">
      <c r="B1069" t="s">
        <v>2848</v>
      </c>
      <c r="C1069" s="915">
        <v>7116000003</v>
      </c>
      <c r="D1069" s="915" t="s">
        <v>3193</v>
      </c>
      <c r="E1069" s="915">
        <v>545950</v>
      </c>
      <c r="F1069" s="915">
        <v>1870166</v>
      </c>
      <c r="G1069" s="838"/>
      <c r="H1069" s="838"/>
      <c r="I1069"/>
      <c r="J1069"/>
    </row>
    <row r="1070" spans="2:10">
      <c r="B1070" t="s">
        <v>2848</v>
      </c>
      <c r="C1070" s="915">
        <v>7116000003</v>
      </c>
      <c r="D1070" s="915" t="s">
        <v>3193</v>
      </c>
      <c r="E1070" s="915">
        <v>24340</v>
      </c>
      <c r="F1070" s="915">
        <v>178217</v>
      </c>
      <c r="G1070" s="838"/>
      <c r="H1070" s="838"/>
      <c r="I1070"/>
      <c r="J1070"/>
    </row>
    <row r="1071" spans="2:10">
      <c r="B1071" t="s">
        <v>2848</v>
      </c>
      <c r="C1071" s="915">
        <v>7116000003</v>
      </c>
      <c r="D1071" s="915" t="s">
        <v>3193</v>
      </c>
      <c r="E1071" s="915">
        <v>6766084</v>
      </c>
      <c r="F1071" s="915">
        <v>8905288</v>
      </c>
      <c r="G1071" s="838"/>
      <c r="H1071" s="838"/>
      <c r="I1071"/>
      <c r="J1071"/>
    </row>
    <row r="1072" spans="2:10">
      <c r="B1072" t="s">
        <v>2848</v>
      </c>
      <c r="C1072" s="915">
        <v>7116000003</v>
      </c>
      <c r="D1072" s="915" t="s">
        <v>3193</v>
      </c>
      <c r="E1072" s="915">
        <v>858084</v>
      </c>
      <c r="F1072" s="915">
        <v>3282825</v>
      </c>
      <c r="G1072" s="838"/>
      <c r="H1072" s="838"/>
      <c r="I1072"/>
      <c r="J1072"/>
    </row>
    <row r="1073" spans="2:10">
      <c r="B1073" t="s">
        <v>2848</v>
      </c>
      <c r="C1073" s="915">
        <v>7116000003</v>
      </c>
      <c r="D1073" s="915" t="s">
        <v>3193</v>
      </c>
      <c r="E1073" s="915">
        <v>123529</v>
      </c>
      <c r="F1073" s="915">
        <v>715307</v>
      </c>
      <c r="G1073" s="838"/>
      <c r="H1073" s="838"/>
      <c r="I1073"/>
      <c r="J1073"/>
    </row>
    <row r="1074" spans="2:10">
      <c r="B1074" t="s">
        <v>2848</v>
      </c>
      <c r="C1074" s="915">
        <v>7116000003</v>
      </c>
      <c r="D1074" s="915" t="s">
        <v>3193</v>
      </c>
      <c r="E1074" s="915">
        <v>73617</v>
      </c>
      <c r="F1074" s="915">
        <v>305951</v>
      </c>
      <c r="G1074" s="838"/>
      <c r="H1074" s="838"/>
      <c r="I1074"/>
      <c r="J1074"/>
    </row>
    <row r="1075" spans="2:10">
      <c r="B1075" t="s">
        <v>2848</v>
      </c>
      <c r="C1075" s="915">
        <v>7116000003</v>
      </c>
      <c r="D1075" s="915" t="s">
        <v>3193</v>
      </c>
      <c r="E1075" s="915">
        <v>2516402</v>
      </c>
      <c r="F1075" s="915">
        <v>5253392</v>
      </c>
      <c r="G1075" s="838"/>
      <c r="H1075" s="838"/>
      <c r="I1075"/>
      <c r="J1075"/>
    </row>
    <row r="1076" spans="2:10">
      <c r="B1076" t="s">
        <v>2848</v>
      </c>
      <c r="C1076" s="915">
        <v>7116000003</v>
      </c>
      <c r="D1076" s="915" t="s">
        <v>3193</v>
      </c>
      <c r="E1076" s="915">
        <v>116437</v>
      </c>
      <c r="F1076" s="915">
        <v>243516</v>
      </c>
      <c r="G1076" s="838"/>
      <c r="H1076" s="838"/>
      <c r="I1076"/>
      <c r="J1076"/>
    </row>
    <row r="1077" spans="2:10">
      <c r="B1077" t="s">
        <v>2848</v>
      </c>
      <c r="C1077" s="915">
        <v>7116000003</v>
      </c>
      <c r="D1077" s="915" t="s">
        <v>3193</v>
      </c>
      <c r="E1077" s="915">
        <v>740812</v>
      </c>
      <c r="F1077" s="915">
        <v>3026325</v>
      </c>
      <c r="G1077" s="838"/>
      <c r="H1077" s="838"/>
      <c r="I1077"/>
      <c r="J1077"/>
    </row>
    <row r="1078" spans="2:10">
      <c r="B1078" t="s">
        <v>2848</v>
      </c>
      <c r="C1078" s="915">
        <v>7116000003</v>
      </c>
      <c r="D1078" s="915" t="s">
        <v>3193</v>
      </c>
      <c r="E1078" s="915">
        <v>666935</v>
      </c>
      <c r="F1078" s="915">
        <v>265613</v>
      </c>
      <c r="G1078" s="838"/>
      <c r="H1078" s="838"/>
      <c r="I1078"/>
      <c r="J1078"/>
    </row>
    <row r="1079" spans="2:10">
      <c r="B1079" t="s">
        <v>2848</v>
      </c>
      <c r="C1079" s="915">
        <v>7116000003</v>
      </c>
      <c r="D1079" s="915" t="s">
        <v>3193</v>
      </c>
      <c r="E1079" s="915">
        <v>299805</v>
      </c>
      <c r="F1079" s="915">
        <v>581084</v>
      </c>
      <c r="G1079" s="838"/>
      <c r="H1079" s="838"/>
      <c r="I1079"/>
      <c r="J1079"/>
    </row>
    <row r="1080" spans="2:10">
      <c r="B1080" t="s">
        <v>2848</v>
      </c>
      <c r="C1080" s="915">
        <v>7116000003</v>
      </c>
      <c r="D1080" s="915" t="s">
        <v>3193</v>
      </c>
      <c r="E1080" s="915">
        <v>131143</v>
      </c>
      <c r="F1080" s="915">
        <v>1144007</v>
      </c>
      <c r="G1080" s="838"/>
      <c r="H1080" s="838"/>
      <c r="I1080"/>
      <c r="J1080"/>
    </row>
    <row r="1081" spans="2:10">
      <c r="B1081" t="s">
        <v>2848</v>
      </c>
      <c r="C1081" s="915">
        <v>7116000003</v>
      </c>
      <c r="D1081" s="915" t="s">
        <v>3193</v>
      </c>
      <c r="E1081" s="915">
        <v>227627</v>
      </c>
      <c r="F1081" s="915">
        <v>660139</v>
      </c>
      <c r="G1081" s="838"/>
      <c r="H1081" s="838"/>
      <c r="I1081"/>
      <c r="J1081"/>
    </row>
    <row r="1082" spans="2:10">
      <c r="B1082" t="s">
        <v>2848</v>
      </c>
      <c r="C1082" s="915">
        <v>7116000003</v>
      </c>
      <c r="D1082" s="915" t="s">
        <v>3193</v>
      </c>
      <c r="E1082" s="915">
        <v>5011</v>
      </c>
      <c r="F1082" s="915">
        <v>1283345</v>
      </c>
      <c r="G1082" s="838"/>
      <c r="H1082" s="838"/>
      <c r="I1082"/>
      <c r="J1082"/>
    </row>
    <row r="1083" spans="2:10">
      <c r="B1083" t="s">
        <v>2848</v>
      </c>
      <c r="C1083" s="915">
        <v>7116000003</v>
      </c>
      <c r="D1083" s="915" t="s">
        <v>3193</v>
      </c>
      <c r="E1083" s="915">
        <v>58182</v>
      </c>
      <c r="F1083" s="915">
        <v>670258</v>
      </c>
      <c r="G1083" s="838"/>
      <c r="H1083" s="838"/>
      <c r="I1083"/>
      <c r="J1083"/>
    </row>
    <row r="1084" spans="2:10">
      <c r="B1084" t="s">
        <v>2848</v>
      </c>
      <c r="C1084" s="915">
        <v>7116000003</v>
      </c>
      <c r="D1084" s="915" t="s">
        <v>3193</v>
      </c>
      <c r="E1084" s="915">
        <v>491970</v>
      </c>
      <c r="F1084" s="915">
        <v>932539</v>
      </c>
      <c r="G1084" s="838"/>
      <c r="H1084" s="838"/>
      <c r="I1084"/>
      <c r="J1084"/>
    </row>
    <row r="1085" spans="2:10">
      <c r="B1085" t="s">
        <v>2848</v>
      </c>
      <c r="C1085" s="915">
        <v>7116000003</v>
      </c>
      <c r="D1085" s="915" t="s">
        <v>3193</v>
      </c>
      <c r="E1085" s="915">
        <v>2859</v>
      </c>
      <c r="F1085" s="915">
        <v>142255</v>
      </c>
      <c r="G1085" s="838"/>
      <c r="H1085" s="838"/>
      <c r="I1085"/>
      <c r="J1085"/>
    </row>
    <row r="1086" spans="2:10">
      <c r="B1086" t="s">
        <v>2848</v>
      </c>
      <c r="C1086" s="915">
        <v>7116000003</v>
      </c>
      <c r="D1086" s="915" t="s">
        <v>3193</v>
      </c>
      <c r="E1086" s="915">
        <v>21496399</v>
      </c>
      <c r="F1086" s="915">
        <v>8219528</v>
      </c>
      <c r="G1086" s="838"/>
      <c r="H1086" s="838"/>
      <c r="I1086"/>
      <c r="J1086"/>
    </row>
    <row r="1087" spans="2:10">
      <c r="B1087" t="s">
        <v>2848</v>
      </c>
      <c r="C1087" s="915">
        <v>7116000003</v>
      </c>
      <c r="D1087" s="915" t="s">
        <v>3193</v>
      </c>
      <c r="E1087" s="915">
        <v>0</v>
      </c>
      <c r="F1087" s="915">
        <v>9604</v>
      </c>
      <c r="G1087" s="838"/>
      <c r="H1087" s="838"/>
    </row>
    <row r="1088" spans="2:10">
      <c r="B1088" t="s">
        <v>2848</v>
      </c>
      <c r="C1088" s="915">
        <v>7202000008</v>
      </c>
      <c r="D1088" s="915" t="s">
        <v>3194</v>
      </c>
      <c r="E1088" s="915">
        <v>51563617</v>
      </c>
      <c r="F1088" s="915">
        <v>206047797</v>
      </c>
      <c r="G1088" s="838"/>
      <c r="H1088" s="838"/>
    </row>
    <row r="1089" spans="2:8">
      <c r="B1089" t="s">
        <v>2848</v>
      </c>
      <c r="C1089" s="915">
        <v>7202000008</v>
      </c>
      <c r="D1089" s="915" t="s">
        <v>3194</v>
      </c>
      <c r="E1089" s="915">
        <v>760989</v>
      </c>
      <c r="F1089" s="915">
        <v>2149459</v>
      </c>
      <c r="G1089" s="838"/>
      <c r="H1089" s="838"/>
    </row>
    <row r="1090" spans="2:8">
      <c r="B1090" t="s">
        <v>2848</v>
      </c>
      <c r="C1090" s="915">
        <v>7202000008</v>
      </c>
      <c r="D1090" s="915" t="s">
        <v>3194</v>
      </c>
      <c r="E1090" s="915">
        <v>256729</v>
      </c>
      <c r="F1090" s="915">
        <v>877581</v>
      </c>
      <c r="G1090" s="838"/>
      <c r="H1090" s="838"/>
    </row>
    <row r="1091" spans="2:8">
      <c r="B1091" t="s">
        <v>2848</v>
      </c>
      <c r="C1091" s="915">
        <v>7202000008</v>
      </c>
      <c r="D1091" s="915" t="s">
        <v>3194</v>
      </c>
      <c r="E1091" s="915">
        <v>500741</v>
      </c>
      <c r="F1091" s="915">
        <v>2539910</v>
      </c>
      <c r="G1091" s="838"/>
      <c r="H1091" s="838"/>
    </row>
    <row r="1092" spans="2:8">
      <c r="B1092" t="s">
        <v>2848</v>
      </c>
      <c r="C1092" s="915">
        <v>7202000008</v>
      </c>
      <c r="D1092" s="915" t="s">
        <v>3194</v>
      </c>
      <c r="E1092" s="915">
        <v>522946</v>
      </c>
      <c r="F1092" s="915">
        <v>2096610</v>
      </c>
      <c r="G1092" s="838"/>
      <c r="H1092" s="838"/>
    </row>
    <row r="1093" spans="2:8">
      <c r="B1093" t="s">
        <v>2848</v>
      </c>
      <c r="C1093" s="915">
        <v>7202000008</v>
      </c>
      <c r="D1093" s="915" t="s">
        <v>3194</v>
      </c>
      <c r="E1093" s="915">
        <v>479718</v>
      </c>
      <c r="F1093" s="915">
        <v>1705480</v>
      </c>
      <c r="G1093" s="838"/>
      <c r="H1093" s="838"/>
    </row>
    <row r="1094" spans="2:8">
      <c r="B1094" t="s">
        <v>2848</v>
      </c>
      <c r="C1094" s="915">
        <v>7202000008</v>
      </c>
      <c r="D1094" s="915" t="s">
        <v>3194</v>
      </c>
      <c r="E1094" s="915">
        <v>216094</v>
      </c>
      <c r="F1094" s="915">
        <v>834836</v>
      </c>
      <c r="G1094" s="838"/>
      <c r="H1094" s="838"/>
    </row>
    <row r="1095" spans="2:8">
      <c r="B1095" t="s">
        <v>2848</v>
      </c>
      <c r="C1095" s="915">
        <v>7202000008</v>
      </c>
      <c r="D1095" s="915" t="s">
        <v>3194</v>
      </c>
      <c r="E1095" s="915">
        <v>638655</v>
      </c>
      <c r="F1095" s="915">
        <v>2285770</v>
      </c>
      <c r="G1095" s="838"/>
      <c r="H1095" s="838"/>
    </row>
    <row r="1096" spans="2:8">
      <c r="B1096" t="s">
        <v>2848</v>
      </c>
      <c r="C1096" s="915">
        <v>7202000008</v>
      </c>
      <c r="D1096" s="915" t="s">
        <v>3194</v>
      </c>
      <c r="E1096" s="915">
        <v>223363</v>
      </c>
      <c r="F1096" s="915">
        <v>780195</v>
      </c>
      <c r="G1096" s="838"/>
      <c r="H1096" s="838"/>
    </row>
    <row r="1097" spans="2:8">
      <c r="B1097" t="s">
        <v>2848</v>
      </c>
      <c r="C1097" s="915">
        <v>7202000008</v>
      </c>
      <c r="D1097" s="915" t="s">
        <v>3194</v>
      </c>
      <c r="E1097" s="915">
        <v>821440</v>
      </c>
      <c r="F1097" s="915">
        <v>2422782</v>
      </c>
      <c r="G1097" s="838"/>
      <c r="H1097" s="838"/>
    </row>
    <row r="1098" spans="2:8">
      <c r="B1098" t="s">
        <v>2848</v>
      </c>
      <c r="C1098" s="915">
        <v>7202000008</v>
      </c>
      <c r="D1098" s="915" t="s">
        <v>3194</v>
      </c>
      <c r="E1098" s="915">
        <v>340613</v>
      </c>
      <c r="F1098" s="915">
        <v>1105103</v>
      </c>
      <c r="G1098" s="838"/>
      <c r="H1098" s="838"/>
    </row>
    <row r="1099" spans="2:8">
      <c r="B1099" t="s">
        <v>2848</v>
      </c>
      <c r="C1099" s="915">
        <v>7202000008</v>
      </c>
      <c r="D1099" s="915" t="s">
        <v>3194</v>
      </c>
      <c r="E1099" s="915">
        <v>205601</v>
      </c>
      <c r="F1099" s="915">
        <v>667681</v>
      </c>
      <c r="G1099" s="838"/>
      <c r="H1099" s="838"/>
    </row>
    <row r="1100" spans="2:8">
      <c r="B1100" t="s">
        <v>2848</v>
      </c>
      <c r="C1100" s="915">
        <v>7202000008</v>
      </c>
      <c r="D1100" s="915" t="s">
        <v>3194</v>
      </c>
      <c r="E1100" s="915">
        <v>622927</v>
      </c>
      <c r="F1100" s="915">
        <v>2041865</v>
      </c>
      <c r="G1100" s="838"/>
      <c r="H1100" s="838"/>
    </row>
    <row r="1101" spans="2:8">
      <c r="B1101" t="s">
        <v>2848</v>
      </c>
      <c r="C1101" s="915">
        <v>7202000008</v>
      </c>
      <c r="D1101" s="915" t="s">
        <v>3194</v>
      </c>
      <c r="E1101" s="915">
        <v>325072</v>
      </c>
      <c r="F1101" s="915">
        <v>1156132</v>
      </c>
      <c r="G1101" s="838"/>
      <c r="H1101" s="838"/>
    </row>
    <row r="1102" spans="2:8">
      <c r="B1102" t="s">
        <v>2848</v>
      </c>
      <c r="C1102" s="915">
        <v>7202000008</v>
      </c>
      <c r="D1102" s="915" t="s">
        <v>3194</v>
      </c>
      <c r="E1102" s="915">
        <v>-390528</v>
      </c>
      <c r="F1102" s="915">
        <v>1422581</v>
      </c>
      <c r="G1102" s="838"/>
      <c r="H1102" s="838"/>
    </row>
    <row r="1103" spans="2:8">
      <c r="B1103" t="s">
        <v>2848</v>
      </c>
      <c r="C1103" s="915">
        <v>7202000008</v>
      </c>
      <c r="D1103" s="915" t="s">
        <v>3194</v>
      </c>
      <c r="E1103" s="915">
        <v>554436</v>
      </c>
      <c r="F1103" s="915">
        <v>1920865</v>
      </c>
      <c r="G1103" s="838"/>
      <c r="H1103" s="838"/>
    </row>
    <row r="1104" spans="2:8">
      <c r="B1104" t="s">
        <v>2848</v>
      </c>
      <c r="C1104" s="915">
        <v>7202000008</v>
      </c>
      <c r="D1104" s="915" t="s">
        <v>3194</v>
      </c>
      <c r="E1104" s="915">
        <v>512832</v>
      </c>
      <c r="F1104" s="915">
        <v>652408</v>
      </c>
      <c r="G1104" s="838"/>
      <c r="H1104" s="838"/>
    </row>
    <row r="1105" spans="2:8">
      <c r="B1105" t="s">
        <v>2848</v>
      </c>
      <c r="C1105" s="915">
        <v>7202000008</v>
      </c>
      <c r="D1105" s="915" t="s">
        <v>3194</v>
      </c>
      <c r="E1105" s="915">
        <v>722867</v>
      </c>
      <c r="F1105" s="915">
        <v>2279894</v>
      </c>
      <c r="G1105" s="838"/>
      <c r="H1105" s="838"/>
    </row>
    <row r="1106" spans="2:8">
      <c r="B1106" t="s">
        <v>2848</v>
      </c>
      <c r="C1106" s="915">
        <v>7202000008</v>
      </c>
      <c r="D1106" s="915" t="s">
        <v>3194</v>
      </c>
      <c r="E1106" s="915">
        <v>790347</v>
      </c>
      <c r="F1106" s="915">
        <v>1907424</v>
      </c>
      <c r="G1106" s="838"/>
      <c r="H1106" s="838"/>
    </row>
    <row r="1107" spans="2:8">
      <c r="B1107" t="s">
        <v>2848</v>
      </c>
      <c r="C1107" s="915">
        <v>7202000008</v>
      </c>
      <c r="D1107" s="915" t="s">
        <v>3194</v>
      </c>
      <c r="E1107" s="915">
        <v>95071</v>
      </c>
      <c r="F1107" s="915">
        <v>426203</v>
      </c>
      <c r="G1107" s="838"/>
      <c r="H1107" s="838"/>
    </row>
    <row r="1108" spans="2:8">
      <c r="B1108" t="s">
        <v>2848</v>
      </c>
      <c r="C1108" s="915">
        <v>7202000008</v>
      </c>
      <c r="D1108" s="915" t="s">
        <v>3194</v>
      </c>
      <c r="E1108" s="915">
        <v>734950</v>
      </c>
      <c r="F1108" s="915">
        <v>2791616</v>
      </c>
      <c r="G1108" s="838"/>
      <c r="H1108" s="838"/>
    </row>
    <row r="1109" spans="2:8">
      <c r="B1109" t="s">
        <v>2848</v>
      </c>
      <c r="C1109" s="915">
        <v>7202001009</v>
      </c>
      <c r="D1109" s="915" t="s">
        <v>3195</v>
      </c>
      <c r="E1109" s="915">
        <v>8481357</v>
      </c>
      <c r="F1109" s="915">
        <v>18113637</v>
      </c>
      <c r="G1109" s="838"/>
      <c r="H1109" s="838"/>
    </row>
    <row r="1110" spans="2:8">
      <c r="B1110" t="s">
        <v>2848</v>
      </c>
      <c r="C1110" s="915">
        <v>7202001009</v>
      </c>
      <c r="D1110" s="915" t="s">
        <v>3195</v>
      </c>
      <c r="E1110" s="915">
        <v>0</v>
      </c>
      <c r="F1110" s="915">
        <v>30093</v>
      </c>
      <c r="G1110" s="838"/>
      <c r="H1110" s="838"/>
    </row>
    <row r="1111" spans="2:8">
      <c r="B1111" t="s">
        <v>2848</v>
      </c>
      <c r="C1111" s="915">
        <v>7202001009</v>
      </c>
      <c r="D1111" s="915" t="s">
        <v>3195</v>
      </c>
      <c r="E1111" s="915">
        <v>5210</v>
      </c>
      <c r="F1111" s="915">
        <v>182360</v>
      </c>
      <c r="G1111" s="838"/>
      <c r="H1111" s="838"/>
    </row>
    <row r="1112" spans="2:8">
      <c r="B1112" t="s">
        <v>2848</v>
      </c>
      <c r="C1112" s="915">
        <v>7202001009</v>
      </c>
      <c r="D1112" s="915" t="s">
        <v>3195</v>
      </c>
      <c r="E1112" s="915">
        <v>0</v>
      </c>
      <c r="F1112" s="915">
        <v>84000</v>
      </c>
      <c r="G1112" s="838"/>
      <c r="H1112" s="838"/>
    </row>
    <row r="1113" spans="2:8">
      <c r="B1113" t="s">
        <v>2848</v>
      </c>
      <c r="C1113" s="915">
        <v>7202001009</v>
      </c>
      <c r="D1113" s="915" t="s">
        <v>3195</v>
      </c>
      <c r="E1113" s="915">
        <v>172800</v>
      </c>
      <c r="F1113" s="915">
        <v>133195</v>
      </c>
      <c r="G1113" s="838"/>
      <c r="H1113" s="838"/>
    </row>
    <row r="1114" spans="2:8">
      <c r="B1114" t="s">
        <v>2848</v>
      </c>
      <c r="C1114" s="915">
        <v>7202001009</v>
      </c>
      <c r="D1114" s="915" t="s">
        <v>3195</v>
      </c>
      <c r="E1114" s="915">
        <v>379000</v>
      </c>
      <c r="F1114" s="915">
        <v>1115100</v>
      </c>
      <c r="G1114" s="838"/>
      <c r="H1114" s="838"/>
    </row>
    <row r="1115" spans="2:8">
      <c r="B1115" t="s">
        <v>2848</v>
      </c>
      <c r="C1115" s="915">
        <v>7202001009</v>
      </c>
      <c r="D1115" s="915" t="s">
        <v>3195</v>
      </c>
      <c r="E1115" s="915">
        <v>174000</v>
      </c>
      <c r="F1115" s="915">
        <v>508170</v>
      </c>
      <c r="G1115" s="838"/>
      <c r="H1115" s="838"/>
    </row>
    <row r="1116" spans="2:8">
      <c r="B1116" t="s">
        <v>2848</v>
      </c>
      <c r="C1116" s="915">
        <v>7202001009</v>
      </c>
      <c r="D1116" s="915" t="s">
        <v>3195</v>
      </c>
      <c r="E1116" s="915">
        <v>0</v>
      </c>
      <c r="F1116" s="915">
        <v>42600</v>
      </c>
      <c r="G1116" s="838"/>
      <c r="H1116" s="838"/>
    </row>
    <row r="1117" spans="2:8">
      <c r="B1117" t="s">
        <v>2848</v>
      </c>
      <c r="C1117" s="915">
        <v>7202001009</v>
      </c>
      <c r="D1117" s="915" t="s">
        <v>3195</v>
      </c>
      <c r="E1117" s="915">
        <v>0</v>
      </c>
      <c r="F1117" s="915">
        <v>201000</v>
      </c>
      <c r="G1117" s="838"/>
      <c r="H1117" s="838"/>
    </row>
    <row r="1118" spans="2:8">
      <c r="B1118" t="s">
        <v>2848</v>
      </c>
      <c r="C1118" s="915">
        <v>7202001009</v>
      </c>
      <c r="D1118" s="915" t="s">
        <v>3195</v>
      </c>
      <c r="E1118" s="915">
        <v>74000</v>
      </c>
      <c r="F1118" s="915">
        <v>229200</v>
      </c>
      <c r="G1118" s="838"/>
      <c r="H1118" s="838"/>
    </row>
    <row r="1119" spans="2:8">
      <c r="B1119" t="s">
        <v>2848</v>
      </c>
      <c r="C1119" s="915">
        <v>7202001009</v>
      </c>
      <c r="D1119" s="915" t="s">
        <v>3195</v>
      </c>
      <c r="E1119" s="915">
        <v>313100</v>
      </c>
      <c r="F1119" s="915">
        <v>93390</v>
      </c>
      <c r="G1119" s="838"/>
      <c r="H1119" s="838"/>
    </row>
    <row r="1120" spans="2:8">
      <c r="B1120" t="s">
        <v>2848</v>
      </c>
      <c r="C1120" s="915">
        <v>7202001009</v>
      </c>
      <c r="D1120" s="915" t="s">
        <v>3195</v>
      </c>
      <c r="E1120" s="915">
        <v>95500</v>
      </c>
      <c r="F1120" s="915">
        <v>-43930</v>
      </c>
      <c r="G1120" s="838"/>
      <c r="H1120" s="838"/>
    </row>
    <row r="1121" spans="2:8">
      <c r="B1121" t="s">
        <v>2848</v>
      </c>
      <c r="C1121" s="915">
        <v>7202001009</v>
      </c>
      <c r="D1121" s="915" t="s">
        <v>3195</v>
      </c>
      <c r="E1121" s="915">
        <v>117000</v>
      </c>
      <c r="F1121" s="915">
        <v>-14225</v>
      </c>
      <c r="G1121" s="838"/>
      <c r="H1121" s="838"/>
    </row>
    <row r="1122" spans="2:8">
      <c r="B1122" t="s">
        <v>2848</v>
      </c>
      <c r="C1122" s="915">
        <v>7202001009</v>
      </c>
      <c r="D1122" s="915" t="s">
        <v>3195</v>
      </c>
      <c r="E1122" s="915">
        <v>121000</v>
      </c>
      <c r="F1122" s="915">
        <v>398510</v>
      </c>
      <c r="G1122" s="838"/>
      <c r="H1122" s="838"/>
    </row>
    <row r="1123" spans="2:8">
      <c r="B1123" t="s">
        <v>2848</v>
      </c>
      <c r="C1123" s="915">
        <v>7202001009</v>
      </c>
      <c r="D1123" s="915" t="s">
        <v>3195</v>
      </c>
      <c r="E1123" s="915">
        <v>104000</v>
      </c>
      <c r="F1123" s="915">
        <v>130975</v>
      </c>
      <c r="G1123" s="838"/>
      <c r="H1123" s="838"/>
    </row>
    <row r="1124" spans="2:8">
      <c r="B1124" t="s">
        <v>2848</v>
      </c>
      <c r="C1124" s="915">
        <v>7202001009</v>
      </c>
      <c r="D1124" s="915" t="s">
        <v>3195</v>
      </c>
      <c r="E1124" s="915">
        <v>13300</v>
      </c>
      <c r="F1124" s="915">
        <v>69500</v>
      </c>
      <c r="G1124" s="838"/>
      <c r="H1124" s="838"/>
    </row>
    <row r="1125" spans="2:8">
      <c r="B1125" t="s">
        <v>2848</v>
      </c>
      <c r="C1125" s="915">
        <v>7202001009</v>
      </c>
      <c r="D1125" s="915" t="s">
        <v>3195</v>
      </c>
      <c r="E1125" s="915">
        <v>0</v>
      </c>
      <c r="F1125" s="915">
        <v>23000</v>
      </c>
      <c r="G1125" s="838"/>
      <c r="H1125" s="838"/>
    </row>
    <row r="1126" spans="2:8">
      <c r="B1126" t="s">
        <v>2848</v>
      </c>
      <c r="C1126" s="915">
        <v>7202001009</v>
      </c>
      <c r="D1126" s="915" t="s">
        <v>3195</v>
      </c>
      <c r="E1126" s="915">
        <v>0</v>
      </c>
      <c r="F1126" s="915">
        <v>255600</v>
      </c>
      <c r="G1126" s="838"/>
      <c r="H1126" s="838"/>
    </row>
    <row r="1127" spans="2:8">
      <c r="B1127" t="s">
        <v>2848</v>
      </c>
      <c r="C1127" s="915">
        <v>7202001009</v>
      </c>
      <c r="D1127" s="915" t="s">
        <v>3195</v>
      </c>
      <c r="E1127" s="915">
        <v>0</v>
      </c>
      <c r="F1127" s="915">
        <v>32174</v>
      </c>
      <c r="G1127" s="838"/>
      <c r="H1127" s="838"/>
    </row>
    <row r="1128" spans="2:8">
      <c r="B1128" t="s">
        <v>2848</v>
      </c>
      <c r="C1128" s="915">
        <v>7202001009</v>
      </c>
      <c r="D1128" s="915" t="s">
        <v>3195</v>
      </c>
      <c r="E1128" s="915">
        <v>0</v>
      </c>
      <c r="F1128" s="915">
        <v>106980</v>
      </c>
      <c r="G1128" s="838"/>
      <c r="H1128" s="838"/>
    </row>
    <row r="1129" spans="2:8">
      <c r="B1129" t="s">
        <v>2848</v>
      </c>
      <c r="C1129" s="915">
        <v>7202001009</v>
      </c>
      <c r="D1129" s="915" t="s">
        <v>3195</v>
      </c>
      <c r="E1129" s="915">
        <v>7000</v>
      </c>
      <c r="F1129" s="915">
        <v>464284</v>
      </c>
      <c r="G1129" s="838"/>
      <c r="H1129" s="838"/>
    </row>
    <row r="1130" spans="2:8">
      <c r="B1130" t="s">
        <v>2848</v>
      </c>
      <c r="C1130" s="915">
        <v>7202001009</v>
      </c>
      <c r="D1130" s="915" t="s">
        <v>3195</v>
      </c>
      <c r="E1130" s="915">
        <v>0</v>
      </c>
      <c r="F1130" s="915">
        <v>36000</v>
      </c>
      <c r="G1130" s="838"/>
      <c r="H1130" s="838"/>
    </row>
    <row r="1131" spans="2:8">
      <c r="B1131" t="s">
        <v>2848</v>
      </c>
      <c r="C1131" s="915">
        <v>7202001009</v>
      </c>
      <c r="D1131" s="915" t="s">
        <v>3195</v>
      </c>
      <c r="E1131" s="915">
        <v>0</v>
      </c>
      <c r="F1131" s="915">
        <v>49287</v>
      </c>
      <c r="G1131" s="838"/>
      <c r="H1131" s="838"/>
    </row>
    <row r="1132" spans="2:8">
      <c r="B1132" t="s">
        <v>2848</v>
      </c>
      <c r="C1132" s="915">
        <v>7242003002</v>
      </c>
      <c r="D1132" s="915" t="s">
        <v>3196</v>
      </c>
      <c r="E1132" s="915">
        <v>48334012</v>
      </c>
      <c r="F1132" s="915">
        <v>202641778</v>
      </c>
      <c r="G1132" s="838"/>
      <c r="H1132" s="838"/>
    </row>
    <row r="1133" spans="2:8">
      <c r="B1133" t="s">
        <v>2848</v>
      </c>
      <c r="C1133" s="915">
        <v>7242003002</v>
      </c>
      <c r="D1133" s="915" t="s">
        <v>3196</v>
      </c>
      <c r="E1133" s="915">
        <v>627458</v>
      </c>
      <c r="F1133" s="915">
        <v>2490970</v>
      </c>
      <c r="G1133" s="838"/>
      <c r="H1133" s="838"/>
    </row>
    <row r="1134" spans="2:8">
      <c r="B1134" t="s">
        <v>2848</v>
      </c>
      <c r="C1134" s="915">
        <v>7242003002</v>
      </c>
      <c r="D1134" s="915" t="s">
        <v>3196</v>
      </c>
      <c r="E1134" s="915">
        <v>138995</v>
      </c>
      <c r="F1134" s="915">
        <v>549708</v>
      </c>
      <c r="G1134" s="838"/>
      <c r="H1134" s="838"/>
    </row>
    <row r="1135" spans="2:8">
      <c r="B1135" t="s">
        <v>2848</v>
      </c>
      <c r="C1135" s="915">
        <v>7242003002</v>
      </c>
      <c r="D1135" s="915" t="s">
        <v>3196</v>
      </c>
      <c r="E1135" s="915">
        <v>529132</v>
      </c>
      <c r="F1135" s="915">
        <v>2059363</v>
      </c>
      <c r="G1135" s="838"/>
      <c r="H1135" s="838"/>
    </row>
    <row r="1136" spans="2:8">
      <c r="B1136" t="s">
        <v>2848</v>
      </c>
      <c r="C1136" s="915">
        <v>7242003002</v>
      </c>
      <c r="D1136" s="915" t="s">
        <v>3196</v>
      </c>
      <c r="E1136" s="915">
        <v>393473</v>
      </c>
      <c r="F1136" s="915">
        <v>1573806</v>
      </c>
      <c r="G1136" s="838"/>
      <c r="H1136" s="838"/>
    </row>
    <row r="1137" spans="2:8">
      <c r="B1137" t="s">
        <v>2848</v>
      </c>
      <c r="C1137" s="915">
        <v>7242003002</v>
      </c>
      <c r="D1137" s="915" t="s">
        <v>3196</v>
      </c>
      <c r="E1137" s="915">
        <v>293806</v>
      </c>
      <c r="F1137" s="915">
        <v>1320018</v>
      </c>
      <c r="G1137" s="838"/>
      <c r="H1137" s="838"/>
    </row>
    <row r="1138" spans="2:8">
      <c r="B1138" t="s">
        <v>2848</v>
      </c>
      <c r="C1138" s="915">
        <v>7242003002</v>
      </c>
      <c r="D1138" s="915" t="s">
        <v>3196</v>
      </c>
      <c r="E1138" s="915">
        <v>181339</v>
      </c>
      <c r="F1138" s="915">
        <v>717368</v>
      </c>
      <c r="G1138" s="838"/>
      <c r="H1138" s="838"/>
    </row>
    <row r="1139" spans="2:8">
      <c r="B1139" t="s">
        <v>2848</v>
      </c>
      <c r="C1139" s="915">
        <v>7242003002</v>
      </c>
      <c r="D1139" s="915" t="s">
        <v>3196</v>
      </c>
      <c r="E1139" s="915">
        <v>364484</v>
      </c>
      <c r="F1139" s="915">
        <v>1441119</v>
      </c>
      <c r="G1139" s="838"/>
      <c r="H1139" s="838"/>
    </row>
    <row r="1140" spans="2:8">
      <c r="B1140" t="s">
        <v>2848</v>
      </c>
      <c r="C1140" s="915">
        <v>7242003002</v>
      </c>
      <c r="D1140" s="915" t="s">
        <v>3196</v>
      </c>
      <c r="E1140" s="915">
        <v>152354</v>
      </c>
      <c r="F1140" s="915">
        <v>601052</v>
      </c>
      <c r="G1140" s="838"/>
      <c r="H1140" s="838"/>
    </row>
    <row r="1141" spans="2:8">
      <c r="B1141" t="s">
        <v>2848</v>
      </c>
      <c r="C1141" s="915">
        <v>7242003002</v>
      </c>
      <c r="D1141" s="915" t="s">
        <v>3196</v>
      </c>
      <c r="E1141" s="915">
        <v>564404</v>
      </c>
      <c r="F1141" s="915">
        <v>2024132</v>
      </c>
      <c r="G1141" s="838"/>
      <c r="H1141" s="838"/>
    </row>
    <row r="1142" spans="2:8">
      <c r="B1142" t="s">
        <v>2848</v>
      </c>
      <c r="C1142" s="915">
        <v>7242003002</v>
      </c>
      <c r="D1142" s="915" t="s">
        <v>3196</v>
      </c>
      <c r="E1142" s="915">
        <v>204779</v>
      </c>
      <c r="F1142" s="915">
        <v>783380</v>
      </c>
      <c r="G1142" s="838"/>
      <c r="H1142" s="838"/>
    </row>
    <row r="1143" spans="2:8">
      <c r="B1143" t="s">
        <v>2848</v>
      </c>
      <c r="C1143" s="915">
        <v>7242003002</v>
      </c>
      <c r="D1143" s="915" t="s">
        <v>3196</v>
      </c>
      <c r="E1143" s="915">
        <v>154319</v>
      </c>
      <c r="F1143" s="915">
        <v>610546</v>
      </c>
      <c r="G1143" s="838"/>
      <c r="H1143" s="838"/>
    </row>
    <row r="1144" spans="2:8">
      <c r="B1144" t="s">
        <v>2848</v>
      </c>
      <c r="C1144" s="915">
        <v>7242003002</v>
      </c>
      <c r="D1144" s="915" t="s">
        <v>3196</v>
      </c>
      <c r="E1144" s="915">
        <v>433254</v>
      </c>
      <c r="F1144" s="915">
        <v>1694643</v>
      </c>
      <c r="G1144" s="838"/>
      <c r="H1144" s="838"/>
    </row>
    <row r="1145" spans="2:8">
      <c r="B1145" t="s">
        <v>2848</v>
      </c>
      <c r="C1145" s="915">
        <v>7242003002</v>
      </c>
      <c r="D1145" s="915" t="s">
        <v>3196</v>
      </c>
      <c r="E1145" s="915">
        <v>223316</v>
      </c>
      <c r="F1145" s="915">
        <v>883528</v>
      </c>
      <c r="G1145" s="838"/>
      <c r="H1145" s="838"/>
    </row>
    <row r="1146" spans="2:8">
      <c r="B1146" t="s">
        <v>2848</v>
      </c>
      <c r="C1146" s="915">
        <v>7242003002</v>
      </c>
      <c r="D1146" s="915" t="s">
        <v>3196</v>
      </c>
      <c r="E1146" s="915">
        <v>348061</v>
      </c>
      <c r="F1146" s="915">
        <v>1352041</v>
      </c>
      <c r="G1146" s="838"/>
      <c r="H1146" s="838"/>
    </row>
    <row r="1147" spans="2:8">
      <c r="B1147" t="s">
        <v>2848</v>
      </c>
      <c r="C1147" s="915">
        <v>7242003002</v>
      </c>
      <c r="D1147" s="915" t="s">
        <v>3196</v>
      </c>
      <c r="E1147" s="915">
        <v>337982</v>
      </c>
      <c r="F1147" s="915">
        <v>1336230</v>
      </c>
      <c r="G1147" s="838"/>
      <c r="H1147" s="838"/>
    </row>
    <row r="1148" spans="2:8">
      <c r="B1148" t="s">
        <v>2848</v>
      </c>
      <c r="C1148" s="915">
        <v>7242003002</v>
      </c>
      <c r="D1148" s="915" t="s">
        <v>3196</v>
      </c>
      <c r="E1148" s="915">
        <v>318957</v>
      </c>
      <c r="F1148" s="915">
        <v>1221680</v>
      </c>
      <c r="G1148" s="838"/>
      <c r="H1148" s="838"/>
    </row>
    <row r="1149" spans="2:8">
      <c r="B1149" t="s">
        <v>2848</v>
      </c>
      <c r="C1149" s="915">
        <v>7242003002</v>
      </c>
      <c r="D1149" s="915" t="s">
        <v>3196</v>
      </c>
      <c r="E1149" s="915">
        <v>781431</v>
      </c>
      <c r="F1149" s="915">
        <v>1630299</v>
      </c>
      <c r="G1149" s="838"/>
      <c r="H1149" s="838"/>
    </row>
    <row r="1150" spans="2:8">
      <c r="B1150" t="s">
        <v>2848</v>
      </c>
      <c r="C1150" s="915">
        <v>7242003002</v>
      </c>
      <c r="D1150" s="915" t="s">
        <v>3196</v>
      </c>
      <c r="E1150" s="915">
        <v>709679</v>
      </c>
      <c r="F1150" s="915">
        <v>2226826</v>
      </c>
      <c r="G1150" s="838"/>
      <c r="H1150" s="838"/>
    </row>
    <row r="1151" spans="2:8">
      <c r="B1151" t="s">
        <v>2848</v>
      </c>
      <c r="C1151" s="915">
        <v>7242003002</v>
      </c>
      <c r="D1151" s="915" t="s">
        <v>3196</v>
      </c>
      <c r="E1151" s="915">
        <v>80790</v>
      </c>
      <c r="F1151" s="915">
        <v>336305</v>
      </c>
      <c r="G1151" s="838"/>
      <c r="H1151" s="838"/>
    </row>
    <row r="1152" spans="2:8">
      <c r="B1152" t="s">
        <v>2848</v>
      </c>
      <c r="C1152" s="915">
        <v>7242003002</v>
      </c>
      <c r="D1152" s="915" t="s">
        <v>3196</v>
      </c>
      <c r="E1152" s="915">
        <v>669846</v>
      </c>
      <c r="F1152" s="915">
        <v>2687572</v>
      </c>
      <c r="G1152" s="838"/>
      <c r="H1152" s="838"/>
    </row>
    <row r="1153" spans="2:8">
      <c r="B1153" t="s">
        <v>2848</v>
      </c>
      <c r="C1153" s="915">
        <v>7244000000</v>
      </c>
      <c r="D1153" s="915" t="s">
        <v>3197</v>
      </c>
      <c r="E1153" s="915">
        <v>3363267</v>
      </c>
      <c r="F1153" s="915">
        <v>4778356</v>
      </c>
      <c r="G1153" s="838"/>
      <c r="H1153" s="838"/>
    </row>
    <row r="1154" spans="2:8">
      <c r="B1154" t="s">
        <v>2848</v>
      </c>
      <c r="C1154" s="915">
        <v>7244000000</v>
      </c>
      <c r="D1154" s="915" t="s">
        <v>3197</v>
      </c>
      <c r="E1154" s="915">
        <v>0</v>
      </c>
      <c r="F1154" s="915">
        <v>270374</v>
      </c>
      <c r="G1154" s="838"/>
      <c r="H1154" s="838"/>
    </row>
    <row r="1155" spans="2:8">
      <c r="B1155" t="s">
        <v>2848</v>
      </c>
      <c r="C1155" s="915">
        <v>7245000000</v>
      </c>
      <c r="D1155" s="915" t="s">
        <v>3198</v>
      </c>
      <c r="E1155" s="915">
        <v>1761770</v>
      </c>
      <c r="F1155" s="915">
        <v>886747</v>
      </c>
      <c r="G1155" s="838"/>
      <c r="H1155" s="838"/>
    </row>
    <row r="1156" spans="2:8">
      <c r="B1156" t="s">
        <v>2848</v>
      </c>
      <c r="C1156" s="915">
        <v>7248000000</v>
      </c>
      <c r="D1156" s="915" t="s">
        <v>3199</v>
      </c>
      <c r="E1156" s="915">
        <v>103945950</v>
      </c>
      <c r="F1156" s="915">
        <v>435431271</v>
      </c>
      <c r="G1156" s="838"/>
      <c r="H1156" s="838"/>
    </row>
    <row r="1157" spans="2:8">
      <c r="B1157" t="s">
        <v>2848</v>
      </c>
      <c r="C1157" s="915">
        <v>7248000000</v>
      </c>
      <c r="D1157" s="915" t="s">
        <v>3199</v>
      </c>
      <c r="E1157" s="915">
        <v>2376686</v>
      </c>
      <c r="F1157" s="915">
        <v>8758240</v>
      </c>
      <c r="G1157" s="838"/>
      <c r="H1157" s="838"/>
    </row>
    <row r="1158" spans="2:8">
      <c r="B1158" t="s">
        <v>2848</v>
      </c>
      <c r="C1158" s="915">
        <v>7248000000</v>
      </c>
      <c r="D1158" s="915" t="s">
        <v>3199</v>
      </c>
      <c r="E1158" s="915">
        <v>571730</v>
      </c>
      <c r="F1158" s="915">
        <v>2670280</v>
      </c>
      <c r="G1158" s="838"/>
      <c r="H1158" s="838"/>
    </row>
    <row r="1159" spans="2:8">
      <c r="B1159" t="s">
        <v>2848</v>
      </c>
      <c r="C1159" s="915">
        <v>7248000000</v>
      </c>
      <c r="D1159" s="915" t="s">
        <v>3199</v>
      </c>
      <c r="E1159" s="915">
        <v>1121601</v>
      </c>
      <c r="F1159" s="915">
        <v>6441950</v>
      </c>
      <c r="G1159" s="838"/>
      <c r="H1159" s="838"/>
    </row>
    <row r="1160" spans="2:8">
      <c r="B1160" t="s">
        <v>2848</v>
      </c>
      <c r="C1160" s="915">
        <v>7248000000</v>
      </c>
      <c r="D1160" s="915" t="s">
        <v>3199</v>
      </c>
      <c r="E1160" s="915">
        <v>1292254</v>
      </c>
      <c r="F1160" s="915">
        <v>5023339</v>
      </c>
      <c r="G1160" s="838"/>
      <c r="H1160" s="838"/>
    </row>
    <row r="1161" spans="2:8">
      <c r="B1161" t="s">
        <v>2848</v>
      </c>
      <c r="C1161" s="915">
        <v>7248000000</v>
      </c>
      <c r="D1161" s="915" t="s">
        <v>3199</v>
      </c>
      <c r="E1161" s="915">
        <v>1276504</v>
      </c>
      <c r="F1161" s="915">
        <v>4211642</v>
      </c>
      <c r="G1161" s="838"/>
      <c r="H1161" s="838"/>
    </row>
    <row r="1162" spans="2:8">
      <c r="B1162" t="s">
        <v>2848</v>
      </c>
      <c r="C1162" s="915">
        <v>7248000000</v>
      </c>
      <c r="D1162" s="915" t="s">
        <v>3199</v>
      </c>
      <c r="E1162" s="915">
        <v>483330</v>
      </c>
      <c r="F1162" s="915">
        <v>2446871</v>
      </c>
      <c r="G1162" s="838"/>
      <c r="H1162" s="838"/>
    </row>
    <row r="1163" spans="2:8">
      <c r="B1163" t="s">
        <v>2848</v>
      </c>
      <c r="C1163" s="915">
        <v>7248000000</v>
      </c>
      <c r="D1163" s="915" t="s">
        <v>3199</v>
      </c>
      <c r="E1163" s="915">
        <v>884865</v>
      </c>
      <c r="F1163" s="915">
        <v>3884745</v>
      </c>
      <c r="G1163" s="838"/>
      <c r="H1163" s="838"/>
    </row>
    <row r="1164" spans="2:8">
      <c r="B1164" t="s">
        <v>2848</v>
      </c>
      <c r="C1164" s="915">
        <v>7248000000</v>
      </c>
      <c r="D1164" s="915" t="s">
        <v>3199</v>
      </c>
      <c r="E1164" s="915">
        <v>610757</v>
      </c>
      <c r="F1164" s="915">
        <v>2669524</v>
      </c>
      <c r="G1164" s="838"/>
      <c r="H1164" s="838"/>
    </row>
    <row r="1165" spans="2:8">
      <c r="B1165" t="s">
        <v>2848</v>
      </c>
      <c r="C1165" s="915">
        <v>7248000000</v>
      </c>
      <c r="D1165" s="915" t="s">
        <v>3199</v>
      </c>
      <c r="E1165" s="915">
        <v>2208825</v>
      </c>
      <c r="F1165" s="915">
        <v>7917587</v>
      </c>
      <c r="G1165" s="838"/>
      <c r="H1165" s="838"/>
    </row>
    <row r="1166" spans="2:8">
      <c r="B1166" t="s">
        <v>2848</v>
      </c>
      <c r="C1166" s="915">
        <v>7248000000</v>
      </c>
      <c r="D1166" s="915" t="s">
        <v>3199</v>
      </c>
      <c r="E1166" s="915">
        <v>571463</v>
      </c>
      <c r="F1166" s="915">
        <v>2384881</v>
      </c>
      <c r="G1166" s="838"/>
      <c r="H1166" s="838"/>
    </row>
    <row r="1167" spans="2:8">
      <c r="B1167" t="s">
        <v>2848</v>
      </c>
      <c r="C1167" s="915">
        <v>7248000000</v>
      </c>
      <c r="D1167" s="915" t="s">
        <v>3199</v>
      </c>
      <c r="E1167" s="915">
        <v>595061</v>
      </c>
      <c r="F1167" s="915">
        <v>2567413</v>
      </c>
      <c r="G1167" s="838"/>
      <c r="H1167" s="838"/>
    </row>
    <row r="1168" spans="2:8">
      <c r="B1168" t="s">
        <v>2848</v>
      </c>
      <c r="C1168" s="915">
        <v>7248000000</v>
      </c>
      <c r="D1168" s="915" t="s">
        <v>3199</v>
      </c>
      <c r="E1168" s="915">
        <v>1566065</v>
      </c>
      <c r="F1168" s="915">
        <v>6181011</v>
      </c>
      <c r="G1168" s="838"/>
      <c r="H1168" s="838"/>
    </row>
    <row r="1169" spans="2:8">
      <c r="B1169" t="s">
        <v>2848</v>
      </c>
      <c r="C1169" s="915">
        <v>7248000000</v>
      </c>
      <c r="D1169" s="915" t="s">
        <v>3199</v>
      </c>
      <c r="E1169" s="915">
        <v>920046</v>
      </c>
      <c r="F1169" s="915">
        <v>3874198</v>
      </c>
      <c r="G1169" s="838"/>
      <c r="H1169" s="838"/>
    </row>
    <row r="1170" spans="2:8">
      <c r="B1170" t="s">
        <v>2848</v>
      </c>
      <c r="C1170" s="915">
        <v>7248000000</v>
      </c>
      <c r="D1170" s="915" t="s">
        <v>3199</v>
      </c>
      <c r="E1170" s="915">
        <v>991183</v>
      </c>
      <c r="F1170" s="915">
        <v>3037407</v>
      </c>
      <c r="G1170" s="838"/>
      <c r="H1170" s="838"/>
    </row>
    <row r="1171" spans="2:8">
      <c r="B1171" t="s">
        <v>2848</v>
      </c>
      <c r="C1171" s="915">
        <v>7248000000</v>
      </c>
      <c r="D1171" s="915" t="s">
        <v>3199</v>
      </c>
      <c r="E1171" s="915">
        <v>1245193</v>
      </c>
      <c r="F1171" s="915">
        <v>5233600</v>
      </c>
      <c r="G1171" s="838"/>
      <c r="H1171" s="838"/>
    </row>
    <row r="1172" spans="2:8">
      <c r="B1172" t="s">
        <v>2848</v>
      </c>
      <c r="C1172" s="915">
        <v>7248000000</v>
      </c>
      <c r="D1172" s="915" t="s">
        <v>3199</v>
      </c>
      <c r="E1172" s="915">
        <v>1327408</v>
      </c>
      <c r="F1172" s="915">
        <v>4328858</v>
      </c>
      <c r="G1172" s="838"/>
      <c r="H1172" s="838"/>
    </row>
    <row r="1173" spans="2:8">
      <c r="B1173" t="s">
        <v>2848</v>
      </c>
      <c r="C1173" s="915">
        <v>7248000000</v>
      </c>
      <c r="D1173" s="915" t="s">
        <v>3199</v>
      </c>
      <c r="E1173" s="915">
        <v>1685511</v>
      </c>
      <c r="F1173" s="915">
        <v>6372866</v>
      </c>
      <c r="G1173" s="838"/>
      <c r="H1173" s="838"/>
    </row>
    <row r="1174" spans="2:8">
      <c r="B1174" t="s">
        <v>2848</v>
      </c>
      <c r="C1174" s="915">
        <v>7248000000</v>
      </c>
      <c r="D1174" s="915" t="s">
        <v>3199</v>
      </c>
      <c r="E1174" s="915">
        <v>1362425</v>
      </c>
      <c r="F1174" s="915">
        <v>5158469</v>
      </c>
      <c r="G1174" s="838"/>
      <c r="H1174" s="838"/>
    </row>
    <row r="1175" spans="2:8">
      <c r="B1175" t="s">
        <v>2848</v>
      </c>
      <c r="C1175" s="915">
        <v>7248000000</v>
      </c>
      <c r="D1175" s="915" t="s">
        <v>3199</v>
      </c>
      <c r="E1175" s="915">
        <v>294204</v>
      </c>
      <c r="F1175" s="915">
        <v>1188562</v>
      </c>
      <c r="G1175" s="838"/>
      <c r="H1175" s="838"/>
    </row>
    <row r="1176" spans="2:8">
      <c r="B1176" t="s">
        <v>2848</v>
      </c>
      <c r="C1176" s="915">
        <v>7248000000</v>
      </c>
      <c r="D1176" s="915" t="s">
        <v>3199</v>
      </c>
      <c r="E1176" s="915">
        <v>955308</v>
      </c>
      <c r="F1176" s="915">
        <v>3929485</v>
      </c>
      <c r="G1176" s="838"/>
      <c r="H1176" s="838"/>
    </row>
    <row r="1177" spans="2:8">
      <c r="B1177" t="s">
        <v>2848</v>
      </c>
      <c r="C1177" s="915">
        <v>7250000000</v>
      </c>
      <c r="D1177" s="915" t="s">
        <v>3200</v>
      </c>
      <c r="E1177" s="915">
        <v>1682000</v>
      </c>
      <c r="F1177" s="915">
        <v>7258419</v>
      </c>
      <c r="G1177" s="838"/>
      <c r="H1177" s="838"/>
    </row>
    <row r="1178" spans="2:8">
      <c r="B1178" t="s">
        <v>2848</v>
      </c>
      <c r="C1178" s="915">
        <v>7250000000</v>
      </c>
      <c r="D1178" s="915" t="s">
        <v>3200</v>
      </c>
      <c r="E1178" s="915">
        <v>0</v>
      </c>
      <c r="F1178" s="915">
        <v>232912</v>
      </c>
      <c r="G1178" s="838"/>
      <c r="H1178" s="838"/>
    </row>
    <row r="1179" spans="2:8">
      <c r="B1179" t="s">
        <v>2848</v>
      </c>
      <c r="C1179" s="915">
        <v>7250000000</v>
      </c>
      <c r="D1179" s="915" t="s">
        <v>3200</v>
      </c>
      <c r="E1179" s="915">
        <v>0</v>
      </c>
      <c r="F1179" s="915">
        <v>10000</v>
      </c>
      <c r="G1179" s="838"/>
      <c r="H1179" s="838"/>
    </row>
    <row r="1180" spans="2:8">
      <c r="B1180" t="s">
        <v>2848</v>
      </c>
      <c r="C1180" s="915">
        <v>7250000000</v>
      </c>
      <c r="D1180" s="915" t="s">
        <v>3200</v>
      </c>
      <c r="E1180" s="915">
        <v>0</v>
      </c>
      <c r="F1180" s="915">
        <v>10000</v>
      </c>
      <c r="G1180" s="838"/>
      <c r="H1180" s="838"/>
    </row>
    <row r="1181" spans="2:8">
      <c r="B1181" t="s">
        <v>2848</v>
      </c>
      <c r="C1181" s="915">
        <v>7250000000</v>
      </c>
      <c r="D1181" s="915" t="s">
        <v>3200</v>
      </c>
      <c r="E1181" s="915">
        <v>0</v>
      </c>
      <c r="F1181" s="915">
        <v>10000</v>
      </c>
      <c r="G1181" s="838"/>
      <c r="H1181" s="838"/>
    </row>
    <row r="1182" spans="2:8">
      <c r="B1182" t="s">
        <v>2848</v>
      </c>
      <c r="C1182" s="915">
        <v>7250000000</v>
      </c>
      <c r="D1182" s="915" t="s">
        <v>3200</v>
      </c>
      <c r="E1182" s="915">
        <v>0</v>
      </c>
      <c r="F1182" s="915">
        <v>10000</v>
      </c>
      <c r="G1182" s="838"/>
      <c r="H1182" s="838"/>
    </row>
    <row r="1183" spans="2:8">
      <c r="B1183" t="s">
        <v>2848</v>
      </c>
      <c r="C1183" s="915">
        <v>7250100000</v>
      </c>
      <c r="D1183" s="915" t="s">
        <v>3201</v>
      </c>
      <c r="E1183" s="915">
        <v>14757549</v>
      </c>
      <c r="F1183" s="915">
        <v>67245129</v>
      </c>
      <c r="G1183" s="838"/>
      <c r="H1183" s="838"/>
    </row>
    <row r="1184" spans="2:8">
      <c r="B1184" t="s">
        <v>2848</v>
      </c>
      <c r="C1184" s="915">
        <v>7250100000</v>
      </c>
      <c r="D1184" s="915" t="s">
        <v>3201</v>
      </c>
      <c r="E1184" s="915">
        <v>201945</v>
      </c>
      <c r="F1184" s="915">
        <v>104256</v>
      </c>
      <c r="G1184" s="838"/>
      <c r="H1184" s="838"/>
    </row>
    <row r="1185" spans="2:8">
      <c r="B1185" t="s">
        <v>2848</v>
      </c>
      <c r="C1185" s="915">
        <v>7250100000</v>
      </c>
      <c r="D1185" s="915" t="s">
        <v>3201</v>
      </c>
      <c r="E1185" s="915">
        <v>0</v>
      </c>
      <c r="F1185" s="915">
        <v>161732</v>
      </c>
      <c r="G1185" s="838"/>
      <c r="H1185" s="838"/>
    </row>
    <row r="1186" spans="2:8">
      <c r="B1186" t="s">
        <v>2848</v>
      </c>
      <c r="C1186" s="915">
        <v>7250100000</v>
      </c>
      <c r="D1186" s="915" t="s">
        <v>3201</v>
      </c>
      <c r="E1186" s="915">
        <v>0</v>
      </c>
      <c r="F1186" s="915">
        <v>628130</v>
      </c>
      <c r="G1186" s="838"/>
      <c r="H1186" s="838"/>
    </row>
    <row r="1187" spans="2:8">
      <c r="B1187" t="s">
        <v>2848</v>
      </c>
      <c r="C1187" s="915">
        <v>7250100000</v>
      </c>
      <c r="D1187" s="915" t="s">
        <v>3201</v>
      </c>
      <c r="E1187" s="915">
        <v>220846</v>
      </c>
      <c r="F1187" s="915">
        <v>1099935</v>
      </c>
      <c r="G1187" s="838"/>
      <c r="H1187" s="838"/>
    </row>
    <row r="1188" spans="2:8">
      <c r="B1188" t="s">
        <v>2848</v>
      </c>
      <c r="C1188" s="915">
        <v>7250100000</v>
      </c>
      <c r="D1188" s="915" t="s">
        <v>3201</v>
      </c>
      <c r="E1188" s="915">
        <v>7400</v>
      </c>
      <c r="F1188" s="915">
        <v>76135</v>
      </c>
      <c r="G1188" s="838"/>
      <c r="H1188" s="838"/>
    </row>
    <row r="1189" spans="2:8">
      <c r="B1189" t="s">
        <v>2848</v>
      </c>
      <c r="C1189" s="915">
        <v>7250100000</v>
      </c>
      <c r="D1189" s="915" t="s">
        <v>3201</v>
      </c>
      <c r="E1189" s="915">
        <v>0</v>
      </c>
      <c r="F1189" s="915">
        <v>18123</v>
      </c>
      <c r="G1189" s="838"/>
      <c r="H1189" s="838"/>
    </row>
    <row r="1190" spans="2:8">
      <c r="B1190" t="s">
        <v>2848</v>
      </c>
      <c r="C1190" s="915">
        <v>7250100000</v>
      </c>
      <c r="D1190" s="915" t="s">
        <v>3201</v>
      </c>
      <c r="E1190" s="915">
        <v>0</v>
      </c>
      <c r="F1190" s="915">
        <v>165794</v>
      </c>
      <c r="G1190" s="838"/>
      <c r="H1190" s="838"/>
    </row>
    <row r="1191" spans="2:8">
      <c r="B1191" t="s">
        <v>2848</v>
      </c>
      <c r="C1191" s="915">
        <v>7250100000</v>
      </c>
      <c r="D1191" s="915" t="s">
        <v>3201</v>
      </c>
      <c r="E1191" s="915">
        <v>0</v>
      </c>
      <c r="F1191" s="915">
        <v>69804</v>
      </c>
      <c r="G1191" s="838"/>
      <c r="H1191" s="838"/>
    </row>
    <row r="1192" spans="2:8">
      <c r="B1192" t="s">
        <v>2848</v>
      </c>
      <c r="C1192" s="915">
        <v>7250100000</v>
      </c>
      <c r="D1192" s="915" t="s">
        <v>3201</v>
      </c>
      <c r="E1192" s="915">
        <v>288161</v>
      </c>
      <c r="F1192" s="915">
        <v>2080282</v>
      </c>
      <c r="G1192" s="838"/>
      <c r="H1192" s="838"/>
    </row>
    <row r="1193" spans="2:8">
      <c r="B1193" t="s">
        <v>2848</v>
      </c>
      <c r="C1193" s="915">
        <v>7250100000</v>
      </c>
      <c r="D1193" s="915" t="s">
        <v>3201</v>
      </c>
      <c r="E1193" s="915">
        <v>0</v>
      </c>
      <c r="F1193" s="915">
        <v>151731</v>
      </c>
      <c r="G1193" s="838"/>
      <c r="H1193" s="838"/>
    </row>
    <row r="1194" spans="2:8">
      <c r="B1194" t="s">
        <v>2848</v>
      </c>
      <c r="C1194" s="915">
        <v>7250100000</v>
      </c>
      <c r="D1194" s="915" t="s">
        <v>3201</v>
      </c>
      <c r="E1194" s="915">
        <v>0</v>
      </c>
      <c r="F1194" s="915">
        <v>18123</v>
      </c>
      <c r="G1194" s="838"/>
      <c r="H1194" s="838"/>
    </row>
    <row r="1195" spans="2:8">
      <c r="B1195" t="s">
        <v>2848</v>
      </c>
      <c r="C1195" s="915">
        <v>7250100000</v>
      </c>
      <c r="D1195" s="915" t="s">
        <v>3201</v>
      </c>
      <c r="E1195" s="915">
        <v>261438</v>
      </c>
      <c r="F1195" s="915">
        <v>210857</v>
      </c>
      <c r="G1195" s="838"/>
      <c r="H1195" s="838"/>
    </row>
    <row r="1196" spans="2:8">
      <c r="B1196" t="s">
        <v>2848</v>
      </c>
      <c r="C1196" s="915">
        <v>7250100000</v>
      </c>
      <c r="D1196" s="915" t="s">
        <v>3201</v>
      </c>
      <c r="E1196" s="915">
        <v>0</v>
      </c>
      <c r="F1196" s="915">
        <v>160794</v>
      </c>
      <c r="G1196" s="838"/>
      <c r="H1196" s="838"/>
    </row>
    <row r="1197" spans="2:8">
      <c r="B1197" t="s">
        <v>2848</v>
      </c>
      <c r="C1197" s="915">
        <v>7250100000</v>
      </c>
      <c r="D1197" s="915" t="s">
        <v>3201</v>
      </c>
      <c r="E1197" s="915">
        <v>118491</v>
      </c>
      <c r="F1197" s="915">
        <v>410392</v>
      </c>
      <c r="G1197" s="838"/>
      <c r="H1197" s="838"/>
    </row>
    <row r="1198" spans="2:8">
      <c r="B1198" t="s">
        <v>2848</v>
      </c>
      <c r="C1198" s="915">
        <v>7250100000</v>
      </c>
      <c r="D1198" s="915" t="s">
        <v>3201</v>
      </c>
      <c r="E1198" s="915">
        <v>0</v>
      </c>
      <c r="F1198" s="915">
        <v>209742</v>
      </c>
      <c r="G1198" s="838"/>
      <c r="H1198" s="838"/>
    </row>
    <row r="1199" spans="2:8">
      <c r="B1199" t="s">
        <v>2848</v>
      </c>
      <c r="C1199" s="915">
        <v>7250100000</v>
      </c>
      <c r="D1199" s="915" t="s">
        <v>3201</v>
      </c>
      <c r="E1199" s="915">
        <v>121438</v>
      </c>
      <c r="F1199" s="915">
        <v>201796</v>
      </c>
      <c r="G1199" s="838"/>
      <c r="H1199" s="838"/>
    </row>
    <row r="1200" spans="2:8">
      <c r="B1200" t="s">
        <v>2848</v>
      </c>
      <c r="C1200" s="915">
        <v>7250100000</v>
      </c>
      <c r="D1200" s="915" t="s">
        <v>3201</v>
      </c>
      <c r="E1200" s="915">
        <v>67315</v>
      </c>
      <c r="F1200" s="915">
        <v>450266</v>
      </c>
      <c r="G1200" s="838"/>
      <c r="H1200" s="838"/>
    </row>
    <row r="1201" spans="2:8">
      <c r="B1201" t="s">
        <v>2848</v>
      </c>
      <c r="C1201" s="915">
        <v>7250100000</v>
      </c>
      <c r="D1201" s="915" t="s">
        <v>3201</v>
      </c>
      <c r="E1201" s="915">
        <v>344716</v>
      </c>
      <c r="F1201" s="915">
        <v>76133</v>
      </c>
      <c r="G1201" s="838"/>
      <c r="H1201" s="838"/>
    </row>
    <row r="1202" spans="2:8">
      <c r="B1202" t="s">
        <v>2848</v>
      </c>
      <c r="C1202" s="915">
        <v>7250100000</v>
      </c>
      <c r="D1202" s="915" t="s">
        <v>3201</v>
      </c>
      <c r="E1202" s="915">
        <v>0</v>
      </c>
      <c r="F1202" s="915">
        <v>9061</v>
      </c>
      <c r="G1202" s="838"/>
      <c r="H1202" s="838"/>
    </row>
    <row r="1203" spans="2:8">
      <c r="B1203" t="s">
        <v>2848</v>
      </c>
      <c r="C1203" s="915">
        <v>7250100000</v>
      </c>
      <c r="D1203" s="915" t="s">
        <v>3201</v>
      </c>
      <c r="E1203" s="915">
        <v>62500</v>
      </c>
      <c r="F1203" s="915">
        <v>280824</v>
      </c>
      <c r="G1203" s="838"/>
      <c r="H1203" s="838"/>
    </row>
    <row r="1204" spans="2:8">
      <c r="B1204" t="s">
        <v>2848</v>
      </c>
      <c r="C1204" s="915">
        <v>7250100003</v>
      </c>
      <c r="D1204" s="915" t="s">
        <v>3202</v>
      </c>
      <c r="E1204" s="915">
        <v>2424645</v>
      </c>
      <c r="F1204" s="915">
        <v>259032</v>
      </c>
      <c r="G1204" s="838"/>
      <c r="H1204" s="838"/>
    </row>
    <row r="1205" spans="2:8">
      <c r="B1205" t="s">
        <v>2848</v>
      </c>
      <c r="C1205" s="915">
        <v>7250100003</v>
      </c>
      <c r="D1205" s="915" t="s">
        <v>3202</v>
      </c>
      <c r="E1205" s="915">
        <v>0</v>
      </c>
      <c r="F1205" s="915">
        <v>39000</v>
      </c>
      <c r="G1205" s="838"/>
      <c r="H1205" s="838"/>
    </row>
    <row r="1206" spans="2:8">
      <c r="B1206" t="s">
        <v>2848</v>
      </c>
      <c r="C1206" s="915">
        <v>7250100003</v>
      </c>
      <c r="D1206" s="915" t="s">
        <v>3202</v>
      </c>
      <c r="E1206" s="915">
        <v>0</v>
      </c>
      <c r="F1206" s="915">
        <v>30000</v>
      </c>
      <c r="G1206" s="838"/>
      <c r="H1206" s="838"/>
    </row>
    <row r="1207" spans="2:8">
      <c r="B1207" t="s">
        <v>2848</v>
      </c>
      <c r="C1207" s="915">
        <v>7250100003</v>
      </c>
      <c r="D1207" s="915" t="s">
        <v>3202</v>
      </c>
      <c r="E1207" s="915">
        <v>35870</v>
      </c>
      <c r="F1207" s="915">
        <v>0</v>
      </c>
      <c r="G1207" s="838"/>
      <c r="H1207" s="838"/>
    </row>
    <row r="1208" spans="2:8">
      <c r="B1208" t="s">
        <v>2848</v>
      </c>
      <c r="C1208" s="915">
        <v>7250100003</v>
      </c>
      <c r="D1208" s="915" t="s">
        <v>3202</v>
      </c>
      <c r="E1208" s="915">
        <v>0</v>
      </c>
      <c r="F1208" s="915">
        <v>4050</v>
      </c>
      <c r="G1208" s="838"/>
      <c r="H1208" s="838"/>
    </row>
    <row r="1209" spans="2:8">
      <c r="B1209" t="s">
        <v>2848</v>
      </c>
      <c r="C1209" s="915">
        <v>7251000004</v>
      </c>
      <c r="D1209" s="915" t="s">
        <v>3203</v>
      </c>
      <c r="E1209" s="915">
        <v>10758101</v>
      </c>
      <c r="F1209" s="915">
        <v>54332286</v>
      </c>
      <c r="G1209" s="838"/>
      <c r="H1209" s="838"/>
    </row>
    <row r="1210" spans="2:8">
      <c r="B1210" t="s">
        <v>2848</v>
      </c>
      <c r="C1210" s="915">
        <v>7251000004</v>
      </c>
      <c r="D1210" s="915" t="s">
        <v>3203</v>
      </c>
      <c r="E1210" s="915">
        <v>0</v>
      </c>
      <c r="F1210" s="915">
        <v>8400</v>
      </c>
      <c r="G1210" s="838"/>
      <c r="H1210" s="838"/>
    </row>
    <row r="1211" spans="2:8">
      <c r="B1211" t="s">
        <v>2848</v>
      </c>
      <c r="C1211" s="915">
        <v>7251000004</v>
      </c>
      <c r="D1211" s="915" t="s">
        <v>3203</v>
      </c>
      <c r="E1211" s="915">
        <v>0</v>
      </c>
      <c r="F1211" s="915">
        <v>90000</v>
      </c>
      <c r="G1211" s="838"/>
      <c r="H1211" s="838"/>
    </row>
    <row r="1212" spans="2:8">
      <c r="B1212" t="s">
        <v>2848</v>
      </c>
      <c r="C1212" s="915">
        <v>7251000004</v>
      </c>
      <c r="D1212" s="915" t="s">
        <v>3203</v>
      </c>
      <c r="E1212" s="915">
        <v>0</v>
      </c>
      <c r="F1212" s="915">
        <v>50000</v>
      </c>
      <c r="G1212" s="838"/>
      <c r="H1212" s="838"/>
    </row>
    <row r="1213" spans="2:8">
      <c r="B1213" t="s">
        <v>2848</v>
      </c>
      <c r="C1213" s="915">
        <v>7251000004</v>
      </c>
      <c r="D1213" s="915" t="s">
        <v>3203</v>
      </c>
      <c r="E1213" s="915">
        <v>0</v>
      </c>
      <c r="F1213" s="915">
        <v>115000</v>
      </c>
      <c r="G1213" s="838"/>
      <c r="H1213" s="838"/>
    </row>
    <row r="1214" spans="2:8">
      <c r="B1214" t="s">
        <v>2848</v>
      </c>
      <c r="C1214" s="915">
        <v>7251000004</v>
      </c>
      <c r="D1214" s="915" t="s">
        <v>3203</v>
      </c>
      <c r="E1214" s="915">
        <v>0</v>
      </c>
      <c r="F1214" s="915">
        <v>30000</v>
      </c>
      <c r="G1214" s="838"/>
      <c r="H1214" s="838"/>
    </row>
    <row r="1215" spans="2:8">
      <c r="B1215" t="s">
        <v>2848</v>
      </c>
      <c r="C1215" s="915">
        <v>7251000004</v>
      </c>
      <c r="D1215" s="915" t="s">
        <v>3203</v>
      </c>
      <c r="E1215" s="915">
        <v>0</v>
      </c>
      <c r="F1215" s="915">
        <v>50000</v>
      </c>
      <c r="G1215" s="838"/>
      <c r="H1215" s="838"/>
    </row>
    <row r="1216" spans="2:8">
      <c r="B1216" t="s">
        <v>2848</v>
      </c>
      <c r="C1216" s="915">
        <v>7251000004</v>
      </c>
      <c r="D1216" s="915" t="s">
        <v>3203</v>
      </c>
      <c r="E1216" s="915">
        <v>3700</v>
      </c>
      <c r="F1216" s="915">
        <v>10382</v>
      </c>
      <c r="G1216" s="838"/>
      <c r="H1216" s="838"/>
    </row>
    <row r="1217" spans="2:8">
      <c r="B1217" t="s">
        <v>2848</v>
      </c>
      <c r="C1217" s="915">
        <v>7251000004</v>
      </c>
      <c r="D1217" s="915" t="s">
        <v>3203</v>
      </c>
      <c r="E1217" s="915">
        <v>0</v>
      </c>
      <c r="F1217" s="915">
        <v>18000</v>
      </c>
      <c r="G1217" s="838"/>
      <c r="H1217" s="838"/>
    </row>
    <row r="1218" spans="2:8">
      <c r="B1218" t="s">
        <v>2848</v>
      </c>
      <c r="C1218" s="915">
        <v>7251000004</v>
      </c>
      <c r="D1218" s="915" t="s">
        <v>3203</v>
      </c>
      <c r="E1218" s="915">
        <v>0</v>
      </c>
      <c r="F1218" s="915">
        <v>30000</v>
      </c>
      <c r="G1218" s="838"/>
      <c r="H1218" s="838"/>
    </row>
    <row r="1219" spans="2:8">
      <c r="B1219" t="s">
        <v>2848</v>
      </c>
      <c r="C1219" s="915">
        <v>7251000004</v>
      </c>
      <c r="D1219" s="915" t="s">
        <v>3203</v>
      </c>
      <c r="E1219" s="915">
        <v>0</v>
      </c>
      <c r="F1219" s="915">
        <v>122034</v>
      </c>
      <c r="G1219" s="838"/>
      <c r="H1219" s="838"/>
    </row>
    <row r="1220" spans="2:8">
      <c r="B1220" t="s">
        <v>2848</v>
      </c>
      <c r="C1220" s="915">
        <v>7251000004</v>
      </c>
      <c r="D1220" s="915" t="s">
        <v>3203</v>
      </c>
      <c r="E1220" s="915">
        <v>-314992</v>
      </c>
      <c r="F1220" s="915">
        <v>579691</v>
      </c>
      <c r="G1220" s="838"/>
      <c r="H1220" s="838"/>
    </row>
    <row r="1221" spans="2:8">
      <c r="B1221" t="s">
        <v>2848</v>
      </c>
      <c r="C1221" s="915">
        <v>7251000004</v>
      </c>
      <c r="D1221" s="915" t="s">
        <v>3203</v>
      </c>
      <c r="E1221" s="915">
        <v>-314992</v>
      </c>
      <c r="F1221" s="915">
        <v>579691</v>
      </c>
      <c r="G1221" s="838"/>
      <c r="H1221" s="838"/>
    </row>
    <row r="1222" spans="2:8">
      <c r="B1222" t="s">
        <v>2848</v>
      </c>
      <c r="C1222" s="915">
        <v>7251000004</v>
      </c>
      <c r="D1222" s="915" t="s">
        <v>3203</v>
      </c>
      <c r="E1222" s="915">
        <v>0</v>
      </c>
      <c r="F1222" s="915">
        <v>259764</v>
      </c>
      <c r="G1222" s="838"/>
      <c r="H1222" s="838"/>
    </row>
    <row r="1223" spans="2:8">
      <c r="B1223" t="s">
        <v>2848</v>
      </c>
      <c r="C1223" s="915">
        <v>7251000004</v>
      </c>
      <c r="D1223" s="915" t="s">
        <v>3203</v>
      </c>
      <c r="E1223" s="915">
        <v>0</v>
      </c>
      <c r="F1223" s="915">
        <v>99774</v>
      </c>
      <c r="G1223" s="838"/>
      <c r="H1223" s="838"/>
    </row>
    <row r="1224" spans="2:8">
      <c r="B1224" t="s">
        <v>2848</v>
      </c>
      <c r="C1224" s="915">
        <v>7251000004</v>
      </c>
      <c r="D1224" s="915" t="s">
        <v>3203</v>
      </c>
      <c r="E1224" s="915">
        <v>0</v>
      </c>
      <c r="F1224" s="915">
        <v>1513440</v>
      </c>
      <c r="G1224" s="838"/>
      <c r="H1224" s="838"/>
    </row>
    <row r="1225" spans="2:8">
      <c r="B1225" t="s">
        <v>2848</v>
      </c>
      <c r="C1225" s="915">
        <v>7401000000</v>
      </c>
      <c r="D1225" s="915" t="s">
        <v>3204</v>
      </c>
      <c r="E1225" s="915">
        <v>17471097</v>
      </c>
      <c r="F1225" s="915">
        <v>82564994</v>
      </c>
      <c r="G1225" s="838"/>
      <c r="H1225" s="838"/>
    </row>
    <row r="1226" spans="2:8">
      <c r="B1226" t="s">
        <v>2848</v>
      </c>
      <c r="C1226" s="915">
        <v>7401000000</v>
      </c>
      <c r="D1226" s="915" t="s">
        <v>3204</v>
      </c>
      <c r="E1226" s="915">
        <v>0</v>
      </c>
      <c r="F1226" s="915">
        <v>20848</v>
      </c>
      <c r="G1226" s="838"/>
      <c r="H1226" s="838"/>
    </row>
    <row r="1227" spans="2:8">
      <c r="B1227" t="s">
        <v>2848</v>
      </c>
      <c r="C1227" s="915">
        <v>7401000000</v>
      </c>
      <c r="D1227" s="915" t="s">
        <v>3204</v>
      </c>
      <c r="E1227" s="915">
        <v>0</v>
      </c>
      <c r="F1227" s="915">
        <v>6155</v>
      </c>
      <c r="G1227" s="838"/>
      <c r="H1227" s="838"/>
    </row>
    <row r="1228" spans="2:8">
      <c r="B1228" t="s">
        <v>2848</v>
      </c>
      <c r="C1228" s="915">
        <v>7401000000</v>
      </c>
      <c r="D1228" s="915" t="s">
        <v>3204</v>
      </c>
      <c r="E1228" s="915">
        <v>0</v>
      </c>
      <c r="F1228" s="915">
        <v>4162</v>
      </c>
      <c r="G1228" s="838"/>
      <c r="H1228" s="838"/>
    </row>
    <row r="1229" spans="2:8">
      <c r="B1229" t="s">
        <v>2848</v>
      </c>
      <c r="C1229" s="915">
        <v>7401000000</v>
      </c>
      <c r="D1229" s="915" t="s">
        <v>3204</v>
      </c>
      <c r="E1229" s="915">
        <v>0</v>
      </c>
      <c r="F1229" s="915">
        <v>52815</v>
      </c>
      <c r="G1229" s="838"/>
      <c r="H1229" s="838"/>
    </row>
    <row r="1230" spans="2:8">
      <c r="B1230" t="s">
        <v>2848</v>
      </c>
      <c r="C1230" s="915">
        <v>7401000000</v>
      </c>
      <c r="D1230" s="915" t="s">
        <v>3204</v>
      </c>
      <c r="E1230" s="915">
        <v>0</v>
      </c>
      <c r="F1230" s="915">
        <v>2482</v>
      </c>
      <c r="G1230" s="838"/>
      <c r="H1230" s="838"/>
    </row>
    <row r="1231" spans="2:8">
      <c r="B1231" t="s">
        <v>2848</v>
      </c>
      <c r="C1231" s="915">
        <v>7401000000</v>
      </c>
      <c r="D1231" s="915" t="s">
        <v>3204</v>
      </c>
      <c r="E1231" s="915">
        <v>0</v>
      </c>
      <c r="F1231" s="915">
        <v>36327</v>
      </c>
      <c r="G1231" s="838"/>
      <c r="H1231" s="838"/>
    </row>
    <row r="1232" spans="2:8">
      <c r="B1232" t="s">
        <v>2848</v>
      </c>
      <c r="C1232" s="915">
        <v>7401000000</v>
      </c>
      <c r="D1232" s="915" t="s">
        <v>3204</v>
      </c>
      <c r="E1232" s="915">
        <v>0</v>
      </c>
      <c r="F1232" s="915">
        <v>2383</v>
      </c>
      <c r="G1232" s="838"/>
      <c r="H1232" s="838"/>
    </row>
    <row r="1233" spans="2:8">
      <c r="B1233" t="s">
        <v>2848</v>
      </c>
      <c r="C1233" s="915">
        <v>7401000000</v>
      </c>
      <c r="D1233" s="915" t="s">
        <v>3204</v>
      </c>
      <c r="E1233" s="915">
        <v>0</v>
      </c>
      <c r="F1233" s="915">
        <v>6513</v>
      </c>
      <c r="G1233" s="838"/>
      <c r="H1233" s="838"/>
    </row>
    <row r="1234" spans="2:8">
      <c r="B1234" t="s">
        <v>2848</v>
      </c>
      <c r="C1234" s="915">
        <v>7401000000</v>
      </c>
      <c r="D1234" s="915" t="s">
        <v>3204</v>
      </c>
      <c r="E1234" s="915">
        <v>0</v>
      </c>
      <c r="F1234" s="915">
        <v>3929</v>
      </c>
      <c r="G1234" s="838"/>
      <c r="H1234" s="838"/>
    </row>
    <row r="1235" spans="2:8">
      <c r="B1235" t="s">
        <v>2848</v>
      </c>
      <c r="C1235" s="915">
        <v>7401000000</v>
      </c>
      <c r="D1235" s="915" t="s">
        <v>3204</v>
      </c>
      <c r="E1235" s="915">
        <v>0</v>
      </c>
      <c r="F1235" s="915">
        <v>4021</v>
      </c>
      <c r="G1235" s="838"/>
      <c r="H1235" s="838"/>
    </row>
    <row r="1236" spans="2:8">
      <c r="B1236" t="s">
        <v>2848</v>
      </c>
      <c r="C1236" s="915">
        <v>7401000000</v>
      </c>
      <c r="D1236" s="915" t="s">
        <v>3204</v>
      </c>
      <c r="E1236" s="915">
        <v>0</v>
      </c>
      <c r="F1236" s="915">
        <v>11067</v>
      </c>
      <c r="G1236" s="838"/>
      <c r="H1236" s="838"/>
    </row>
    <row r="1237" spans="2:8">
      <c r="B1237" t="s">
        <v>2848</v>
      </c>
      <c r="C1237" s="915">
        <v>7401000000</v>
      </c>
      <c r="D1237" s="915" t="s">
        <v>3204</v>
      </c>
      <c r="E1237" s="915">
        <v>0</v>
      </c>
      <c r="F1237" s="915">
        <v>24791</v>
      </c>
      <c r="G1237" s="838"/>
      <c r="H1237" s="838"/>
    </row>
    <row r="1238" spans="2:8">
      <c r="B1238" t="s">
        <v>2848</v>
      </c>
      <c r="C1238" s="915">
        <v>7410000000</v>
      </c>
      <c r="D1238" s="915" t="s">
        <v>3205</v>
      </c>
      <c r="E1238" s="915">
        <v>55815132</v>
      </c>
      <c r="F1238" s="915">
        <v>209094098</v>
      </c>
      <c r="G1238" s="838"/>
      <c r="H1238" s="838"/>
    </row>
    <row r="1239" spans="2:8">
      <c r="B1239" t="s">
        <v>2848</v>
      </c>
      <c r="C1239" s="915">
        <v>7410000000</v>
      </c>
      <c r="D1239" s="915" t="s">
        <v>3205</v>
      </c>
      <c r="E1239" s="915">
        <v>0</v>
      </c>
      <c r="F1239" s="915">
        <v>-526271</v>
      </c>
      <c r="G1239" s="838"/>
      <c r="H1239" s="838"/>
    </row>
    <row r="1240" spans="2:8">
      <c r="B1240" t="s">
        <v>2848</v>
      </c>
      <c r="C1240" s="915">
        <v>7411000000</v>
      </c>
      <c r="D1240" s="915" t="s">
        <v>3206</v>
      </c>
      <c r="E1240" s="915">
        <v>112483467</v>
      </c>
      <c r="F1240" s="915">
        <v>367423552</v>
      </c>
      <c r="G1240" s="838"/>
      <c r="H1240" s="838"/>
    </row>
    <row r="1241" spans="2:8">
      <c r="B1241" t="s">
        <v>2848</v>
      </c>
      <c r="C1241" s="915">
        <v>7422000000</v>
      </c>
      <c r="D1241" s="915" t="s">
        <v>3207</v>
      </c>
      <c r="E1241" s="915">
        <v>11777210</v>
      </c>
      <c r="F1241" s="915">
        <v>26922710</v>
      </c>
      <c r="G1241" s="838"/>
      <c r="H1241" s="838"/>
    </row>
    <row r="1242" spans="2:8">
      <c r="B1242" t="s">
        <v>2848</v>
      </c>
      <c r="C1242" s="915">
        <v>7422000000</v>
      </c>
      <c r="D1242" s="915" t="s">
        <v>3207</v>
      </c>
      <c r="E1242" s="915">
        <v>0</v>
      </c>
      <c r="F1242" s="915">
        <v>-4206</v>
      </c>
      <c r="G1242" s="838"/>
      <c r="H1242" s="838"/>
    </row>
    <row r="1243" spans="2:8">
      <c r="B1243" t="s">
        <v>2848</v>
      </c>
      <c r="C1243" s="915">
        <v>7422000000</v>
      </c>
      <c r="D1243" s="915" t="s">
        <v>3207</v>
      </c>
      <c r="E1243" s="915">
        <v>-1888</v>
      </c>
      <c r="F1243" s="915">
        <v>-53495</v>
      </c>
      <c r="G1243" s="838"/>
      <c r="H1243" s="838"/>
    </row>
    <row r="1244" spans="2:8">
      <c r="B1244" t="s">
        <v>2848</v>
      </c>
      <c r="C1244" s="915">
        <v>7422000000</v>
      </c>
      <c r="D1244" s="915" t="s">
        <v>3207</v>
      </c>
      <c r="E1244" s="915">
        <v>0</v>
      </c>
      <c r="F1244" s="915">
        <v>-33392</v>
      </c>
      <c r="G1244" s="838"/>
      <c r="H1244" s="838"/>
    </row>
    <row r="1245" spans="2:8">
      <c r="B1245" t="s">
        <v>2848</v>
      </c>
      <c r="C1245" s="915">
        <v>7430000000</v>
      </c>
      <c r="D1245" s="915" t="s">
        <v>3208</v>
      </c>
      <c r="E1245" s="915">
        <v>27665755</v>
      </c>
      <c r="F1245" s="915">
        <v>229821654</v>
      </c>
      <c r="G1245" s="838"/>
      <c r="H1245" s="838"/>
    </row>
    <row r="1246" spans="2:8">
      <c r="B1246" t="s">
        <v>2848</v>
      </c>
      <c r="C1246" s="915">
        <v>7431000002</v>
      </c>
      <c r="D1246" s="915" t="s">
        <v>3748</v>
      </c>
      <c r="E1246" s="915">
        <v>4145289</v>
      </c>
      <c r="F1246" s="915">
        <v>0</v>
      </c>
      <c r="G1246" s="838"/>
      <c r="H1246" s="838"/>
    </row>
    <row r="1247" spans="2:8">
      <c r="B1247" t="s">
        <v>2848</v>
      </c>
      <c r="C1247" s="915">
        <v>7440000001</v>
      </c>
      <c r="D1247" s="915" t="s">
        <v>3209</v>
      </c>
      <c r="E1247" s="915">
        <v>34684925</v>
      </c>
      <c r="F1247" s="915">
        <v>151551487</v>
      </c>
      <c r="G1247" s="838"/>
      <c r="H1247" s="838"/>
    </row>
    <row r="1248" spans="2:8">
      <c r="B1248" t="s">
        <v>2848</v>
      </c>
      <c r="C1248" s="915">
        <v>7440000001</v>
      </c>
      <c r="D1248" s="915" t="s">
        <v>3209</v>
      </c>
      <c r="E1248" s="915">
        <v>0</v>
      </c>
      <c r="F1248" s="915">
        <v>440888</v>
      </c>
      <c r="G1248" s="838"/>
      <c r="H1248" s="838"/>
    </row>
    <row r="1249" spans="2:8">
      <c r="B1249" t="s">
        <v>2848</v>
      </c>
      <c r="C1249" s="915">
        <v>7440000001</v>
      </c>
      <c r="D1249" s="915" t="s">
        <v>3209</v>
      </c>
      <c r="E1249" s="915">
        <v>0</v>
      </c>
      <c r="F1249" s="915">
        <v>95528</v>
      </c>
      <c r="G1249" s="838"/>
      <c r="H1249" s="838"/>
    </row>
    <row r="1250" spans="2:8">
      <c r="B1250" t="s">
        <v>2848</v>
      </c>
      <c r="C1250" s="915">
        <v>7440000001</v>
      </c>
      <c r="D1250" s="915" t="s">
        <v>3209</v>
      </c>
      <c r="E1250" s="915">
        <v>0</v>
      </c>
      <c r="F1250" s="915">
        <v>163228</v>
      </c>
      <c r="G1250" s="838"/>
      <c r="H1250" s="838"/>
    </row>
    <row r="1251" spans="2:8">
      <c r="B1251" t="s">
        <v>2848</v>
      </c>
      <c r="C1251" s="915">
        <v>7440000001</v>
      </c>
      <c r="D1251" s="915" t="s">
        <v>3209</v>
      </c>
      <c r="E1251" s="915">
        <v>0</v>
      </c>
      <c r="F1251" s="915">
        <v>294270</v>
      </c>
      <c r="G1251" s="838"/>
      <c r="H1251" s="838"/>
    </row>
    <row r="1252" spans="2:8">
      <c r="B1252" t="s">
        <v>2848</v>
      </c>
      <c r="C1252" s="915">
        <v>7440000001</v>
      </c>
      <c r="D1252" s="915" t="s">
        <v>3209</v>
      </c>
      <c r="E1252" s="915">
        <v>0</v>
      </c>
      <c r="F1252" s="915">
        <v>120982</v>
      </c>
      <c r="G1252" s="838"/>
      <c r="H1252" s="838"/>
    </row>
    <row r="1253" spans="2:8">
      <c r="B1253" t="s">
        <v>2848</v>
      </c>
      <c r="C1253" s="915">
        <v>7440000001</v>
      </c>
      <c r="D1253" s="915" t="s">
        <v>3209</v>
      </c>
      <c r="E1253" s="915">
        <v>0</v>
      </c>
      <c r="F1253" s="915">
        <v>66063</v>
      </c>
      <c r="G1253" s="838"/>
      <c r="H1253" s="838"/>
    </row>
    <row r="1254" spans="2:8">
      <c r="B1254" t="s">
        <v>2848</v>
      </c>
      <c r="C1254" s="915">
        <v>7440000001</v>
      </c>
      <c r="D1254" s="915" t="s">
        <v>3209</v>
      </c>
      <c r="E1254" s="915">
        <v>0</v>
      </c>
      <c r="F1254" s="915">
        <v>44199</v>
      </c>
      <c r="G1254" s="838"/>
      <c r="H1254" s="838"/>
    </row>
    <row r="1255" spans="2:8">
      <c r="B1255" t="s">
        <v>2848</v>
      </c>
      <c r="C1255" s="915">
        <v>7440000001</v>
      </c>
      <c r="D1255" s="915" t="s">
        <v>3209</v>
      </c>
      <c r="E1255" s="915">
        <v>0</v>
      </c>
      <c r="F1255" s="915">
        <v>498943</v>
      </c>
      <c r="G1255" s="838"/>
      <c r="H1255" s="838"/>
    </row>
    <row r="1256" spans="2:8">
      <c r="B1256" t="s">
        <v>2848</v>
      </c>
      <c r="C1256" s="915">
        <v>7440000001</v>
      </c>
      <c r="D1256" s="915" t="s">
        <v>3209</v>
      </c>
      <c r="E1256" s="915">
        <v>0</v>
      </c>
      <c r="F1256" s="915">
        <v>20874</v>
      </c>
      <c r="G1256" s="838"/>
      <c r="H1256" s="838"/>
    </row>
    <row r="1257" spans="2:8">
      <c r="B1257" t="s">
        <v>2848</v>
      </c>
      <c r="C1257" s="915">
        <v>7440000001</v>
      </c>
      <c r="D1257" s="915" t="s">
        <v>3209</v>
      </c>
      <c r="E1257" s="915">
        <v>2751</v>
      </c>
      <c r="F1257" s="915">
        <v>74308</v>
      </c>
      <c r="G1257" s="838"/>
      <c r="H1257" s="838"/>
    </row>
    <row r="1258" spans="2:8">
      <c r="B1258" t="s">
        <v>2848</v>
      </c>
      <c r="C1258" s="915">
        <v>7440000001</v>
      </c>
      <c r="D1258" s="915" t="s">
        <v>3209</v>
      </c>
      <c r="E1258" s="915">
        <v>0</v>
      </c>
      <c r="F1258" s="915">
        <v>335435</v>
      </c>
      <c r="G1258" s="838"/>
      <c r="H1258" s="838"/>
    </row>
    <row r="1259" spans="2:8">
      <c r="B1259" t="s">
        <v>2848</v>
      </c>
      <c r="C1259" s="915">
        <v>7440000001</v>
      </c>
      <c r="D1259" s="915" t="s">
        <v>3209</v>
      </c>
      <c r="E1259" s="915">
        <v>0</v>
      </c>
      <c r="F1259" s="915">
        <v>156524</v>
      </c>
      <c r="G1259" s="838"/>
      <c r="H1259" s="838"/>
    </row>
    <row r="1260" spans="2:8">
      <c r="B1260" t="s">
        <v>2848</v>
      </c>
      <c r="C1260" s="915">
        <v>7440000001</v>
      </c>
      <c r="D1260" s="915" t="s">
        <v>3209</v>
      </c>
      <c r="E1260" s="915">
        <v>0</v>
      </c>
      <c r="F1260" s="915">
        <v>118065</v>
      </c>
      <c r="G1260" s="838"/>
      <c r="H1260" s="838"/>
    </row>
    <row r="1261" spans="2:8">
      <c r="B1261" t="s">
        <v>2848</v>
      </c>
      <c r="C1261" s="915">
        <v>7440000001</v>
      </c>
      <c r="D1261" s="915" t="s">
        <v>3209</v>
      </c>
      <c r="E1261" s="915">
        <v>0</v>
      </c>
      <c r="F1261" s="915">
        <v>112621</v>
      </c>
      <c r="G1261" s="838"/>
      <c r="H1261" s="838"/>
    </row>
    <row r="1262" spans="2:8">
      <c r="B1262" t="s">
        <v>2848</v>
      </c>
      <c r="C1262" s="915">
        <v>7440000001</v>
      </c>
      <c r="D1262" s="915" t="s">
        <v>3209</v>
      </c>
      <c r="E1262" s="915">
        <v>0</v>
      </c>
      <c r="F1262" s="915">
        <v>122167</v>
      </c>
      <c r="G1262" s="838"/>
      <c r="H1262" s="838"/>
    </row>
    <row r="1263" spans="2:8">
      <c r="B1263" t="s">
        <v>2848</v>
      </c>
      <c r="C1263" s="915">
        <v>7440000001</v>
      </c>
      <c r="D1263" s="915" t="s">
        <v>3209</v>
      </c>
      <c r="E1263" s="915">
        <v>0</v>
      </c>
      <c r="F1263" s="915">
        <v>84326</v>
      </c>
      <c r="G1263" s="838"/>
      <c r="H1263" s="838"/>
    </row>
    <row r="1264" spans="2:8">
      <c r="B1264" t="s">
        <v>2848</v>
      </c>
      <c r="C1264" s="915">
        <v>7440000001</v>
      </c>
      <c r="D1264" s="915" t="s">
        <v>3209</v>
      </c>
      <c r="E1264" s="915">
        <v>0</v>
      </c>
      <c r="F1264" s="915">
        <v>82055</v>
      </c>
      <c r="G1264" s="838"/>
      <c r="H1264" s="838"/>
    </row>
    <row r="1265" spans="2:8">
      <c r="B1265" t="s">
        <v>2848</v>
      </c>
      <c r="C1265" s="915">
        <v>7440000003</v>
      </c>
      <c r="D1265" s="915" t="s">
        <v>3210</v>
      </c>
      <c r="E1265" s="915">
        <v>58002819</v>
      </c>
      <c r="F1265" s="915">
        <v>274620511</v>
      </c>
      <c r="G1265" s="838"/>
      <c r="H1265" s="838"/>
    </row>
    <row r="1266" spans="2:8">
      <c r="B1266" t="s">
        <v>2848</v>
      </c>
      <c r="C1266" s="915">
        <v>7500000000</v>
      </c>
      <c r="D1266" s="915" t="s">
        <v>3211</v>
      </c>
      <c r="E1266" s="915">
        <v>15565770</v>
      </c>
      <c r="F1266" s="915">
        <v>36870042</v>
      </c>
      <c r="G1266" s="838"/>
      <c r="H1266" s="838"/>
    </row>
    <row r="1267" spans="2:8">
      <c r="B1267" t="s">
        <v>2848</v>
      </c>
      <c r="C1267" s="915">
        <v>7501000000</v>
      </c>
      <c r="D1267" s="915" t="s">
        <v>3749</v>
      </c>
      <c r="E1267" s="915">
        <v>10000000</v>
      </c>
      <c r="F1267" s="915">
        <v>0</v>
      </c>
      <c r="G1267" s="838"/>
      <c r="H1267" s="838"/>
    </row>
    <row r="1268" spans="2:8">
      <c r="B1268" t="s">
        <v>2848</v>
      </c>
      <c r="C1268" s="915">
        <v>7503000000</v>
      </c>
      <c r="D1268" s="915" t="s">
        <v>3750</v>
      </c>
      <c r="E1268" s="915">
        <v>34950800</v>
      </c>
      <c r="F1268" s="915">
        <v>0</v>
      </c>
      <c r="G1268" s="838"/>
      <c r="H1268" s="838"/>
    </row>
    <row r="1269" spans="2:8">
      <c r="B1269" t="s">
        <v>2848</v>
      </c>
      <c r="C1269" s="915">
        <v>7510000000</v>
      </c>
      <c r="D1269" s="915" t="s">
        <v>3212</v>
      </c>
      <c r="E1269" s="915">
        <v>0</v>
      </c>
      <c r="F1269" s="915">
        <v>2650299</v>
      </c>
      <c r="G1269" s="838"/>
      <c r="H1269" s="838"/>
    </row>
    <row r="1270" spans="2:8">
      <c r="B1270" t="s">
        <v>2848</v>
      </c>
      <c r="C1270" s="915">
        <v>7512000000</v>
      </c>
      <c r="D1270" s="915" t="s">
        <v>3213</v>
      </c>
      <c r="E1270" s="915">
        <v>17160270</v>
      </c>
      <c r="F1270" s="915">
        <v>161684591</v>
      </c>
      <c r="G1270" s="838"/>
      <c r="H1270" s="838"/>
    </row>
    <row r="1271" spans="2:8">
      <c r="B1271" t="s">
        <v>2848</v>
      </c>
      <c r="C1271" s="915">
        <v>7512120000</v>
      </c>
      <c r="D1271" s="915" t="s">
        <v>3214</v>
      </c>
      <c r="E1271" s="915">
        <v>124637123</v>
      </c>
      <c r="F1271" s="915">
        <v>7410822</v>
      </c>
      <c r="G1271" s="838"/>
      <c r="H1271" s="838"/>
    </row>
    <row r="1272" spans="2:8">
      <c r="B1272" t="s">
        <v>2848</v>
      </c>
      <c r="C1272" s="915">
        <v>7512130000</v>
      </c>
      <c r="D1272" s="915" t="s">
        <v>3215</v>
      </c>
      <c r="E1272" s="915">
        <v>0</v>
      </c>
      <c r="F1272" s="915">
        <v>13736357</v>
      </c>
      <c r="G1272" s="838"/>
      <c r="H1272" s="838"/>
    </row>
    <row r="1273" spans="2:8">
      <c r="B1273" t="s">
        <v>2848</v>
      </c>
      <c r="C1273" s="915">
        <v>7520130000</v>
      </c>
      <c r="D1273" s="915" t="s">
        <v>3216</v>
      </c>
      <c r="E1273" s="915">
        <v>0</v>
      </c>
      <c r="F1273" s="915">
        <v>480000</v>
      </c>
      <c r="G1273" s="838"/>
      <c r="H1273" s="838"/>
    </row>
    <row r="1274" spans="2:8">
      <c r="B1274" t="s">
        <v>2848</v>
      </c>
      <c r="C1274" s="915">
        <v>7521000000</v>
      </c>
      <c r="D1274" s="915" t="s">
        <v>3217</v>
      </c>
      <c r="E1274" s="915">
        <v>27000</v>
      </c>
      <c r="F1274" s="915">
        <v>10924871</v>
      </c>
      <c r="G1274" s="838"/>
      <c r="H1274" s="838"/>
    </row>
    <row r="1275" spans="2:8">
      <c r="B1275" t="s">
        <v>2848</v>
      </c>
      <c r="C1275" s="915">
        <v>7521000000</v>
      </c>
      <c r="D1275" s="915" t="s">
        <v>3217</v>
      </c>
      <c r="E1275" s="915">
        <v>0</v>
      </c>
      <c r="F1275" s="915">
        <v>210084</v>
      </c>
      <c r="G1275" s="838"/>
      <c r="H1275" s="838"/>
    </row>
    <row r="1276" spans="2:8">
      <c r="B1276" t="s">
        <v>2848</v>
      </c>
      <c r="C1276" s="915">
        <v>7521000000</v>
      </c>
      <c r="D1276" s="915" t="s">
        <v>3217</v>
      </c>
      <c r="E1276" s="915">
        <v>0</v>
      </c>
      <c r="F1276" s="915">
        <v>70000</v>
      </c>
      <c r="G1276" s="838"/>
      <c r="H1276" s="838"/>
    </row>
    <row r="1277" spans="2:8">
      <c r="B1277" t="s">
        <v>2848</v>
      </c>
      <c r="C1277" s="915">
        <v>7521100000</v>
      </c>
      <c r="D1277" s="915" t="s">
        <v>3218</v>
      </c>
      <c r="E1277" s="915">
        <v>0</v>
      </c>
      <c r="F1277" s="915">
        <v>397100</v>
      </c>
      <c r="G1277" s="838"/>
      <c r="H1277" s="838"/>
    </row>
    <row r="1278" spans="2:8">
      <c r="B1278" t="s">
        <v>2848</v>
      </c>
      <c r="C1278" s="915">
        <v>7521100001</v>
      </c>
      <c r="D1278" s="915" t="s">
        <v>3219</v>
      </c>
      <c r="E1278" s="915">
        <v>19801376</v>
      </c>
      <c r="F1278" s="915">
        <v>4455153</v>
      </c>
      <c r="G1278" s="838"/>
      <c r="H1278" s="838"/>
    </row>
    <row r="1279" spans="2:8">
      <c r="B1279" t="s">
        <v>2848</v>
      </c>
      <c r="C1279" s="915">
        <v>7521100002</v>
      </c>
      <c r="D1279" s="915" t="s">
        <v>3220</v>
      </c>
      <c r="E1279" s="915">
        <v>4550000</v>
      </c>
      <c r="F1279" s="915">
        <v>0</v>
      </c>
      <c r="G1279" s="838"/>
      <c r="H1279" s="838"/>
    </row>
    <row r="1280" spans="2:8">
      <c r="B1280" t="s">
        <v>2848</v>
      </c>
      <c r="C1280" s="915">
        <v>7521100002</v>
      </c>
      <c r="D1280" s="915" t="s">
        <v>3220</v>
      </c>
      <c r="E1280" s="915">
        <v>0</v>
      </c>
      <c r="F1280" s="915">
        <v>204458</v>
      </c>
      <c r="G1280" s="838"/>
      <c r="H1280" s="838"/>
    </row>
    <row r="1281" spans="2:8">
      <c r="B1281" t="s">
        <v>2848</v>
      </c>
      <c r="C1281" s="915">
        <v>7521100003</v>
      </c>
      <c r="D1281" s="915" t="s">
        <v>3221</v>
      </c>
      <c r="E1281" s="915">
        <v>0</v>
      </c>
      <c r="F1281" s="915">
        <v>5696466</v>
      </c>
      <c r="G1281" s="838"/>
      <c r="H1281" s="838"/>
    </row>
    <row r="1282" spans="2:8">
      <c r="B1282" t="s">
        <v>2848</v>
      </c>
      <c r="C1282" s="915">
        <v>7521200000</v>
      </c>
      <c r="D1282" s="915" t="s">
        <v>3222</v>
      </c>
      <c r="E1282" s="915">
        <v>31694142</v>
      </c>
      <c r="F1282" s="915">
        <v>113000552</v>
      </c>
      <c r="G1282" s="838"/>
      <c r="H1282" s="838"/>
    </row>
    <row r="1283" spans="2:8">
      <c r="B1283" t="s">
        <v>2848</v>
      </c>
      <c r="C1283" s="915">
        <v>7521200000</v>
      </c>
      <c r="D1283" s="915" t="s">
        <v>3222</v>
      </c>
      <c r="E1283" s="915">
        <v>94563</v>
      </c>
      <c r="F1283" s="915">
        <v>0</v>
      </c>
      <c r="G1283" s="838"/>
      <c r="H1283" s="838"/>
    </row>
    <row r="1284" spans="2:8">
      <c r="B1284" t="s">
        <v>2848</v>
      </c>
      <c r="C1284" s="915">
        <v>7521200000</v>
      </c>
      <c r="D1284" s="915" t="s">
        <v>3222</v>
      </c>
      <c r="E1284" s="915">
        <v>11200</v>
      </c>
      <c r="F1284" s="915">
        <v>0</v>
      </c>
      <c r="G1284" s="838"/>
      <c r="H1284" s="838"/>
    </row>
    <row r="1285" spans="2:8">
      <c r="B1285" t="s">
        <v>2848</v>
      </c>
      <c r="C1285" s="915">
        <v>7521200000</v>
      </c>
      <c r="D1285" s="915" t="s">
        <v>3222</v>
      </c>
      <c r="E1285" s="915">
        <v>245000</v>
      </c>
      <c r="F1285" s="915">
        <v>0</v>
      </c>
      <c r="G1285" s="838"/>
      <c r="H1285" s="838"/>
    </row>
    <row r="1286" spans="2:8">
      <c r="B1286" t="s">
        <v>2848</v>
      </c>
      <c r="C1286" s="915">
        <v>7521200000</v>
      </c>
      <c r="D1286" s="915" t="s">
        <v>3222</v>
      </c>
      <c r="E1286" s="915">
        <v>257900</v>
      </c>
      <c r="F1286" s="915">
        <v>30625</v>
      </c>
      <c r="G1286" s="838"/>
      <c r="H1286" s="838"/>
    </row>
    <row r="1287" spans="2:8">
      <c r="B1287" t="s">
        <v>2848</v>
      </c>
      <c r="C1287" s="915">
        <v>7521200002</v>
      </c>
      <c r="D1287" s="915" t="s">
        <v>3223</v>
      </c>
      <c r="E1287" s="915">
        <v>1318000</v>
      </c>
      <c r="F1287" s="915">
        <v>1069590</v>
      </c>
      <c r="G1287" s="838"/>
      <c r="H1287" s="838"/>
    </row>
    <row r="1288" spans="2:8">
      <c r="B1288" t="s">
        <v>2848</v>
      </c>
      <c r="C1288" s="915">
        <v>7522200000</v>
      </c>
      <c r="D1288" s="915" t="s">
        <v>3224</v>
      </c>
      <c r="E1288" s="915">
        <v>4858654</v>
      </c>
      <c r="F1288" s="915">
        <v>12993835</v>
      </c>
      <c r="G1288" s="838"/>
      <c r="H1288" s="838"/>
    </row>
    <row r="1289" spans="2:8">
      <c r="B1289" t="s">
        <v>2848</v>
      </c>
      <c r="C1289" s="915">
        <v>7522400000</v>
      </c>
      <c r="D1289" s="915" t="s">
        <v>3225</v>
      </c>
      <c r="E1289" s="915">
        <v>0</v>
      </c>
      <c r="F1289" s="915">
        <v>9452695</v>
      </c>
      <c r="G1289" s="838"/>
      <c r="H1289" s="838"/>
    </row>
    <row r="1290" spans="2:8">
      <c r="B1290" t="s">
        <v>2848</v>
      </c>
      <c r="C1290" s="915">
        <v>7523000000</v>
      </c>
      <c r="D1290" s="915" t="s">
        <v>3226</v>
      </c>
      <c r="E1290" s="915">
        <v>16960860</v>
      </c>
      <c r="F1290" s="915">
        <v>61649170</v>
      </c>
      <c r="G1290" s="838"/>
      <c r="H1290" s="838"/>
    </row>
    <row r="1291" spans="2:8">
      <c r="B1291" t="s">
        <v>2848</v>
      </c>
      <c r="C1291" s="915">
        <v>7523000000</v>
      </c>
      <c r="D1291" s="915" t="s">
        <v>3226</v>
      </c>
      <c r="E1291" s="915">
        <v>0</v>
      </c>
      <c r="F1291" s="915">
        <v>5541</v>
      </c>
      <c r="G1291" s="838"/>
      <c r="H1291" s="838"/>
    </row>
    <row r="1292" spans="2:8">
      <c r="B1292" t="s">
        <v>2848</v>
      </c>
      <c r="C1292" s="915">
        <v>7523000000</v>
      </c>
      <c r="D1292" s="915" t="s">
        <v>3226</v>
      </c>
      <c r="E1292" s="915">
        <v>0</v>
      </c>
      <c r="F1292" s="915">
        <v>30173</v>
      </c>
      <c r="G1292" s="838"/>
      <c r="H1292" s="838"/>
    </row>
    <row r="1293" spans="2:8">
      <c r="B1293" t="s">
        <v>2848</v>
      </c>
      <c r="C1293" s="915">
        <v>7523000000</v>
      </c>
      <c r="D1293" s="915" t="s">
        <v>3226</v>
      </c>
      <c r="E1293" s="915">
        <v>0</v>
      </c>
      <c r="F1293" s="915">
        <v>22832</v>
      </c>
      <c r="G1293" s="838"/>
      <c r="H1293" s="838"/>
    </row>
    <row r="1294" spans="2:8">
      <c r="B1294" t="s">
        <v>2848</v>
      </c>
      <c r="C1294" s="915">
        <v>7523000000</v>
      </c>
      <c r="D1294" s="915" t="s">
        <v>3226</v>
      </c>
      <c r="E1294" s="915">
        <v>0</v>
      </c>
      <c r="F1294" s="915">
        <v>22787</v>
      </c>
      <c r="G1294" s="838"/>
      <c r="H1294" s="838"/>
    </row>
    <row r="1295" spans="2:8">
      <c r="B1295" t="s">
        <v>2848</v>
      </c>
      <c r="C1295" s="915">
        <v>7523000000</v>
      </c>
      <c r="D1295" s="915" t="s">
        <v>3226</v>
      </c>
      <c r="E1295" s="915">
        <v>0</v>
      </c>
      <c r="F1295" s="915">
        <v>79540</v>
      </c>
      <c r="G1295" s="838"/>
      <c r="H1295" s="838"/>
    </row>
    <row r="1296" spans="2:8">
      <c r="B1296" t="s">
        <v>2848</v>
      </c>
      <c r="C1296" s="915">
        <v>7523000000</v>
      </c>
      <c r="D1296" s="915" t="s">
        <v>3226</v>
      </c>
      <c r="E1296" s="915">
        <v>0</v>
      </c>
      <c r="F1296" s="915">
        <v>17127</v>
      </c>
      <c r="G1296" s="838"/>
      <c r="H1296" s="838"/>
    </row>
    <row r="1297" spans="2:8">
      <c r="B1297" t="s">
        <v>2848</v>
      </c>
      <c r="C1297" s="915">
        <v>7523000000</v>
      </c>
      <c r="D1297" s="915" t="s">
        <v>3226</v>
      </c>
      <c r="E1297" s="915">
        <v>0</v>
      </c>
      <c r="F1297" s="915">
        <v>5096</v>
      </c>
      <c r="G1297" s="838"/>
      <c r="H1297" s="838"/>
    </row>
    <row r="1298" spans="2:8">
      <c r="B1298" t="s">
        <v>2848</v>
      </c>
      <c r="C1298" s="915">
        <v>7523000000</v>
      </c>
      <c r="D1298" s="915" t="s">
        <v>3226</v>
      </c>
      <c r="E1298" s="915">
        <v>0</v>
      </c>
      <c r="F1298" s="915">
        <v>12659</v>
      </c>
      <c r="G1298" s="838"/>
      <c r="H1298" s="838"/>
    </row>
    <row r="1299" spans="2:8">
      <c r="B1299" t="s">
        <v>2848</v>
      </c>
      <c r="C1299" s="915">
        <v>7523000000</v>
      </c>
      <c r="D1299" s="915" t="s">
        <v>3226</v>
      </c>
      <c r="E1299" s="915">
        <v>0</v>
      </c>
      <c r="F1299" s="915">
        <v>15290</v>
      </c>
      <c r="G1299" s="838"/>
      <c r="H1299" s="838"/>
    </row>
    <row r="1300" spans="2:8">
      <c r="B1300" t="s">
        <v>2848</v>
      </c>
      <c r="C1300" s="915">
        <v>7523000000</v>
      </c>
      <c r="D1300" s="915" t="s">
        <v>3226</v>
      </c>
      <c r="E1300" s="915">
        <v>0</v>
      </c>
      <c r="F1300" s="915">
        <v>31478</v>
      </c>
      <c r="G1300" s="838"/>
      <c r="H1300" s="838"/>
    </row>
    <row r="1301" spans="2:8">
      <c r="B1301" t="s">
        <v>2848</v>
      </c>
      <c r="C1301" s="915">
        <v>7523000000</v>
      </c>
      <c r="D1301" s="915" t="s">
        <v>3226</v>
      </c>
      <c r="E1301" s="915">
        <v>0</v>
      </c>
      <c r="F1301" s="915">
        <v>11874</v>
      </c>
      <c r="G1301" s="838"/>
      <c r="H1301" s="838"/>
    </row>
    <row r="1302" spans="2:8">
      <c r="B1302" t="s">
        <v>2848</v>
      </c>
      <c r="C1302" s="915">
        <v>7523000000</v>
      </c>
      <c r="D1302" s="915" t="s">
        <v>3226</v>
      </c>
      <c r="E1302" s="915">
        <v>0</v>
      </c>
      <c r="F1302" s="915">
        <v>12809</v>
      </c>
      <c r="G1302" s="838"/>
      <c r="H1302" s="838"/>
    </row>
    <row r="1303" spans="2:8">
      <c r="B1303" t="s">
        <v>2848</v>
      </c>
      <c r="C1303" s="915">
        <v>7523000000</v>
      </c>
      <c r="D1303" s="915" t="s">
        <v>3226</v>
      </c>
      <c r="E1303" s="915">
        <v>0</v>
      </c>
      <c r="F1303" s="915">
        <v>32470</v>
      </c>
      <c r="G1303" s="838"/>
      <c r="H1303" s="838"/>
    </row>
    <row r="1304" spans="2:8">
      <c r="B1304" t="s">
        <v>2848</v>
      </c>
      <c r="C1304" s="915">
        <v>7523000000</v>
      </c>
      <c r="D1304" s="915" t="s">
        <v>3226</v>
      </c>
      <c r="E1304" s="915">
        <v>0</v>
      </c>
      <c r="F1304" s="915">
        <v>118021</v>
      </c>
      <c r="G1304" s="838"/>
      <c r="H1304" s="838"/>
    </row>
    <row r="1305" spans="2:8">
      <c r="B1305" t="s">
        <v>2848</v>
      </c>
      <c r="C1305" s="915">
        <v>7523000000</v>
      </c>
      <c r="D1305" s="915" t="s">
        <v>3226</v>
      </c>
      <c r="E1305" s="915">
        <v>0</v>
      </c>
      <c r="F1305" s="915">
        <v>12692</v>
      </c>
      <c r="G1305" s="838"/>
      <c r="H1305" s="838"/>
    </row>
    <row r="1306" spans="2:8">
      <c r="B1306" t="s">
        <v>2848</v>
      </c>
      <c r="C1306" s="915">
        <v>7523000000</v>
      </c>
      <c r="D1306" s="915" t="s">
        <v>3226</v>
      </c>
      <c r="E1306" s="915">
        <v>0</v>
      </c>
      <c r="F1306" s="915">
        <v>16630</v>
      </c>
      <c r="G1306" s="838"/>
      <c r="H1306" s="838"/>
    </row>
    <row r="1307" spans="2:8">
      <c r="B1307" t="s">
        <v>2848</v>
      </c>
      <c r="C1307" s="915">
        <v>7523000000</v>
      </c>
      <c r="D1307" s="915" t="s">
        <v>3226</v>
      </c>
      <c r="E1307" s="915">
        <v>0</v>
      </c>
      <c r="F1307" s="915">
        <v>16775</v>
      </c>
      <c r="G1307" s="838"/>
      <c r="H1307" s="838"/>
    </row>
    <row r="1308" spans="2:8">
      <c r="B1308" t="s">
        <v>2848</v>
      </c>
      <c r="C1308" s="915">
        <v>7523000000</v>
      </c>
      <c r="D1308" s="915" t="s">
        <v>3226</v>
      </c>
      <c r="E1308" s="915">
        <v>0</v>
      </c>
      <c r="F1308" s="915">
        <v>16357</v>
      </c>
      <c r="G1308" s="838"/>
      <c r="H1308" s="838"/>
    </row>
    <row r="1309" spans="2:8">
      <c r="B1309" t="s">
        <v>2848</v>
      </c>
      <c r="C1309" s="915">
        <v>7523000000</v>
      </c>
      <c r="D1309" s="915" t="s">
        <v>3226</v>
      </c>
      <c r="E1309" s="915">
        <v>0</v>
      </c>
      <c r="F1309" s="915">
        <v>582123</v>
      </c>
      <c r="G1309" s="838"/>
      <c r="H1309" s="838"/>
    </row>
    <row r="1310" spans="2:8">
      <c r="B1310" t="s">
        <v>2848</v>
      </c>
      <c r="C1310" s="915">
        <v>7523100004</v>
      </c>
      <c r="D1310" s="915" t="s">
        <v>3227</v>
      </c>
      <c r="E1310" s="915">
        <v>17301652</v>
      </c>
      <c r="F1310" s="915">
        <v>42981020</v>
      </c>
      <c r="G1310" s="838"/>
      <c r="H1310" s="838"/>
    </row>
    <row r="1311" spans="2:8">
      <c r="B1311" t="s">
        <v>2848</v>
      </c>
      <c r="C1311" s="915">
        <v>7523100004</v>
      </c>
      <c r="D1311" s="915" t="s">
        <v>3227</v>
      </c>
      <c r="E1311" s="915">
        <v>0</v>
      </c>
      <c r="F1311" s="915">
        <v>8227</v>
      </c>
      <c r="G1311" s="838"/>
      <c r="H1311" s="838"/>
    </row>
    <row r="1312" spans="2:8">
      <c r="B1312" t="s">
        <v>2848</v>
      </c>
      <c r="C1312" s="915">
        <v>7523100004</v>
      </c>
      <c r="D1312" s="915" t="s">
        <v>3227</v>
      </c>
      <c r="E1312" s="915">
        <v>0</v>
      </c>
      <c r="F1312" s="915">
        <v>15882</v>
      </c>
      <c r="G1312" s="838"/>
      <c r="H1312" s="838"/>
    </row>
    <row r="1313" spans="2:8">
      <c r="B1313" t="s">
        <v>2848</v>
      </c>
      <c r="C1313" s="915">
        <v>7523100004</v>
      </c>
      <c r="D1313" s="915" t="s">
        <v>3227</v>
      </c>
      <c r="E1313" s="915">
        <v>0</v>
      </c>
      <c r="F1313" s="915">
        <v>20348</v>
      </c>
      <c r="G1313" s="838"/>
      <c r="H1313" s="838"/>
    </row>
    <row r="1314" spans="2:8">
      <c r="B1314" t="s">
        <v>2848</v>
      </c>
      <c r="C1314" s="915">
        <v>7523100004</v>
      </c>
      <c r="D1314" s="915" t="s">
        <v>3227</v>
      </c>
      <c r="E1314" s="915">
        <v>0</v>
      </c>
      <c r="F1314" s="915">
        <v>11784</v>
      </c>
      <c r="G1314" s="838"/>
      <c r="H1314" s="838"/>
    </row>
    <row r="1315" spans="2:8">
      <c r="B1315" t="s">
        <v>2848</v>
      </c>
      <c r="C1315" s="915">
        <v>7523100004</v>
      </c>
      <c r="D1315" s="915" t="s">
        <v>3227</v>
      </c>
      <c r="E1315" s="915">
        <v>0</v>
      </c>
      <c r="F1315" s="915">
        <v>24753</v>
      </c>
      <c r="G1315" s="838"/>
      <c r="H1315" s="838"/>
    </row>
    <row r="1316" spans="2:8">
      <c r="B1316" t="s">
        <v>2848</v>
      </c>
      <c r="C1316" s="915">
        <v>7523100004</v>
      </c>
      <c r="D1316" s="915" t="s">
        <v>3227</v>
      </c>
      <c r="E1316" s="915">
        <v>0</v>
      </c>
      <c r="F1316" s="915">
        <v>21197</v>
      </c>
      <c r="G1316" s="838"/>
      <c r="H1316" s="838"/>
    </row>
    <row r="1317" spans="2:8">
      <c r="B1317" t="s">
        <v>2848</v>
      </c>
      <c r="C1317" s="915">
        <v>7523100004</v>
      </c>
      <c r="D1317" s="915" t="s">
        <v>3227</v>
      </c>
      <c r="E1317" s="915">
        <v>0</v>
      </c>
      <c r="F1317" s="915">
        <v>14298</v>
      </c>
      <c r="G1317" s="838"/>
      <c r="H1317" s="838"/>
    </row>
    <row r="1318" spans="2:8">
      <c r="B1318" t="s">
        <v>2848</v>
      </c>
      <c r="C1318" s="915">
        <v>7523100004</v>
      </c>
      <c r="D1318" s="915" t="s">
        <v>3227</v>
      </c>
      <c r="E1318" s="915">
        <v>0</v>
      </c>
      <c r="F1318" s="915">
        <v>21197</v>
      </c>
      <c r="G1318" s="838"/>
      <c r="H1318" s="838"/>
    </row>
    <row r="1319" spans="2:8">
      <c r="B1319" t="s">
        <v>2848</v>
      </c>
      <c r="C1319" s="915">
        <v>7523100004</v>
      </c>
      <c r="D1319" s="915" t="s">
        <v>3227</v>
      </c>
      <c r="E1319" s="915">
        <v>0</v>
      </c>
      <c r="F1319" s="915">
        <v>32471</v>
      </c>
      <c r="G1319" s="838"/>
      <c r="H1319" s="838"/>
    </row>
    <row r="1320" spans="2:8">
      <c r="B1320" t="s">
        <v>2848</v>
      </c>
      <c r="C1320" s="915">
        <v>7523100004</v>
      </c>
      <c r="D1320" s="915" t="s">
        <v>3227</v>
      </c>
      <c r="E1320" s="915">
        <v>0</v>
      </c>
      <c r="F1320" s="915">
        <v>7665</v>
      </c>
      <c r="G1320" s="838"/>
      <c r="H1320" s="838"/>
    </row>
    <row r="1321" spans="2:8">
      <c r="B1321" t="s">
        <v>2848</v>
      </c>
      <c r="C1321" s="915">
        <v>7523100004</v>
      </c>
      <c r="D1321" s="915" t="s">
        <v>3227</v>
      </c>
      <c r="E1321" s="915">
        <v>0</v>
      </c>
      <c r="F1321" s="915">
        <v>13602</v>
      </c>
      <c r="G1321" s="838"/>
      <c r="H1321" s="838"/>
    </row>
    <row r="1322" spans="2:8">
      <c r="B1322" t="s">
        <v>2848</v>
      </c>
      <c r="C1322" s="915">
        <v>7523100004</v>
      </c>
      <c r="D1322" s="915" t="s">
        <v>3227</v>
      </c>
      <c r="E1322" s="915">
        <v>0</v>
      </c>
      <c r="F1322" s="915">
        <v>14050</v>
      </c>
      <c r="G1322" s="838"/>
      <c r="H1322" s="838"/>
    </row>
    <row r="1323" spans="2:8">
      <c r="B1323" t="s">
        <v>2848</v>
      </c>
      <c r="C1323" s="915">
        <v>7523100004</v>
      </c>
      <c r="D1323" s="915" t="s">
        <v>3227</v>
      </c>
      <c r="E1323" s="915">
        <v>0</v>
      </c>
      <c r="F1323" s="915">
        <v>15329</v>
      </c>
      <c r="G1323" s="838"/>
      <c r="H1323" s="838"/>
    </row>
    <row r="1324" spans="2:8">
      <c r="B1324" t="s">
        <v>2848</v>
      </c>
      <c r="C1324" s="915">
        <v>7523100004</v>
      </c>
      <c r="D1324" s="915" t="s">
        <v>3227</v>
      </c>
      <c r="E1324" s="915">
        <v>0</v>
      </c>
      <c r="F1324" s="915">
        <v>8117</v>
      </c>
      <c r="G1324" s="838"/>
      <c r="H1324" s="838"/>
    </row>
    <row r="1325" spans="2:8">
      <c r="B1325" t="s">
        <v>2848</v>
      </c>
      <c r="C1325" s="915">
        <v>7523100004</v>
      </c>
      <c r="D1325" s="915" t="s">
        <v>3227</v>
      </c>
      <c r="E1325" s="915">
        <v>0</v>
      </c>
      <c r="F1325" s="915">
        <v>69704</v>
      </c>
      <c r="G1325" s="838"/>
      <c r="H1325" s="838"/>
    </row>
    <row r="1326" spans="2:8">
      <c r="B1326" t="s">
        <v>2848</v>
      </c>
      <c r="C1326" s="915">
        <v>7523100004</v>
      </c>
      <c r="D1326" s="915" t="s">
        <v>3227</v>
      </c>
      <c r="E1326" s="915">
        <v>0</v>
      </c>
      <c r="F1326" s="915">
        <v>11865</v>
      </c>
      <c r="G1326" s="838"/>
      <c r="H1326" s="838"/>
    </row>
    <row r="1327" spans="2:8">
      <c r="B1327" t="s">
        <v>2848</v>
      </c>
      <c r="C1327" s="915">
        <v>7523100004</v>
      </c>
      <c r="D1327" s="915" t="s">
        <v>3227</v>
      </c>
      <c r="E1327" s="915">
        <v>0</v>
      </c>
      <c r="F1327" s="915">
        <v>16824</v>
      </c>
      <c r="G1327" s="838"/>
      <c r="H1327" s="838"/>
    </row>
    <row r="1328" spans="2:8">
      <c r="B1328" t="s">
        <v>2848</v>
      </c>
      <c r="C1328" s="915">
        <v>7523100004</v>
      </c>
      <c r="D1328" s="915" t="s">
        <v>3227</v>
      </c>
      <c r="E1328" s="915">
        <v>0</v>
      </c>
      <c r="F1328" s="915">
        <v>10560</v>
      </c>
      <c r="G1328" s="838"/>
      <c r="H1328" s="838"/>
    </row>
    <row r="1329" spans="2:8">
      <c r="B1329" t="s">
        <v>2848</v>
      </c>
      <c r="C1329" s="915">
        <v>7523100004</v>
      </c>
      <c r="D1329" s="915" t="s">
        <v>3227</v>
      </c>
      <c r="E1329" s="915">
        <v>0</v>
      </c>
      <c r="F1329" s="915">
        <v>28337</v>
      </c>
      <c r="G1329" s="838"/>
      <c r="H1329" s="838"/>
    </row>
    <row r="1330" spans="2:8">
      <c r="B1330" t="s">
        <v>2848</v>
      </c>
      <c r="C1330" s="915">
        <v>7525100000</v>
      </c>
      <c r="D1330" s="915" t="s">
        <v>3751</v>
      </c>
      <c r="E1330" s="915">
        <v>675000</v>
      </c>
      <c r="F1330" s="915">
        <v>0</v>
      </c>
      <c r="G1330" s="838"/>
      <c r="H1330" s="838"/>
    </row>
    <row r="1331" spans="2:8">
      <c r="B1331" t="s">
        <v>2848</v>
      </c>
      <c r="C1331" s="915">
        <v>7525800000</v>
      </c>
      <c r="D1331" s="915" t="s">
        <v>3228</v>
      </c>
      <c r="E1331" s="915">
        <v>1083936</v>
      </c>
      <c r="F1331" s="915">
        <v>3496564</v>
      </c>
      <c r="G1331" s="838"/>
      <c r="H1331" s="838"/>
    </row>
    <row r="1332" spans="2:8">
      <c r="B1332" t="s">
        <v>2848</v>
      </c>
      <c r="C1332" s="915">
        <v>7525810000</v>
      </c>
      <c r="D1332" s="915" t="s">
        <v>3229</v>
      </c>
      <c r="E1332" s="915">
        <v>0</v>
      </c>
      <c r="F1332" s="915">
        <v>361312</v>
      </c>
      <c r="G1332" s="838"/>
      <c r="H1332" s="838"/>
    </row>
    <row r="1333" spans="2:8">
      <c r="B1333" t="s">
        <v>2848</v>
      </c>
      <c r="C1333" s="915">
        <v>7526000000</v>
      </c>
      <c r="D1333" s="915" t="s">
        <v>3230</v>
      </c>
      <c r="E1333" s="915">
        <v>707428</v>
      </c>
      <c r="F1333" s="915">
        <v>3801569</v>
      </c>
      <c r="G1333" s="838"/>
      <c r="H1333" s="838"/>
    </row>
    <row r="1334" spans="2:8">
      <c r="B1334" t="s">
        <v>2848</v>
      </c>
      <c r="C1334" s="915">
        <v>7526100000</v>
      </c>
      <c r="D1334" s="915" t="s">
        <v>3231</v>
      </c>
      <c r="E1334" s="915">
        <v>3217696</v>
      </c>
      <c r="F1334" s="915">
        <v>12589622</v>
      </c>
      <c r="G1334" s="838"/>
      <c r="H1334" s="838"/>
    </row>
    <row r="1335" spans="2:8">
      <c r="B1335" t="s">
        <v>2848</v>
      </c>
      <c r="C1335" s="915">
        <v>7526300000</v>
      </c>
      <c r="D1335" s="915" t="s">
        <v>3232</v>
      </c>
      <c r="E1335" s="915">
        <v>0</v>
      </c>
      <c r="F1335" s="915">
        <v>26799838</v>
      </c>
      <c r="G1335" s="838"/>
      <c r="H1335" s="838"/>
    </row>
    <row r="1336" spans="2:8">
      <c r="B1336" t="s">
        <v>2848</v>
      </c>
      <c r="C1336" s="915">
        <v>7527000000</v>
      </c>
      <c r="D1336" s="915" t="s">
        <v>3233</v>
      </c>
      <c r="E1336" s="915">
        <v>12286325</v>
      </c>
      <c r="F1336" s="915">
        <v>68446587</v>
      </c>
      <c r="G1336" s="838"/>
      <c r="H1336" s="838"/>
    </row>
    <row r="1337" spans="2:8">
      <c r="B1337" t="s">
        <v>2848</v>
      </c>
      <c r="C1337" s="915">
        <v>7530000009</v>
      </c>
      <c r="D1337" s="915" t="s">
        <v>3234</v>
      </c>
      <c r="E1337" s="915">
        <v>0</v>
      </c>
      <c r="F1337" s="915">
        <v>360841</v>
      </c>
      <c r="G1337" s="838"/>
      <c r="H1337" s="838"/>
    </row>
    <row r="1338" spans="2:8">
      <c r="B1338" t="s">
        <v>2848</v>
      </c>
      <c r="C1338" s="915">
        <v>7530000100</v>
      </c>
      <c r="D1338" s="915" t="s">
        <v>3235</v>
      </c>
      <c r="E1338" s="915">
        <v>0</v>
      </c>
      <c r="F1338" s="915">
        <v>49422</v>
      </c>
      <c r="G1338" s="838"/>
      <c r="H1338" s="838"/>
    </row>
    <row r="1339" spans="2:8">
      <c r="B1339" t="s">
        <v>2848</v>
      </c>
      <c r="C1339" s="915">
        <v>7530000100</v>
      </c>
      <c r="D1339" s="915" t="s">
        <v>3235</v>
      </c>
      <c r="E1339" s="915">
        <v>0</v>
      </c>
      <c r="F1339" s="915">
        <v>15744</v>
      </c>
      <c r="G1339" s="838"/>
      <c r="H1339" s="838"/>
    </row>
    <row r="1340" spans="2:8">
      <c r="B1340" t="s">
        <v>2848</v>
      </c>
      <c r="C1340" s="915">
        <v>7600000000</v>
      </c>
      <c r="D1340" s="915" t="s">
        <v>3236</v>
      </c>
      <c r="E1340" s="915">
        <v>10031815</v>
      </c>
      <c r="F1340" s="915">
        <v>63367330</v>
      </c>
      <c r="G1340" s="838"/>
      <c r="H1340" s="838"/>
    </row>
    <row r="1341" spans="2:8">
      <c r="B1341" t="s">
        <v>2848</v>
      </c>
      <c r="C1341" s="915">
        <v>7600000000</v>
      </c>
      <c r="D1341" s="915" t="s">
        <v>3236</v>
      </c>
      <c r="E1341" s="915">
        <v>45769110</v>
      </c>
      <c r="F1341" s="915">
        <v>181015710</v>
      </c>
      <c r="G1341" s="838"/>
      <c r="H1341" s="838"/>
    </row>
    <row r="1342" spans="2:8">
      <c r="B1342" t="s">
        <v>2848</v>
      </c>
      <c r="C1342" s="915">
        <v>7600000000</v>
      </c>
      <c r="D1342" s="915" t="s">
        <v>3236</v>
      </c>
      <c r="E1342" s="915">
        <v>10644338</v>
      </c>
      <c r="F1342" s="915">
        <v>0</v>
      </c>
      <c r="G1342" s="838"/>
      <c r="H1342" s="838"/>
    </row>
    <row r="1343" spans="2:8">
      <c r="B1343" t="s">
        <v>2848</v>
      </c>
      <c r="C1343" s="915">
        <v>7600000000</v>
      </c>
      <c r="D1343" s="915" t="s">
        <v>3236</v>
      </c>
      <c r="E1343" s="915">
        <v>30265630</v>
      </c>
      <c r="F1343" s="915">
        <v>119699825</v>
      </c>
      <c r="G1343" s="838"/>
      <c r="H1343" s="838"/>
    </row>
    <row r="1344" spans="2:8">
      <c r="B1344" t="s">
        <v>2848</v>
      </c>
      <c r="C1344" s="915">
        <v>7600000000</v>
      </c>
      <c r="D1344" s="915" t="s">
        <v>3236</v>
      </c>
      <c r="E1344" s="915">
        <v>7252147</v>
      </c>
      <c r="F1344" s="915">
        <v>28682066</v>
      </c>
      <c r="G1344" s="838"/>
      <c r="H1344" s="838"/>
    </row>
    <row r="1345" spans="2:8">
      <c r="B1345" t="s">
        <v>2848</v>
      </c>
      <c r="C1345" s="915">
        <v>7600000000</v>
      </c>
      <c r="D1345" s="915" t="s">
        <v>3236</v>
      </c>
      <c r="E1345" s="915">
        <v>453780</v>
      </c>
      <c r="F1345" s="915">
        <v>1376214</v>
      </c>
      <c r="G1345" s="838"/>
      <c r="H1345" s="838"/>
    </row>
    <row r="1346" spans="2:8">
      <c r="B1346" t="s">
        <v>2848</v>
      </c>
      <c r="C1346" s="915">
        <v>7600000000</v>
      </c>
      <c r="D1346" s="915" t="s">
        <v>3236</v>
      </c>
      <c r="E1346" s="915">
        <v>12803901</v>
      </c>
      <c r="F1346" s="915">
        <v>49957333</v>
      </c>
      <c r="G1346" s="838"/>
      <c r="H1346" s="838"/>
    </row>
    <row r="1347" spans="2:8">
      <c r="B1347" t="s">
        <v>2848</v>
      </c>
      <c r="C1347" s="915">
        <v>7600000000</v>
      </c>
      <c r="D1347" s="915" t="s">
        <v>3236</v>
      </c>
      <c r="E1347" s="915">
        <v>1089434</v>
      </c>
      <c r="F1347" s="915">
        <v>7304331</v>
      </c>
      <c r="G1347" s="838"/>
      <c r="H1347" s="838"/>
    </row>
    <row r="1348" spans="2:8">
      <c r="B1348" t="s">
        <v>2848</v>
      </c>
      <c r="C1348" s="915">
        <v>7600000000</v>
      </c>
      <c r="D1348" s="915" t="s">
        <v>3236</v>
      </c>
      <c r="E1348" s="915">
        <v>5282787</v>
      </c>
      <c r="F1348" s="915">
        <v>22008895</v>
      </c>
      <c r="G1348" s="838"/>
      <c r="H1348" s="838"/>
    </row>
    <row r="1349" spans="2:8">
      <c r="B1349" t="s">
        <v>2848</v>
      </c>
      <c r="C1349" s="915">
        <v>7600000000</v>
      </c>
      <c r="D1349" s="915" t="s">
        <v>3236</v>
      </c>
      <c r="E1349" s="915">
        <v>3932275</v>
      </c>
      <c r="F1349" s="915">
        <v>15552053</v>
      </c>
      <c r="G1349" s="838"/>
      <c r="H1349" s="838"/>
    </row>
    <row r="1350" spans="2:8">
      <c r="B1350" t="s">
        <v>2848</v>
      </c>
      <c r="C1350" s="915">
        <v>7600000000</v>
      </c>
      <c r="D1350" s="915" t="s">
        <v>3236</v>
      </c>
      <c r="E1350" s="915">
        <v>29821638</v>
      </c>
      <c r="F1350" s="915">
        <v>129246601</v>
      </c>
      <c r="G1350" s="838"/>
      <c r="H1350" s="838"/>
    </row>
    <row r="1351" spans="2:8">
      <c r="B1351" t="s">
        <v>2848</v>
      </c>
      <c r="C1351" s="915">
        <v>7600000000</v>
      </c>
      <c r="D1351" s="915" t="s">
        <v>3236</v>
      </c>
      <c r="E1351" s="915">
        <v>3441490</v>
      </c>
      <c r="F1351" s="915">
        <v>6074692</v>
      </c>
      <c r="G1351" s="838"/>
      <c r="H1351" s="838"/>
    </row>
    <row r="1352" spans="2:8">
      <c r="B1352" t="s">
        <v>2848</v>
      </c>
      <c r="C1352" s="915">
        <v>7600000000</v>
      </c>
      <c r="D1352" s="915" t="s">
        <v>3236</v>
      </c>
      <c r="E1352" s="915">
        <v>3271524</v>
      </c>
      <c r="F1352" s="915">
        <v>12938800</v>
      </c>
      <c r="G1352" s="838"/>
      <c r="H1352" s="838"/>
    </row>
    <row r="1353" spans="2:8">
      <c r="B1353" t="s">
        <v>2848</v>
      </c>
      <c r="C1353" s="915">
        <v>7600000000</v>
      </c>
      <c r="D1353" s="915" t="s">
        <v>3236</v>
      </c>
      <c r="E1353" s="915">
        <v>20886186</v>
      </c>
      <c r="F1353" s="915">
        <v>82604352</v>
      </c>
      <c r="G1353" s="838"/>
      <c r="H1353" s="838"/>
    </row>
    <row r="1354" spans="2:8">
      <c r="B1354" t="s">
        <v>2848</v>
      </c>
      <c r="C1354" s="915">
        <v>7600000000</v>
      </c>
      <c r="D1354" s="915" t="s">
        <v>3236</v>
      </c>
      <c r="E1354" s="915">
        <v>17727472</v>
      </c>
      <c r="F1354" s="915">
        <v>70111728</v>
      </c>
      <c r="G1354" s="838"/>
      <c r="H1354" s="838"/>
    </row>
    <row r="1355" spans="2:8">
      <c r="B1355" t="s">
        <v>2848</v>
      </c>
      <c r="C1355" s="915">
        <v>7600000000</v>
      </c>
      <c r="D1355" s="915" t="s">
        <v>3236</v>
      </c>
      <c r="E1355" s="915">
        <v>15519596</v>
      </c>
      <c r="F1355" s="915">
        <v>73811503</v>
      </c>
      <c r="G1355" s="838"/>
      <c r="H1355" s="838"/>
    </row>
    <row r="1356" spans="2:8">
      <c r="B1356" t="s">
        <v>2848</v>
      </c>
      <c r="C1356" s="915">
        <v>7600000000</v>
      </c>
      <c r="D1356" s="915" t="s">
        <v>3236</v>
      </c>
      <c r="E1356" s="915">
        <v>21184534</v>
      </c>
      <c r="F1356" s="915">
        <v>125882405</v>
      </c>
      <c r="G1356" s="838"/>
      <c r="H1356" s="838"/>
    </row>
    <row r="1357" spans="2:8">
      <c r="B1357" t="s">
        <v>2848</v>
      </c>
      <c r="C1357" s="915">
        <v>7600000000</v>
      </c>
      <c r="D1357" s="915" t="s">
        <v>3236</v>
      </c>
      <c r="E1357" s="915">
        <v>16035305</v>
      </c>
      <c r="F1357" s="915">
        <v>63385358</v>
      </c>
      <c r="G1357" s="838"/>
      <c r="H1357" s="838"/>
    </row>
    <row r="1358" spans="2:8">
      <c r="B1358" t="s">
        <v>2848</v>
      </c>
      <c r="C1358" s="915">
        <v>7600000000</v>
      </c>
      <c r="D1358" s="915" t="s">
        <v>3236</v>
      </c>
      <c r="E1358" s="915">
        <v>18823352</v>
      </c>
      <c r="F1358" s="915">
        <v>71273260</v>
      </c>
      <c r="G1358" s="838"/>
      <c r="H1358" s="838"/>
    </row>
    <row r="1359" spans="2:8">
      <c r="B1359" t="s">
        <v>2848</v>
      </c>
      <c r="C1359" s="915">
        <v>7600000000</v>
      </c>
      <c r="D1359" s="915" t="s">
        <v>3236</v>
      </c>
      <c r="E1359" s="915">
        <v>8458097</v>
      </c>
      <c r="F1359" s="915">
        <v>36254530</v>
      </c>
      <c r="G1359" s="838"/>
      <c r="H1359" s="838"/>
    </row>
    <row r="1360" spans="2:8">
      <c r="B1360" t="s">
        <v>2848</v>
      </c>
      <c r="C1360" s="915">
        <v>7600000000</v>
      </c>
      <c r="D1360" s="915" t="s">
        <v>3236</v>
      </c>
      <c r="E1360" s="915">
        <v>16026120</v>
      </c>
      <c r="F1360" s="915">
        <v>58477486</v>
      </c>
      <c r="G1360" s="838"/>
      <c r="H1360" s="838"/>
    </row>
    <row r="1361" spans="2:8">
      <c r="B1361" t="s">
        <v>2848</v>
      </c>
      <c r="C1361" s="915">
        <v>7600000000</v>
      </c>
      <c r="D1361" s="915" t="s">
        <v>3236</v>
      </c>
      <c r="E1361" s="915">
        <v>1933906</v>
      </c>
      <c r="F1361" s="915">
        <v>7631102</v>
      </c>
      <c r="G1361" s="838"/>
      <c r="H1361" s="838"/>
    </row>
    <row r="1362" spans="2:8">
      <c r="B1362" t="s">
        <v>2848</v>
      </c>
      <c r="C1362" s="915">
        <v>7600000002</v>
      </c>
      <c r="D1362" s="915" t="s">
        <v>3237</v>
      </c>
      <c r="E1362" s="915">
        <v>4897244</v>
      </c>
      <c r="F1362" s="915">
        <v>20004740</v>
      </c>
      <c r="G1362" s="838"/>
      <c r="H1362" s="838"/>
    </row>
    <row r="1363" spans="2:8">
      <c r="B1363" t="s">
        <v>2848</v>
      </c>
      <c r="C1363" s="915">
        <v>7600000002</v>
      </c>
      <c r="D1363" s="915" t="s">
        <v>3237</v>
      </c>
      <c r="E1363" s="915">
        <v>0</v>
      </c>
      <c r="F1363" s="915">
        <v>282352</v>
      </c>
      <c r="G1363" s="838"/>
      <c r="H1363" s="838"/>
    </row>
    <row r="1364" spans="2:8">
      <c r="B1364" t="s">
        <v>2848</v>
      </c>
      <c r="C1364" s="915">
        <v>7600000002</v>
      </c>
      <c r="D1364" s="915" t="s">
        <v>3237</v>
      </c>
      <c r="E1364" s="915">
        <v>0</v>
      </c>
      <c r="F1364" s="915">
        <v>483195</v>
      </c>
      <c r="G1364" s="838"/>
      <c r="H1364" s="838"/>
    </row>
    <row r="1365" spans="2:8">
      <c r="B1365" t="s">
        <v>2848</v>
      </c>
      <c r="C1365" s="915">
        <v>7600000002</v>
      </c>
      <c r="D1365" s="915" t="s">
        <v>3237</v>
      </c>
      <c r="E1365" s="915">
        <v>0</v>
      </c>
      <c r="F1365" s="915">
        <v>-986</v>
      </c>
      <c r="G1365" s="838"/>
      <c r="H1365" s="838"/>
    </row>
    <row r="1366" spans="2:8">
      <c r="B1366" t="s">
        <v>2848</v>
      </c>
      <c r="C1366" s="915">
        <v>7600000014</v>
      </c>
      <c r="D1366" s="915" t="s">
        <v>3238</v>
      </c>
      <c r="E1366" s="915">
        <v>15670441</v>
      </c>
      <c r="F1366" s="915">
        <v>73006181</v>
      </c>
      <c r="G1366" s="838"/>
      <c r="H1366" s="838"/>
    </row>
    <row r="1367" spans="2:8">
      <c r="B1367" t="s">
        <v>2848</v>
      </c>
      <c r="C1367" s="915">
        <v>7602000000</v>
      </c>
      <c r="D1367" s="915" t="s">
        <v>3239</v>
      </c>
      <c r="E1367" s="915">
        <v>69250931</v>
      </c>
      <c r="F1367" s="915">
        <v>275772634</v>
      </c>
      <c r="G1367" s="838"/>
      <c r="H1367" s="838"/>
    </row>
    <row r="1368" spans="2:8">
      <c r="B1368" t="s">
        <v>2848</v>
      </c>
      <c r="C1368" s="915">
        <v>7602000000</v>
      </c>
      <c r="D1368" s="915" t="s">
        <v>3239</v>
      </c>
      <c r="E1368" s="915">
        <v>3067008</v>
      </c>
      <c r="F1368" s="915">
        <v>4549382</v>
      </c>
      <c r="G1368" s="838"/>
      <c r="H1368" s="838"/>
    </row>
    <row r="1369" spans="2:8">
      <c r="B1369" t="s">
        <v>2848</v>
      </c>
      <c r="C1369" s="915">
        <v>7602000000</v>
      </c>
      <c r="D1369" s="915" t="s">
        <v>3239</v>
      </c>
      <c r="E1369" s="915">
        <v>41695080</v>
      </c>
      <c r="F1369" s="915">
        <v>229471466</v>
      </c>
      <c r="G1369" s="838"/>
      <c r="H1369" s="838"/>
    </row>
    <row r="1370" spans="2:8">
      <c r="B1370" t="s">
        <v>2848</v>
      </c>
      <c r="C1370" s="915">
        <v>7602000000</v>
      </c>
      <c r="D1370" s="915" t="s">
        <v>3239</v>
      </c>
      <c r="E1370" s="915">
        <v>43160031</v>
      </c>
      <c r="F1370" s="915">
        <v>182962007</v>
      </c>
      <c r="G1370" s="838"/>
      <c r="H1370" s="838"/>
    </row>
    <row r="1371" spans="2:8">
      <c r="B1371" t="s">
        <v>2848</v>
      </c>
      <c r="C1371" s="915">
        <v>7602000000</v>
      </c>
      <c r="D1371" s="915" t="s">
        <v>3239</v>
      </c>
      <c r="E1371" s="915">
        <v>382793</v>
      </c>
      <c r="F1371" s="915">
        <v>19005712</v>
      </c>
      <c r="G1371" s="838"/>
      <c r="H1371" s="838"/>
    </row>
    <row r="1372" spans="2:8">
      <c r="B1372" t="s">
        <v>2848</v>
      </c>
      <c r="C1372" s="915">
        <v>7602000000</v>
      </c>
      <c r="D1372" s="915" t="s">
        <v>3239</v>
      </c>
      <c r="E1372" s="915">
        <v>1370281</v>
      </c>
      <c r="F1372" s="915">
        <v>3461045</v>
      </c>
      <c r="G1372" s="838"/>
      <c r="H1372" s="838"/>
    </row>
    <row r="1373" spans="2:8">
      <c r="B1373" t="s">
        <v>2848</v>
      </c>
      <c r="C1373" s="915">
        <v>7602000000</v>
      </c>
      <c r="D1373" s="915" t="s">
        <v>3239</v>
      </c>
      <c r="E1373" s="915">
        <v>120000</v>
      </c>
      <c r="F1373" s="915">
        <v>240000</v>
      </c>
      <c r="G1373" s="838"/>
      <c r="H1373" s="838"/>
    </row>
    <row r="1374" spans="2:8">
      <c r="B1374" t="s">
        <v>2848</v>
      </c>
      <c r="C1374" s="915">
        <v>7602000000</v>
      </c>
      <c r="D1374" s="915" t="s">
        <v>3239</v>
      </c>
      <c r="E1374" s="915">
        <v>575120</v>
      </c>
      <c r="F1374" s="915">
        <v>1577540</v>
      </c>
      <c r="G1374" s="838"/>
      <c r="H1374" s="838"/>
    </row>
    <row r="1375" spans="2:8">
      <c r="B1375" t="s">
        <v>2848</v>
      </c>
      <c r="C1375" s="915">
        <v>7602000000</v>
      </c>
      <c r="D1375" s="915" t="s">
        <v>3239</v>
      </c>
      <c r="E1375" s="915">
        <v>4114881</v>
      </c>
      <c r="F1375" s="915">
        <v>10601411</v>
      </c>
      <c r="G1375" s="838"/>
      <c r="H1375" s="838"/>
    </row>
    <row r="1376" spans="2:8">
      <c r="B1376" t="s">
        <v>2848</v>
      </c>
      <c r="C1376" s="915">
        <v>7602000000</v>
      </c>
      <c r="D1376" s="915" t="s">
        <v>3239</v>
      </c>
      <c r="E1376" s="915">
        <v>0</v>
      </c>
      <c r="F1376" s="915">
        <v>10000</v>
      </c>
      <c r="G1376" s="838"/>
      <c r="H1376" s="838"/>
    </row>
    <row r="1377" spans="2:8">
      <c r="B1377" t="s">
        <v>2848</v>
      </c>
      <c r="C1377" s="915">
        <v>7602000000</v>
      </c>
      <c r="D1377" s="915" t="s">
        <v>3239</v>
      </c>
      <c r="E1377" s="915">
        <v>0</v>
      </c>
      <c r="F1377" s="915">
        <v>40270</v>
      </c>
      <c r="G1377" s="838"/>
      <c r="H1377" s="838"/>
    </row>
    <row r="1378" spans="2:8">
      <c r="B1378" t="s">
        <v>2848</v>
      </c>
      <c r="C1378" s="915">
        <v>7602000000</v>
      </c>
      <c r="D1378" s="915" t="s">
        <v>3239</v>
      </c>
      <c r="E1378" s="915">
        <v>0</v>
      </c>
      <c r="F1378" s="915">
        <v>1458335</v>
      </c>
      <c r="G1378" s="838"/>
      <c r="H1378" s="838"/>
    </row>
    <row r="1379" spans="2:8">
      <c r="B1379" t="s">
        <v>2848</v>
      </c>
      <c r="C1379" s="915">
        <v>7602000000</v>
      </c>
      <c r="D1379" s="915" t="s">
        <v>3239</v>
      </c>
      <c r="E1379" s="915">
        <v>5480450</v>
      </c>
      <c r="F1379" s="915">
        <v>64412432</v>
      </c>
      <c r="G1379" s="838"/>
      <c r="H1379" s="838"/>
    </row>
    <row r="1380" spans="2:8">
      <c r="B1380" t="s">
        <v>2848</v>
      </c>
      <c r="C1380" s="915">
        <v>7603000000</v>
      </c>
      <c r="D1380" s="915" t="s">
        <v>3240</v>
      </c>
      <c r="E1380" s="915">
        <v>0</v>
      </c>
      <c r="F1380" s="915">
        <v>6897217</v>
      </c>
      <c r="G1380" s="838"/>
      <c r="H1380" s="838"/>
    </row>
    <row r="1381" spans="2:8">
      <c r="B1381" t="s">
        <v>2848</v>
      </c>
      <c r="C1381" s="915">
        <v>7603000000</v>
      </c>
      <c r="D1381" s="915" t="s">
        <v>3240</v>
      </c>
      <c r="E1381" s="915">
        <v>0</v>
      </c>
      <c r="F1381" s="915">
        <v>2480310</v>
      </c>
      <c r="G1381" s="838"/>
      <c r="H1381" s="838"/>
    </row>
    <row r="1382" spans="2:8">
      <c r="B1382" t="s">
        <v>2848</v>
      </c>
      <c r="C1382" s="915">
        <v>7603000000</v>
      </c>
      <c r="D1382" s="915" t="s">
        <v>3240</v>
      </c>
      <c r="E1382" s="915">
        <v>0</v>
      </c>
      <c r="F1382" s="915">
        <v>1408550</v>
      </c>
      <c r="G1382" s="838"/>
      <c r="H1382" s="838"/>
    </row>
    <row r="1383" spans="2:8">
      <c r="B1383" t="s">
        <v>2848</v>
      </c>
      <c r="C1383" s="915">
        <v>7607000000</v>
      </c>
      <c r="D1383" s="915" t="s">
        <v>3241</v>
      </c>
      <c r="E1383" s="915">
        <v>0</v>
      </c>
      <c r="F1383" s="915">
        <v>4543083</v>
      </c>
      <c r="G1383" s="838"/>
      <c r="H1383" s="838"/>
    </row>
    <row r="1384" spans="2:8">
      <c r="B1384" t="s">
        <v>2848</v>
      </c>
      <c r="C1384" s="915">
        <v>7607000000</v>
      </c>
      <c r="D1384" s="915" t="s">
        <v>3241</v>
      </c>
      <c r="E1384" s="915">
        <v>0</v>
      </c>
      <c r="F1384" s="915">
        <v>-7363155</v>
      </c>
      <c r="G1384" s="838"/>
      <c r="H1384" s="838"/>
    </row>
    <row r="1385" spans="2:8">
      <c r="B1385" t="s">
        <v>2848</v>
      </c>
      <c r="C1385" s="915">
        <v>7607000000</v>
      </c>
      <c r="D1385" s="915" t="s">
        <v>3241</v>
      </c>
      <c r="E1385" s="915">
        <v>0</v>
      </c>
      <c r="F1385" s="915">
        <v>-1917798</v>
      </c>
      <c r="G1385" s="838"/>
      <c r="H1385" s="838"/>
    </row>
    <row r="1386" spans="2:8">
      <c r="B1386" t="s">
        <v>2848</v>
      </c>
      <c r="C1386" s="915">
        <v>7607000000</v>
      </c>
      <c r="D1386" s="915" t="s">
        <v>3241</v>
      </c>
      <c r="E1386" s="915">
        <v>0</v>
      </c>
      <c r="F1386" s="915">
        <v>155000</v>
      </c>
      <c r="G1386" s="838"/>
      <c r="H1386" s="838"/>
    </row>
    <row r="1387" spans="2:8">
      <c r="B1387" t="s">
        <v>2848</v>
      </c>
      <c r="C1387" s="915">
        <v>7607000000</v>
      </c>
      <c r="D1387" s="915" t="s">
        <v>3241</v>
      </c>
      <c r="E1387" s="915">
        <v>0</v>
      </c>
      <c r="F1387" s="915">
        <v>8990</v>
      </c>
      <c r="G1387" s="838"/>
      <c r="H1387" s="838"/>
    </row>
    <row r="1388" spans="2:8">
      <c r="B1388" t="s">
        <v>2848</v>
      </c>
      <c r="C1388" s="915">
        <v>7607000000</v>
      </c>
      <c r="D1388" s="915" t="s">
        <v>3241</v>
      </c>
      <c r="E1388" s="915">
        <v>0</v>
      </c>
      <c r="F1388" s="915">
        <v>-28580623</v>
      </c>
      <c r="G1388" s="838"/>
      <c r="H1388" s="838"/>
    </row>
    <row r="1389" spans="2:8">
      <c r="B1389" t="s">
        <v>2848</v>
      </c>
      <c r="C1389" s="915">
        <v>7610100000</v>
      </c>
      <c r="D1389" s="915" t="s">
        <v>3242</v>
      </c>
      <c r="E1389" s="915">
        <v>22040906</v>
      </c>
      <c r="F1389" s="915">
        <v>95663791</v>
      </c>
      <c r="G1389" s="838"/>
      <c r="H1389" s="838"/>
    </row>
    <row r="1390" spans="2:8">
      <c r="B1390" t="s">
        <v>2848</v>
      </c>
      <c r="C1390" s="915">
        <v>7610100000</v>
      </c>
      <c r="D1390" s="915" t="s">
        <v>3242</v>
      </c>
      <c r="E1390" s="915">
        <v>2919222</v>
      </c>
      <c r="F1390" s="915">
        <v>11448506</v>
      </c>
      <c r="G1390" s="838"/>
      <c r="H1390" s="838"/>
    </row>
    <row r="1391" spans="2:8">
      <c r="B1391" t="s">
        <v>2848</v>
      </c>
      <c r="C1391" s="915">
        <v>7610100000</v>
      </c>
      <c r="D1391" s="915" t="s">
        <v>3242</v>
      </c>
      <c r="E1391" s="915">
        <v>3626711</v>
      </c>
      <c r="F1391" s="915">
        <v>0</v>
      </c>
      <c r="G1391" s="838"/>
      <c r="H1391" s="838"/>
    </row>
    <row r="1392" spans="2:8">
      <c r="B1392" t="s">
        <v>2848</v>
      </c>
      <c r="C1392" s="915">
        <v>7610100000</v>
      </c>
      <c r="D1392" s="915" t="s">
        <v>3242</v>
      </c>
      <c r="E1392" s="915">
        <v>2063330</v>
      </c>
      <c r="F1392" s="915">
        <v>7645128</v>
      </c>
      <c r="G1392" s="838"/>
      <c r="H1392" s="838"/>
    </row>
    <row r="1393" spans="2:8">
      <c r="B1393" t="s">
        <v>2848</v>
      </c>
      <c r="C1393" s="915">
        <v>7610100000</v>
      </c>
      <c r="D1393" s="915" t="s">
        <v>3242</v>
      </c>
      <c r="E1393" s="915">
        <v>667500</v>
      </c>
      <c r="F1393" s="915">
        <v>2670000</v>
      </c>
      <c r="G1393" s="838"/>
      <c r="H1393" s="838"/>
    </row>
    <row r="1394" spans="2:8">
      <c r="B1394" t="s">
        <v>2848</v>
      </c>
      <c r="C1394" s="915">
        <v>7610100000</v>
      </c>
      <c r="D1394" s="915" t="s">
        <v>3242</v>
      </c>
      <c r="E1394" s="915">
        <v>1107000</v>
      </c>
      <c r="F1394" s="915">
        <v>4991049</v>
      </c>
      <c r="G1394" s="838"/>
      <c r="H1394" s="838"/>
    </row>
    <row r="1395" spans="2:8">
      <c r="B1395" t="s">
        <v>2848</v>
      </c>
      <c r="C1395" s="915">
        <v>7610100000</v>
      </c>
      <c r="D1395" s="915" t="s">
        <v>3242</v>
      </c>
      <c r="E1395" s="915">
        <v>1491000</v>
      </c>
      <c r="F1395" s="915">
        <v>4805290</v>
      </c>
      <c r="G1395" s="838"/>
      <c r="H1395" s="838"/>
    </row>
    <row r="1396" spans="2:8">
      <c r="B1396" t="s">
        <v>2848</v>
      </c>
      <c r="C1396" s="915">
        <v>7610100000</v>
      </c>
      <c r="D1396" s="915" t="s">
        <v>3242</v>
      </c>
      <c r="E1396" s="915">
        <v>369748</v>
      </c>
      <c r="F1396" s="915">
        <v>2218488</v>
      </c>
      <c r="G1396" s="838"/>
      <c r="H1396" s="838"/>
    </row>
    <row r="1397" spans="2:8">
      <c r="B1397" t="s">
        <v>2848</v>
      </c>
      <c r="C1397" s="915">
        <v>7610100000</v>
      </c>
      <c r="D1397" s="915" t="s">
        <v>3242</v>
      </c>
      <c r="E1397" s="915">
        <v>357668</v>
      </c>
      <c r="F1397" s="915">
        <v>2189036</v>
      </c>
      <c r="G1397" s="838"/>
      <c r="H1397" s="838"/>
    </row>
    <row r="1398" spans="2:8">
      <c r="B1398" t="s">
        <v>2848</v>
      </c>
      <c r="C1398" s="915">
        <v>7610100000</v>
      </c>
      <c r="D1398" s="915" t="s">
        <v>3242</v>
      </c>
      <c r="E1398" s="915">
        <v>888384</v>
      </c>
      <c r="F1398" s="915">
        <v>2672152</v>
      </c>
      <c r="G1398" s="838"/>
      <c r="H1398" s="838"/>
    </row>
    <row r="1399" spans="2:8">
      <c r="B1399" t="s">
        <v>2848</v>
      </c>
      <c r="C1399" s="915">
        <v>7610100000</v>
      </c>
      <c r="D1399" s="915" t="s">
        <v>3242</v>
      </c>
      <c r="E1399" s="915">
        <v>474300</v>
      </c>
      <c r="F1399" s="915">
        <v>2142000</v>
      </c>
      <c r="G1399" s="838"/>
      <c r="H1399" s="838"/>
    </row>
    <row r="1400" spans="2:8">
      <c r="B1400" t="s">
        <v>2848</v>
      </c>
      <c r="C1400" s="915">
        <v>7610100000</v>
      </c>
      <c r="D1400" s="915" t="s">
        <v>3242</v>
      </c>
      <c r="E1400" s="915">
        <v>2750975</v>
      </c>
      <c r="F1400" s="915">
        <v>9800242</v>
      </c>
      <c r="G1400" s="838"/>
      <c r="H1400" s="838"/>
    </row>
    <row r="1401" spans="2:8">
      <c r="B1401" t="s">
        <v>2848</v>
      </c>
      <c r="C1401" s="915">
        <v>7610100000</v>
      </c>
      <c r="D1401" s="915" t="s">
        <v>3242</v>
      </c>
      <c r="E1401" s="915">
        <v>841383</v>
      </c>
      <c r="F1401" s="915">
        <v>2733040</v>
      </c>
      <c r="G1401" s="838"/>
      <c r="H1401" s="838"/>
    </row>
    <row r="1402" spans="2:8">
      <c r="B1402" t="s">
        <v>2848</v>
      </c>
      <c r="C1402" s="915">
        <v>7610100000</v>
      </c>
      <c r="D1402" s="915" t="s">
        <v>3242</v>
      </c>
      <c r="E1402" s="915">
        <v>843152</v>
      </c>
      <c r="F1402" s="915">
        <v>3273713</v>
      </c>
      <c r="G1402" s="838"/>
      <c r="H1402" s="838"/>
    </row>
    <row r="1403" spans="2:8">
      <c r="B1403" t="s">
        <v>2848</v>
      </c>
      <c r="C1403" s="915">
        <v>7610100000</v>
      </c>
      <c r="D1403" s="915" t="s">
        <v>3242</v>
      </c>
      <c r="E1403" s="915">
        <v>1460260</v>
      </c>
      <c r="F1403" s="915">
        <v>7301300</v>
      </c>
      <c r="G1403" s="838"/>
      <c r="H1403" s="838"/>
    </row>
    <row r="1404" spans="2:8">
      <c r="B1404" t="s">
        <v>2848</v>
      </c>
      <c r="C1404" s="915">
        <v>7610100000</v>
      </c>
      <c r="D1404" s="915" t="s">
        <v>3242</v>
      </c>
      <c r="E1404" s="915">
        <v>2279689</v>
      </c>
      <c r="F1404" s="915">
        <v>7551069</v>
      </c>
      <c r="G1404" s="838"/>
      <c r="H1404" s="838"/>
    </row>
    <row r="1405" spans="2:8">
      <c r="B1405" t="s">
        <v>2848</v>
      </c>
      <c r="C1405" s="915">
        <v>7610100000</v>
      </c>
      <c r="D1405" s="915" t="s">
        <v>3242</v>
      </c>
      <c r="E1405" s="915">
        <v>610917</v>
      </c>
      <c r="F1405" s="915">
        <v>2237959</v>
      </c>
      <c r="G1405" s="838"/>
      <c r="H1405" s="838"/>
    </row>
    <row r="1406" spans="2:8">
      <c r="B1406" t="s">
        <v>2848</v>
      </c>
      <c r="C1406" s="915">
        <v>7610100000</v>
      </c>
      <c r="D1406" s="915" t="s">
        <v>3242</v>
      </c>
      <c r="E1406" s="915">
        <v>1694843</v>
      </c>
      <c r="F1406" s="915">
        <v>20574504</v>
      </c>
      <c r="G1406" s="838"/>
      <c r="H1406" s="838"/>
    </row>
    <row r="1407" spans="2:8">
      <c r="B1407" t="s">
        <v>2848</v>
      </c>
      <c r="C1407" s="915">
        <v>7610100000</v>
      </c>
      <c r="D1407" s="915" t="s">
        <v>3242</v>
      </c>
      <c r="E1407" s="915">
        <v>1016685</v>
      </c>
      <c r="F1407" s="915">
        <v>2993187</v>
      </c>
      <c r="G1407" s="838"/>
      <c r="H1407" s="838"/>
    </row>
    <row r="1408" spans="2:8">
      <c r="B1408" t="s">
        <v>2848</v>
      </c>
      <c r="C1408" s="915">
        <v>7610100000</v>
      </c>
      <c r="D1408" s="915" t="s">
        <v>3242</v>
      </c>
      <c r="E1408" s="915">
        <v>2095617</v>
      </c>
      <c r="F1408" s="915">
        <v>6927005</v>
      </c>
      <c r="G1408" s="838"/>
      <c r="H1408" s="838"/>
    </row>
    <row r="1409" spans="2:8">
      <c r="B1409" t="s">
        <v>2848</v>
      </c>
      <c r="C1409" s="915">
        <v>7610100000</v>
      </c>
      <c r="D1409" s="915" t="s">
        <v>3242</v>
      </c>
      <c r="E1409" s="915">
        <v>975700</v>
      </c>
      <c r="F1409" s="915">
        <v>5732748</v>
      </c>
      <c r="G1409" s="838"/>
      <c r="H1409" s="838"/>
    </row>
    <row r="1410" spans="2:8">
      <c r="B1410" t="s">
        <v>2848</v>
      </c>
      <c r="C1410" s="915">
        <v>7610100000</v>
      </c>
      <c r="D1410" s="915" t="s">
        <v>3242</v>
      </c>
      <c r="E1410" s="915">
        <v>987000</v>
      </c>
      <c r="F1410" s="915">
        <v>4277000</v>
      </c>
      <c r="G1410" s="838"/>
      <c r="H1410" s="838"/>
    </row>
    <row r="1411" spans="2:8">
      <c r="B1411" t="s">
        <v>2848</v>
      </c>
      <c r="C1411" s="915">
        <v>7610100000</v>
      </c>
      <c r="D1411" s="915" t="s">
        <v>3242</v>
      </c>
      <c r="E1411" s="915">
        <v>180000</v>
      </c>
      <c r="F1411" s="915">
        <v>720000</v>
      </c>
      <c r="G1411" s="838"/>
      <c r="H1411" s="838"/>
    </row>
    <row r="1412" spans="2:8">
      <c r="B1412" t="s">
        <v>2848</v>
      </c>
      <c r="C1412" s="915">
        <v>7610100000</v>
      </c>
      <c r="D1412" s="915" t="s">
        <v>3242</v>
      </c>
      <c r="E1412" s="915">
        <v>0</v>
      </c>
      <c r="F1412" s="915">
        <v>1746791</v>
      </c>
      <c r="G1412" s="838"/>
      <c r="H1412" s="838"/>
    </row>
    <row r="1413" spans="2:8">
      <c r="B1413" t="s">
        <v>2848</v>
      </c>
      <c r="C1413" s="915">
        <v>7610103000</v>
      </c>
      <c r="D1413" s="915" t="s">
        <v>3243</v>
      </c>
      <c r="E1413" s="915">
        <v>2465932</v>
      </c>
      <c r="F1413" s="915">
        <v>15449143</v>
      </c>
      <c r="G1413" s="838"/>
      <c r="H1413" s="838"/>
    </row>
    <row r="1414" spans="2:8">
      <c r="B1414" t="s">
        <v>2848</v>
      </c>
      <c r="C1414" s="915">
        <v>7610103000</v>
      </c>
      <c r="D1414" s="915" t="s">
        <v>3243</v>
      </c>
      <c r="E1414" s="915">
        <v>0</v>
      </c>
      <c r="F1414" s="915">
        <v>673535</v>
      </c>
      <c r="G1414" s="838"/>
      <c r="H1414" s="838"/>
    </row>
    <row r="1415" spans="2:8">
      <c r="B1415" t="s">
        <v>2848</v>
      </c>
      <c r="C1415" s="915">
        <v>7610103000</v>
      </c>
      <c r="D1415" s="915" t="s">
        <v>3243</v>
      </c>
      <c r="E1415" s="915">
        <v>0</v>
      </c>
      <c r="F1415" s="915">
        <v>-258815</v>
      </c>
      <c r="G1415" s="838"/>
      <c r="H1415" s="838"/>
    </row>
    <row r="1416" spans="2:8">
      <c r="B1416" t="s">
        <v>2848</v>
      </c>
      <c r="C1416" s="915">
        <v>7610103000</v>
      </c>
      <c r="D1416" s="915" t="s">
        <v>3243</v>
      </c>
      <c r="E1416" s="915">
        <v>0</v>
      </c>
      <c r="F1416" s="915">
        <v>184874</v>
      </c>
      <c r="G1416" s="838"/>
      <c r="H1416" s="838"/>
    </row>
    <row r="1417" spans="2:8">
      <c r="B1417" t="s">
        <v>2848</v>
      </c>
      <c r="C1417" s="915">
        <v>7610103000</v>
      </c>
      <c r="D1417" s="915" t="s">
        <v>3243</v>
      </c>
      <c r="E1417" s="915">
        <v>0</v>
      </c>
      <c r="F1417" s="915">
        <v>337335</v>
      </c>
      <c r="G1417" s="838"/>
      <c r="H1417" s="838"/>
    </row>
    <row r="1418" spans="2:8">
      <c r="B1418" t="s">
        <v>2848</v>
      </c>
      <c r="C1418" s="915">
        <v>7610103000</v>
      </c>
      <c r="D1418" s="915" t="s">
        <v>3243</v>
      </c>
      <c r="E1418" s="915">
        <v>0</v>
      </c>
      <c r="F1418" s="915">
        <v>-136000</v>
      </c>
      <c r="G1418" s="838"/>
      <c r="H1418" s="838"/>
    </row>
    <row r="1419" spans="2:8">
      <c r="B1419" t="s">
        <v>2848</v>
      </c>
      <c r="C1419" s="915">
        <v>7610103000</v>
      </c>
      <c r="D1419" s="915" t="s">
        <v>3243</v>
      </c>
      <c r="E1419" s="915">
        <v>0</v>
      </c>
      <c r="F1419" s="915">
        <v>878331</v>
      </c>
      <c r="G1419" s="838"/>
      <c r="H1419" s="838"/>
    </row>
    <row r="1420" spans="2:8">
      <c r="B1420" t="s">
        <v>2848</v>
      </c>
      <c r="C1420" s="915">
        <v>7610103000</v>
      </c>
      <c r="D1420" s="915" t="s">
        <v>3243</v>
      </c>
      <c r="E1420" s="915">
        <v>0</v>
      </c>
      <c r="F1420" s="915">
        <v>263569</v>
      </c>
      <c r="G1420" s="838"/>
      <c r="H1420" s="838"/>
    </row>
    <row r="1421" spans="2:8">
      <c r="B1421" t="s">
        <v>2848</v>
      </c>
      <c r="C1421" s="915">
        <v>7610103000</v>
      </c>
      <c r="D1421" s="915" t="s">
        <v>3243</v>
      </c>
      <c r="E1421" s="915">
        <v>0</v>
      </c>
      <c r="F1421" s="915">
        <v>-264123</v>
      </c>
      <c r="G1421" s="838"/>
      <c r="H1421" s="838"/>
    </row>
    <row r="1422" spans="2:8">
      <c r="B1422" t="s">
        <v>2848</v>
      </c>
      <c r="C1422" s="915">
        <v>7610103000</v>
      </c>
      <c r="D1422" s="915" t="s">
        <v>3243</v>
      </c>
      <c r="E1422" s="915">
        <v>0</v>
      </c>
      <c r="F1422" s="915">
        <v>710935</v>
      </c>
      <c r="G1422" s="838"/>
      <c r="H1422" s="838"/>
    </row>
    <row r="1423" spans="2:8">
      <c r="B1423" t="s">
        <v>2848</v>
      </c>
      <c r="C1423" s="915">
        <v>7610103000</v>
      </c>
      <c r="D1423" s="915" t="s">
        <v>3243</v>
      </c>
      <c r="E1423" s="915">
        <v>0</v>
      </c>
      <c r="F1423" s="915">
        <v>725315</v>
      </c>
      <c r="G1423" s="838"/>
      <c r="H1423" s="838"/>
    </row>
    <row r="1424" spans="2:8">
      <c r="B1424" t="s">
        <v>2848</v>
      </c>
      <c r="C1424" s="915">
        <v>7610103000</v>
      </c>
      <c r="D1424" s="915" t="s">
        <v>3243</v>
      </c>
      <c r="E1424" s="915">
        <v>0</v>
      </c>
      <c r="F1424" s="915">
        <v>184942</v>
      </c>
      <c r="G1424" s="838"/>
      <c r="H1424" s="838"/>
    </row>
    <row r="1425" spans="2:8">
      <c r="B1425" t="s">
        <v>2848</v>
      </c>
      <c r="C1425" s="915">
        <v>7610103000</v>
      </c>
      <c r="D1425" s="915" t="s">
        <v>3243</v>
      </c>
      <c r="E1425" s="915">
        <v>0</v>
      </c>
      <c r="F1425" s="915">
        <v>655779</v>
      </c>
      <c r="G1425" s="838"/>
      <c r="H1425" s="838"/>
    </row>
    <row r="1426" spans="2:8">
      <c r="B1426" t="s">
        <v>2848</v>
      </c>
      <c r="C1426" s="915">
        <v>7610103000</v>
      </c>
      <c r="D1426" s="915" t="s">
        <v>3243</v>
      </c>
      <c r="E1426" s="915">
        <v>0</v>
      </c>
      <c r="F1426" s="915">
        <v>405816</v>
      </c>
      <c r="G1426" s="838"/>
      <c r="H1426" s="838"/>
    </row>
    <row r="1427" spans="2:8">
      <c r="B1427" t="s">
        <v>2848</v>
      </c>
      <c r="C1427" s="915">
        <v>7610103000</v>
      </c>
      <c r="D1427" s="915" t="s">
        <v>3243</v>
      </c>
      <c r="E1427" s="915">
        <v>0</v>
      </c>
      <c r="F1427" s="915">
        <v>-987000</v>
      </c>
      <c r="G1427" s="838"/>
      <c r="H1427" s="838"/>
    </row>
    <row r="1428" spans="2:8">
      <c r="B1428" t="s">
        <v>2848</v>
      </c>
      <c r="C1428" s="915">
        <v>7610103000</v>
      </c>
      <c r="D1428" s="915" t="s">
        <v>3243</v>
      </c>
      <c r="E1428" s="915">
        <v>0</v>
      </c>
      <c r="F1428" s="915">
        <v>60000</v>
      </c>
      <c r="G1428" s="838"/>
      <c r="H1428" s="838"/>
    </row>
    <row r="1429" spans="2:8">
      <c r="B1429" t="s">
        <v>2848</v>
      </c>
      <c r="C1429" s="915">
        <v>7610200000</v>
      </c>
      <c r="D1429" s="915" t="s">
        <v>3244</v>
      </c>
      <c r="E1429" s="915">
        <v>103888</v>
      </c>
      <c r="F1429" s="915">
        <v>170800</v>
      </c>
      <c r="G1429" s="838"/>
      <c r="H1429" s="838"/>
    </row>
    <row r="1430" spans="2:8">
      <c r="B1430" t="s">
        <v>2848</v>
      </c>
      <c r="C1430" s="915">
        <v>7610200000</v>
      </c>
      <c r="D1430" s="915" t="s">
        <v>3244</v>
      </c>
      <c r="E1430" s="915">
        <v>103888</v>
      </c>
      <c r="F1430" s="915">
        <v>170800</v>
      </c>
      <c r="G1430" s="838"/>
      <c r="H1430" s="838"/>
    </row>
    <row r="1431" spans="2:8">
      <c r="B1431" t="s">
        <v>2848</v>
      </c>
      <c r="C1431" s="915">
        <v>7610200000</v>
      </c>
      <c r="D1431" s="915" t="s">
        <v>3244</v>
      </c>
      <c r="E1431" s="915">
        <v>133332</v>
      </c>
      <c r="F1431" s="915">
        <v>166665</v>
      </c>
      <c r="G1431" s="838"/>
      <c r="H1431" s="838"/>
    </row>
    <row r="1432" spans="2:8">
      <c r="B1432" t="s">
        <v>2848</v>
      </c>
      <c r="C1432" s="915">
        <v>7610200000</v>
      </c>
      <c r="D1432" s="915" t="s">
        <v>3244</v>
      </c>
      <c r="E1432" s="915">
        <v>0</v>
      </c>
      <c r="F1432" s="915">
        <v>36000</v>
      </c>
      <c r="G1432" s="838"/>
      <c r="H1432" s="838"/>
    </row>
    <row r="1433" spans="2:8">
      <c r="B1433" t="s">
        <v>2848</v>
      </c>
      <c r="C1433" s="915">
        <v>7610200000</v>
      </c>
      <c r="D1433" s="915" t="s">
        <v>3244</v>
      </c>
      <c r="E1433" s="915">
        <v>0</v>
      </c>
      <c r="F1433" s="915">
        <v>10000</v>
      </c>
      <c r="G1433" s="838"/>
      <c r="H1433" s="838"/>
    </row>
    <row r="1434" spans="2:8">
      <c r="B1434" t="s">
        <v>2848</v>
      </c>
      <c r="C1434" s="915">
        <v>7610200000</v>
      </c>
      <c r="D1434" s="915" t="s">
        <v>3244</v>
      </c>
      <c r="E1434" s="915">
        <v>0</v>
      </c>
      <c r="F1434" s="915">
        <v>147000</v>
      </c>
      <c r="G1434" s="838"/>
      <c r="H1434" s="838"/>
    </row>
    <row r="1435" spans="2:8">
      <c r="B1435" t="s">
        <v>2848</v>
      </c>
      <c r="C1435" s="915">
        <v>7610500000</v>
      </c>
      <c r="D1435" s="915" t="s">
        <v>3245</v>
      </c>
      <c r="E1435" s="915">
        <v>4411250</v>
      </c>
      <c r="F1435" s="915">
        <v>21121363</v>
      </c>
      <c r="G1435" s="838"/>
      <c r="H1435" s="838"/>
    </row>
    <row r="1436" spans="2:8">
      <c r="B1436" t="s">
        <v>2848</v>
      </c>
      <c r="C1436" s="915">
        <v>7610500000</v>
      </c>
      <c r="D1436" s="915" t="s">
        <v>3245</v>
      </c>
      <c r="E1436" s="915">
        <v>754657</v>
      </c>
      <c r="F1436" s="915">
        <v>2846350</v>
      </c>
      <c r="G1436" s="838"/>
      <c r="H1436" s="838"/>
    </row>
    <row r="1437" spans="2:8">
      <c r="B1437" t="s">
        <v>2848</v>
      </c>
      <c r="C1437" s="915">
        <v>7610500000</v>
      </c>
      <c r="D1437" s="915" t="s">
        <v>3245</v>
      </c>
      <c r="E1437" s="915">
        <v>0</v>
      </c>
      <c r="F1437" s="915">
        <v>1914133</v>
      </c>
      <c r="G1437" s="838"/>
      <c r="H1437" s="838"/>
    </row>
    <row r="1438" spans="2:8">
      <c r="B1438" t="s">
        <v>2848</v>
      </c>
      <c r="C1438" s="915">
        <v>7610500000</v>
      </c>
      <c r="D1438" s="915" t="s">
        <v>3245</v>
      </c>
      <c r="E1438" s="915">
        <v>360450</v>
      </c>
      <c r="F1438" s="915">
        <v>985230</v>
      </c>
      <c r="G1438" s="838"/>
      <c r="H1438" s="838"/>
    </row>
    <row r="1439" spans="2:8">
      <c r="B1439" t="s">
        <v>2848</v>
      </c>
      <c r="C1439" s="915">
        <v>7610500000</v>
      </c>
      <c r="D1439" s="915" t="s">
        <v>3245</v>
      </c>
      <c r="E1439" s="915">
        <v>214140</v>
      </c>
      <c r="F1439" s="915">
        <v>0</v>
      </c>
      <c r="G1439" s="838"/>
      <c r="H1439" s="838"/>
    </row>
    <row r="1440" spans="2:8">
      <c r="B1440" t="s">
        <v>2848</v>
      </c>
      <c r="C1440" s="915">
        <v>7610500000</v>
      </c>
      <c r="D1440" s="915" t="s">
        <v>3245</v>
      </c>
      <c r="E1440" s="915">
        <v>729000</v>
      </c>
      <c r="F1440" s="915">
        <v>0</v>
      </c>
      <c r="G1440" s="838"/>
      <c r="H1440" s="838"/>
    </row>
    <row r="1441" spans="2:8">
      <c r="B1441" t="s">
        <v>2848</v>
      </c>
      <c r="C1441" s="915">
        <v>7610500000</v>
      </c>
      <c r="D1441" s="915" t="s">
        <v>3245</v>
      </c>
      <c r="E1441" s="915">
        <v>607500</v>
      </c>
      <c r="F1441" s="915">
        <v>780000</v>
      </c>
      <c r="G1441" s="838"/>
      <c r="H1441" s="838"/>
    </row>
    <row r="1442" spans="2:8">
      <c r="B1442" t="s">
        <v>2848</v>
      </c>
      <c r="C1442" s="915">
        <v>7610500000</v>
      </c>
      <c r="D1442" s="915" t="s">
        <v>3245</v>
      </c>
      <c r="E1442" s="915">
        <v>439425</v>
      </c>
      <c r="F1442" s="915">
        <v>0</v>
      </c>
      <c r="G1442" s="838"/>
      <c r="H1442" s="838"/>
    </row>
    <row r="1443" spans="2:8">
      <c r="B1443" t="s">
        <v>2848</v>
      </c>
      <c r="C1443" s="915">
        <v>7610500000</v>
      </c>
      <c r="D1443" s="915" t="s">
        <v>3245</v>
      </c>
      <c r="E1443" s="915">
        <v>1845000</v>
      </c>
      <c r="F1443" s="915">
        <v>9969500</v>
      </c>
      <c r="G1443" s="838"/>
      <c r="H1443" s="838"/>
    </row>
    <row r="1444" spans="2:8">
      <c r="B1444" t="s">
        <v>2848</v>
      </c>
      <c r="C1444" s="915">
        <v>7610500000</v>
      </c>
      <c r="D1444" s="915" t="s">
        <v>3245</v>
      </c>
      <c r="E1444" s="915">
        <v>500800</v>
      </c>
      <c r="F1444" s="915">
        <v>0</v>
      </c>
      <c r="G1444" s="838"/>
      <c r="H1444" s="838"/>
    </row>
    <row r="1445" spans="2:8">
      <c r="B1445" t="s">
        <v>2848</v>
      </c>
      <c r="C1445" s="915">
        <v>7610500000</v>
      </c>
      <c r="D1445" s="915" t="s">
        <v>3245</v>
      </c>
      <c r="E1445" s="915">
        <v>1053570</v>
      </c>
      <c r="F1445" s="915">
        <v>2450888</v>
      </c>
      <c r="G1445" s="838"/>
      <c r="H1445" s="838"/>
    </row>
    <row r="1446" spans="2:8">
      <c r="B1446" t="s">
        <v>2848</v>
      </c>
      <c r="C1446" s="915">
        <v>7610500000</v>
      </c>
      <c r="D1446" s="915" t="s">
        <v>3245</v>
      </c>
      <c r="E1446" s="915">
        <v>1619544</v>
      </c>
      <c r="F1446" s="915">
        <v>2758632</v>
      </c>
      <c r="G1446" s="838"/>
      <c r="H1446" s="838"/>
    </row>
    <row r="1447" spans="2:8">
      <c r="B1447" t="s">
        <v>2848</v>
      </c>
      <c r="C1447" s="915">
        <v>7610500000</v>
      </c>
      <c r="D1447" s="915" t="s">
        <v>3245</v>
      </c>
      <c r="E1447" s="915">
        <v>1470000</v>
      </c>
      <c r="F1447" s="915">
        <v>2940000</v>
      </c>
      <c r="G1447" s="838"/>
      <c r="H1447" s="838"/>
    </row>
    <row r="1448" spans="2:8">
      <c r="B1448" t="s">
        <v>2848</v>
      </c>
      <c r="C1448" s="915">
        <v>7610500000</v>
      </c>
      <c r="D1448" s="915" t="s">
        <v>3245</v>
      </c>
      <c r="E1448" s="915">
        <v>0</v>
      </c>
      <c r="F1448" s="915">
        <v>2501846</v>
      </c>
      <c r="G1448" s="838"/>
      <c r="H1448" s="838"/>
    </row>
    <row r="1449" spans="2:8">
      <c r="B1449" t="s">
        <v>2848</v>
      </c>
      <c r="C1449" s="915">
        <v>7610500000</v>
      </c>
      <c r="D1449" s="915" t="s">
        <v>3245</v>
      </c>
      <c r="E1449" s="915">
        <v>1494644</v>
      </c>
      <c r="F1449" s="915">
        <v>2843704</v>
      </c>
      <c r="G1449" s="838"/>
      <c r="H1449" s="838"/>
    </row>
    <row r="1450" spans="2:8">
      <c r="B1450" t="s">
        <v>2848</v>
      </c>
      <c r="C1450" s="915">
        <v>7610500000</v>
      </c>
      <c r="D1450" s="915" t="s">
        <v>3245</v>
      </c>
      <c r="E1450" s="915">
        <v>1620000</v>
      </c>
      <c r="F1450" s="915">
        <v>3240000</v>
      </c>
      <c r="G1450" s="838"/>
      <c r="H1450" s="838"/>
    </row>
    <row r="1451" spans="2:8">
      <c r="B1451" t="s">
        <v>2848</v>
      </c>
      <c r="C1451" s="915">
        <v>7610500000</v>
      </c>
      <c r="D1451" s="915" t="s">
        <v>3245</v>
      </c>
      <c r="E1451" s="915">
        <v>960000</v>
      </c>
      <c r="F1451" s="915">
        <v>2240000</v>
      </c>
      <c r="G1451" s="838"/>
      <c r="H1451" s="838"/>
    </row>
    <row r="1452" spans="2:8">
      <c r="B1452" t="s">
        <v>2848</v>
      </c>
      <c r="C1452" s="915">
        <v>7610500000</v>
      </c>
      <c r="D1452" s="915" t="s">
        <v>3245</v>
      </c>
      <c r="E1452" s="915">
        <v>1920000</v>
      </c>
      <c r="F1452" s="915">
        <v>3430000</v>
      </c>
      <c r="G1452" s="838"/>
      <c r="H1452" s="838"/>
    </row>
    <row r="1453" spans="2:8">
      <c r="B1453" t="s">
        <v>2848</v>
      </c>
      <c r="C1453" s="915">
        <v>7611000000</v>
      </c>
      <c r="D1453" s="915" t="s">
        <v>3246</v>
      </c>
      <c r="E1453" s="915">
        <v>8659134</v>
      </c>
      <c r="F1453" s="915">
        <v>61470059</v>
      </c>
      <c r="G1453" s="838"/>
      <c r="H1453" s="838"/>
    </row>
    <row r="1454" spans="2:8">
      <c r="B1454" t="s">
        <v>2848</v>
      </c>
      <c r="C1454" s="915">
        <v>7611000000</v>
      </c>
      <c r="D1454" s="915" t="s">
        <v>3246</v>
      </c>
      <c r="E1454" s="915">
        <v>1980207</v>
      </c>
      <c r="F1454" s="915">
        <v>14014201</v>
      </c>
      <c r="G1454" s="838"/>
      <c r="H1454" s="838"/>
    </row>
    <row r="1455" spans="2:8">
      <c r="B1455" t="s">
        <v>2848</v>
      </c>
      <c r="C1455" s="915">
        <v>7611000000</v>
      </c>
      <c r="D1455" s="915" t="s">
        <v>3246</v>
      </c>
      <c r="E1455" s="915">
        <v>2866278</v>
      </c>
      <c r="F1455" s="915">
        <v>0</v>
      </c>
      <c r="G1455" s="838"/>
      <c r="H1455" s="838"/>
    </row>
    <row r="1456" spans="2:8">
      <c r="B1456" t="s">
        <v>2848</v>
      </c>
      <c r="C1456" s="915">
        <v>7611000000</v>
      </c>
      <c r="D1456" s="915" t="s">
        <v>3246</v>
      </c>
      <c r="E1456" s="915">
        <v>1923277</v>
      </c>
      <c r="F1456" s="915">
        <v>14362018</v>
      </c>
      <c r="G1456" s="838"/>
      <c r="H1456" s="838"/>
    </row>
    <row r="1457" spans="2:8">
      <c r="B1457" t="s">
        <v>2848</v>
      </c>
      <c r="C1457" s="915">
        <v>7611000000</v>
      </c>
      <c r="D1457" s="915" t="s">
        <v>3246</v>
      </c>
      <c r="E1457" s="915">
        <v>145554</v>
      </c>
      <c r="F1457" s="915">
        <v>510015</v>
      </c>
      <c r="G1457" s="838"/>
      <c r="H1457" s="838"/>
    </row>
    <row r="1458" spans="2:8">
      <c r="B1458" t="s">
        <v>2848</v>
      </c>
      <c r="C1458" s="915">
        <v>7611000000</v>
      </c>
      <c r="D1458" s="915" t="s">
        <v>3246</v>
      </c>
      <c r="E1458" s="915">
        <v>69396</v>
      </c>
      <c r="F1458" s="915">
        <v>364823</v>
      </c>
      <c r="G1458" s="838"/>
      <c r="H1458" s="838"/>
    </row>
    <row r="1459" spans="2:8">
      <c r="B1459" t="s">
        <v>2848</v>
      </c>
      <c r="C1459" s="915">
        <v>7611000000</v>
      </c>
      <c r="D1459" s="915" t="s">
        <v>3246</v>
      </c>
      <c r="E1459" s="915">
        <v>103896</v>
      </c>
      <c r="F1459" s="915">
        <v>-1168125</v>
      </c>
      <c r="G1459" s="838"/>
      <c r="H1459" s="838"/>
    </row>
    <row r="1460" spans="2:8">
      <c r="B1460" t="s">
        <v>2848</v>
      </c>
      <c r="C1460" s="915">
        <v>7611000000</v>
      </c>
      <c r="D1460" s="915" t="s">
        <v>3246</v>
      </c>
      <c r="E1460" s="915">
        <v>103896</v>
      </c>
      <c r="F1460" s="915">
        <v>336301</v>
      </c>
      <c r="G1460" s="838"/>
      <c r="H1460" s="838"/>
    </row>
    <row r="1461" spans="2:8">
      <c r="B1461" t="s">
        <v>2848</v>
      </c>
      <c r="C1461" s="915">
        <v>7611000000</v>
      </c>
      <c r="D1461" s="915" t="s">
        <v>3246</v>
      </c>
      <c r="E1461" s="915">
        <v>103896</v>
      </c>
      <c r="F1461" s="915">
        <v>306114</v>
      </c>
      <c r="G1461" s="838"/>
      <c r="H1461" s="838"/>
    </row>
    <row r="1462" spans="2:8">
      <c r="B1462" t="s">
        <v>2848</v>
      </c>
      <c r="C1462" s="915">
        <v>7611000000</v>
      </c>
      <c r="D1462" s="915" t="s">
        <v>3246</v>
      </c>
      <c r="E1462" s="915">
        <v>101056</v>
      </c>
      <c r="F1462" s="915">
        <v>283711</v>
      </c>
      <c r="G1462" s="838"/>
      <c r="H1462" s="838"/>
    </row>
    <row r="1463" spans="2:8">
      <c r="B1463" t="s">
        <v>2848</v>
      </c>
      <c r="C1463" s="915">
        <v>7611000000</v>
      </c>
      <c r="D1463" s="915" t="s">
        <v>3246</v>
      </c>
      <c r="E1463" s="915">
        <v>58582</v>
      </c>
      <c r="F1463" s="915">
        <v>320047</v>
      </c>
      <c r="G1463" s="838"/>
      <c r="H1463" s="838"/>
    </row>
    <row r="1464" spans="2:8">
      <c r="B1464" t="s">
        <v>2848</v>
      </c>
      <c r="C1464" s="915">
        <v>7611000000</v>
      </c>
      <c r="D1464" s="915" t="s">
        <v>3246</v>
      </c>
      <c r="E1464" s="915">
        <v>80539</v>
      </c>
      <c r="F1464" s="915">
        <v>303392</v>
      </c>
      <c r="G1464" s="838"/>
      <c r="H1464" s="838"/>
    </row>
    <row r="1465" spans="2:8">
      <c r="B1465" t="s">
        <v>2848</v>
      </c>
      <c r="C1465" s="915">
        <v>7611000000</v>
      </c>
      <c r="D1465" s="915" t="s">
        <v>3246</v>
      </c>
      <c r="E1465" s="915">
        <v>2715490</v>
      </c>
      <c r="F1465" s="915">
        <v>19644782</v>
      </c>
      <c r="G1465" s="838"/>
      <c r="H1465" s="838"/>
    </row>
    <row r="1466" spans="2:8">
      <c r="B1466" t="s">
        <v>2848</v>
      </c>
      <c r="C1466" s="915">
        <v>7611000000</v>
      </c>
      <c r="D1466" s="915" t="s">
        <v>3246</v>
      </c>
      <c r="E1466" s="915">
        <v>4413726</v>
      </c>
      <c r="F1466" s="915">
        <v>29846684</v>
      </c>
      <c r="G1466" s="838"/>
      <c r="H1466" s="838"/>
    </row>
    <row r="1467" spans="2:8">
      <c r="B1467" t="s">
        <v>2848</v>
      </c>
      <c r="C1467" s="915">
        <v>7611000000</v>
      </c>
      <c r="D1467" s="915" t="s">
        <v>3246</v>
      </c>
      <c r="E1467" s="915">
        <v>138294</v>
      </c>
      <c r="F1467" s="915">
        <v>306378</v>
      </c>
      <c r="G1467" s="838"/>
      <c r="H1467" s="838"/>
    </row>
    <row r="1468" spans="2:8">
      <c r="B1468" t="s">
        <v>2848</v>
      </c>
      <c r="C1468" s="915">
        <v>7611000000</v>
      </c>
      <c r="D1468" s="915" t="s">
        <v>3246</v>
      </c>
      <c r="E1468" s="915">
        <v>74387</v>
      </c>
      <c r="F1468" s="915">
        <v>270509</v>
      </c>
      <c r="G1468" s="838"/>
      <c r="H1468" s="838"/>
    </row>
    <row r="1469" spans="2:8">
      <c r="B1469" t="s">
        <v>2848</v>
      </c>
      <c r="C1469" s="915">
        <v>7611000000</v>
      </c>
      <c r="D1469" s="915" t="s">
        <v>3246</v>
      </c>
      <c r="E1469" s="915">
        <v>2836907</v>
      </c>
      <c r="F1469" s="915">
        <v>40913068</v>
      </c>
      <c r="G1469" s="838"/>
      <c r="H1469" s="838"/>
    </row>
    <row r="1470" spans="2:8">
      <c r="B1470" t="s">
        <v>2848</v>
      </c>
      <c r="C1470" s="915">
        <v>7611000000</v>
      </c>
      <c r="D1470" s="915" t="s">
        <v>3246</v>
      </c>
      <c r="E1470" s="915">
        <v>87787</v>
      </c>
      <c r="F1470" s="915">
        <v>259503</v>
      </c>
      <c r="G1470" s="838"/>
      <c r="H1470" s="838"/>
    </row>
    <row r="1471" spans="2:8">
      <c r="B1471" t="s">
        <v>2848</v>
      </c>
      <c r="C1471" s="915">
        <v>7611000000</v>
      </c>
      <c r="D1471" s="915" t="s">
        <v>3246</v>
      </c>
      <c r="E1471" s="915">
        <v>87787</v>
      </c>
      <c r="F1471" s="915">
        <v>280330</v>
      </c>
      <c r="G1471" s="838"/>
      <c r="H1471" s="838"/>
    </row>
    <row r="1472" spans="2:8">
      <c r="B1472" t="s">
        <v>2848</v>
      </c>
      <c r="C1472" s="915">
        <v>7611000000</v>
      </c>
      <c r="D1472" s="915" t="s">
        <v>3246</v>
      </c>
      <c r="E1472" s="915">
        <v>95842</v>
      </c>
      <c r="F1472" s="915">
        <v>283425</v>
      </c>
      <c r="G1472" s="838"/>
      <c r="H1472" s="838"/>
    </row>
    <row r="1473" spans="2:8">
      <c r="B1473" t="s">
        <v>2848</v>
      </c>
      <c r="C1473" s="915">
        <v>7611000000</v>
      </c>
      <c r="D1473" s="915" t="s">
        <v>3246</v>
      </c>
      <c r="E1473" s="915">
        <v>87787</v>
      </c>
      <c r="F1473" s="915">
        <v>259503</v>
      </c>
      <c r="G1473" s="838"/>
      <c r="H1473" s="838"/>
    </row>
    <row r="1474" spans="2:8">
      <c r="B1474" t="s">
        <v>2848</v>
      </c>
      <c r="C1474" s="915">
        <v>7611000000</v>
      </c>
      <c r="D1474" s="915" t="s">
        <v>3246</v>
      </c>
      <c r="E1474" s="915">
        <v>95842</v>
      </c>
      <c r="F1474" s="915">
        <v>386203</v>
      </c>
      <c r="G1474" s="838"/>
      <c r="H1474" s="838"/>
    </row>
    <row r="1475" spans="2:8">
      <c r="B1475" t="s">
        <v>2848</v>
      </c>
      <c r="C1475" s="915">
        <v>7612000000</v>
      </c>
      <c r="D1475" s="915" t="s">
        <v>3247</v>
      </c>
      <c r="E1475" s="915">
        <v>0</v>
      </c>
      <c r="F1475" s="915">
        <v>1616651</v>
      </c>
      <c r="G1475" s="838"/>
      <c r="H1475" s="838"/>
    </row>
    <row r="1476" spans="2:8">
      <c r="B1476" t="s">
        <v>2848</v>
      </c>
      <c r="C1476" s="915">
        <v>7612000000</v>
      </c>
      <c r="D1476" s="915" t="s">
        <v>3247</v>
      </c>
      <c r="E1476" s="915">
        <v>10047247</v>
      </c>
      <c r="F1476" s="915">
        <v>39303356</v>
      </c>
      <c r="G1476" s="838"/>
      <c r="H1476" s="838"/>
    </row>
    <row r="1477" spans="2:8">
      <c r="B1477" t="s">
        <v>2848</v>
      </c>
      <c r="C1477" s="915">
        <v>7612000000</v>
      </c>
      <c r="D1477" s="915" t="s">
        <v>3247</v>
      </c>
      <c r="E1477" s="915">
        <v>0</v>
      </c>
      <c r="F1477" s="915">
        <v>2033456</v>
      </c>
      <c r="G1477" s="838"/>
      <c r="H1477" s="838"/>
    </row>
    <row r="1478" spans="2:8">
      <c r="B1478" t="s">
        <v>2848</v>
      </c>
      <c r="C1478" s="915">
        <v>7612000000</v>
      </c>
      <c r="D1478" s="915" t="s">
        <v>3247</v>
      </c>
      <c r="E1478" s="915">
        <v>0</v>
      </c>
      <c r="F1478" s="915">
        <v>6528126</v>
      </c>
      <c r="G1478" s="838"/>
      <c r="H1478" s="838"/>
    </row>
    <row r="1479" spans="2:8">
      <c r="B1479" t="s">
        <v>2848</v>
      </c>
      <c r="C1479" s="915">
        <v>7612000000</v>
      </c>
      <c r="D1479" s="915" t="s">
        <v>3247</v>
      </c>
      <c r="E1479" s="915">
        <v>0</v>
      </c>
      <c r="F1479" s="915">
        <v>89609</v>
      </c>
      <c r="G1479" s="838"/>
      <c r="H1479" s="838"/>
    </row>
    <row r="1480" spans="2:8">
      <c r="B1480" t="s">
        <v>2848</v>
      </c>
      <c r="C1480" s="915">
        <v>7612000000</v>
      </c>
      <c r="D1480" s="915" t="s">
        <v>3247</v>
      </c>
      <c r="E1480" s="915">
        <v>2055431</v>
      </c>
      <c r="F1480" s="915">
        <v>0</v>
      </c>
      <c r="G1480" s="838"/>
      <c r="H1480" s="838"/>
    </row>
    <row r="1481" spans="2:8">
      <c r="B1481" t="s">
        <v>2848</v>
      </c>
      <c r="C1481" s="915">
        <v>7612000000</v>
      </c>
      <c r="D1481" s="915" t="s">
        <v>3247</v>
      </c>
      <c r="E1481" s="915">
        <v>548968</v>
      </c>
      <c r="F1481" s="915">
        <v>1962953</v>
      </c>
      <c r="G1481" s="838"/>
      <c r="H1481" s="838"/>
    </row>
    <row r="1482" spans="2:8">
      <c r="B1482" t="s">
        <v>2848</v>
      </c>
      <c r="C1482" s="915">
        <v>7612000000</v>
      </c>
      <c r="D1482" s="915" t="s">
        <v>3247</v>
      </c>
      <c r="E1482" s="915">
        <v>997548</v>
      </c>
      <c r="F1482" s="915">
        <v>2753143</v>
      </c>
      <c r="G1482" s="838"/>
      <c r="H1482" s="838"/>
    </row>
    <row r="1483" spans="2:8">
      <c r="B1483" t="s">
        <v>2848</v>
      </c>
      <c r="C1483" s="915">
        <v>7612000000</v>
      </c>
      <c r="D1483" s="915" t="s">
        <v>3247</v>
      </c>
      <c r="E1483" s="915">
        <v>0</v>
      </c>
      <c r="F1483" s="915">
        <v>-25400</v>
      </c>
      <c r="G1483" s="838"/>
      <c r="H1483" s="838"/>
    </row>
    <row r="1484" spans="2:8">
      <c r="B1484" t="s">
        <v>2848</v>
      </c>
      <c r="C1484" s="915">
        <v>7612000000</v>
      </c>
      <c r="D1484" s="915" t="s">
        <v>3247</v>
      </c>
      <c r="E1484" s="915">
        <v>0</v>
      </c>
      <c r="F1484" s="915">
        <v>4618616</v>
      </c>
      <c r="G1484" s="838"/>
      <c r="H1484" s="838"/>
    </row>
    <row r="1485" spans="2:8">
      <c r="B1485" t="s">
        <v>2848</v>
      </c>
      <c r="C1485" s="915">
        <v>7612000000</v>
      </c>
      <c r="D1485" s="915" t="s">
        <v>3247</v>
      </c>
      <c r="E1485" s="915">
        <v>0</v>
      </c>
      <c r="F1485" s="915">
        <v>3155526</v>
      </c>
      <c r="G1485" s="838"/>
      <c r="H1485" s="838"/>
    </row>
    <row r="1486" spans="2:8">
      <c r="B1486" t="s">
        <v>2848</v>
      </c>
      <c r="C1486" s="915">
        <v>7612000000</v>
      </c>
      <c r="D1486" s="915" t="s">
        <v>3247</v>
      </c>
      <c r="E1486" s="915">
        <v>0</v>
      </c>
      <c r="F1486" s="915">
        <v>301415</v>
      </c>
      <c r="G1486" s="838"/>
      <c r="H1486" s="838"/>
    </row>
    <row r="1487" spans="2:8">
      <c r="B1487" t="s">
        <v>2848</v>
      </c>
      <c r="C1487" s="915">
        <v>7612000000</v>
      </c>
      <c r="D1487" s="915" t="s">
        <v>3247</v>
      </c>
      <c r="E1487" s="915">
        <v>494552</v>
      </c>
      <c r="F1487" s="915">
        <v>1431561</v>
      </c>
      <c r="G1487" s="838"/>
      <c r="H1487" s="838"/>
    </row>
    <row r="1488" spans="2:8">
      <c r="B1488" t="s">
        <v>2848</v>
      </c>
      <c r="C1488" s="915">
        <v>7612000000</v>
      </c>
      <c r="D1488" s="915" t="s">
        <v>3247</v>
      </c>
      <c r="E1488" s="915">
        <v>29205</v>
      </c>
      <c r="F1488" s="915">
        <v>441625</v>
      </c>
      <c r="G1488" s="838"/>
      <c r="H1488" s="838"/>
    </row>
    <row r="1489" spans="2:8">
      <c r="B1489" t="s">
        <v>2848</v>
      </c>
      <c r="C1489" s="915">
        <v>7612000000</v>
      </c>
      <c r="D1489" s="915" t="s">
        <v>3247</v>
      </c>
      <c r="E1489" s="915">
        <v>2421509</v>
      </c>
      <c r="F1489" s="915">
        <v>7763026</v>
      </c>
      <c r="G1489" s="838"/>
      <c r="H1489" s="838"/>
    </row>
    <row r="1490" spans="2:8">
      <c r="B1490" t="s">
        <v>2848</v>
      </c>
      <c r="C1490" s="915">
        <v>7612000000</v>
      </c>
      <c r="D1490" s="915" t="s">
        <v>3247</v>
      </c>
      <c r="E1490" s="915">
        <v>643699</v>
      </c>
      <c r="F1490" s="915">
        <v>2736711</v>
      </c>
      <c r="G1490" s="838"/>
      <c r="H1490" s="838"/>
    </row>
    <row r="1491" spans="2:8">
      <c r="B1491" t="s">
        <v>2848</v>
      </c>
      <c r="C1491" s="915">
        <v>7612000000</v>
      </c>
      <c r="D1491" s="915" t="s">
        <v>3247</v>
      </c>
      <c r="E1491" s="915">
        <v>605454</v>
      </c>
      <c r="F1491" s="915">
        <v>3495986</v>
      </c>
      <c r="G1491" s="838"/>
      <c r="H1491" s="838"/>
    </row>
    <row r="1492" spans="2:8">
      <c r="B1492" t="s">
        <v>2848</v>
      </c>
      <c r="C1492" s="915">
        <v>7612000000</v>
      </c>
      <c r="D1492" s="915" t="s">
        <v>3247</v>
      </c>
      <c r="E1492" s="915">
        <v>3037951</v>
      </c>
      <c r="F1492" s="915">
        <v>13169289</v>
      </c>
      <c r="G1492" s="838"/>
      <c r="H1492" s="838"/>
    </row>
    <row r="1493" spans="2:8">
      <c r="B1493" t="s">
        <v>2848</v>
      </c>
      <c r="C1493" s="915">
        <v>7612000000</v>
      </c>
      <c r="D1493" s="915" t="s">
        <v>3247</v>
      </c>
      <c r="E1493" s="915">
        <v>1667573</v>
      </c>
      <c r="F1493" s="915">
        <v>7989481</v>
      </c>
      <c r="G1493" s="838"/>
      <c r="H1493" s="838"/>
    </row>
    <row r="1494" spans="2:8">
      <c r="B1494" t="s">
        <v>2848</v>
      </c>
      <c r="C1494" s="915">
        <v>7612000000</v>
      </c>
      <c r="D1494" s="915" t="s">
        <v>3247</v>
      </c>
      <c r="E1494" s="915">
        <v>1233512</v>
      </c>
      <c r="F1494" s="915">
        <v>4427712</v>
      </c>
      <c r="G1494" s="838"/>
      <c r="H1494" s="838"/>
    </row>
    <row r="1495" spans="2:8">
      <c r="B1495" t="s">
        <v>2848</v>
      </c>
      <c r="C1495" s="915">
        <v>7612000000</v>
      </c>
      <c r="D1495" s="915" t="s">
        <v>3247</v>
      </c>
      <c r="E1495" s="915">
        <v>0</v>
      </c>
      <c r="F1495" s="915">
        <v>5824577</v>
      </c>
      <c r="G1495" s="838"/>
      <c r="H1495" s="838"/>
    </row>
    <row r="1496" spans="2:8">
      <c r="B1496" t="s">
        <v>2848</v>
      </c>
      <c r="C1496" s="915">
        <v>7612000000</v>
      </c>
      <c r="D1496" s="915" t="s">
        <v>3247</v>
      </c>
      <c r="E1496" s="915">
        <v>1766775</v>
      </c>
      <c r="F1496" s="915">
        <v>4413157</v>
      </c>
      <c r="G1496" s="838"/>
      <c r="H1496" s="838"/>
    </row>
    <row r="1497" spans="2:8">
      <c r="B1497" t="s">
        <v>2848</v>
      </c>
      <c r="C1497" s="915">
        <v>7612000000</v>
      </c>
      <c r="D1497" s="915" t="s">
        <v>3247</v>
      </c>
      <c r="E1497" s="915">
        <v>1559419</v>
      </c>
      <c r="F1497" s="915">
        <v>5745801</v>
      </c>
      <c r="G1497" s="838"/>
      <c r="H1497" s="838"/>
    </row>
    <row r="1498" spans="2:8">
      <c r="B1498" t="s">
        <v>2848</v>
      </c>
      <c r="C1498" s="915">
        <v>7612000000</v>
      </c>
      <c r="D1498" s="915" t="s">
        <v>3247</v>
      </c>
      <c r="E1498" s="915">
        <v>873949</v>
      </c>
      <c r="F1498" s="915">
        <v>3253570</v>
      </c>
      <c r="G1498" s="838"/>
      <c r="H1498" s="838"/>
    </row>
    <row r="1499" spans="2:8">
      <c r="B1499" t="s">
        <v>2848</v>
      </c>
      <c r="C1499" s="915">
        <v>7612000000</v>
      </c>
      <c r="D1499" s="915" t="s">
        <v>3247</v>
      </c>
      <c r="E1499" s="915">
        <v>1853493</v>
      </c>
      <c r="F1499" s="915">
        <v>5914991</v>
      </c>
      <c r="G1499" s="838"/>
      <c r="H1499" s="838"/>
    </row>
    <row r="1500" spans="2:8">
      <c r="B1500" t="s">
        <v>2848</v>
      </c>
      <c r="C1500" s="915">
        <v>7612000000</v>
      </c>
      <c r="D1500" s="915" t="s">
        <v>3247</v>
      </c>
      <c r="E1500" s="915">
        <v>84309</v>
      </c>
      <c r="F1500" s="915">
        <v>222211</v>
      </c>
      <c r="G1500" s="838"/>
      <c r="H1500" s="838"/>
    </row>
    <row r="1501" spans="2:8">
      <c r="B1501" t="s">
        <v>2848</v>
      </c>
      <c r="C1501" s="915">
        <v>7612000000</v>
      </c>
      <c r="D1501" s="915" t="s">
        <v>3247</v>
      </c>
      <c r="E1501" s="915">
        <v>0</v>
      </c>
      <c r="F1501" s="915">
        <v>29579303</v>
      </c>
      <c r="G1501" s="838"/>
      <c r="H1501" s="838"/>
    </row>
    <row r="1502" spans="2:8">
      <c r="B1502" t="s">
        <v>2848</v>
      </c>
      <c r="C1502" s="915">
        <v>7612100000</v>
      </c>
      <c r="D1502" s="915" t="s">
        <v>3248</v>
      </c>
      <c r="E1502" s="915">
        <v>759730</v>
      </c>
      <c r="F1502" s="915">
        <v>2120385</v>
      </c>
      <c r="G1502" s="838"/>
      <c r="H1502" s="838"/>
    </row>
    <row r="1503" spans="2:8">
      <c r="B1503" t="s">
        <v>2848</v>
      </c>
      <c r="C1503" s="915">
        <v>7612100000</v>
      </c>
      <c r="D1503" s="915" t="s">
        <v>3248</v>
      </c>
      <c r="E1503" s="915">
        <v>0</v>
      </c>
      <c r="F1503" s="915">
        <v>31426</v>
      </c>
      <c r="G1503" s="838"/>
      <c r="H1503" s="838"/>
    </row>
    <row r="1504" spans="2:8">
      <c r="B1504" t="s">
        <v>2848</v>
      </c>
      <c r="C1504" s="915">
        <v>7612100000</v>
      </c>
      <c r="D1504" s="915" t="s">
        <v>3248</v>
      </c>
      <c r="E1504" s="915">
        <v>0</v>
      </c>
      <c r="F1504" s="915">
        <v>96680</v>
      </c>
      <c r="G1504" s="838"/>
      <c r="H1504" s="838"/>
    </row>
    <row r="1505" spans="2:8">
      <c r="B1505" t="s">
        <v>2848</v>
      </c>
      <c r="C1505" s="915">
        <v>7612100000</v>
      </c>
      <c r="D1505" s="915" t="s">
        <v>3248</v>
      </c>
      <c r="E1505" s="915">
        <v>0</v>
      </c>
      <c r="F1505" s="915">
        <v>821692</v>
      </c>
      <c r="G1505" s="838"/>
      <c r="H1505" s="838"/>
    </row>
    <row r="1506" spans="2:8">
      <c r="B1506" t="s">
        <v>2848</v>
      </c>
      <c r="C1506" s="915">
        <v>7612100000</v>
      </c>
      <c r="D1506" s="915" t="s">
        <v>3248</v>
      </c>
      <c r="E1506" s="915">
        <v>63540</v>
      </c>
      <c r="F1506" s="915">
        <v>0</v>
      </c>
      <c r="G1506" s="838"/>
      <c r="H1506" s="838"/>
    </row>
    <row r="1507" spans="2:8">
      <c r="B1507" t="s">
        <v>2848</v>
      </c>
      <c r="C1507" s="915">
        <v>7612100000</v>
      </c>
      <c r="D1507" s="915" t="s">
        <v>3248</v>
      </c>
      <c r="E1507" s="915">
        <v>31973</v>
      </c>
      <c r="F1507" s="915">
        <v>434558</v>
      </c>
      <c r="G1507" s="838"/>
      <c r="H1507" s="838"/>
    </row>
    <row r="1508" spans="2:8">
      <c r="B1508" t="s">
        <v>2848</v>
      </c>
      <c r="C1508" s="915">
        <v>7612100000</v>
      </c>
      <c r="D1508" s="915" t="s">
        <v>3248</v>
      </c>
      <c r="E1508" s="915">
        <v>49736</v>
      </c>
      <c r="F1508" s="915">
        <v>295142</v>
      </c>
      <c r="G1508" s="838"/>
      <c r="H1508" s="838"/>
    </row>
    <row r="1509" spans="2:8">
      <c r="B1509" t="s">
        <v>2848</v>
      </c>
      <c r="C1509" s="915">
        <v>7612100000</v>
      </c>
      <c r="D1509" s="915" t="s">
        <v>3248</v>
      </c>
      <c r="E1509" s="915">
        <v>0</v>
      </c>
      <c r="F1509" s="915">
        <v>357789</v>
      </c>
      <c r="G1509" s="838"/>
      <c r="H1509" s="838"/>
    </row>
    <row r="1510" spans="2:8">
      <c r="B1510" t="s">
        <v>2848</v>
      </c>
      <c r="C1510" s="915">
        <v>7612100000</v>
      </c>
      <c r="D1510" s="915" t="s">
        <v>3248</v>
      </c>
      <c r="E1510" s="915">
        <v>44600</v>
      </c>
      <c r="F1510" s="915">
        <v>662927</v>
      </c>
      <c r="G1510" s="838"/>
      <c r="H1510" s="838"/>
    </row>
    <row r="1511" spans="2:8">
      <c r="B1511" t="s">
        <v>2848</v>
      </c>
      <c r="C1511" s="915">
        <v>7612100000</v>
      </c>
      <c r="D1511" s="915" t="s">
        <v>3248</v>
      </c>
      <c r="E1511" s="915">
        <v>105931</v>
      </c>
      <c r="F1511" s="915">
        <v>322936</v>
      </c>
      <c r="G1511" s="838"/>
      <c r="H1511" s="838"/>
    </row>
    <row r="1512" spans="2:8">
      <c r="B1512" t="s">
        <v>2848</v>
      </c>
      <c r="C1512" s="915">
        <v>7612100000</v>
      </c>
      <c r="D1512" s="915" t="s">
        <v>3248</v>
      </c>
      <c r="E1512" s="915">
        <v>17500</v>
      </c>
      <c r="F1512" s="915">
        <v>335764</v>
      </c>
      <c r="G1512" s="838"/>
      <c r="H1512" s="838"/>
    </row>
    <row r="1513" spans="2:8">
      <c r="B1513" t="s">
        <v>2848</v>
      </c>
      <c r="C1513" s="915">
        <v>7612100000</v>
      </c>
      <c r="D1513" s="915" t="s">
        <v>3248</v>
      </c>
      <c r="E1513" s="915">
        <v>40605</v>
      </c>
      <c r="F1513" s="915">
        <v>142095</v>
      </c>
      <c r="G1513" s="838"/>
      <c r="H1513" s="838"/>
    </row>
    <row r="1514" spans="2:8">
      <c r="B1514" t="s">
        <v>2848</v>
      </c>
      <c r="C1514" s="915">
        <v>7612100000</v>
      </c>
      <c r="D1514" s="915" t="s">
        <v>3248</v>
      </c>
      <c r="E1514" s="915">
        <v>35169</v>
      </c>
      <c r="F1514" s="915">
        <v>266862</v>
      </c>
      <c r="G1514" s="838"/>
      <c r="H1514" s="838"/>
    </row>
    <row r="1515" spans="2:8">
      <c r="B1515" t="s">
        <v>2848</v>
      </c>
      <c r="C1515" s="915">
        <v>7612100000</v>
      </c>
      <c r="D1515" s="915" t="s">
        <v>3248</v>
      </c>
      <c r="E1515" s="915">
        <v>107754</v>
      </c>
      <c r="F1515" s="915">
        <v>383205</v>
      </c>
      <c r="G1515" s="838"/>
      <c r="H1515" s="838"/>
    </row>
    <row r="1516" spans="2:8">
      <c r="B1516" t="s">
        <v>2848</v>
      </c>
      <c r="C1516" s="915">
        <v>7612100000</v>
      </c>
      <c r="D1516" s="915" t="s">
        <v>3248</v>
      </c>
      <c r="E1516" s="915">
        <v>89331</v>
      </c>
      <c r="F1516" s="915">
        <v>389716</v>
      </c>
      <c r="G1516" s="838"/>
      <c r="H1516" s="838"/>
    </row>
    <row r="1517" spans="2:8">
      <c r="B1517" t="s">
        <v>2848</v>
      </c>
      <c r="C1517" s="915">
        <v>7612100000</v>
      </c>
      <c r="D1517" s="915" t="s">
        <v>3248</v>
      </c>
      <c r="E1517" s="915">
        <v>686515</v>
      </c>
      <c r="F1517" s="915">
        <v>1002227</v>
      </c>
      <c r="G1517" s="838"/>
      <c r="H1517" s="838"/>
    </row>
    <row r="1518" spans="2:8">
      <c r="B1518" t="s">
        <v>2848</v>
      </c>
      <c r="C1518" s="915">
        <v>7612100000</v>
      </c>
      <c r="D1518" s="915" t="s">
        <v>3248</v>
      </c>
      <c r="E1518" s="915">
        <v>97895</v>
      </c>
      <c r="F1518" s="915">
        <v>1284522</v>
      </c>
      <c r="G1518" s="838"/>
      <c r="H1518" s="838"/>
    </row>
    <row r="1519" spans="2:8">
      <c r="B1519" t="s">
        <v>2848</v>
      </c>
      <c r="C1519" s="915">
        <v>7612100000</v>
      </c>
      <c r="D1519" s="915" t="s">
        <v>3248</v>
      </c>
      <c r="E1519" s="915">
        <v>39132</v>
      </c>
      <c r="F1519" s="915">
        <v>192263</v>
      </c>
      <c r="G1519" s="838"/>
      <c r="H1519" s="838"/>
    </row>
    <row r="1520" spans="2:8">
      <c r="B1520" t="s">
        <v>2848</v>
      </c>
      <c r="C1520" s="915">
        <v>7612100000</v>
      </c>
      <c r="D1520" s="915" t="s">
        <v>3248</v>
      </c>
      <c r="E1520" s="915">
        <v>0</v>
      </c>
      <c r="F1520" s="915">
        <v>730545</v>
      </c>
      <c r="G1520" s="838"/>
      <c r="H1520" s="838"/>
    </row>
    <row r="1521" spans="2:8">
      <c r="B1521" t="s">
        <v>2848</v>
      </c>
      <c r="C1521" s="915">
        <v>7612100000</v>
      </c>
      <c r="D1521" s="915" t="s">
        <v>3248</v>
      </c>
      <c r="E1521" s="915">
        <v>111562</v>
      </c>
      <c r="F1521" s="915">
        <v>499289</v>
      </c>
      <c r="G1521" s="838"/>
      <c r="H1521" s="838"/>
    </row>
    <row r="1522" spans="2:8">
      <c r="B1522" t="s">
        <v>2848</v>
      </c>
      <c r="C1522" s="915">
        <v>7612100000</v>
      </c>
      <c r="D1522" s="915" t="s">
        <v>3248</v>
      </c>
      <c r="E1522" s="915">
        <v>131528</v>
      </c>
      <c r="F1522" s="915">
        <v>378740</v>
      </c>
      <c r="G1522" s="838"/>
      <c r="H1522" s="838"/>
    </row>
    <row r="1523" spans="2:8">
      <c r="B1523" t="s">
        <v>2848</v>
      </c>
      <c r="C1523" s="915">
        <v>7612100000</v>
      </c>
      <c r="D1523" s="915" t="s">
        <v>3248</v>
      </c>
      <c r="E1523" s="915">
        <v>67403</v>
      </c>
      <c r="F1523" s="915">
        <v>241448</v>
      </c>
      <c r="G1523" s="838"/>
      <c r="H1523" s="838"/>
    </row>
    <row r="1524" spans="2:8">
      <c r="B1524" t="s">
        <v>2848</v>
      </c>
      <c r="C1524" s="915">
        <v>7612100000</v>
      </c>
      <c r="D1524" s="915" t="s">
        <v>3248</v>
      </c>
      <c r="E1524" s="915">
        <v>111556</v>
      </c>
      <c r="F1524" s="915">
        <v>84901</v>
      </c>
      <c r="G1524" s="838"/>
      <c r="H1524" s="838"/>
    </row>
    <row r="1525" spans="2:8">
      <c r="B1525" t="s">
        <v>2848</v>
      </c>
      <c r="C1525" s="915">
        <v>7612100000</v>
      </c>
      <c r="D1525" s="915" t="s">
        <v>3248</v>
      </c>
      <c r="E1525" s="915">
        <v>141309</v>
      </c>
      <c r="F1525" s="915">
        <v>-11803</v>
      </c>
      <c r="G1525" s="838"/>
      <c r="H1525" s="838"/>
    </row>
    <row r="1526" spans="2:8">
      <c r="B1526" t="s">
        <v>2848</v>
      </c>
      <c r="C1526" s="915">
        <v>7612100000</v>
      </c>
      <c r="D1526" s="915" t="s">
        <v>3248</v>
      </c>
      <c r="E1526" s="915">
        <v>0</v>
      </c>
      <c r="F1526" s="915">
        <v>14610</v>
      </c>
      <c r="G1526" s="838"/>
      <c r="H1526" s="838"/>
    </row>
    <row r="1527" spans="2:8">
      <c r="B1527" t="s">
        <v>2848</v>
      </c>
      <c r="C1527" s="915">
        <v>7612200000</v>
      </c>
      <c r="D1527" s="915" t="s">
        <v>3249</v>
      </c>
      <c r="E1527" s="915">
        <v>0</v>
      </c>
      <c r="F1527" s="915">
        <v>14696</v>
      </c>
      <c r="G1527" s="838"/>
      <c r="H1527" s="838"/>
    </row>
    <row r="1528" spans="2:8">
      <c r="B1528" t="s">
        <v>2848</v>
      </c>
      <c r="C1528" s="915">
        <v>7612200000</v>
      </c>
      <c r="D1528" s="915" t="s">
        <v>3249</v>
      </c>
      <c r="E1528" s="915">
        <v>0</v>
      </c>
      <c r="F1528" s="915">
        <v>2963387</v>
      </c>
      <c r="G1528" s="838"/>
      <c r="H1528" s="838"/>
    </row>
    <row r="1529" spans="2:8">
      <c r="B1529" t="s">
        <v>2848</v>
      </c>
      <c r="C1529" s="915">
        <v>7612200000</v>
      </c>
      <c r="D1529" s="915" t="s">
        <v>3249</v>
      </c>
      <c r="E1529" s="915">
        <v>0</v>
      </c>
      <c r="F1529" s="915">
        <v>262282</v>
      </c>
      <c r="G1529" s="838"/>
      <c r="H1529" s="838"/>
    </row>
    <row r="1530" spans="2:8">
      <c r="B1530" t="s">
        <v>2848</v>
      </c>
      <c r="C1530" s="915">
        <v>7612200000</v>
      </c>
      <c r="D1530" s="915" t="s">
        <v>3249</v>
      </c>
      <c r="E1530" s="915">
        <v>0</v>
      </c>
      <c r="F1530" s="915">
        <v>9581</v>
      </c>
      <c r="G1530" s="838"/>
      <c r="H1530" s="838"/>
    </row>
    <row r="1531" spans="2:8">
      <c r="B1531" t="s">
        <v>2848</v>
      </c>
      <c r="C1531" s="915">
        <v>7612200000</v>
      </c>
      <c r="D1531" s="915" t="s">
        <v>3249</v>
      </c>
      <c r="E1531" s="915">
        <v>0</v>
      </c>
      <c r="F1531" s="915">
        <v>197900</v>
      </c>
      <c r="G1531" s="838"/>
      <c r="H1531" s="838"/>
    </row>
    <row r="1532" spans="2:8">
      <c r="B1532" t="s">
        <v>2848</v>
      </c>
      <c r="C1532" s="915">
        <v>7612201000</v>
      </c>
      <c r="D1532" s="915" t="s">
        <v>3250</v>
      </c>
      <c r="E1532" s="915">
        <v>985931</v>
      </c>
      <c r="F1532" s="915">
        <v>7527442</v>
      </c>
      <c r="G1532" s="838"/>
      <c r="H1532" s="838"/>
    </row>
    <row r="1533" spans="2:8">
      <c r="B1533" t="s">
        <v>2848</v>
      </c>
      <c r="C1533" s="915">
        <v>7612201000</v>
      </c>
      <c r="D1533" s="915" t="s">
        <v>3250</v>
      </c>
      <c r="E1533" s="915">
        <v>0</v>
      </c>
      <c r="F1533" s="915">
        <v>37000</v>
      </c>
      <c r="G1533" s="838"/>
      <c r="H1533" s="838"/>
    </row>
    <row r="1534" spans="2:8">
      <c r="B1534" t="s">
        <v>2848</v>
      </c>
      <c r="C1534" s="915">
        <v>7612201000</v>
      </c>
      <c r="D1534" s="915" t="s">
        <v>3250</v>
      </c>
      <c r="E1534" s="915">
        <v>94005</v>
      </c>
      <c r="F1534" s="915">
        <v>210135</v>
      </c>
      <c r="G1534" s="838"/>
      <c r="H1534" s="838"/>
    </row>
    <row r="1535" spans="2:8">
      <c r="B1535" t="s">
        <v>2848</v>
      </c>
      <c r="C1535" s="915">
        <v>7612201000</v>
      </c>
      <c r="D1535" s="915" t="s">
        <v>3250</v>
      </c>
      <c r="E1535" s="915">
        <v>0</v>
      </c>
      <c r="F1535" s="915">
        <v>80900</v>
      </c>
      <c r="G1535" s="838"/>
      <c r="H1535" s="838"/>
    </row>
    <row r="1536" spans="2:8">
      <c r="B1536" t="s">
        <v>2848</v>
      </c>
      <c r="C1536" s="915">
        <v>7612201000</v>
      </c>
      <c r="D1536" s="915" t="s">
        <v>3250</v>
      </c>
      <c r="E1536" s="915">
        <v>0</v>
      </c>
      <c r="F1536" s="915">
        <v>29400</v>
      </c>
      <c r="G1536" s="838"/>
      <c r="H1536" s="838"/>
    </row>
    <row r="1537" spans="2:8">
      <c r="B1537" t="s">
        <v>2848</v>
      </c>
      <c r="C1537" s="915">
        <v>7612201000</v>
      </c>
      <c r="D1537" s="915" t="s">
        <v>3250</v>
      </c>
      <c r="E1537" s="915">
        <v>0</v>
      </c>
      <c r="F1537" s="915">
        <v>20001</v>
      </c>
      <c r="G1537" s="838"/>
      <c r="H1537" s="838"/>
    </row>
    <row r="1538" spans="2:8">
      <c r="B1538" t="s">
        <v>2848</v>
      </c>
      <c r="C1538" s="915">
        <v>7612201000</v>
      </c>
      <c r="D1538" s="915" t="s">
        <v>3250</v>
      </c>
      <c r="E1538" s="915">
        <v>22670</v>
      </c>
      <c r="F1538" s="915">
        <v>61689</v>
      </c>
      <c r="G1538" s="838"/>
      <c r="H1538" s="838"/>
    </row>
    <row r="1539" spans="2:8">
      <c r="B1539" t="s">
        <v>2848</v>
      </c>
      <c r="C1539" s="915">
        <v>7612201000</v>
      </c>
      <c r="D1539" s="915" t="s">
        <v>3250</v>
      </c>
      <c r="E1539" s="915">
        <v>50511</v>
      </c>
      <c r="F1539" s="915">
        <v>0</v>
      </c>
      <c r="G1539" s="838"/>
      <c r="H1539" s="838"/>
    </row>
    <row r="1540" spans="2:8">
      <c r="B1540" t="s">
        <v>2848</v>
      </c>
      <c r="C1540" s="915">
        <v>7612201000</v>
      </c>
      <c r="D1540" s="915" t="s">
        <v>3250</v>
      </c>
      <c r="E1540" s="915">
        <v>50000</v>
      </c>
      <c r="F1540" s="915">
        <v>25000</v>
      </c>
      <c r="G1540" s="838"/>
      <c r="H1540" s="838"/>
    </row>
    <row r="1541" spans="2:8">
      <c r="B1541" t="s">
        <v>2848</v>
      </c>
      <c r="C1541" s="915">
        <v>7612201000</v>
      </c>
      <c r="D1541" s="915" t="s">
        <v>3250</v>
      </c>
      <c r="E1541" s="915">
        <v>0</v>
      </c>
      <c r="F1541" s="915">
        <v>525000</v>
      </c>
      <c r="G1541" s="838"/>
      <c r="H1541" s="838"/>
    </row>
    <row r="1542" spans="2:8">
      <c r="B1542" t="s">
        <v>2848</v>
      </c>
      <c r="C1542" s="915">
        <v>7612201000</v>
      </c>
      <c r="D1542" s="915" t="s">
        <v>3250</v>
      </c>
      <c r="E1542" s="915">
        <v>0</v>
      </c>
      <c r="F1542" s="915">
        <v>62350</v>
      </c>
      <c r="G1542" s="838"/>
      <c r="H1542" s="838"/>
    </row>
    <row r="1543" spans="2:8">
      <c r="B1543" t="s">
        <v>2848</v>
      </c>
      <c r="C1543" s="915">
        <v>7612201000</v>
      </c>
      <c r="D1543" s="915" t="s">
        <v>3250</v>
      </c>
      <c r="E1543" s="915">
        <v>0</v>
      </c>
      <c r="F1543" s="915">
        <v>65287</v>
      </c>
      <c r="G1543" s="838"/>
      <c r="H1543" s="838"/>
    </row>
    <row r="1544" spans="2:8">
      <c r="B1544" t="s">
        <v>2848</v>
      </c>
      <c r="C1544" s="915">
        <v>7612201000</v>
      </c>
      <c r="D1544" s="915" t="s">
        <v>3250</v>
      </c>
      <c r="E1544" s="915">
        <v>0</v>
      </c>
      <c r="F1544" s="915">
        <v>44800</v>
      </c>
      <c r="G1544" s="838"/>
      <c r="H1544" s="838"/>
    </row>
    <row r="1545" spans="2:8">
      <c r="B1545" t="s">
        <v>2848</v>
      </c>
      <c r="C1545" s="915">
        <v>7612201000</v>
      </c>
      <c r="D1545" s="915" t="s">
        <v>3250</v>
      </c>
      <c r="E1545" s="915">
        <v>0</v>
      </c>
      <c r="F1545" s="915">
        <v>270760</v>
      </c>
      <c r="G1545" s="838"/>
      <c r="H1545" s="838"/>
    </row>
    <row r="1546" spans="2:8">
      <c r="B1546" t="s">
        <v>2848</v>
      </c>
      <c r="C1546" s="915">
        <v>7612201000</v>
      </c>
      <c r="D1546" s="915" t="s">
        <v>3250</v>
      </c>
      <c r="E1546" s="915">
        <v>174960</v>
      </c>
      <c r="F1546" s="915">
        <v>784385</v>
      </c>
      <c r="G1546" s="838"/>
      <c r="H1546" s="838"/>
    </row>
    <row r="1547" spans="2:8">
      <c r="B1547" t="s">
        <v>2848</v>
      </c>
      <c r="C1547" s="915">
        <v>7612201000</v>
      </c>
      <c r="D1547" s="915" t="s">
        <v>3250</v>
      </c>
      <c r="E1547" s="915">
        <v>0</v>
      </c>
      <c r="F1547" s="915">
        <v>3104</v>
      </c>
      <c r="G1547" s="838"/>
      <c r="H1547" s="838"/>
    </row>
    <row r="1548" spans="2:8">
      <c r="B1548" t="s">
        <v>2848</v>
      </c>
      <c r="C1548" s="915">
        <v>7612300000</v>
      </c>
      <c r="D1548" s="915" t="s">
        <v>3251</v>
      </c>
      <c r="E1548" s="915">
        <v>0</v>
      </c>
      <c r="F1548" s="915">
        <v>2269995</v>
      </c>
      <c r="G1548" s="838"/>
      <c r="H1548" s="838"/>
    </row>
    <row r="1549" spans="2:8">
      <c r="B1549" t="s">
        <v>2848</v>
      </c>
      <c r="C1549" s="915">
        <v>7612300000</v>
      </c>
      <c r="D1549" s="915" t="s">
        <v>3251</v>
      </c>
      <c r="E1549" s="915">
        <v>0</v>
      </c>
      <c r="F1549" s="915">
        <v>2958283</v>
      </c>
      <c r="G1549" s="838"/>
      <c r="H1549" s="838"/>
    </row>
    <row r="1550" spans="2:8">
      <c r="B1550" t="s">
        <v>2848</v>
      </c>
      <c r="C1550" s="915">
        <v>7612300000</v>
      </c>
      <c r="D1550" s="915" t="s">
        <v>3251</v>
      </c>
      <c r="E1550" s="915">
        <v>0</v>
      </c>
      <c r="F1550" s="915">
        <v>334559</v>
      </c>
      <c r="G1550" s="838"/>
      <c r="H1550" s="838"/>
    </row>
    <row r="1551" spans="2:8">
      <c r="B1551" t="s">
        <v>2848</v>
      </c>
      <c r="C1551" s="915">
        <v>7612300000</v>
      </c>
      <c r="D1551" s="915" t="s">
        <v>3251</v>
      </c>
      <c r="E1551" s="915">
        <v>0</v>
      </c>
      <c r="F1551" s="915">
        <v>160000</v>
      </c>
      <c r="G1551" s="838"/>
      <c r="H1551" s="838"/>
    </row>
    <row r="1552" spans="2:8">
      <c r="B1552" t="s">
        <v>2848</v>
      </c>
      <c r="C1552" s="915">
        <v>7612300000</v>
      </c>
      <c r="D1552" s="915" t="s">
        <v>3251</v>
      </c>
      <c r="E1552" s="915">
        <v>0</v>
      </c>
      <c r="F1552" s="915">
        <v>145650</v>
      </c>
      <c r="G1552" s="838"/>
      <c r="H1552" s="838"/>
    </row>
    <row r="1553" spans="2:8">
      <c r="B1553" t="s">
        <v>2848</v>
      </c>
      <c r="C1553" s="915">
        <v>7612300000</v>
      </c>
      <c r="D1553" s="915" t="s">
        <v>3251</v>
      </c>
      <c r="E1553" s="915">
        <v>0</v>
      </c>
      <c r="F1553" s="915">
        <v>85859</v>
      </c>
      <c r="G1553" s="838"/>
      <c r="H1553" s="838"/>
    </row>
    <row r="1554" spans="2:8">
      <c r="B1554" t="s">
        <v>2848</v>
      </c>
      <c r="C1554" s="915">
        <v>7612300000</v>
      </c>
      <c r="D1554" s="915" t="s">
        <v>3251</v>
      </c>
      <c r="E1554" s="915">
        <v>0</v>
      </c>
      <c r="F1554" s="915">
        <v>-70000</v>
      </c>
      <c r="G1554" s="838"/>
      <c r="H1554" s="838"/>
    </row>
    <row r="1555" spans="2:8">
      <c r="B1555" t="s">
        <v>2848</v>
      </c>
      <c r="C1555" s="915">
        <v>7613100003</v>
      </c>
      <c r="D1555" s="915" t="s">
        <v>3252</v>
      </c>
      <c r="E1555" s="915">
        <v>3039234</v>
      </c>
      <c r="F1555" s="915">
        <v>180000</v>
      </c>
      <c r="G1555" s="838"/>
      <c r="H1555" s="838"/>
    </row>
    <row r="1556" spans="2:8">
      <c r="B1556" t="s">
        <v>2848</v>
      </c>
      <c r="C1556" s="915">
        <v>7613100003</v>
      </c>
      <c r="D1556" s="915" t="s">
        <v>3252</v>
      </c>
      <c r="E1556" s="915">
        <v>446694</v>
      </c>
      <c r="F1556" s="915">
        <v>0</v>
      </c>
      <c r="G1556" s="838"/>
      <c r="H1556" s="838"/>
    </row>
    <row r="1557" spans="2:8">
      <c r="B1557" t="s">
        <v>2848</v>
      </c>
      <c r="C1557" s="915">
        <v>7613100003</v>
      </c>
      <c r="D1557" s="915" t="s">
        <v>3252</v>
      </c>
      <c r="E1557" s="915">
        <v>398376</v>
      </c>
      <c r="F1557" s="915">
        <v>385000</v>
      </c>
      <c r="G1557" s="838"/>
      <c r="H1557" s="838"/>
    </row>
    <row r="1558" spans="2:8">
      <c r="B1558" t="s">
        <v>2848</v>
      </c>
      <c r="C1558" s="915">
        <v>7613100003</v>
      </c>
      <c r="D1558" s="915" t="s">
        <v>3252</v>
      </c>
      <c r="E1558" s="915">
        <v>137613</v>
      </c>
      <c r="F1558" s="915">
        <v>0</v>
      </c>
      <c r="G1558" s="838"/>
      <c r="H1558" s="838"/>
    </row>
    <row r="1559" spans="2:8">
      <c r="B1559" t="s">
        <v>2848</v>
      </c>
      <c r="C1559" s="915">
        <v>7613100003</v>
      </c>
      <c r="D1559" s="915" t="s">
        <v>3252</v>
      </c>
      <c r="E1559" s="915">
        <v>2967617</v>
      </c>
      <c r="F1559" s="915">
        <v>1623500</v>
      </c>
      <c r="G1559" s="838"/>
      <c r="H1559" s="838"/>
    </row>
    <row r="1560" spans="2:8">
      <c r="B1560" t="s">
        <v>2848</v>
      </c>
      <c r="C1560" s="915">
        <v>7613200000</v>
      </c>
      <c r="D1560" s="915" t="s">
        <v>3253</v>
      </c>
      <c r="E1560" s="915">
        <v>67460</v>
      </c>
      <c r="F1560" s="915">
        <v>353918</v>
      </c>
      <c r="G1560" s="838"/>
      <c r="H1560" s="838"/>
    </row>
    <row r="1561" spans="2:8">
      <c r="B1561" t="s">
        <v>2848</v>
      </c>
      <c r="C1561" s="915">
        <v>7613200000</v>
      </c>
      <c r="D1561" s="915" t="s">
        <v>3253</v>
      </c>
      <c r="E1561" s="915">
        <v>21660</v>
      </c>
      <c r="F1561" s="915">
        <v>97560</v>
      </c>
      <c r="G1561" s="838"/>
      <c r="H1561" s="838"/>
    </row>
    <row r="1562" spans="2:8">
      <c r="B1562" t="s">
        <v>2848</v>
      </c>
      <c r="C1562" s="915">
        <v>7613200000</v>
      </c>
      <c r="D1562" s="915" t="s">
        <v>3253</v>
      </c>
      <c r="E1562" s="915">
        <v>6900</v>
      </c>
      <c r="F1562" s="915">
        <v>0</v>
      </c>
      <c r="G1562" s="838"/>
      <c r="H1562" s="838"/>
    </row>
    <row r="1563" spans="2:8">
      <c r="B1563" t="s">
        <v>2848</v>
      </c>
      <c r="C1563" s="915">
        <v>7613200000</v>
      </c>
      <c r="D1563" s="915" t="s">
        <v>3253</v>
      </c>
      <c r="E1563" s="915">
        <v>10281</v>
      </c>
      <c r="F1563" s="915">
        <v>0</v>
      </c>
      <c r="G1563" s="838"/>
      <c r="H1563" s="838"/>
    </row>
    <row r="1564" spans="2:8">
      <c r="B1564" t="s">
        <v>2848</v>
      </c>
      <c r="C1564" s="915">
        <v>7613200000</v>
      </c>
      <c r="D1564" s="915" t="s">
        <v>3253</v>
      </c>
      <c r="E1564" s="915">
        <v>23300</v>
      </c>
      <c r="F1564" s="915">
        <v>20000</v>
      </c>
      <c r="G1564" s="838"/>
      <c r="H1564" s="838"/>
    </row>
    <row r="1565" spans="2:8">
      <c r="B1565" t="s">
        <v>2848</v>
      </c>
      <c r="C1565" s="915">
        <v>7613200000</v>
      </c>
      <c r="D1565" s="915" t="s">
        <v>3253</v>
      </c>
      <c r="E1565" s="915">
        <v>8185</v>
      </c>
      <c r="F1565" s="915">
        <v>6490</v>
      </c>
      <c r="G1565" s="838"/>
      <c r="H1565" s="838"/>
    </row>
    <row r="1566" spans="2:8">
      <c r="B1566" t="s">
        <v>2848</v>
      </c>
      <c r="C1566" s="915">
        <v>7613200000</v>
      </c>
      <c r="D1566" s="915" t="s">
        <v>3253</v>
      </c>
      <c r="E1566" s="915">
        <v>36070</v>
      </c>
      <c r="F1566" s="915">
        <v>46140</v>
      </c>
      <c r="G1566" s="838"/>
      <c r="H1566" s="838"/>
    </row>
    <row r="1567" spans="2:8">
      <c r="B1567" t="s">
        <v>2848</v>
      </c>
      <c r="C1567" s="915">
        <v>7613200000</v>
      </c>
      <c r="D1567" s="915" t="s">
        <v>3253</v>
      </c>
      <c r="E1567" s="915">
        <v>0</v>
      </c>
      <c r="F1567" s="915">
        <v>66136</v>
      </c>
      <c r="G1567" s="838"/>
      <c r="H1567" s="838"/>
    </row>
    <row r="1568" spans="2:8">
      <c r="B1568" t="s">
        <v>2848</v>
      </c>
      <c r="C1568" s="915">
        <v>7613200000</v>
      </c>
      <c r="D1568" s="915" t="s">
        <v>3253</v>
      </c>
      <c r="E1568" s="915">
        <v>15780</v>
      </c>
      <c r="F1568" s="915">
        <v>17240</v>
      </c>
      <c r="G1568" s="838"/>
      <c r="H1568" s="838"/>
    </row>
    <row r="1569" spans="2:8">
      <c r="B1569" t="s">
        <v>2848</v>
      </c>
      <c r="C1569" s="915">
        <v>7613200000</v>
      </c>
      <c r="D1569" s="915" t="s">
        <v>3253</v>
      </c>
      <c r="E1569" s="915">
        <v>39620</v>
      </c>
      <c r="F1569" s="915">
        <v>21887</v>
      </c>
      <c r="G1569" s="838"/>
      <c r="H1569" s="838"/>
    </row>
    <row r="1570" spans="2:8">
      <c r="B1570" t="s">
        <v>2848</v>
      </c>
      <c r="C1570" s="915">
        <v>7613200000</v>
      </c>
      <c r="D1570" s="915" t="s">
        <v>3253</v>
      </c>
      <c r="E1570" s="915">
        <v>0</v>
      </c>
      <c r="F1570" s="915">
        <v>710935</v>
      </c>
      <c r="G1570" s="838"/>
      <c r="H1570" s="838"/>
    </row>
    <row r="1571" spans="2:8">
      <c r="B1571" t="s">
        <v>2848</v>
      </c>
      <c r="C1571" s="915">
        <v>7613200000</v>
      </c>
      <c r="D1571" s="915" t="s">
        <v>3253</v>
      </c>
      <c r="E1571" s="915">
        <v>0</v>
      </c>
      <c r="F1571" s="915">
        <v>42528</v>
      </c>
      <c r="G1571" s="838"/>
      <c r="H1571" s="838"/>
    </row>
    <row r="1572" spans="2:8">
      <c r="B1572" t="s">
        <v>2848</v>
      </c>
      <c r="C1572" s="915">
        <v>7613200000</v>
      </c>
      <c r="D1572" s="915" t="s">
        <v>3253</v>
      </c>
      <c r="E1572" s="915">
        <v>31460</v>
      </c>
      <c r="F1572" s="915">
        <v>0</v>
      </c>
      <c r="G1572" s="838"/>
      <c r="H1572" s="838"/>
    </row>
    <row r="1573" spans="2:8">
      <c r="B1573" t="s">
        <v>2848</v>
      </c>
      <c r="C1573" s="915">
        <v>7613200000</v>
      </c>
      <c r="D1573" s="915" t="s">
        <v>3253</v>
      </c>
      <c r="E1573" s="915">
        <v>0</v>
      </c>
      <c r="F1573" s="915">
        <v>21990</v>
      </c>
      <c r="G1573" s="838"/>
      <c r="H1573" s="838"/>
    </row>
    <row r="1574" spans="2:8">
      <c r="B1574" t="s">
        <v>2848</v>
      </c>
      <c r="C1574" s="915">
        <v>7613200000</v>
      </c>
      <c r="D1574" s="915" t="s">
        <v>3253</v>
      </c>
      <c r="E1574" s="915">
        <v>6990</v>
      </c>
      <c r="F1574" s="915">
        <v>15000</v>
      </c>
      <c r="G1574" s="838"/>
      <c r="H1574" s="838"/>
    </row>
    <row r="1575" spans="2:8">
      <c r="B1575" t="s">
        <v>2848</v>
      </c>
      <c r="C1575" s="915">
        <v>7613200000</v>
      </c>
      <c r="D1575" s="915" t="s">
        <v>3253</v>
      </c>
      <c r="E1575" s="915">
        <v>0</v>
      </c>
      <c r="F1575" s="915">
        <v>14430</v>
      </c>
      <c r="G1575" s="838"/>
      <c r="H1575" s="838"/>
    </row>
    <row r="1576" spans="2:8">
      <c r="B1576" t="s">
        <v>2848</v>
      </c>
      <c r="C1576" s="915">
        <v>7613200000</v>
      </c>
      <c r="D1576" s="915" t="s">
        <v>3253</v>
      </c>
      <c r="E1576" s="915">
        <v>20020</v>
      </c>
      <c r="F1576" s="915">
        <v>20000</v>
      </c>
      <c r="G1576" s="838"/>
      <c r="H1576" s="838"/>
    </row>
    <row r="1577" spans="2:8">
      <c r="B1577" t="s">
        <v>2848</v>
      </c>
      <c r="C1577" s="915">
        <v>7613200000</v>
      </c>
      <c r="D1577" s="915" t="s">
        <v>3253</v>
      </c>
      <c r="E1577" s="915">
        <v>0</v>
      </c>
      <c r="F1577" s="915">
        <v>25768</v>
      </c>
      <c r="G1577" s="838"/>
      <c r="H1577" s="838"/>
    </row>
    <row r="1578" spans="2:8">
      <c r="B1578" t="s">
        <v>2848</v>
      </c>
      <c r="C1578" s="915">
        <v>7613210000</v>
      </c>
      <c r="D1578" s="915" t="s">
        <v>3254</v>
      </c>
      <c r="E1578" s="915">
        <v>17052856</v>
      </c>
      <c r="F1578" s="915">
        <v>77922682</v>
      </c>
      <c r="G1578" s="838"/>
      <c r="H1578" s="838"/>
    </row>
    <row r="1579" spans="2:8">
      <c r="B1579" t="s">
        <v>2848</v>
      </c>
      <c r="C1579" s="915">
        <v>7613210000</v>
      </c>
      <c r="D1579" s="915" t="s">
        <v>3254</v>
      </c>
      <c r="E1579" s="915">
        <v>1058855</v>
      </c>
      <c r="F1579" s="915">
        <v>27570104</v>
      </c>
      <c r="G1579" s="838"/>
      <c r="H1579" s="838"/>
    </row>
    <row r="1580" spans="2:8">
      <c r="B1580" t="s">
        <v>2848</v>
      </c>
      <c r="C1580" s="915">
        <v>7613210000</v>
      </c>
      <c r="D1580" s="915" t="s">
        <v>3254</v>
      </c>
      <c r="E1580" s="915">
        <v>6641329</v>
      </c>
      <c r="F1580" s="915">
        <v>0</v>
      </c>
      <c r="G1580" s="838"/>
      <c r="H1580" s="838"/>
    </row>
    <row r="1581" spans="2:8">
      <c r="B1581" t="s">
        <v>2848</v>
      </c>
      <c r="C1581" s="915">
        <v>7613210000</v>
      </c>
      <c r="D1581" s="915" t="s">
        <v>3254</v>
      </c>
      <c r="E1581" s="915">
        <v>4235381</v>
      </c>
      <c r="F1581" s="915">
        <v>13830262</v>
      </c>
      <c r="G1581" s="838"/>
      <c r="H1581" s="838"/>
    </row>
    <row r="1582" spans="2:8">
      <c r="B1582" t="s">
        <v>2848</v>
      </c>
      <c r="C1582" s="915">
        <v>7613210000</v>
      </c>
      <c r="D1582" s="915" t="s">
        <v>3254</v>
      </c>
      <c r="E1582" s="915">
        <v>1173069</v>
      </c>
      <c r="F1582" s="915">
        <v>10346739</v>
      </c>
      <c r="G1582" s="838"/>
      <c r="H1582" s="838"/>
    </row>
    <row r="1583" spans="2:8">
      <c r="B1583" t="s">
        <v>2848</v>
      </c>
      <c r="C1583" s="915">
        <v>7613210000</v>
      </c>
      <c r="D1583" s="915" t="s">
        <v>3254</v>
      </c>
      <c r="E1583" s="915">
        <v>540000</v>
      </c>
      <c r="F1583" s="915">
        <v>2169670</v>
      </c>
      <c r="G1583" s="838"/>
      <c r="H1583" s="838"/>
    </row>
    <row r="1584" spans="2:8">
      <c r="B1584" t="s">
        <v>2848</v>
      </c>
      <c r="C1584" s="915">
        <v>7613210000</v>
      </c>
      <c r="D1584" s="915" t="s">
        <v>3254</v>
      </c>
      <c r="E1584" s="915">
        <v>0</v>
      </c>
      <c r="F1584" s="915">
        <v>1349054</v>
      </c>
      <c r="G1584" s="838"/>
      <c r="H1584" s="838"/>
    </row>
    <row r="1585" spans="2:8">
      <c r="B1585" t="s">
        <v>2848</v>
      </c>
      <c r="C1585" s="915">
        <v>7613210000</v>
      </c>
      <c r="D1585" s="915" t="s">
        <v>3254</v>
      </c>
      <c r="E1585" s="915">
        <v>132000</v>
      </c>
      <c r="F1585" s="915">
        <v>1582995</v>
      </c>
      <c r="G1585" s="838"/>
      <c r="H1585" s="838"/>
    </row>
    <row r="1586" spans="2:8">
      <c r="B1586" t="s">
        <v>2848</v>
      </c>
      <c r="C1586" s="915">
        <v>7613210000</v>
      </c>
      <c r="D1586" s="915" t="s">
        <v>3254</v>
      </c>
      <c r="E1586" s="915">
        <v>0</v>
      </c>
      <c r="F1586" s="915">
        <v>1107668</v>
      </c>
      <c r="G1586" s="838"/>
      <c r="H1586" s="838"/>
    </row>
    <row r="1587" spans="2:8">
      <c r="B1587" t="s">
        <v>2848</v>
      </c>
      <c r="C1587" s="915">
        <v>7613210000</v>
      </c>
      <c r="D1587" s="915" t="s">
        <v>3254</v>
      </c>
      <c r="E1587" s="915">
        <v>0</v>
      </c>
      <c r="F1587" s="915">
        <v>1880890</v>
      </c>
      <c r="G1587" s="838"/>
      <c r="H1587" s="838"/>
    </row>
    <row r="1588" spans="2:8">
      <c r="B1588" t="s">
        <v>2848</v>
      </c>
      <c r="C1588" s="915">
        <v>7613210000</v>
      </c>
      <c r="D1588" s="915" t="s">
        <v>3254</v>
      </c>
      <c r="E1588" s="915">
        <v>0</v>
      </c>
      <c r="F1588" s="915">
        <v>7099279</v>
      </c>
      <c r="G1588" s="838"/>
      <c r="H1588" s="838"/>
    </row>
    <row r="1589" spans="2:8">
      <c r="B1589" t="s">
        <v>2848</v>
      </c>
      <c r="C1589" s="915">
        <v>7613210000</v>
      </c>
      <c r="D1589" s="915" t="s">
        <v>3254</v>
      </c>
      <c r="E1589" s="915">
        <v>1866614</v>
      </c>
      <c r="F1589" s="915">
        <v>10668062</v>
      </c>
      <c r="G1589" s="838"/>
      <c r="H1589" s="838"/>
    </row>
    <row r="1590" spans="2:8">
      <c r="B1590" t="s">
        <v>2848</v>
      </c>
      <c r="C1590" s="915">
        <v>7613210000</v>
      </c>
      <c r="D1590" s="915" t="s">
        <v>3254</v>
      </c>
      <c r="E1590" s="915">
        <v>1166177</v>
      </c>
      <c r="F1590" s="915">
        <v>1841573</v>
      </c>
      <c r="G1590" s="838"/>
      <c r="H1590" s="838"/>
    </row>
    <row r="1591" spans="2:8">
      <c r="B1591" t="s">
        <v>2848</v>
      </c>
      <c r="C1591" s="915">
        <v>7613210000</v>
      </c>
      <c r="D1591" s="915" t="s">
        <v>3254</v>
      </c>
      <c r="E1591" s="915">
        <v>0</v>
      </c>
      <c r="F1591" s="915">
        <v>1722876</v>
      </c>
      <c r="G1591" s="838"/>
      <c r="H1591" s="838"/>
    </row>
    <row r="1592" spans="2:8">
      <c r="B1592" t="s">
        <v>2848</v>
      </c>
      <c r="C1592" s="915">
        <v>7613210000</v>
      </c>
      <c r="D1592" s="915" t="s">
        <v>3254</v>
      </c>
      <c r="E1592" s="915">
        <v>732037</v>
      </c>
      <c r="F1592" s="915">
        <v>2840904</v>
      </c>
      <c r="G1592" s="838"/>
      <c r="H1592" s="838"/>
    </row>
    <row r="1593" spans="2:8">
      <c r="B1593" t="s">
        <v>2848</v>
      </c>
      <c r="C1593" s="915">
        <v>7613210000</v>
      </c>
      <c r="D1593" s="915" t="s">
        <v>3254</v>
      </c>
      <c r="E1593" s="915">
        <v>426236</v>
      </c>
      <c r="F1593" s="915">
        <v>8028537</v>
      </c>
      <c r="G1593" s="838"/>
      <c r="H1593" s="838"/>
    </row>
    <row r="1594" spans="2:8">
      <c r="B1594" t="s">
        <v>2848</v>
      </c>
      <c r="C1594" s="915">
        <v>7613210000</v>
      </c>
      <c r="D1594" s="915" t="s">
        <v>3254</v>
      </c>
      <c r="E1594" s="915">
        <v>1331935</v>
      </c>
      <c r="F1594" s="915">
        <v>9807398</v>
      </c>
      <c r="G1594" s="838"/>
      <c r="H1594" s="838"/>
    </row>
    <row r="1595" spans="2:8">
      <c r="B1595" t="s">
        <v>2848</v>
      </c>
      <c r="C1595" s="915">
        <v>7613210000</v>
      </c>
      <c r="D1595" s="915" t="s">
        <v>3254</v>
      </c>
      <c r="E1595" s="915">
        <v>2661901</v>
      </c>
      <c r="F1595" s="915">
        <v>8836852</v>
      </c>
      <c r="G1595" s="838"/>
      <c r="H1595" s="838"/>
    </row>
    <row r="1596" spans="2:8">
      <c r="B1596" t="s">
        <v>2848</v>
      </c>
      <c r="C1596" s="915">
        <v>7613210000</v>
      </c>
      <c r="D1596" s="915" t="s">
        <v>3254</v>
      </c>
      <c r="E1596" s="915">
        <v>1580954</v>
      </c>
      <c r="F1596" s="915">
        <v>10512975</v>
      </c>
      <c r="G1596" s="838"/>
      <c r="H1596" s="838"/>
    </row>
    <row r="1597" spans="2:8">
      <c r="B1597" t="s">
        <v>2848</v>
      </c>
      <c r="C1597" s="915">
        <v>7613210000</v>
      </c>
      <c r="D1597" s="915" t="s">
        <v>3254</v>
      </c>
      <c r="E1597" s="915">
        <v>3475309</v>
      </c>
      <c r="F1597" s="915">
        <v>15827379</v>
      </c>
      <c r="G1597" s="838"/>
      <c r="H1597" s="838"/>
    </row>
    <row r="1598" spans="2:8">
      <c r="B1598" t="s">
        <v>2848</v>
      </c>
      <c r="C1598" s="915">
        <v>7613210000</v>
      </c>
      <c r="D1598" s="915" t="s">
        <v>3254</v>
      </c>
      <c r="E1598" s="915">
        <v>2892673</v>
      </c>
      <c r="F1598" s="915">
        <v>17194979</v>
      </c>
      <c r="G1598" s="838"/>
      <c r="H1598" s="838"/>
    </row>
    <row r="1599" spans="2:8">
      <c r="B1599" t="s">
        <v>2848</v>
      </c>
      <c r="C1599" s="915">
        <v>7613210000</v>
      </c>
      <c r="D1599" s="915" t="s">
        <v>3254</v>
      </c>
      <c r="E1599" s="915">
        <v>4904217</v>
      </c>
      <c r="F1599" s="915">
        <v>12946433</v>
      </c>
      <c r="G1599" s="838"/>
      <c r="H1599" s="838"/>
    </row>
    <row r="1600" spans="2:8">
      <c r="B1600" t="s">
        <v>2848</v>
      </c>
      <c r="C1600" s="915">
        <v>7613210000</v>
      </c>
      <c r="D1600" s="915" t="s">
        <v>3254</v>
      </c>
      <c r="E1600" s="915">
        <v>0</v>
      </c>
      <c r="F1600" s="915">
        <v>27948</v>
      </c>
      <c r="G1600" s="838"/>
      <c r="H1600" s="838"/>
    </row>
    <row r="1601" spans="2:8">
      <c r="B1601" t="s">
        <v>2848</v>
      </c>
      <c r="C1601" s="915">
        <v>7613210000</v>
      </c>
      <c r="D1601" s="915" t="s">
        <v>3254</v>
      </c>
      <c r="E1601" s="915">
        <v>0</v>
      </c>
      <c r="F1601" s="915">
        <v>1374195</v>
      </c>
      <c r="G1601" s="838"/>
      <c r="H1601" s="838"/>
    </row>
    <row r="1602" spans="2:8">
      <c r="B1602" t="s">
        <v>2848</v>
      </c>
      <c r="C1602" s="915">
        <v>7613210000</v>
      </c>
      <c r="D1602" s="915" t="s">
        <v>3254</v>
      </c>
      <c r="E1602" s="915">
        <v>0</v>
      </c>
      <c r="F1602" s="915">
        <v>586594</v>
      </c>
      <c r="G1602" s="838"/>
      <c r="H1602" s="838"/>
    </row>
    <row r="1603" spans="2:8">
      <c r="B1603" t="s">
        <v>2848</v>
      </c>
      <c r="C1603" s="915">
        <v>7615000000</v>
      </c>
      <c r="D1603" s="915" t="s">
        <v>3255</v>
      </c>
      <c r="E1603" s="915">
        <v>22379186</v>
      </c>
      <c r="F1603" s="915">
        <v>104715056</v>
      </c>
      <c r="G1603" s="838"/>
      <c r="H1603" s="838"/>
    </row>
    <row r="1604" spans="2:8">
      <c r="B1604" t="s">
        <v>2848</v>
      </c>
      <c r="C1604" s="915">
        <v>7615000000</v>
      </c>
      <c r="D1604" s="915" t="s">
        <v>3255</v>
      </c>
      <c r="E1604" s="915">
        <v>15000</v>
      </c>
      <c r="F1604" s="915">
        <v>1012017</v>
      </c>
      <c r="G1604" s="838"/>
      <c r="H1604" s="838"/>
    </row>
    <row r="1605" spans="2:8">
      <c r="B1605" t="s">
        <v>2848</v>
      </c>
      <c r="C1605" s="915">
        <v>7615000000</v>
      </c>
      <c r="D1605" s="915" t="s">
        <v>3255</v>
      </c>
      <c r="E1605" s="915">
        <v>2000</v>
      </c>
      <c r="F1605" s="915">
        <v>579627</v>
      </c>
      <c r="G1605" s="838"/>
      <c r="H1605" s="838"/>
    </row>
    <row r="1606" spans="2:8">
      <c r="B1606" t="s">
        <v>2848</v>
      </c>
      <c r="C1606" s="915">
        <v>7615000000</v>
      </c>
      <c r="D1606" s="915" t="s">
        <v>3255</v>
      </c>
      <c r="E1606" s="915">
        <v>65982</v>
      </c>
      <c r="F1606" s="915">
        <v>777617</v>
      </c>
      <c r="G1606" s="838"/>
      <c r="H1606" s="838"/>
    </row>
    <row r="1607" spans="2:8">
      <c r="B1607" t="s">
        <v>2848</v>
      </c>
      <c r="C1607" s="915">
        <v>7615000000</v>
      </c>
      <c r="D1607" s="915" t="s">
        <v>3255</v>
      </c>
      <c r="E1607" s="915">
        <v>10670</v>
      </c>
      <c r="F1607" s="915">
        <v>1377126</v>
      </c>
      <c r="G1607" s="838"/>
      <c r="H1607" s="838"/>
    </row>
    <row r="1608" spans="2:8">
      <c r="B1608" t="s">
        <v>2848</v>
      </c>
      <c r="C1608" s="915">
        <v>7615000000</v>
      </c>
      <c r="D1608" s="915" t="s">
        <v>3255</v>
      </c>
      <c r="E1608" s="915">
        <v>64740</v>
      </c>
      <c r="F1608" s="915">
        <v>1567605</v>
      </c>
      <c r="G1608" s="838"/>
      <c r="H1608" s="838"/>
    </row>
    <row r="1609" spans="2:8">
      <c r="B1609" t="s">
        <v>2848</v>
      </c>
      <c r="C1609" s="915">
        <v>7615000000</v>
      </c>
      <c r="D1609" s="915" t="s">
        <v>3255</v>
      </c>
      <c r="E1609" s="915">
        <v>0</v>
      </c>
      <c r="F1609" s="915">
        <v>425348</v>
      </c>
      <c r="G1609" s="838"/>
      <c r="H1609" s="838"/>
    </row>
    <row r="1610" spans="2:8">
      <c r="B1610" t="s">
        <v>2848</v>
      </c>
      <c r="C1610" s="915">
        <v>7615000000</v>
      </c>
      <c r="D1610" s="915" t="s">
        <v>3255</v>
      </c>
      <c r="E1610" s="915">
        <v>0</v>
      </c>
      <c r="F1610" s="915">
        <v>386793</v>
      </c>
      <c r="G1610" s="838"/>
      <c r="H1610" s="838"/>
    </row>
    <row r="1611" spans="2:8">
      <c r="B1611" t="s">
        <v>2848</v>
      </c>
      <c r="C1611" s="915">
        <v>7615000000</v>
      </c>
      <c r="D1611" s="915" t="s">
        <v>3255</v>
      </c>
      <c r="E1611" s="915">
        <v>11411</v>
      </c>
      <c r="F1611" s="915">
        <v>1234703</v>
      </c>
      <c r="G1611" s="838"/>
      <c r="H1611" s="838"/>
    </row>
    <row r="1612" spans="2:8">
      <c r="B1612" t="s">
        <v>2848</v>
      </c>
      <c r="C1612" s="915">
        <v>7615000000</v>
      </c>
      <c r="D1612" s="915" t="s">
        <v>3255</v>
      </c>
      <c r="E1612" s="915">
        <v>14000</v>
      </c>
      <c r="F1612" s="915">
        <v>610830</v>
      </c>
      <c r="G1612" s="838"/>
      <c r="H1612" s="838"/>
    </row>
    <row r="1613" spans="2:8">
      <c r="B1613" t="s">
        <v>2848</v>
      </c>
      <c r="C1613" s="915">
        <v>7615000000</v>
      </c>
      <c r="D1613" s="915" t="s">
        <v>3255</v>
      </c>
      <c r="E1613" s="915">
        <v>0</v>
      </c>
      <c r="F1613" s="915">
        <v>461413</v>
      </c>
      <c r="G1613" s="838"/>
      <c r="H1613" s="838"/>
    </row>
    <row r="1614" spans="2:8">
      <c r="B1614" t="s">
        <v>2848</v>
      </c>
      <c r="C1614" s="915">
        <v>7615000000</v>
      </c>
      <c r="D1614" s="915" t="s">
        <v>3255</v>
      </c>
      <c r="E1614" s="915">
        <v>9834</v>
      </c>
      <c r="F1614" s="915">
        <v>414302</v>
      </c>
      <c r="G1614" s="838"/>
      <c r="H1614" s="838"/>
    </row>
    <row r="1615" spans="2:8">
      <c r="B1615" t="s">
        <v>2848</v>
      </c>
      <c r="C1615" s="915">
        <v>7615000000</v>
      </c>
      <c r="D1615" s="915" t="s">
        <v>3255</v>
      </c>
      <c r="E1615" s="915">
        <v>7339</v>
      </c>
      <c r="F1615" s="915">
        <v>749053</v>
      </c>
      <c r="G1615" s="838"/>
      <c r="H1615" s="838"/>
    </row>
    <row r="1616" spans="2:8">
      <c r="B1616" t="s">
        <v>2848</v>
      </c>
      <c r="C1616" s="915">
        <v>7615000000</v>
      </c>
      <c r="D1616" s="915" t="s">
        <v>3255</v>
      </c>
      <c r="E1616" s="915">
        <v>55000</v>
      </c>
      <c r="F1616" s="915">
        <v>805333</v>
      </c>
      <c r="G1616" s="838"/>
      <c r="H1616" s="838"/>
    </row>
    <row r="1617" spans="2:8">
      <c r="B1617" t="s">
        <v>2848</v>
      </c>
      <c r="C1617" s="915">
        <v>7615000000</v>
      </c>
      <c r="D1617" s="915" t="s">
        <v>3255</v>
      </c>
      <c r="E1617" s="915">
        <v>8000</v>
      </c>
      <c r="F1617" s="915">
        <v>306218</v>
      </c>
      <c r="G1617" s="838"/>
      <c r="H1617" s="838"/>
    </row>
    <row r="1618" spans="2:8">
      <c r="B1618" t="s">
        <v>2848</v>
      </c>
      <c r="C1618" s="915">
        <v>7615000000</v>
      </c>
      <c r="D1618" s="915" t="s">
        <v>3255</v>
      </c>
      <c r="E1618" s="915">
        <v>0</v>
      </c>
      <c r="F1618" s="915">
        <v>277976</v>
      </c>
      <c r="G1618" s="838"/>
      <c r="H1618" s="838"/>
    </row>
    <row r="1619" spans="2:8">
      <c r="B1619" t="s">
        <v>2848</v>
      </c>
      <c r="C1619" s="915">
        <v>7615000000</v>
      </c>
      <c r="D1619" s="915" t="s">
        <v>3255</v>
      </c>
      <c r="E1619" s="915">
        <v>32269</v>
      </c>
      <c r="F1619" s="915">
        <v>441839</v>
      </c>
      <c r="G1619" s="838"/>
      <c r="H1619" s="838"/>
    </row>
    <row r="1620" spans="2:8">
      <c r="B1620" t="s">
        <v>2848</v>
      </c>
      <c r="C1620" s="915">
        <v>7615000000</v>
      </c>
      <c r="D1620" s="915" t="s">
        <v>3255</v>
      </c>
      <c r="E1620" s="915">
        <v>15000</v>
      </c>
      <c r="F1620" s="915">
        <v>494480</v>
      </c>
      <c r="G1620" s="838"/>
      <c r="H1620" s="838"/>
    </row>
    <row r="1621" spans="2:8">
      <c r="B1621" t="s">
        <v>2848</v>
      </c>
      <c r="C1621" s="915">
        <v>7615000000</v>
      </c>
      <c r="D1621" s="915" t="s">
        <v>3255</v>
      </c>
      <c r="E1621" s="915">
        <v>14000</v>
      </c>
      <c r="F1621" s="915">
        <v>432080</v>
      </c>
      <c r="G1621" s="838"/>
      <c r="H1621" s="838"/>
    </row>
    <row r="1622" spans="2:8">
      <c r="B1622" t="s">
        <v>2848</v>
      </c>
      <c r="C1622" s="915">
        <v>7615000000</v>
      </c>
      <c r="D1622" s="915" t="s">
        <v>3255</v>
      </c>
      <c r="E1622" s="915">
        <v>0</v>
      </c>
      <c r="F1622" s="915">
        <v>314402</v>
      </c>
      <c r="G1622" s="838"/>
      <c r="H1622" s="838"/>
    </row>
    <row r="1623" spans="2:8">
      <c r="B1623" t="s">
        <v>2848</v>
      </c>
      <c r="C1623" s="915">
        <v>7615000000</v>
      </c>
      <c r="D1623" s="915" t="s">
        <v>3255</v>
      </c>
      <c r="E1623" s="915">
        <v>0</v>
      </c>
      <c r="F1623" s="915">
        <v>10000</v>
      </c>
      <c r="G1623" s="838"/>
      <c r="H1623" s="838"/>
    </row>
    <row r="1624" spans="2:8">
      <c r="B1624" t="s">
        <v>2848</v>
      </c>
      <c r="C1624" s="915">
        <v>7615000000</v>
      </c>
      <c r="D1624" s="915" t="s">
        <v>3255</v>
      </c>
      <c r="E1624" s="915">
        <v>0</v>
      </c>
      <c r="F1624" s="915">
        <v>586770</v>
      </c>
      <c r="G1624" s="838"/>
      <c r="H1624" s="838"/>
    </row>
    <row r="1625" spans="2:8">
      <c r="B1625" t="s">
        <v>2848</v>
      </c>
      <c r="C1625" s="915">
        <v>7615000000</v>
      </c>
      <c r="D1625" s="915" t="s">
        <v>3255</v>
      </c>
      <c r="E1625" s="915">
        <v>0</v>
      </c>
      <c r="F1625" s="915">
        <v>34981</v>
      </c>
      <c r="G1625" s="838"/>
      <c r="H1625" s="838"/>
    </row>
    <row r="1626" spans="2:8">
      <c r="B1626" t="s">
        <v>2848</v>
      </c>
      <c r="C1626" s="915">
        <v>7615010000</v>
      </c>
      <c r="D1626" s="915" t="s">
        <v>3256</v>
      </c>
      <c r="E1626" s="915">
        <v>7853496</v>
      </c>
      <c r="F1626" s="915">
        <v>8554997</v>
      </c>
      <c r="G1626" s="838"/>
      <c r="H1626" s="838"/>
    </row>
    <row r="1627" spans="2:8">
      <c r="B1627" t="s">
        <v>2848</v>
      </c>
      <c r="C1627" s="915">
        <v>7615010000</v>
      </c>
      <c r="D1627" s="915" t="s">
        <v>3256</v>
      </c>
      <c r="E1627" s="915">
        <v>137718</v>
      </c>
      <c r="F1627" s="915">
        <v>0</v>
      </c>
      <c r="G1627" s="838"/>
      <c r="H1627" s="838"/>
    </row>
    <row r="1628" spans="2:8">
      <c r="B1628" t="s">
        <v>2848</v>
      </c>
      <c r="C1628" s="915">
        <v>7615010000</v>
      </c>
      <c r="D1628" s="915" t="s">
        <v>3256</v>
      </c>
      <c r="E1628" s="915">
        <v>109142</v>
      </c>
      <c r="F1628" s="915">
        <v>0</v>
      </c>
      <c r="G1628" s="838"/>
      <c r="H1628" s="838"/>
    </row>
    <row r="1629" spans="2:8">
      <c r="B1629" t="s">
        <v>2848</v>
      </c>
      <c r="C1629" s="915">
        <v>7615010000</v>
      </c>
      <c r="D1629" s="915" t="s">
        <v>3256</v>
      </c>
      <c r="E1629" s="915">
        <v>778167</v>
      </c>
      <c r="F1629" s="915">
        <v>1722106</v>
      </c>
      <c r="G1629" s="838"/>
      <c r="H1629" s="838"/>
    </row>
    <row r="1630" spans="2:8">
      <c r="B1630" t="s">
        <v>2848</v>
      </c>
      <c r="C1630" s="915">
        <v>7615010000</v>
      </c>
      <c r="D1630" s="915" t="s">
        <v>3256</v>
      </c>
      <c r="E1630" s="915">
        <v>208431</v>
      </c>
      <c r="F1630" s="915">
        <v>562986</v>
      </c>
      <c r="G1630" s="838"/>
      <c r="H1630" s="838"/>
    </row>
    <row r="1631" spans="2:8">
      <c r="B1631" t="s">
        <v>2848</v>
      </c>
      <c r="C1631" s="915">
        <v>7615010000</v>
      </c>
      <c r="D1631" s="915" t="s">
        <v>3256</v>
      </c>
      <c r="E1631" s="915">
        <v>426378</v>
      </c>
      <c r="F1631" s="915">
        <v>900844</v>
      </c>
      <c r="G1631" s="838"/>
      <c r="H1631" s="838"/>
    </row>
    <row r="1632" spans="2:8">
      <c r="B1632" t="s">
        <v>2848</v>
      </c>
      <c r="C1632" s="915">
        <v>7615010000</v>
      </c>
      <c r="D1632" s="915" t="s">
        <v>3256</v>
      </c>
      <c r="E1632" s="915">
        <v>965416</v>
      </c>
      <c r="F1632" s="915">
        <v>1873021</v>
      </c>
      <c r="G1632" s="838"/>
      <c r="H1632" s="838"/>
    </row>
    <row r="1633" spans="2:8">
      <c r="B1633" t="s">
        <v>2848</v>
      </c>
      <c r="C1633" s="915">
        <v>7615010000</v>
      </c>
      <c r="D1633" s="915" t="s">
        <v>3256</v>
      </c>
      <c r="E1633" s="915">
        <v>703830</v>
      </c>
      <c r="F1633" s="915">
        <v>1443602</v>
      </c>
      <c r="G1633" s="838"/>
      <c r="H1633" s="838"/>
    </row>
    <row r="1634" spans="2:8">
      <c r="B1634" t="s">
        <v>2848</v>
      </c>
      <c r="C1634" s="915">
        <v>7615010000</v>
      </c>
      <c r="D1634" s="915" t="s">
        <v>3256</v>
      </c>
      <c r="E1634" s="915">
        <v>623819</v>
      </c>
      <c r="F1634" s="915">
        <v>1200398</v>
      </c>
      <c r="G1634" s="838"/>
      <c r="H1634" s="838"/>
    </row>
    <row r="1635" spans="2:8">
      <c r="B1635" t="s">
        <v>2848</v>
      </c>
      <c r="C1635" s="915">
        <v>7615010000</v>
      </c>
      <c r="D1635" s="915" t="s">
        <v>3256</v>
      </c>
      <c r="E1635" s="915">
        <v>323974</v>
      </c>
      <c r="F1635" s="915">
        <v>816902</v>
      </c>
      <c r="G1635" s="838"/>
      <c r="H1635" s="838"/>
    </row>
    <row r="1636" spans="2:8">
      <c r="B1636" t="s">
        <v>2848</v>
      </c>
      <c r="C1636" s="915">
        <v>7615010000</v>
      </c>
      <c r="D1636" s="915" t="s">
        <v>3256</v>
      </c>
      <c r="E1636" s="915">
        <v>782735</v>
      </c>
      <c r="F1636" s="915">
        <v>1849015</v>
      </c>
      <c r="G1636" s="838"/>
      <c r="H1636" s="838"/>
    </row>
    <row r="1637" spans="2:8">
      <c r="B1637" t="s">
        <v>2848</v>
      </c>
      <c r="C1637" s="915">
        <v>7615010000</v>
      </c>
      <c r="D1637" s="915" t="s">
        <v>3256</v>
      </c>
      <c r="E1637" s="915">
        <v>404522</v>
      </c>
      <c r="F1637" s="915">
        <v>652035</v>
      </c>
      <c r="G1637" s="838"/>
      <c r="H1637" s="838"/>
    </row>
    <row r="1638" spans="2:8">
      <c r="B1638" t="s">
        <v>2848</v>
      </c>
      <c r="C1638" s="915">
        <v>7615010000</v>
      </c>
      <c r="D1638" s="915" t="s">
        <v>3256</v>
      </c>
      <c r="E1638" s="915">
        <v>434400</v>
      </c>
      <c r="F1638" s="915">
        <v>1318851</v>
      </c>
      <c r="G1638" s="838"/>
      <c r="H1638" s="838"/>
    </row>
    <row r="1639" spans="2:8">
      <c r="B1639" t="s">
        <v>2848</v>
      </c>
      <c r="C1639" s="915">
        <v>7615010000</v>
      </c>
      <c r="D1639" s="915" t="s">
        <v>3256</v>
      </c>
      <c r="E1639" s="915">
        <v>179476</v>
      </c>
      <c r="F1639" s="915">
        <v>506569</v>
      </c>
      <c r="G1639" s="838"/>
      <c r="H1639" s="838"/>
    </row>
    <row r="1640" spans="2:8">
      <c r="B1640" t="s">
        <v>2848</v>
      </c>
      <c r="C1640" s="915">
        <v>7615010000</v>
      </c>
      <c r="D1640" s="915" t="s">
        <v>3256</v>
      </c>
      <c r="E1640" s="915">
        <v>239170</v>
      </c>
      <c r="F1640" s="915">
        <v>577725</v>
      </c>
      <c r="G1640" s="838"/>
      <c r="H1640" s="838"/>
    </row>
    <row r="1641" spans="2:8">
      <c r="B1641" t="s">
        <v>2848</v>
      </c>
      <c r="C1641" s="915">
        <v>7615010000</v>
      </c>
      <c r="D1641" s="915" t="s">
        <v>3256</v>
      </c>
      <c r="E1641" s="915">
        <v>266173</v>
      </c>
      <c r="F1641" s="915">
        <v>512353</v>
      </c>
      <c r="G1641" s="838"/>
      <c r="H1641" s="838"/>
    </row>
    <row r="1642" spans="2:8">
      <c r="B1642" t="s">
        <v>2848</v>
      </c>
      <c r="C1642" s="915">
        <v>7615010000</v>
      </c>
      <c r="D1642" s="915" t="s">
        <v>3256</v>
      </c>
      <c r="E1642" s="915">
        <v>182492</v>
      </c>
      <c r="F1642" s="915">
        <v>471006</v>
      </c>
      <c r="G1642" s="838"/>
      <c r="H1642" s="838"/>
    </row>
    <row r="1643" spans="2:8">
      <c r="B1643" t="s">
        <v>2848</v>
      </c>
      <c r="C1643" s="915">
        <v>7615010000</v>
      </c>
      <c r="D1643" s="915" t="s">
        <v>3256</v>
      </c>
      <c r="E1643" s="915">
        <v>103231</v>
      </c>
      <c r="F1643" s="915">
        <v>368713</v>
      </c>
      <c r="G1643" s="838"/>
      <c r="H1643" s="838"/>
    </row>
    <row r="1644" spans="2:8">
      <c r="B1644" t="s">
        <v>2848</v>
      </c>
      <c r="C1644" s="915">
        <v>7615010000</v>
      </c>
      <c r="D1644" s="915" t="s">
        <v>3256</v>
      </c>
      <c r="E1644" s="915">
        <v>178547</v>
      </c>
      <c r="F1644" s="915">
        <v>466869</v>
      </c>
      <c r="G1644" s="838"/>
      <c r="H1644" s="838"/>
    </row>
    <row r="1645" spans="2:8">
      <c r="B1645" t="s">
        <v>2848</v>
      </c>
      <c r="C1645" s="915">
        <v>7615010000</v>
      </c>
      <c r="D1645" s="915" t="s">
        <v>3256</v>
      </c>
      <c r="E1645" s="915">
        <v>303691</v>
      </c>
      <c r="F1645" s="915">
        <v>528161</v>
      </c>
      <c r="G1645" s="838"/>
      <c r="H1645" s="838"/>
    </row>
    <row r="1646" spans="2:8">
      <c r="B1646" t="s">
        <v>2848</v>
      </c>
      <c r="C1646" s="915">
        <v>7615010000</v>
      </c>
      <c r="D1646" s="915" t="s">
        <v>3256</v>
      </c>
      <c r="E1646" s="915">
        <v>192890</v>
      </c>
      <c r="F1646" s="915">
        <v>558365</v>
      </c>
      <c r="G1646" s="838"/>
      <c r="H1646" s="838"/>
    </row>
    <row r="1647" spans="2:8">
      <c r="B1647" t="s">
        <v>2848</v>
      </c>
      <c r="C1647" s="915">
        <v>7615010000</v>
      </c>
      <c r="D1647" s="915" t="s">
        <v>3256</v>
      </c>
      <c r="E1647" s="915">
        <v>174576</v>
      </c>
      <c r="F1647" s="915">
        <v>484232</v>
      </c>
      <c r="G1647" s="838"/>
      <c r="H1647" s="838"/>
    </row>
    <row r="1648" spans="2:8">
      <c r="B1648" t="s">
        <v>2848</v>
      </c>
      <c r="C1648" s="915">
        <v>7615010000</v>
      </c>
      <c r="D1648" s="915" t="s">
        <v>3256</v>
      </c>
      <c r="E1648" s="915">
        <v>0</v>
      </c>
      <c r="F1648" s="915">
        <v>6116</v>
      </c>
      <c r="G1648" s="838"/>
      <c r="H1648" s="838"/>
    </row>
    <row r="1649" spans="2:8">
      <c r="B1649" t="s">
        <v>2848</v>
      </c>
      <c r="C1649" s="915">
        <v>7615010000</v>
      </c>
      <c r="D1649" s="915" t="s">
        <v>3256</v>
      </c>
      <c r="E1649" s="915">
        <v>0</v>
      </c>
      <c r="F1649" s="915">
        <v>77957</v>
      </c>
      <c r="G1649" s="838"/>
      <c r="H1649" s="838"/>
    </row>
    <row r="1650" spans="2:8">
      <c r="B1650" t="s">
        <v>2848</v>
      </c>
      <c r="C1650" s="915">
        <v>7615010000</v>
      </c>
      <c r="D1650" s="915" t="s">
        <v>3256</v>
      </c>
      <c r="E1650" s="915">
        <v>31241</v>
      </c>
      <c r="F1650" s="915">
        <v>0</v>
      </c>
      <c r="G1650" s="838"/>
      <c r="H1650" s="838"/>
    </row>
    <row r="1651" spans="2:8">
      <c r="B1651" t="s">
        <v>2848</v>
      </c>
      <c r="C1651" s="915">
        <v>7615020000</v>
      </c>
      <c r="D1651" s="915" t="s">
        <v>3257</v>
      </c>
      <c r="E1651" s="915">
        <v>3298864</v>
      </c>
      <c r="F1651" s="915">
        <v>14821162</v>
      </c>
      <c r="G1651" s="838"/>
      <c r="H1651" s="838"/>
    </row>
    <row r="1652" spans="2:8">
      <c r="B1652" t="s">
        <v>2848</v>
      </c>
      <c r="C1652" s="915">
        <v>7615020000</v>
      </c>
      <c r="D1652" s="915" t="s">
        <v>3257</v>
      </c>
      <c r="E1652" s="915">
        <v>0</v>
      </c>
      <c r="F1652" s="915">
        <v>13360</v>
      </c>
      <c r="G1652" s="838"/>
      <c r="H1652" s="838"/>
    </row>
    <row r="1653" spans="2:8">
      <c r="B1653" t="s">
        <v>2848</v>
      </c>
      <c r="C1653" s="915">
        <v>7615020000</v>
      </c>
      <c r="D1653" s="915" t="s">
        <v>3257</v>
      </c>
      <c r="E1653" s="915">
        <v>0</v>
      </c>
      <c r="F1653" s="915">
        <v>16140</v>
      </c>
      <c r="G1653" s="838"/>
      <c r="H1653" s="838"/>
    </row>
    <row r="1654" spans="2:8">
      <c r="B1654" t="s">
        <v>2848</v>
      </c>
      <c r="C1654" s="915">
        <v>7615020000</v>
      </c>
      <c r="D1654" s="915" t="s">
        <v>3257</v>
      </c>
      <c r="E1654" s="915">
        <v>0</v>
      </c>
      <c r="F1654" s="915">
        <v>4000</v>
      </c>
      <c r="G1654" s="838"/>
      <c r="H1654" s="838"/>
    </row>
    <row r="1655" spans="2:8">
      <c r="B1655" t="s">
        <v>2848</v>
      </c>
      <c r="C1655" s="915">
        <v>7615020000</v>
      </c>
      <c r="D1655" s="915" t="s">
        <v>3257</v>
      </c>
      <c r="E1655" s="915">
        <v>0</v>
      </c>
      <c r="F1655" s="915">
        <v>12000</v>
      </c>
      <c r="G1655" s="838"/>
      <c r="H1655" s="838"/>
    </row>
    <row r="1656" spans="2:8">
      <c r="B1656" t="s">
        <v>2848</v>
      </c>
      <c r="C1656" s="915">
        <v>7615020000</v>
      </c>
      <c r="D1656" s="915" t="s">
        <v>3257</v>
      </c>
      <c r="E1656" s="915">
        <v>0</v>
      </c>
      <c r="F1656" s="915">
        <v>28000</v>
      </c>
      <c r="G1656" s="838"/>
      <c r="H1656" s="838"/>
    </row>
    <row r="1657" spans="2:8">
      <c r="B1657" t="s">
        <v>2848</v>
      </c>
      <c r="C1657" s="915">
        <v>7615020000</v>
      </c>
      <c r="D1657" s="915" t="s">
        <v>3257</v>
      </c>
      <c r="E1657" s="915">
        <v>0</v>
      </c>
      <c r="F1657" s="915">
        <v>4000</v>
      </c>
      <c r="G1657" s="838"/>
      <c r="H1657" s="838"/>
    </row>
    <row r="1658" spans="2:8">
      <c r="B1658" t="s">
        <v>2848</v>
      </c>
      <c r="C1658" s="915">
        <v>7615020000</v>
      </c>
      <c r="D1658" s="915" t="s">
        <v>3257</v>
      </c>
      <c r="E1658" s="915">
        <v>0</v>
      </c>
      <c r="F1658" s="915">
        <v>5500</v>
      </c>
      <c r="G1658" s="838"/>
      <c r="H1658" s="838"/>
    </row>
    <row r="1659" spans="2:8">
      <c r="B1659" t="s">
        <v>2848</v>
      </c>
      <c r="C1659" s="915">
        <v>7615020000</v>
      </c>
      <c r="D1659" s="915" t="s">
        <v>3257</v>
      </c>
      <c r="E1659" s="915">
        <v>0</v>
      </c>
      <c r="F1659" s="915">
        <v>29500</v>
      </c>
      <c r="G1659" s="838"/>
      <c r="H1659" s="838"/>
    </row>
    <row r="1660" spans="2:8">
      <c r="B1660" t="s">
        <v>2848</v>
      </c>
      <c r="C1660" s="915">
        <v>7615430000</v>
      </c>
      <c r="D1660" s="915" t="s">
        <v>3258</v>
      </c>
      <c r="E1660" s="915">
        <v>9320110</v>
      </c>
      <c r="F1660" s="915">
        <v>28949022</v>
      </c>
      <c r="G1660" s="838"/>
      <c r="H1660" s="838"/>
    </row>
    <row r="1661" spans="2:8">
      <c r="B1661" t="s">
        <v>2848</v>
      </c>
      <c r="C1661" s="915">
        <v>7615430000</v>
      </c>
      <c r="D1661" s="915" t="s">
        <v>3258</v>
      </c>
      <c r="E1661" s="915">
        <v>721629</v>
      </c>
      <c r="F1661" s="915">
        <v>2234323</v>
      </c>
      <c r="G1661" s="838"/>
      <c r="H1661" s="838"/>
    </row>
    <row r="1662" spans="2:8">
      <c r="B1662" t="s">
        <v>2848</v>
      </c>
      <c r="C1662" s="915">
        <v>7615430000</v>
      </c>
      <c r="D1662" s="915" t="s">
        <v>3258</v>
      </c>
      <c r="E1662" s="915">
        <v>411025</v>
      </c>
      <c r="F1662" s="915">
        <v>1271426</v>
      </c>
      <c r="G1662" s="838"/>
      <c r="H1662" s="838"/>
    </row>
    <row r="1663" spans="2:8">
      <c r="B1663" t="s">
        <v>2848</v>
      </c>
      <c r="C1663" s="915">
        <v>7615430000</v>
      </c>
      <c r="D1663" s="915" t="s">
        <v>3258</v>
      </c>
      <c r="E1663" s="915">
        <v>839739</v>
      </c>
      <c r="F1663" s="915">
        <v>2597580</v>
      </c>
      <c r="G1663" s="838"/>
      <c r="H1663" s="838"/>
    </row>
    <row r="1664" spans="2:8">
      <c r="B1664" t="s">
        <v>2848</v>
      </c>
      <c r="C1664" s="915">
        <v>7615430000</v>
      </c>
      <c r="D1664" s="915" t="s">
        <v>3258</v>
      </c>
      <c r="E1664" s="915">
        <v>806329</v>
      </c>
      <c r="F1664" s="915">
        <v>2494234</v>
      </c>
      <c r="G1664" s="838"/>
      <c r="H1664" s="838"/>
    </row>
    <row r="1665" spans="2:8">
      <c r="B1665" t="s">
        <v>2848</v>
      </c>
      <c r="C1665" s="915">
        <v>7615430000</v>
      </c>
      <c r="D1665" s="915" t="s">
        <v>3258</v>
      </c>
      <c r="E1665" s="915">
        <v>330351</v>
      </c>
      <c r="F1665" s="915">
        <v>1025657</v>
      </c>
      <c r="G1665" s="838"/>
      <c r="H1665" s="838"/>
    </row>
    <row r="1666" spans="2:8">
      <c r="B1666" t="s">
        <v>2848</v>
      </c>
      <c r="C1666" s="915">
        <v>7615430000</v>
      </c>
      <c r="D1666" s="915" t="s">
        <v>3258</v>
      </c>
      <c r="E1666" s="915">
        <v>62409</v>
      </c>
      <c r="F1666" s="915">
        <v>193051</v>
      </c>
      <c r="G1666" s="838"/>
      <c r="H1666" s="838"/>
    </row>
    <row r="1667" spans="2:8">
      <c r="B1667" t="s">
        <v>2848</v>
      </c>
      <c r="C1667" s="915">
        <v>7615430000</v>
      </c>
      <c r="D1667" s="915" t="s">
        <v>3258</v>
      </c>
      <c r="E1667" s="915">
        <v>152331</v>
      </c>
      <c r="F1667" s="915">
        <v>471208</v>
      </c>
      <c r="G1667" s="838"/>
      <c r="H1667" s="838"/>
    </row>
    <row r="1668" spans="2:8">
      <c r="B1668" t="s">
        <v>2848</v>
      </c>
      <c r="C1668" s="915">
        <v>7615430000</v>
      </c>
      <c r="D1668" s="915" t="s">
        <v>3258</v>
      </c>
      <c r="E1668" s="915">
        <v>135796</v>
      </c>
      <c r="F1668" s="915">
        <v>335023</v>
      </c>
      <c r="G1668" s="838"/>
      <c r="H1668" s="838"/>
    </row>
    <row r="1669" spans="2:8">
      <c r="B1669" t="s">
        <v>2848</v>
      </c>
      <c r="C1669" s="915">
        <v>7615430000</v>
      </c>
      <c r="D1669" s="915" t="s">
        <v>3258</v>
      </c>
      <c r="E1669" s="915">
        <v>1228536</v>
      </c>
      <c r="F1669" s="915">
        <v>3820140</v>
      </c>
      <c r="G1669" s="838"/>
      <c r="H1669" s="838"/>
    </row>
    <row r="1670" spans="2:8">
      <c r="B1670" t="s">
        <v>2848</v>
      </c>
      <c r="C1670" s="915">
        <v>7615430000</v>
      </c>
      <c r="D1670" s="915" t="s">
        <v>3258</v>
      </c>
      <c r="E1670" s="915">
        <v>243707</v>
      </c>
      <c r="F1670" s="915">
        <v>753871</v>
      </c>
      <c r="G1670" s="838"/>
      <c r="H1670" s="838"/>
    </row>
    <row r="1671" spans="2:8">
      <c r="B1671" t="s">
        <v>2848</v>
      </c>
      <c r="C1671" s="915">
        <v>7615430000</v>
      </c>
      <c r="D1671" s="915" t="s">
        <v>3258</v>
      </c>
      <c r="E1671" s="915">
        <v>318737</v>
      </c>
      <c r="F1671" s="915">
        <v>1014004</v>
      </c>
      <c r="G1671" s="838"/>
      <c r="H1671" s="838"/>
    </row>
    <row r="1672" spans="2:8">
      <c r="B1672" t="s">
        <v>2848</v>
      </c>
      <c r="C1672" s="915">
        <v>7615430000</v>
      </c>
      <c r="D1672" s="915" t="s">
        <v>3258</v>
      </c>
      <c r="E1672" s="915">
        <v>797269</v>
      </c>
      <c r="F1672" s="915">
        <v>2464197</v>
      </c>
      <c r="G1672" s="838"/>
      <c r="H1672" s="838"/>
    </row>
    <row r="1673" spans="2:8">
      <c r="B1673" t="s">
        <v>2848</v>
      </c>
      <c r="C1673" s="915">
        <v>7615430000</v>
      </c>
      <c r="D1673" s="915" t="s">
        <v>3258</v>
      </c>
      <c r="E1673" s="915">
        <v>623416</v>
      </c>
      <c r="F1673" s="915">
        <v>1928425</v>
      </c>
      <c r="G1673" s="838"/>
      <c r="H1673" s="838"/>
    </row>
    <row r="1674" spans="2:8">
      <c r="B1674" t="s">
        <v>2848</v>
      </c>
      <c r="C1674" s="915">
        <v>7615430000</v>
      </c>
      <c r="D1674" s="915" t="s">
        <v>3258</v>
      </c>
      <c r="E1674" s="915">
        <v>42512</v>
      </c>
      <c r="F1674" s="915">
        <v>123915</v>
      </c>
      <c r="G1674" s="838"/>
      <c r="H1674" s="838"/>
    </row>
    <row r="1675" spans="2:8">
      <c r="B1675" t="s">
        <v>2848</v>
      </c>
      <c r="C1675" s="915">
        <v>7615430000</v>
      </c>
      <c r="D1675" s="915" t="s">
        <v>3258</v>
      </c>
      <c r="E1675" s="915">
        <v>0</v>
      </c>
      <c r="F1675" s="915">
        <v>3929</v>
      </c>
      <c r="G1675" s="838"/>
      <c r="H1675" s="838"/>
    </row>
    <row r="1676" spans="2:8">
      <c r="B1676" t="s">
        <v>2848</v>
      </c>
      <c r="C1676" s="915">
        <v>7615430000</v>
      </c>
      <c r="D1676" s="915" t="s">
        <v>3258</v>
      </c>
      <c r="E1676" s="915">
        <v>453824</v>
      </c>
      <c r="F1676" s="915">
        <v>1403827</v>
      </c>
      <c r="G1676" s="838"/>
      <c r="H1676" s="838"/>
    </row>
    <row r="1677" spans="2:8">
      <c r="B1677" t="s">
        <v>2848</v>
      </c>
      <c r="C1677" s="915">
        <v>7615430000</v>
      </c>
      <c r="D1677" s="915" t="s">
        <v>3258</v>
      </c>
      <c r="E1677" s="915">
        <v>975677</v>
      </c>
      <c r="F1677" s="915">
        <v>3016691</v>
      </c>
      <c r="G1677" s="838"/>
      <c r="H1677" s="838"/>
    </row>
    <row r="1678" spans="2:8">
      <c r="B1678" t="s">
        <v>2848</v>
      </c>
      <c r="C1678" s="915">
        <v>7615430000</v>
      </c>
      <c r="D1678" s="915" t="s">
        <v>3258</v>
      </c>
      <c r="E1678" s="915">
        <v>349720</v>
      </c>
      <c r="F1678" s="915">
        <v>1080910</v>
      </c>
      <c r="G1678" s="838"/>
      <c r="H1678" s="838"/>
    </row>
    <row r="1679" spans="2:8">
      <c r="B1679" t="s">
        <v>2848</v>
      </c>
      <c r="C1679" s="915">
        <v>7615430000</v>
      </c>
      <c r="D1679" s="915" t="s">
        <v>3258</v>
      </c>
      <c r="E1679" s="915">
        <v>66129</v>
      </c>
      <c r="F1679" s="915">
        <v>205351</v>
      </c>
      <c r="G1679" s="838"/>
      <c r="H1679" s="838"/>
    </row>
    <row r="1680" spans="2:8">
      <c r="B1680" t="s">
        <v>2848</v>
      </c>
      <c r="C1680" s="915">
        <v>7615430000</v>
      </c>
      <c r="D1680" s="915" t="s">
        <v>3258</v>
      </c>
      <c r="E1680" s="915">
        <v>61116</v>
      </c>
      <c r="F1680" s="915">
        <v>189047</v>
      </c>
      <c r="G1680" s="838"/>
      <c r="H1680" s="838"/>
    </row>
    <row r="1681" spans="2:8">
      <c r="B1681" t="s">
        <v>2848</v>
      </c>
      <c r="C1681" s="915">
        <v>7615430000</v>
      </c>
      <c r="D1681" s="915" t="s">
        <v>3258</v>
      </c>
      <c r="E1681" s="915">
        <v>88461</v>
      </c>
      <c r="F1681" s="915">
        <v>286014</v>
      </c>
      <c r="G1681" s="838"/>
      <c r="H1681" s="838"/>
    </row>
    <row r="1682" spans="2:8">
      <c r="B1682" t="s">
        <v>2848</v>
      </c>
      <c r="C1682" s="915">
        <v>7615500000</v>
      </c>
      <c r="D1682" s="915" t="s">
        <v>3259</v>
      </c>
      <c r="E1682" s="915">
        <v>36831186</v>
      </c>
      <c r="F1682" s="915">
        <v>121479479</v>
      </c>
      <c r="G1682" s="838"/>
      <c r="H1682" s="838"/>
    </row>
    <row r="1683" spans="2:8">
      <c r="B1683" t="s">
        <v>2848</v>
      </c>
      <c r="C1683" s="915">
        <v>7615500000</v>
      </c>
      <c r="D1683" s="915" t="s">
        <v>3259</v>
      </c>
      <c r="E1683" s="915">
        <v>253320</v>
      </c>
      <c r="F1683" s="915">
        <v>831366</v>
      </c>
      <c r="G1683" s="838"/>
      <c r="H1683" s="838"/>
    </row>
    <row r="1684" spans="2:8">
      <c r="B1684" t="s">
        <v>2848</v>
      </c>
      <c r="C1684" s="915">
        <v>7615500000</v>
      </c>
      <c r="D1684" s="915" t="s">
        <v>3259</v>
      </c>
      <c r="E1684" s="915">
        <v>20400</v>
      </c>
      <c r="F1684" s="915">
        <v>0</v>
      </c>
      <c r="G1684" s="838"/>
      <c r="H1684" s="838"/>
    </row>
    <row r="1685" spans="2:8">
      <c r="B1685" t="s">
        <v>2848</v>
      </c>
      <c r="C1685" s="915">
        <v>7615500000</v>
      </c>
      <c r="D1685" s="915" t="s">
        <v>3259</v>
      </c>
      <c r="E1685" s="915">
        <v>420760</v>
      </c>
      <c r="F1685" s="915">
        <v>1430470</v>
      </c>
      <c r="G1685" s="838"/>
      <c r="H1685" s="838"/>
    </row>
    <row r="1686" spans="2:8">
      <c r="B1686" t="s">
        <v>2848</v>
      </c>
      <c r="C1686" s="915">
        <v>7615500000</v>
      </c>
      <c r="D1686" s="915" t="s">
        <v>3259</v>
      </c>
      <c r="E1686" s="915">
        <v>45080</v>
      </c>
      <c r="F1686" s="915">
        <v>318978</v>
      </c>
      <c r="G1686" s="838"/>
      <c r="H1686" s="838"/>
    </row>
    <row r="1687" spans="2:8">
      <c r="B1687" t="s">
        <v>2848</v>
      </c>
      <c r="C1687" s="915">
        <v>7615500000</v>
      </c>
      <c r="D1687" s="915" t="s">
        <v>3259</v>
      </c>
      <c r="E1687" s="915">
        <v>401440</v>
      </c>
      <c r="F1687" s="915">
        <v>1170463</v>
      </c>
      <c r="G1687" s="838"/>
      <c r="H1687" s="838"/>
    </row>
    <row r="1688" spans="2:8">
      <c r="B1688" t="s">
        <v>2848</v>
      </c>
      <c r="C1688" s="915">
        <v>7615500000</v>
      </c>
      <c r="D1688" s="915" t="s">
        <v>3259</v>
      </c>
      <c r="E1688" s="915">
        <v>109960</v>
      </c>
      <c r="F1688" s="915">
        <v>985386</v>
      </c>
      <c r="G1688" s="838"/>
      <c r="H1688" s="838"/>
    </row>
    <row r="1689" spans="2:8">
      <c r="B1689" t="s">
        <v>2848</v>
      </c>
      <c r="C1689" s="915">
        <v>7615500000</v>
      </c>
      <c r="D1689" s="915" t="s">
        <v>3259</v>
      </c>
      <c r="E1689" s="915">
        <v>113180</v>
      </c>
      <c r="F1689" s="915">
        <v>352692</v>
      </c>
      <c r="G1689" s="838"/>
      <c r="H1689" s="838"/>
    </row>
    <row r="1690" spans="2:8">
      <c r="B1690" t="s">
        <v>2848</v>
      </c>
      <c r="C1690" s="915">
        <v>7615500000</v>
      </c>
      <c r="D1690" s="915" t="s">
        <v>3259</v>
      </c>
      <c r="E1690" s="915">
        <v>3220</v>
      </c>
      <c r="F1690" s="915">
        <v>130487</v>
      </c>
      <c r="G1690" s="838"/>
      <c r="H1690" s="838"/>
    </row>
    <row r="1691" spans="2:8">
      <c r="B1691" t="s">
        <v>2848</v>
      </c>
      <c r="C1691" s="915">
        <v>7615500000</v>
      </c>
      <c r="D1691" s="915" t="s">
        <v>3259</v>
      </c>
      <c r="E1691" s="915">
        <v>51520</v>
      </c>
      <c r="F1691" s="915">
        <v>519421</v>
      </c>
      <c r="G1691" s="838"/>
      <c r="H1691" s="838"/>
    </row>
    <row r="1692" spans="2:8">
      <c r="B1692" t="s">
        <v>2848</v>
      </c>
      <c r="C1692" s="915">
        <v>7615500000</v>
      </c>
      <c r="D1692" s="915" t="s">
        <v>3259</v>
      </c>
      <c r="E1692" s="915">
        <v>90160</v>
      </c>
      <c r="F1692" s="915">
        <v>533882</v>
      </c>
      <c r="G1692" s="838"/>
      <c r="H1692" s="838"/>
    </row>
    <row r="1693" spans="2:8">
      <c r="B1693" t="s">
        <v>2848</v>
      </c>
      <c r="C1693" s="915">
        <v>7615500000</v>
      </c>
      <c r="D1693" s="915" t="s">
        <v>3259</v>
      </c>
      <c r="E1693" s="915">
        <v>475500</v>
      </c>
      <c r="F1693" s="915">
        <v>1742307</v>
      </c>
      <c r="G1693" s="838"/>
      <c r="H1693" s="838"/>
    </row>
    <row r="1694" spans="2:8">
      <c r="B1694" t="s">
        <v>2848</v>
      </c>
      <c r="C1694" s="915">
        <v>7615500000</v>
      </c>
      <c r="D1694" s="915" t="s">
        <v>3259</v>
      </c>
      <c r="E1694" s="915">
        <v>67620</v>
      </c>
      <c r="F1694" s="915">
        <v>515294</v>
      </c>
      <c r="G1694" s="838"/>
      <c r="H1694" s="838"/>
    </row>
    <row r="1695" spans="2:8">
      <c r="B1695" t="s">
        <v>2848</v>
      </c>
      <c r="C1695" s="915">
        <v>7615500000</v>
      </c>
      <c r="D1695" s="915" t="s">
        <v>3259</v>
      </c>
      <c r="E1695" s="915">
        <v>32200</v>
      </c>
      <c r="F1695" s="915">
        <v>393354</v>
      </c>
      <c r="G1695" s="838"/>
      <c r="H1695" s="838"/>
    </row>
    <row r="1696" spans="2:8">
      <c r="B1696" t="s">
        <v>2848</v>
      </c>
      <c r="C1696" s="915">
        <v>7615500000</v>
      </c>
      <c r="D1696" s="915" t="s">
        <v>3259</v>
      </c>
      <c r="E1696" s="915">
        <v>200720</v>
      </c>
      <c r="F1696" s="915">
        <v>691159</v>
      </c>
      <c r="G1696" s="838"/>
      <c r="H1696" s="838"/>
    </row>
    <row r="1697" spans="2:8">
      <c r="B1697" t="s">
        <v>2848</v>
      </c>
      <c r="C1697" s="915">
        <v>7615500000</v>
      </c>
      <c r="D1697" s="915" t="s">
        <v>3259</v>
      </c>
      <c r="E1697" s="915">
        <v>103040</v>
      </c>
      <c r="F1697" s="915">
        <v>861166</v>
      </c>
      <c r="G1697" s="838"/>
      <c r="H1697" s="838"/>
    </row>
    <row r="1698" spans="2:8">
      <c r="B1698" t="s">
        <v>2848</v>
      </c>
      <c r="C1698" s="915">
        <v>7615500000</v>
      </c>
      <c r="D1698" s="915" t="s">
        <v>3259</v>
      </c>
      <c r="E1698" s="915">
        <v>142180</v>
      </c>
      <c r="F1698" s="915">
        <v>745178</v>
      </c>
      <c r="G1698" s="838"/>
      <c r="H1698" s="838"/>
    </row>
    <row r="1699" spans="2:8">
      <c r="B1699" t="s">
        <v>2848</v>
      </c>
      <c r="C1699" s="915">
        <v>7615500000</v>
      </c>
      <c r="D1699" s="915" t="s">
        <v>3259</v>
      </c>
      <c r="E1699" s="915">
        <v>0</v>
      </c>
      <c r="F1699" s="915">
        <v>1892736</v>
      </c>
      <c r="G1699" s="838"/>
      <c r="H1699" s="838"/>
    </row>
    <row r="1700" spans="2:8">
      <c r="B1700" t="s">
        <v>2848</v>
      </c>
      <c r="C1700" s="915">
        <v>7615500000</v>
      </c>
      <c r="D1700" s="915" t="s">
        <v>3259</v>
      </c>
      <c r="E1700" s="915">
        <v>115920</v>
      </c>
      <c r="F1700" s="915">
        <v>368633</v>
      </c>
      <c r="G1700" s="838"/>
      <c r="H1700" s="838"/>
    </row>
    <row r="1701" spans="2:8">
      <c r="B1701" t="s">
        <v>2848</v>
      </c>
      <c r="C1701" s="915">
        <v>7615500000</v>
      </c>
      <c r="D1701" s="915" t="s">
        <v>3259</v>
      </c>
      <c r="E1701" s="915">
        <v>215740</v>
      </c>
      <c r="F1701" s="915">
        <v>566222</v>
      </c>
      <c r="G1701" s="838"/>
      <c r="H1701" s="838"/>
    </row>
    <row r="1702" spans="2:8">
      <c r="B1702" t="s">
        <v>2848</v>
      </c>
      <c r="C1702" s="915">
        <v>7615500000</v>
      </c>
      <c r="D1702" s="915" t="s">
        <v>3259</v>
      </c>
      <c r="E1702" s="915">
        <v>203360</v>
      </c>
      <c r="F1702" s="915">
        <v>489403</v>
      </c>
      <c r="G1702" s="838"/>
      <c r="H1702" s="838"/>
    </row>
    <row r="1703" spans="2:8">
      <c r="B1703" t="s">
        <v>2848</v>
      </c>
      <c r="C1703" s="915">
        <v>7615500000</v>
      </c>
      <c r="D1703" s="915" t="s">
        <v>3259</v>
      </c>
      <c r="E1703" s="915">
        <v>106740</v>
      </c>
      <c r="F1703" s="915">
        <v>403238</v>
      </c>
      <c r="G1703" s="838"/>
      <c r="H1703" s="838"/>
    </row>
    <row r="1704" spans="2:8">
      <c r="B1704" t="s">
        <v>2848</v>
      </c>
      <c r="C1704" s="915">
        <v>7615500000</v>
      </c>
      <c r="D1704" s="915" t="s">
        <v>3259</v>
      </c>
      <c r="E1704" s="915">
        <v>12880</v>
      </c>
      <c r="F1704" s="915">
        <v>47460</v>
      </c>
      <c r="G1704" s="838"/>
      <c r="H1704" s="838"/>
    </row>
    <row r="1705" spans="2:8">
      <c r="B1705" t="s">
        <v>2848</v>
      </c>
      <c r="C1705" s="915">
        <v>7615500000</v>
      </c>
      <c r="D1705" s="915" t="s">
        <v>3259</v>
      </c>
      <c r="E1705" s="915">
        <v>15035</v>
      </c>
      <c r="F1705" s="915">
        <v>155096</v>
      </c>
      <c r="G1705" s="838"/>
      <c r="H1705" s="838"/>
    </row>
    <row r="1706" spans="2:8">
      <c r="B1706" t="s">
        <v>2848</v>
      </c>
      <c r="C1706" s="915">
        <v>7615600000</v>
      </c>
      <c r="D1706" s="915" t="s">
        <v>3260</v>
      </c>
      <c r="E1706" s="915">
        <v>175210</v>
      </c>
      <c r="F1706" s="915">
        <v>302605</v>
      </c>
      <c r="G1706" s="838"/>
      <c r="H1706" s="838"/>
    </row>
    <row r="1707" spans="2:8">
      <c r="B1707" t="s">
        <v>2848</v>
      </c>
      <c r="C1707" s="915">
        <v>7615600000</v>
      </c>
      <c r="D1707" s="915" t="s">
        <v>3260</v>
      </c>
      <c r="E1707" s="915">
        <v>0</v>
      </c>
      <c r="F1707" s="915">
        <v>70588</v>
      </c>
      <c r="G1707" s="838"/>
      <c r="H1707" s="838"/>
    </row>
    <row r="1708" spans="2:8">
      <c r="B1708" t="s">
        <v>2848</v>
      </c>
      <c r="C1708" s="915">
        <v>7615600000</v>
      </c>
      <c r="D1708" s="915" t="s">
        <v>3260</v>
      </c>
      <c r="E1708" s="915">
        <v>80588</v>
      </c>
      <c r="F1708" s="915">
        <v>80588</v>
      </c>
      <c r="G1708" s="838"/>
      <c r="H1708" s="838"/>
    </row>
    <row r="1709" spans="2:8">
      <c r="B1709" t="s">
        <v>2848</v>
      </c>
      <c r="C1709" s="915">
        <v>7615600000</v>
      </c>
      <c r="D1709" s="915" t="s">
        <v>3260</v>
      </c>
      <c r="E1709" s="915">
        <v>80588</v>
      </c>
      <c r="F1709" s="915">
        <v>80588</v>
      </c>
      <c r="G1709" s="838"/>
      <c r="H1709" s="838"/>
    </row>
    <row r="1710" spans="2:8">
      <c r="B1710" t="s">
        <v>2848</v>
      </c>
      <c r="C1710" s="915">
        <v>7617000002</v>
      </c>
      <c r="D1710" s="915" t="s">
        <v>3261</v>
      </c>
      <c r="E1710" s="915">
        <v>0</v>
      </c>
      <c r="F1710" s="915">
        <v>114034</v>
      </c>
      <c r="G1710" s="838"/>
      <c r="H1710" s="838"/>
    </row>
    <row r="1711" spans="2:8">
      <c r="B1711" t="s">
        <v>2848</v>
      </c>
      <c r="C1711" s="915">
        <v>7617000002</v>
      </c>
      <c r="D1711" s="915" t="s">
        <v>3261</v>
      </c>
      <c r="E1711" s="915">
        <v>0</v>
      </c>
      <c r="F1711" s="915">
        <v>79162</v>
      </c>
      <c r="G1711" s="838"/>
      <c r="H1711" s="838"/>
    </row>
    <row r="1712" spans="2:8">
      <c r="B1712" t="s">
        <v>2848</v>
      </c>
      <c r="C1712" s="915">
        <v>7617000002</v>
      </c>
      <c r="D1712" s="915" t="s">
        <v>3261</v>
      </c>
      <c r="E1712" s="915">
        <v>0</v>
      </c>
      <c r="F1712" s="915">
        <v>138580</v>
      </c>
      <c r="G1712" s="838"/>
      <c r="H1712" s="838"/>
    </row>
    <row r="1713" spans="2:8">
      <c r="B1713" t="s">
        <v>2848</v>
      </c>
      <c r="C1713" s="915">
        <v>7617000002</v>
      </c>
      <c r="D1713" s="915" t="s">
        <v>3261</v>
      </c>
      <c r="E1713" s="915">
        <v>0</v>
      </c>
      <c r="F1713" s="915">
        <v>25000</v>
      </c>
      <c r="G1713" s="838"/>
      <c r="H1713" s="838"/>
    </row>
    <row r="1714" spans="2:8">
      <c r="B1714" t="s">
        <v>2848</v>
      </c>
      <c r="C1714" s="915">
        <v>7617000002</v>
      </c>
      <c r="D1714" s="915" t="s">
        <v>3261</v>
      </c>
      <c r="E1714" s="915">
        <v>0</v>
      </c>
      <c r="F1714" s="915">
        <v>154769</v>
      </c>
      <c r="G1714" s="838"/>
      <c r="H1714" s="838"/>
    </row>
    <row r="1715" spans="2:8">
      <c r="B1715" t="s">
        <v>2848</v>
      </c>
      <c r="C1715" s="915">
        <v>7617000002</v>
      </c>
      <c r="D1715" s="915" t="s">
        <v>3261</v>
      </c>
      <c r="E1715" s="915">
        <v>0</v>
      </c>
      <c r="F1715" s="915">
        <v>1286700</v>
      </c>
      <c r="G1715" s="838"/>
      <c r="H1715" s="838"/>
    </row>
    <row r="1716" spans="2:8">
      <c r="B1716" t="s">
        <v>2848</v>
      </c>
      <c r="C1716" s="915">
        <v>7617000002</v>
      </c>
      <c r="D1716" s="915" t="s">
        <v>3261</v>
      </c>
      <c r="E1716" s="915">
        <v>0</v>
      </c>
      <c r="F1716" s="915">
        <v>120000</v>
      </c>
      <c r="G1716" s="838"/>
      <c r="H1716" s="838"/>
    </row>
    <row r="1717" spans="2:8">
      <c r="B1717" t="s">
        <v>2848</v>
      </c>
      <c r="C1717" s="915">
        <v>7617000004</v>
      </c>
      <c r="D1717" s="915" t="s">
        <v>3262</v>
      </c>
      <c r="E1717" s="915">
        <v>517990810</v>
      </c>
      <c r="F1717" s="915">
        <v>2049485676</v>
      </c>
      <c r="G1717" s="838"/>
      <c r="H1717" s="838"/>
    </row>
    <row r="1718" spans="2:8">
      <c r="B1718" t="s">
        <v>2848</v>
      </c>
      <c r="C1718" s="915">
        <v>7617000004</v>
      </c>
      <c r="D1718" s="915" t="s">
        <v>3262</v>
      </c>
      <c r="E1718" s="915">
        <v>446828</v>
      </c>
      <c r="F1718" s="915">
        <v>1476473</v>
      </c>
      <c r="G1718" s="838"/>
      <c r="H1718" s="838"/>
    </row>
    <row r="1719" spans="2:8">
      <c r="B1719" t="s">
        <v>2848</v>
      </c>
      <c r="C1719" s="915">
        <v>7617000004</v>
      </c>
      <c r="D1719" s="915" t="s">
        <v>3262</v>
      </c>
      <c r="E1719" s="915">
        <v>0</v>
      </c>
      <c r="F1719" s="915">
        <v>141176</v>
      </c>
      <c r="G1719" s="838"/>
      <c r="H1719" s="838"/>
    </row>
    <row r="1720" spans="2:8">
      <c r="B1720" t="s">
        <v>2848</v>
      </c>
      <c r="C1720" s="915">
        <v>7617000004</v>
      </c>
      <c r="D1720" s="915" t="s">
        <v>3262</v>
      </c>
      <c r="E1720" s="915">
        <v>0</v>
      </c>
      <c r="F1720" s="915">
        <v>96639</v>
      </c>
      <c r="G1720" s="838"/>
      <c r="H1720" s="838"/>
    </row>
    <row r="1721" spans="2:8">
      <c r="B1721" t="s">
        <v>2848</v>
      </c>
      <c r="C1721" s="915">
        <v>7617000004</v>
      </c>
      <c r="D1721" s="915" t="s">
        <v>3262</v>
      </c>
      <c r="E1721" s="915">
        <v>0</v>
      </c>
      <c r="F1721" s="915">
        <v>1596043</v>
      </c>
      <c r="G1721" s="838"/>
      <c r="H1721" s="838"/>
    </row>
    <row r="1722" spans="2:8">
      <c r="B1722" t="s">
        <v>2848</v>
      </c>
      <c r="C1722" s="915">
        <v>7617000004</v>
      </c>
      <c r="D1722" s="915" t="s">
        <v>3262</v>
      </c>
      <c r="E1722" s="915">
        <v>0</v>
      </c>
      <c r="F1722" s="915">
        <v>2792358</v>
      </c>
      <c r="G1722" s="838"/>
      <c r="H1722" s="838"/>
    </row>
    <row r="1723" spans="2:8">
      <c r="B1723" t="s">
        <v>2848</v>
      </c>
      <c r="C1723" s="915">
        <v>7617003003</v>
      </c>
      <c r="D1723" s="915" t="s">
        <v>3263</v>
      </c>
      <c r="E1723" s="915">
        <v>2277005</v>
      </c>
      <c r="F1723" s="915">
        <v>33944733</v>
      </c>
      <c r="G1723" s="838"/>
      <c r="H1723" s="838"/>
    </row>
    <row r="1724" spans="2:8">
      <c r="B1724" t="s">
        <v>2848</v>
      </c>
      <c r="C1724" s="915">
        <v>7617003003</v>
      </c>
      <c r="D1724" s="915" t="s">
        <v>3263</v>
      </c>
      <c r="E1724" s="915">
        <v>0</v>
      </c>
      <c r="F1724" s="915">
        <v>91409</v>
      </c>
      <c r="G1724" s="838"/>
      <c r="H1724" s="838"/>
    </row>
    <row r="1725" spans="2:8">
      <c r="B1725" t="s">
        <v>2848</v>
      </c>
      <c r="C1725" s="915">
        <v>7617003003</v>
      </c>
      <c r="D1725" s="915" t="s">
        <v>3263</v>
      </c>
      <c r="E1725" s="915">
        <v>0</v>
      </c>
      <c r="F1725" s="915">
        <v>949906</v>
      </c>
      <c r="G1725" s="838"/>
      <c r="H1725" s="838"/>
    </row>
    <row r="1726" spans="2:8">
      <c r="B1726" t="s">
        <v>2848</v>
      </c>
      <c r="C1726" s="915">
        <v>7617003003</v>
      </c>
      <c r="D1726" s="915" t="s">
        <v>3263</v>
      </c>
      <c r="E1726" s="915">
        <v>0</v>
      </c>
      <c r="F1726" s="915">
        <v>482725</v>
      </c>
      <c r="G1726" s="838"/>
      <c r="H1726" s="838"/>
    </row>
    <row r="1727" spans="2:8">
      <c r="B1727" t="s">
        <v>2848</v>
      </c>
      <c r="C1727" s="915">
        <v>7617003003</v>
      </c>
      <c r="D1727" s="915" t="s">
        <v>3263</v>
      </c>
      <c r="E1727" s="915">
        <v>19576</v>
      </c>
      <c r="F1727" s="915">
        <v>1062651</v>
      </c>
      <c r="G1727" s="838"/>
      <c r="H1727" s="838"/>
    </row>
    <row r="1728" spans="2:8">
      <c r="B1728" t="s">
        <v>2848</v>
      </c>
      <c r="C1728" s="915">
        <v>7617003003</v>
      </c>
      <c r="D1728" s="915" t="s">
        <v>3263</v>
      </c>
      <c r="E1728" s="915">
        <v>55380</v>
      </c>
      <c r="F1728" s="915">
        <v>1106518</v>
      </c>
      <c r="G1728" s="838"/>
      <c r="H1728" s="838"/>
    </row>
    <row r="1729" spans="2:8">
      <c r="B1729" t="s">
        <v>2848</v>
      </c>
      <c r="C1729" s="915">
        <v>7617003003</v>
      </c>
      <c r="D1729" s="915" t="s">
        <v>3263</v>
      </c>
      <c r="E1729" s="915">
        <v>58200</v>
      </c>
      <c r="F1729" s="915">
        <v>488898</v>
      </c>
      <c r="G1729" s="838"/>
      <c r="H1729" s="838"/>
    </row>
    <row r="1730" spans="2:8">
      <c r="B1730" t="s">
        <v>2848</v>
      </c>
      <c r="C1730" s="915">
        <v>7617003003</v>
      </c>
      <c r="D1730" s="915" t="s">
        <v>3263</v>
      </c>
      <c r="E1730" s="915">
        <v>0</v>
      </c>
      <c r="F1730" s="915">
        <v>169017</v>
      </c>
      <c r="G1730" s="838"/>
      <c r="H1730" s="838"/>
    </row>
    <row r="1731" spans="2:8">
      <c r="B1731" t="s">
        <v>2848</v>
      </c>
      <c r="C1731" s="915">
        <v>7617003003</v>
      </c>
      <c r="D1731" s="915" t="s">
        <v>3263</v>
      </c>
      <c r="E1731" s="915">
        <v>10700</v>
      </c>
      <c r="F1731" s="915">
        <v>222102</v>
      </c>
      <c r="G1731" s="838"/>
      <c r="H1731" s="838"/>
    </row>
    <row r="1732" spans="2:8">
      <c r="B1732" t="s">
        <v>2848</v>
      </c>
      <c r="C1732" s="915">
        <v>7617003003</v>
      </c>
      <c r="D1732" s="915" t="s">
        <v>3263</v>
      </c>
      <c r="E1732" s="915">
        <v>61017</v>
      </c>
      <c r="F1732" s="915">
        <v>513117</v>
      </c>
      <c r="G1732" s="838"/>
      <c r="H1732" s="838"/>
    </row>
    <row r="1733" spans="2:8">
      <c r="B1733" t="s">
        <v>2848</v>
      </c>
      <c r="C1733" s="915">
        <v>7617003003</v>
      </c>
      <c r="D1733" s="915" t="s">
        <v>3263</v>
      </c>
      <c r="E1733" s="915">
        <v>5763</v>
      </c>
      <c r="F1733" s="915">
        <v>1398126</v>
      </c>
      <c r="G1733" s="838"/>
      <c r="H1733" s="838"/>
    </row>
    <row r="1734" spans="2:8">
      <c r="B1734" t="s">
        <v>2848</v>
      </c>
      <c r="C1734" s="915">
        <v>7617003003</v>
      </c>
      <c r="D1734" s="915" t="s">
        <v>3263</v>
      </c>
      <c r="E1734" s="915">
        <v>0</v>
      </c>
      <c r="F1734" s="915">
        <v>265194</v>
      </c>
      <c r="G1734" s="838"/>
      <c r="H1734" s="838"/>
    </row>
    <row r="1735" spans="2:8">
      <c r="B1735" t="s">
        <v>2848</v>
      </c>
      <c r="C1735" s="915">
        <v>7617003003</v>
      </c>
      <c r="D1735" s="915" t="s">
        <v>3263</v>
      </c>
      <c r="E1735" s="915">
        <v>17300</v>
      </c>
      <c r="F1735" s="915">
        <v>424657</v>
      </c>
      <c r="G1735" s="838"/>
      <c r="H1735" s="838"/>
    </row>
    <row r="1736" spans="2:8">
      <c r="B1736" t="s">
        <v>2848</v>
      </c>
      <c r="C1736" s="915">
        <v>7617003003</v>
      </c>
      <c r="D1736" s="915" t="s">
        <v>3263</v>
      </c>
      <c r="E1736" s="915">
        <v>11660</v>
      </c>
      <c r="F1736" s="915">
        <v>1069992</v>
      </c>
      <c r="G1736" s="838"/>
      <c r="H1736" s="838"/>
    </row>
    <row r="1737" spans="2:8">
      <c r="B1737" t="s">
        <v>2848</v>
      </c>
      <c r="C1737" s="915">
        <v>7617003003</v>
      </c>
      <c r="D1737" s="915" t="s">
        <v>3263</v>
      </c>
      <c r="E1737" s="915">
        <v>13200</v>
      </c>
      <c r="F1737" s="915">
        <v>1048594</v>
      </c>
      <c r="G1737" s="838"/>
      <c r="H1737" s="838"/>
    </row>
    <row r="1738" spans="2:8">
      <c r="B1738" t="s">
        <v>2848</v>
      </c>
      <c r="C1738" s="915">
        <v>7617003003</v>
      </c>
      <c r="D1738" s="915" t="s">
        <v>3263</v>
      </c>
      <c r="E1738" s="915">
        <v>11940</v>
      </c>
      <c r="F1738" s="915">
        <v>119811</v>
      </c>
      <c r="G1738" s="838"/>
      <c r="H1738" s="838"/>
    </row>
    <row r="1739" spans="2:8">
      <c r="B1739" t="s">
        <v>2848</v>
      </c>
      <c r="C1739" s="915">
        <v>7617003003</v>
      </c>
      <c r="D1739" s="915" t="s">
        <v>3263</v>
      </c>
      <c r="E1739" s="915">
        <v>0</v>
      </c>
      <c r="F1739" s="915">
        <v>159672</v>
      </c>
      <c r="G1739" s="838"/>
      <c r="H1739" s="838"/>
    </row>
    <row r="1740" spans="2:8">
      <c r="B1740" t="s">
        <v>2848</v>
      </c>
      <c r="C1740" s="915">
        <v>7617003003</v>
      </c>
      <c r="D1740" s="915" t="s">
        <v>3263</v>
      </c>
      <c r="E1740" s="915">
        <v>0</v>
      </c>
      <c r="F1740" s="915">
        <v>513781</v>
      </c>
      <c r="G1740" s="838"/>
      <c r="H1740" s="838"/>
    </row>
    <row r="1741" spans="2:8">
      <c r="B1741" t="s">
        <v>2848</v>
      </c>
      <c r="C1741" s="915">
        <v>7617003003</v>
      </c>
      <c r="D1741" s="915" t="s">
        <v>3263</v>
      </c>
      <c r="E1741" s="915">
        <v>0</v>
      </c>
      <c r="F1741" s="915">
        <v>1024103</v>
      </c>
      <c r="G1741" s="838"/>
      <c r="H1741" s="838"/>
    </row>
    <row r="1742" spans="2:8">
      <c r="B1742" t="s">
        <v>2848</v>
      </c>
      <c r="C1742" s="915">
        <v>7617003003</v>
      </c>
      <c r="D1742" s="915" t="s">
        <v>3263</v>
      </c>
      <c r="E1742" s="915">
        <v>17100</v>
      </c>
      <c r="F1742" s="915">
        <v>673361</v>
      </c>
      <c r="G1742" s="838"/>
      <c r="H1742" s="838"/>
    </row>
    <row r="1743" spans="2:8">
      <c r="B1743" t="s">
        <v>2848</v>
      </c>
      <c r="C1743" s="915">
        <v>7617003003</v>
      </c>
      <c r="D1743" s="915" t="s">
        <v>3263</v>
      </c>
      <c r="E1743" s="915">
        <v>20370</v>
      </c>
      <c r="F1743" s="915">
        <v>209007</v>
      </c>
      <c r="G1743" s="838"/>
      <c r="H1743" s="838"/>
    </row>
    <row r="1744" spans="2:8">
      <c r="B1744" t="s">
        <v>2848</v>
      </c>
      <c r="C1744" s="915">
        <v>7617003003</v>
      </c>
      <c r="D1744" s="915" t="s">
        <v>3263</v>
      </c>
      <c r="E1744" s="915">
        <v>0</v>
      </c>
      <c r="F1744" s="915">
        <v>68674</v>
      </c>
      <c r="G1744" s="838"/>
      <c r="H1744" s="838"/>
    </row>
    <row r="1745" spans="2:8">
      <c r="B1745" t="s">
        <v>2848</v>
      </c>
      <c r="C1745" s="915">
        <v>7617003003</v>
      </c>
      <c r="D1745" s="915" t="s">
        <v>3263</v>
      </c>
      <c r="E1745" s="915">
        <v>0</v>
      </c>
      <c r="F1745" s="915">
        <v>49567</v>
      </c>
      <c r="G1745" s="838"/>
      <c r="H1745" s="838"/>
    </row>
    <row r="1746" spans="2:8">
      <c r="B1746" t="s">
        <v>2848</v>
      </c>
      <c r="C1746" s="915">
        <v>7617003003</v>
      </c>
      <c r="D1746" s="915" t="s">
        <v>3263</v>
      </c>
      <c r="E1746" s="915">
        <v>5950</v>
      </c>
      <c r="F1746" s="915">
        <v>136407</v>
      </c>
      <c r="G1746" s="838"/>
      <c r="H1746" s="838"/>
    </row>
    <row r="1747" spans="2:8">
      <c r="B1747" t="s">
        <v>2848</v>
      </c>
      <c r="C1747" s="915">
        <v>7700000004</v>
      </c>
      <c r="D1747" s="915" t="s">
        <v>3264</v>
      </c>
      <c r="E1747" s="915">
        <v>86887</v>
      </c>
      <c r="F1747" s="915">
        <v>612989</v>
      </c>
      <c r="G1747" s="838"/>
      <c r="H1747" s="838"/>
    </row>
    <row r="1748" spans="2:8">
      <c r="B1748" t="s">
        <v>2848</v>
      </c>
      <c r="C1748" s="915">
        <v>7700000004</v>
      </c>
      <c r="D1748" s="915" t="s">
        <v>3264</v>
      </c>
      <c r="E1748" s="915">
        <v>0</v>
      </c>
      <c r="F1748" s="915">
        <v>6600</v>
      </c>
      <c r="G1748" s="838"/>
      <c r="H1748" s="838"/>
    </row>
    <row r="1749" spans="2:8">
      <c r="B1749" t="s">
        <v>2848</v>
      </c>
      <c r="C1749" s="915">
        <v>7700000004</v>
      </c>
      <c r="D1749" s="915" t="s">
        <v>3264</v>
      </c>
      <c r="E1749" s="915">
        <v>3358</v>
      </c>
      <c r="F1749" s="915">
        <v>0</v>
      </c>
      <c r="G1749" s="838"/>
      <c r="H1749" s="838"/>
    </row>
    <row r="1750" spans="2:8">
      <c r="B1750" t="s">
        <v>2848</v>
      </c>
      <c r="C1750" s="915">
        <v>7700000004</v>
      </c>
      <c r="D1750" s="915" t="s">
        <v>3264</v>
      </c>
      <c r="E1750" s="915">
        <v>67720</v>
      </c>
      <c r="F1750" s="915">
        <v>0</v>
      </c>
      <c r="G1750" s="838"/>
      <c r="H1750" s="838"/>
    </row>
    <row r="1751" spans="2:8">
      <c r="B1751" t="s">
        <v>2848</v>
      </c>
      <c r="C1751" s="915">
        <v>7700000004</v>
      </c>
      <c r="D1751" s="915" t="s">
        <v>3264</v>
      </c>
      <c r="E1751" s="915">
        <v>3004</v>
      </c>
      <c r="F1751" s="915">
        <v>0</v>
      </c>
      <c r="G1751" s="838"/>
      <c r="H1751" s="838"/>
    </row>
    <row r="1752" spans="2:8">
      <c r="B1752" t="s">
        <v>2848</v>
      </c>
      <c r="C1752" s="915">
        <v>7700000004</v>
      </c>
      <c r="D1752" s="915" t="s">
        <v>3264</v>
      </c>
      <c r="E1752" s="915">
        <v>2600</v>
      </c>
      <c r="F1752" s="915">
        <v>0</v>
      </c>
      <c r="G1752" s="838"/>
      <c r="H1752" s="838"/>
    </row>
    <row r="1753" spans="2:8">
      <c r="B1753" t="s">
        <v>2848</v>
      </c>
      <c r="C1753" s="915">
        <v>7700000004</v>
      </c>
      <c r="D1753" s="915" t="s">
        <v>3264</v>
      </c>
      <c r="E1753" s="915">
        <v>0</v>
      </c>
      <c r="F1753" s="915">
        <v>101100</v>
      </c>
      <c r="G1753" s="838"/>
      <c r="H1753" s="838"/>
    </row>
    <row r="1754" spans="2:8">
      <c r="B1754" t="s">
        <v>2848</v>
      </c>
      <c r="C1754" s="915">
        <v>7700000004</v>
      </c>
      <c r="D1754" s="915" t="s">
        <v>3264</v>
      </c>
      <c r="E1754" s="915">
        <v>0</v>
      </c>
      <c r="F1754" s="915">
        <v>10947</v>
      </c>
      <c r="G1754" s="838"/>
      <c r="H1754" s="838"/>
    </row>
    <row r="1755" spans="2:8">
      <c r="B1755" t="s">
        <v>2848</v>
      </c>
      <c r="C1755" s="915">
        <v>7700000004</v>
      </c>
      <c r="D1755" s="915" t="s">
        <v>3264</v>
      </c>
      <c r="E1755" s="915">
        <v>6900</v>
      </c>
      <c r="F1755" s="915">
        <v>28020</v>
      </c>
      <c r="G1755" s="838"/>
      <c r="H1755" s="838"/>
    </row>
    <row r="1756" spans="2:8">
      <c r="B1756" t="s">
        <v>2848</v>
      </c>
      <c r="C1756" s="915">
        <v>7700000004</v>
      </c>
      <c r="D1756" s="915" t="s">
        <v>3264</v>
      </c>
      <c r="E1756" s="915">
        <v>0</v>
      </c>
      <c r="F1756" s="915">
        <v>13600</v>
      </c>
      <c r="G1756" s="838"/>
      <c r="H1756" s="838"/>
    </row>
    <row r="1757" spans="2:8">
      <c r="B1757" t="s">
        <v>2848</v>
      </c>
      <c r="C1757" s="915">
        <v>7700000004</v>
      </c>
      <c r="D1757" s="915" t="s">
        <v>3264</v>
      </c>
      <c r="E1757" s="915">
        <v>8395</v>
      </c>
      <c r="F1757" s="915">
        <v>136722</v>
      </c>
      <c r="G1757" s="838"/>
      <c r="H1757" s="838"/>
    </row>
    <row r="1758" spans="2:8">
      <c r="B1758" t="s">
        <v>2848</v>
      </c>
      <c r="C1758" s="915">
        <v>7700021000</v>
      </c>
      <c r="D1758" s="915" t="s">
        <v>3265</v>
      </c>
      <c r="E1758" s="915">
        <v>102000</v>
      </c>
      <c r="F1758" s="915">
        <v>1197274</v>
      </c>
      <c r="G1758" s="838"/>
      <c r="H1758" s="838"/>
    </row>
    <row r="1759" spans="2:8">
      <c r="B1759" t="s">
        <v>2848</v>
      </c>
      <c r="C1759" s="915">
        <v>7700021000</v>
      </c>
      <c r="D1759" s="915" t="s">
        <v>3265</v>
      </c>
      <c r="E1759" s="915">
        <v>10500</v>
      </c>
      <c r="F1759" s="915">
        <v>0</v>
      </c>
      <c r="G1759" s="838"/>
      <c r="H1759" s="838"/>
    </row>
    <row r="1760" spans="2:8">
      <c r="B1760" t="s">
        <v>2848</v>
      </c>
      <c r="C1760" s="915">
        <v>7700300000</v>
      </c>
      <c r="D1760" s="915" t="s">
        <v>3266</v>
      </c>
      <c r="E1760" s="915">
        <v>27400</v>
      </c>
      <c r="F1760" s="915">
        <v>1266626</v>
      </c>
      <c r="G1760" s="838"/>
      <c r="H1760" s="838"/>
    </row>
    <row r="1761" spans="2:8">
      <c r="B1761" t="s">
        <v>2848</v>
      </c>
      <c r="C1761" s="915">
        <v>7700300000</v>
      </c>
      <c r="D1761" s="915" t="s">
        <v>3266</v>
      </c>
      <c r="E1761" s="915">
        <v>29000</v>
      </c>
      <c r="F1761" s="915">
        <v>9400</v>
      </c>
      <c r="G1761" s="838"/>
      <c r="H1761" s="838"/>
    </row>
    <row r="1762" spans="2:8">
      <c r="B1762" t="s">
        <v>2848</v>
      </c>
      <c r="C1762" s="915">
        <v>7700300000</v>
      </c>
      <c r="D1762" s="915" t="s">
        <v>3266</v>
      </c>
      <c r="E1762" s="915">
        <v>25400</v>
      </c>
      <c r="F1762" s="915">
        <v>0</v>
      </c>
      <c r="G1762" s="838"/>
      <c r="H1762" s="838"/>
    </row>
    <row r="1763" spans="2:8">
      <c r="B1763" t="s">
        <v>2848</v>
      </c>
      <c r="C1763" s="915">
        <v>7700300000</v>
      </c>
      <c r="D1763" s="915" t="s">
        <v>3266</v>
      </c>
      <c r="E1763" s="915">
        <v>0</v>
      </c>
      <c r="F1763" s="915">
        <v>76300</v>
      </c>
      <c r="G1763" s="838"/>
      <c r="H1763" s="838"/>
    </row>
    <row r="1764" spans="2:8">
      <c r="B1764" t="s">
        <v>2848</v>
      </c>
      <c r="C1764" s="915">
        <v>7700300000</v>
      </c>
      <c r="D1764" s="915" t="s">
        <v>3266</v>
      </c>
      <c r="E1764" s="915">
        <v>0</v>
      </c>
      <c r="F1764" s="915">
        <v>571000</v>
      </c>
      <c r="G1764" s="838"/>
      <c r="H1764" s="838"/>
    </row>
    <row r="1765" spans="2:8">
      <c r="B1765" t="s">
        <v>2848</v>
      </c>
      <c r="C1765" s="915">
        <v>7700300000</v>
      </c>
      <c r="D1765" s="915" t="s">
        <v>3266</v>
      </c>
      <c r="E1765" s="915">
        <v>75000</v>
      </c>
      <c r="F1765" s="915">
        <v>22800</v>
      </c>
      <c r="G1765" s="838"/>
      <c r="H1765" s="838"/>
    </row>
    <row r="1766" spans="2:8">
      <c r="B1766" t="s">
        <v>2848</v>
      </c>
      <c r="C1766" s="915">
        <v>7700300000</v>
      </c>
      <c r="D1766" s="915" t="s">
        <v>3266</v>
      </c>
      <c r="E1766" s="915">
        <v>0</v>
      </c>
      <c r="F1766" s="915">
        <v>-28000</v>
      </c>
      <c r="G1766" s="838"/>
      <c r="H1766" s="838"/>
    </row>
    <row r="1767" spans="2:8">
      <c r="B1767" t="s">
        <v>2848</v>
      </c>
      <c r="C1767" s="915">
        <v>7700300000</v>
      </c>
      <c r="D1767" s="915" t="s">
        <v>3266</v>
      </c>
      <c r="E1767" s="915">
        <v>0</v>
      </c>
      <c r="F1767" s="915">
        <v>282038</v>
      </c>
      <c r="G1767" s="838"/>
      <c r="H1767" s="838"/>
    </row>
    <row r="1768" spans="2:8">
      <c r="B1768" t="s">
        <v>2848</v>
      </c>
      <c r="C1768" s="915">
        <v>7700300000</v>
      </c>
      <c r="D1768" s="915" t="s">
        <v>3266</v>
      </c>
      <c r="E1768" s="915">
        <v>24200</v>
      </c>
      <c r="F1768" s="915">
        <v>136681</v>
      </c>
      <c r="G1768" s="838"/>
      <c r="H1768" s="838"/>
    </row>
    <row r="1769" spans="2:8">
      <c r="B1769" t="s">
        <v>2848</v>
      </c>
      <c r="C1769" s="915">
        <v>7700300000</v>
      </c>
      <c r="D1769" s="915" t="s">
        <v>3266</v>
      </c>
      <c r="E1769" s="915">
        <v>0</v>
      </c>
      <c r="F1769" s="915">
        <v>105000</v>
      </c>
      <c r="G1769" s="838"/>
      <c r="H1769" s="838"/>
    </row>
    <row r="1770" spans="2:8">
      <c r="B1770" t="s">
        <v>2848</v>
      </c>
      <c r="C1770" s="915">
        <v>7700300000</v>
      </c>
      <c r="D1770" s="915" t="s">
        <v>3266</v>
      </c>
      <c r="E1770" s="915">
        <v>0</v>
      </c>
      <c r="F1770" s="915">
        <v>177311</v>
      </c>
      <c r="G1770" s="838"/>
      <c r="H1770" s="838"/>
    </row>
    <row r="1771" spans="2:8">
      <c r="B1771" t="s">
        <v>2848</v>
      </c>
      <c r="C1771" s="915">
        <v>7700300000</v>
      </c>
      <c r="D1771" s="915" t="s">
        <v>3266</v>
      </c>
      <c r="E1771" s="915">
        <v>0</v>
      </c>
      <c r="F1771" s="915">
        <v>14500</v>
      </c>
      <c r="G1771" s="838"/>
      <c r="H1771" s="838"/>
    </row>
    <row r="1772" spans="2:8">
      <c r="B1772" t="s">
        <v>2848</v>
      </c>
      <c r="C1772" s="915">
        <v>7700300000</v>
      </c>
      <c r="D1772" s="915" t="s">
        <v>3266</v>
      </c>
      <c r="E1772" s="915">
        <v>0</v>
      </c>
      <c r="F1772" s="915">
        <v>68800</v>
      </c>
      <c r="G1772" s="838"/>
      <c r="H1772" s="838"/>
    </row>
    <row r="1773" spans="2:8">
      <c r="B1773" t="s">
        <v>2848</v>
      </c>
      <c r="C1773" s="915">
        <v>7700300000</v>
      </c>
      <c r="D1773" s="915" t="s">
        <v>3266</v>
      </c>
      <c r="E1773" s="915">
        <v>0</v>
      </c>
      <c r="F1773" s="915">
        <v>-88754</v>
      </c>
      <c r="G1773" s="838"/>
      <c r="H1773" s="838"/>
    </row>
    <row r="1774" spans="2:8">
      <c r="B1774" t="s">
        <v>2848</v>
      </c>
      <c r="C1774" s="915">
        <v>7700300002</v>
      </c>
      <c r="D1774" s="915" t="s">
        <v>3267</v>
      </c>
      <c r="E1774" s="915">
        <v>6271080</v>
      </c>
      <c r="F1774" s="915">
        <v>41816847</v>
      </c>
      <c r="G1774" s="838"/>
      <c r="H1774" s="838"/>
    </row>
    <row r="1775" spans="2:8">
      <c r="B1775" t="s">
        <v>2848</v>
      </c>
      <c r="C1775" s="915">
        <v>7700300002</v>
      </c>
      <c r="D1775" s="915" t="s">
        <v>3267</v>
      </c>
      <c r="E1775" s="915">
        <v>0</v>
      </c>
      <c r="F1775" s="915">
        <v>685369</v>
      </c>
      <c r="G1775" s="838"/>
      <c r="H1775" s="838"/>
    </row>
    <row r="1776" spans="2:8">
      <c r="B1776" t="s">
        <v>2848</v>
      </c>
      <c r="C1776" s="915">
        <v>7700300002</v>
      </c>
      <c r="D1776" s="915" t="s">
        <v>3267</v>
      </c>
      <c r="E1776" s="915">
        <v>45126</v>
      </c>
      <c r="F1776" s="915">
        <v>414944</v>
      </c>
      <c r="G1776" s="838"/>
      <c r="H1776" s="838"/>
    </row>
    <row r="1777" spans="2:8">
      <c r="B1777" t="s">
        <v>2848</v>
      </c>
      <c r="C1777" s="915">
        <v>7700300002</v>
      </c>
      <c r="D1777" s="915" t="s">
        <v>3267</v>
      </c>
      <c r="E1777" s="915">
        <v>471265</v>
      </c>
      <c r="F1777" s="915">
        <v>1425173</v>
      </c>
      <c r="G1777" s="838"/>
      <c r="H1777" s="838"/>
    </row>
    <row r="1778" spans="2:8">
      <c r="B1778" t="s">
        <v>2848</v>
      </c>
      <c r="C1778" s="915">
        <v>7700300002</v>
      </c>
      <c r="D1778" s="915" t="s">
        <v>3267</v>
      </c>
      <c r="E1778" s="915">
        <v>3353604</v>
      </c>
      <c r="F1778" s="915">
        <v>5453822</v>
      </c>
      <c r="G1778" s="838"/>
      <c r="H1778" s="838"/>
    </row>
    <row r="1779" spans="2:8">
      <c r="B1779" t="s">
        <v>2848</v>
      </c>
      <c r="C1779" s="915">
        <v>7700300002</v>
      </c>
      <c r="D1779" s="915" t="s">
        <v>3267</v>
      </c>
      <c r="E1779" s="915">
        <v>1172334</v>
      </c>
      <c r="F1779" s="915">
        <v>743498</v>
      </c>
      <c r="G1779" s="838"/>
      <c r="H1779" s="838"/>
    </row>
    <row r="1780" spans="2:8">
      <c r="B1780" t="s">
        <v>2848</v>
      </c>
      <c r="C1780" s="915">
        <v>7700300002</v>
      </c>
      <c r="D1780" s="915" t="s">
        <v>3267</v>
      </c>
      <c r="E1780" s="915">
        <v>10000</v>
      </c>
      <c r="F1780" s="915">
        <v>56300</v>
      </c>
      <c r="G1780" s="838"/>
      <c r="H1780" s="838"/>
    </row>
    <row r="1781" spans="2:8">
      <c r="B1781" t="s">
        <v>2848</v>
      </c>
      <c r="C1781" s="915">
        <v>7700300002</v>
      </c>
      <c r="D1781" s="915" t="s">
        <v>3267</v>
      </c>
      <c r="E1781" s="915">
        <v>515013</v>
      </c>
      <c r="F1781" s="915">
        <v>2246102</v>
      </c>
      <c r="G1781" s="838"/>
      <c r="H1781" s="838"/>
    </row>
    <row r="1782" spans="2:8">
      <c r="B1782" t="s">
        <v>2848</v>
      </c>
      <c r="C1782" s="915">
        <v>7700300002</v>
      </c>
      <c r="D1782" s="915" t="s">
        <v>3267</v>
      </c>
      <c r="E1782" s="915">
        <v>407983</v>
      </c>
      <c r="F1782" s="915">
        <v>3548850</v>
      </c>
      <c r="G1782" s="838"/>
      <c r="H1782" s="838"/>
    </row>
    <row r="1783" spans="2:8">
      <c r="B1783" t="s">
        <v>2848</v>
      </c>
      <c r="C1783" s="915">
        <v>7700300002</v>
      </c>
      <c r="D1783" s="915" t="s">
        <v>3267</v>
      </c>
      <c r="E1783" s="915">
        <v>953849</v>
      </c>
      <c r="F1783" s="915">
        <v>1580461</v>
      </c>
      <c r="G1783" s="838"/>
      <c r="H1783" s="838"/>
    </row>
    <row r="1784" spans="2:8">
      <c r="B1784" t="s">
        <v>2848</v>
      </c>
      <c r="C1784" s="915">
        <v>7700300002</v>
      </c>
      <c r="D1784" s="915" t="s">
        <v>3267</v>
      </c>
      <c r="E1784" s="915">
        <v>231741</v>
      </c>
      <c r="F1784" s="915">
        <v>507271</v>
      </c>
      <c r="G1784" s="838"/>
      <c r="H1784" s="838"/>
    </row>
    <row r="1785" spans="2:8">
      <c r="B1785" t="s">
        <v>2848</v>
      </c>
      <c r="C1785" s="915">
        <v>7700300002</v>
      </c>
      <c r="D1785" s="915" t="s">
        <v>3267</v>
      </c>
      <c r="E1785" s="915">
        <v>0</v>
      </c>
      <c r="F1785" s="915">
        <v>555996</v>
      </c>
      <c r="G1785" s="838"/>
      <c r="H1785" s="838"/>
    </row>
    <row r="1786" spans="2:8">
      <c r="B1786" t="s">
        <v>2848</v>
      </c>
      <c r="C1786" s="915">
        <v>7700300002</v>
      </c>
      <c r="D1786" s="915" t="s">
        <v>3267</v>
      </c>
      <c r="E1786" s="915">
        <v>270934</v>
      </c>
      <c r="F1786" s="915">
        <v>1198205</v>
      </c>
      <c r="G1786" s="838"/>
      <c r="H1786" s="838"/>
    </row>
    <row r="1787" spans="2:8">
      <c r="B1787" t="s">
        <v>2848</v>
      </c>
      <c r="C1787" s="915">
        <v>7700300002</v>
      </c>
      <c r="D1787" s="915" t="s">
        <v>3267</v>
      </c>
      <c r="E1787" s="915">
        <v>438221</v>
      </c>
      <c r="F1787" s="915">
        <v>965187</v>
      </c>
      <c r="G1787" s="838"/>
      <c r="H1787" s="838"/>
    </row>
    <row r="1788" spans="2:8">
      <c r="B1788" t="s">
        <v>2848</v>
      </c>
      <c r="C1788" s="915">
        <v>7700300002</v>
      </c>
      <c r="D1788" s="915" t="s">
        <v>3267</v>
      </c>
      <c r="E1788" s="915">
        <v>77924</v>
      </c>
      <c r="F1788" s="915">
        <v>507423</v>
      </c>
      <c r="G1788" s="838"/>
      <c r="H1788" s="838"/>
    </row>
    <row r="1789" spans="2:8">
      <c r="B1789" t="s">
        <v>2848</v>
      </c>
      <c r="C1789" s="915">
        <v>7700300002</v>
      </c>
      <c r="D1789" s="915" t="s">
        <v>3267</v>
      </c>
      <c r="E1789" s="915">
        <v>0</v>
      </c>
      <c r="F1789" s="915">
        <v>69707</v>
      </c>
      <c r="G1789" s="838"/>
      <c r="H1789" s="838"/>
    </row>
    <row r="1790" spans="2:8">
      <c r="B1790" t="s">
        <v>2848</v>
      </c>
      <c r="C1790" s="915">
        <v>7700300002</v>
      </c>
      <c r="D1790" s="915" t="s">
        <v>3267</v>
      </c>
      <c r="E1790" s="915">
        <v>0</v>
      </c>
      <c r="F1790" s="915">
        <v>1334754</v>
      </c>
      <c r="G1790" s="838"/>
      <c r="H1790" s="838"/>
    </row>
    <row r="1791" spans="2:8">
      <c r="B1791" t="s">
        <v>2848</v>
      </c>
      <c r="C1791" s="915">
        <v>7700300002</v>
      </c>
      <c r="D1791" s="915" t="s">
        <v>3267</v>
      </c>
      <c r="E1791" s="915">
        <v>84418</v>
      </c>
      <c r="F1791" s="915">
        <v>550167</v>
      </c>
      <c r="G1791" s="838"/>
      <c r="H1791" s="838"/>
    </row>
    <row r="1792" spans="2:8">
      <c r="B1792" t="s">
        <v>2848</v>
      </c>
      <c r="C1792" s="915">
        <v>7700300002</v>
      </c>
      <c r="D1792" s="915" t="s">
        <v>3267</v>
      </c>
      <c r="E1792" s="915">
        <v>453626</v>
      </c>
      <c r="F1792" s="915">
        <v>511544</v>
      </c>
      <c r="G1792" s="838"/>
      <c r="H1792" s="838"/>
    </row>
    <row r="1793" spans="2:8">
      <c r="B1793" t="s">
        <v>2848</v>
      </c>
      <c r="C1793" s="915">
        <v>7700300002</v>
      </c>
      <c r="D1793" s="915" t="s">
        <v>3267</v>
      </c>
      <c r="E1793" s="915">
        <v>1514784</v>
      </c>
      <c r="F1793" s="915">
        <v>2638696</v>
      </c>
      <c r="G1793" s="838"/>
      <c r="H1793" s="838"/>
    </row>
    <row r="1794" spans="2:8">
      <c r="B1794" t="s">
        <v>2848</v>
      </c>
      <c r="C1794" s="915">
        <v>7700300002</v>
      </c>
      <c r="D1794" s="915" t="s">
        <v>3267</v>
      </c>
      <c r="E1794" s="915">
        <v>0</v>
      </c>
      <c r="F1794" s="915">
        <v>1120251</v>
      </c>
      <c r="G1794" s="838"/>
      <c r="H1794" s="838"/>
    </row>
    <row r="1795" spans="2:8">
      <c r="B1795" t="s">
        <v>2848</v>
      </c>
      <c r="C1795" s="915">
        <v>7700311002</v>
      </c>
      <c r="D1795" s="915" t="s">
        <v>3268</v>
      </c>
      <c r="E1795" s="915">
        <v>9321969</v>
      </c>
      <c r="F1795" s="915">
        <v>72401905</v>
      </c>
      <c r="G1795" s="838"/>
      <c r="H1795" s="838"/>
    </row>
    <row r="1796" spans="2:8">
      <c r="B1796" t="s">
        <v>2848</v>
      </c>
      <c r="C1796" s="915">
        <v>7700311002</v>
      </c>
      <c r="D1796" s="915" t="s">
        <v>3268</v>
      </c>
      <c r="E1796" s="915">
        <v>0</v>
      </c>
      <c r="F1796" s="915">
        <v>178516</v>
      </c>
      <c r="G1796" s="838"/>
      <c r="H1796" s="838"/>
    </row>
    <row r="1797" spans="2:8">
      <c r="B1797" t="s">
        <v>2848</v>
      </c>
      <c r="C1797" s="915">
        <v>7700311002</v>
      </c>
      <c r="D1797" s="915" t="s">
        <v>3268</v>
      </c>
      <c r="E1797" s="915">
        <v>0</v>
      </c>
      <c r="F1797" s="915">
        <v>227234</v>
      </c>
      <c r="G1797" s="838"/>
      <c r="H1797" s="838"/>
    </row>
    <row r="1798" spans="2:8">
      <c r="B1798" t="s">
        <v>2848</v>
      </c>
      <c r="C1798" s="915">
        <v>7700311002</v>
      </c>
      <c r="D1798" s="915" t="s">
        <v>3268</v>
      </c>
      <c r="E1798" s="915">
        <v>0</v>
      </c>
      <c r="F1798" s="915">
        <v>17400</v>
      </c>
      <c r="G1798" s="838"/>
      <c r="H1798" s="838"/>
    </row>
    <row r="1799" spans="2:8">
      <c r="B1799" t="s">
        <v>2848</v>
      </c>
      <c r="C1799" s="915">
        <v>7700311002</v>
      </c>
      <c r="D1799" s="915" t="s">
        <v>3268</v>
      </c>
      <c r="E1799" s="915">
        <v>0</v>
      </c>
      <c r="F1799" s="915">
        <v>16000</v>
      </c>
      <c r="G1799" s="838"/>
      <c r="H1799" s="838"/>
    </row>
    <row r="1800" spans="2:8">
      <c r="B1800" t="s">
        <v>2848</v>
      </c>
      <c r="C1800" s="915">
        <v>7700311002</v>
      </c>
      <c r="D1800" s="915" t="s">
        <v>3268</v>
      </c>
      <c r="E1800" s="915">
        <v>0</v>
      </c>
      <c r="F1800" s="915">
        <v>114856</v>
      </c>
      <c r="G1800" s="838"/>
      <c r="H1800" s="838"/>
    </row>
    <row r="1801" spans="2:8">
      <c r="B1801" t="s">
        <v>2848</v>
      </c>
      <c r="C1801" s="915">
        <v>7700311002</v>
      </c>
      <c r="D1801" s="915" t="s">
        <v>3268</v>
      </c>
      <c r="E1801" s="915">
        <v>0</v>
      </c>
      <c r="F1801" s="915">
        <v>35000</v>
      </c>
      <c r="G1801" s="838"/>
      <c r="H1801" s="838"/>
    </row>
    <row r="1802" spans="2:8">
      <c r="B1802" t="s">
        <v>2848</v>
      </c>
      <c r="C1802" s="915">
        <v>7700311002</v>
      </c>
      <c r="D1802" s="915" t="s">
        <v>3268</v>
      </c>
      <c r="E1802" s="915">
        <v>0</v>
      </c>
      <c r="F1802" s="915">
        <v>114536</v>
      </c>
      <c r="G1802" s="838"/>
      <c r="H1802" s="838"/>
    </row>
    <row r="1803" spans="2:8">
      <c r="B1803" t="s">
        <v>2848</v>
      </c>
      <c r="C1803" s="915">
        <v>7700311002</v>
      </c>
      <c r="D1803" s="915" t="s">
        <v>3268</v>
      </c>
      <c r="E1803" s="915">
        <v>0</v>
      </c>
      <c r="F1803" s="915">
        <v>346646</v>
      </c>
      <c r="G1803" s="838"/>
      <c r="H1803" s="838"/>
    </row>
    <row r="1804" spans="2:8">
      <c r="B1804" t="s">
        <v>2848</v>
      </c>
      <c r="C1804" s="915">
        <v>7700320000</v>
      </c>
      <c r="D1804" s="915" t="s">
        <v>3269</v>
      </c>
      <c r="E1804" s="915">
        <v>0</v>
      </c>
      <c r="F1804" s="915">
        <v>-744778</v>
      </c>
      <c r="G1804" s="838"/>
      <c r="H1804" s="838"/>
    </row>
    <row r="1805" spans="2:8">
      <c r="B1805" t="s">
        <v>2848</v>
      </c>
      <c r="C1805" s="915">
        <v>7700320000</v>
      </c>
      <c r="D1805" s="915" t="s">
        <v>3269</v>
      </c>
      <c r="E1805" s="915">
        <v>0</v>
      </c>
      <c r="F1805" s="915">
        <v>-188220</v>
      </c>
      <c r="G1805" s="838"/>
      <c r="H1805" s="838"/>
    </row>
    <row r="1806" spans="2:8">
      <c r="B1806" t="s">
        <v>2848</v>
      </c>
      <c r="C1806" s="915">
        <v>7700320000</v>
      </c>
      <c r="D1806" s="915" t="s">
        <v>3269</v>
      </c>
      <c r="E1806" s="915">
        <v>0</v>
      </c>
      <c r="F1806" s="915">
        <v>-69400</v>
      </c>
      <c r="G1806" s="838"/>
      <c r="H1806" s="838"/>
    </row>
    <row r="1807" spans="2:8">
      <c r="B1807" t="s">
        <v>2848</v>
      </c>
      <c r="C1807" s="915">
        <v>7700320000</v>
      </c>
      <c r="D1807" s="915" t="s">
        <v>3269</v>
      </c>
      <c r="E1807" s="915">
        <v>0</v>
      </c>
      <c r="F1807" s="915">
        <v>-3857514</v>
      </c>
      <c r="G1807" s="838"/>
      <c r="H1807" s="838"/>
    </row>
    <row r="1808" spans="2:8">
      <c r="B1808" t="s">
        <v>2848</v>
      </c>
      <c r="C1808" s="915">
        <v>7700320000</v>
      </c>
      <c r="D1808" s="915" t="s">
        <v>3269</v>
      </c>
      <c r="E1808" s="915">
        <v>0</v>
      </c>
      <c r="F1808" s="915">
        <v>-136296</v>
      </c>
      <c r="G1808" s="838"/>
      <c r="H1808" s="838"/>
    </row>
    <row r="1809" spans="2:8">
      <c r="B1809" t="s">
        <v>2848</v>
      </c>
      <c r="C1809" s="915">
        <v>7700320000</v>
      </c>
      <c r="D1809" s="915" t="s">
        <v>3269</v>
      </c>
      <c r="E1809" s="915">
        <v>0</v>
      </c>
      <c r="F1809" s="915">
        <v>-57320</v>
      </c>
      <c r="G1809" s="838"/>
      <c r="H1809" s="838"/>
    </row>
    <row r="1810" spans="2:8">
      <c r="B1810" t="s">
        <v>2848</v>
      </c>
      <c r="C1810" s="915">
        <v>7700320000</v>
      </c>
      <c r="D1810" s="915" t="s">
        <v>3269</v>
      </c>
      <c r="E1810" s="915">
        <v>0</v>
      </c>
      <c r="F1810" s="915">
        <v>-67118</v>
      </c>
      <c r="G1810" s="838"/>
      <c r="H1810" s="838"/>
    </row>
    <row r="1811" spans="2:8">
      <c r="B1811" t="s">
        <v>2848</v>
      </c>
      <c r="C1811" s="915">
        <v>7700320000</v>
      </c>
      <c r="D1811" s="915" t="s">
        <v>3269</v>
      </c>
      <c r="E1811" s="915">
        <v>0</v>
      </c>
      <c r="F1811" s="915">
        <v>-206810</v>
      </c>
      <c r="G1811" s="838"/>
      <c r="H1811" s="838"/>
    </row>
    <row r="1812" spans="2:8">
      <c r="B1812" t="s">
        <v>2848</v>
      </c>
      <c r="C1812" s="915">
        <v>7700320000</v>
      </c>
      <c r="D1812" s="915" t="s">
        <v>3269</v>
      </c>
      <c r="E1812" s="915">
        <v>0</v>
      </c>
      <c r="F1812" s="915">
        <v>-11893</v>
      </c>
      <c r="G1812" s="838"/>
      <c r="H1812" s="838"/>
    </row>
    <row r="1813" spans="2:8">
      <c r="B1813" t="s">
        <v>2848</v>
      </c>
      <c r="C1813" s="915">
        <v>7702000000</v>
      </c>
      <c r="D1813" s="915" t="s">
        <v>3270</v>
      </c>
      <c r="E1813" s="915">
        <v>4123806</v>
      </c>
      <c r="F1813" s="915">
        <v>42287419</v>
      </c>
      <c r="G1813" s="838"/>
      <c r="H1813" s="838"/>
    </row>
    <row r="1814" spans="2:8">
      <c r="B1814" t="s">
        <v>2848</v>
      </c>
      <c r="C1814" s="915">
        <v>7702000000</v>
      </c>
      <c r="D1814" s="915" t="s">
        <v>3270</v>
      </c>
      <c r="E1814" s="915">
        <v>0</v>
      </c>
      <c r="F1814" s="915">
        <v>1917798</v>
      </c>
      <c r="G1814" s="838"/>
      <c r="H1814" s="838"/>
    </row>
    <row r="1815" spans="2:8">
      <c r="B1815" t="s">
        <v>2848</v>
      </c>
      <c r="C1815" s="915">
        <v>7702000000</v>
      </c>
      <c r="D1815" s="915" t="s">
        <v>3270</v>
      </c>
      <c r="E1815" s="915">
        <v>0</v>
      </c>
      <c r="F1815" s="915">
        <v>4441151</v>
      </c>
      <c r="G1815" s="838"/>
      <c r="H1815" s="838"/>
    </row>
    <row r="1816" spans="2:8">
      <c r="B1816" t="s">
        <v>2848</v>
      </c>
      <c r="C1816" s="915">
        <v>7702000000</v>
      </c>
      <c r="D1816" s="915" t="s">
        <v>3270</v>
      </c>
      <c r="E1816" s="915">
        <v>240000</v>
      </c>
      <c r="F1816" s="915">
        <v>998241</v>
      </c>
      <c r="G1816" s="838"/>
      <c r="H1816" s="838"/>
    </row>
    <row r="1817" spans="2:8">
      <c r="B1817" t="s">
        <v>2848</v>
      </c>
      <c r="C1817" s="915">
        <v>7702000000</v>
      </c>
      <c r="D1817" s="915" t="s">
        <v>3270</v>
      </c>
      <c r="E1817" s="915">
        <v>1329200</v>
      </c>
      <c r="F1817" s="915">
        <v>2536200</v>
      </c>
      <c r="G1817" s="838"/>
      <c r="H1817" s="838"/>
    </row>
    <row r="1818" spans="2:8">
      <c r="B1818" t="s">
        <v>2848</v>
      </c>
      <c r="C1818" s="915">
        <v>7702000000</v>
      </c>
      <c r="D1818" s="915" t="s">
        <v>3270</v>
      </c>
      <c r="E1818" s="915">
        <v>0</v>
      </c>
      <c r="F1818" s="915">
        <v>733001</v>
      </c>
      <c r="G1818" s="838"/>
      <c r="H1818" s="838"/>
    </row>
    <row r="1819" spans="2:8">
      <c r="B1819" t="s">
        <v>2848</v>
      </c>
      <c r="C1819" s="915">
        <v>7702000000</v>
      </c>
      <c r="D1819" s="915" t="s">
        <v>3270</v>
      </c>
      <c r="E1819" s="915">
        <v>-300000</v>
      </c>
      <c r="F1819" s="915">
        <v>300000</v>
      </c>
      <c r="G1819" s="838"/>
      <c r="H1819" s="838"/>
    </row>
    <row r="1820" spans="2:8">
      <c r="B1820" t="s">
        <v>2848</v>
      </c>
      <c r="C1820" s="915">
        <v>7702000000</v>
      </c>
      <c r="D1820" s="915" t="s">
        <v>3270</v>
      </c>
      <c r="E1820" s="915">
        <v>30000</v>
      </c>
      <c r="F1820" s="915">
        <v>715966</v>
      </c>
      <c r="G1820" s="838"/>
      <c r="H1820" s="838"/>
    </row>
    <row r="1821" spans="2:8">
      <c r="B1821" t="s">
        <v>2848</v>
      </c>
      <c r="C1821" s="915">
        <v>7702000000</v>
      </c>
      <c r="D1821" s="915" t="s">
        <v>3270</v>
      </c>
      <c r="E1821" s="915">
        <v>0</v>
      </c>
      <c r="F1821" s="915">
        <v>3816569</v>
      </c>
      <c r="G1821" s="838"/>
      <c r="H1821" s="838"/>
    </row>
    <row r="1822" spans="2:8">
      <c r="B1822" t="s">
        <v>2848</v>
      </c>
      <c r="C1822" s="915">
        <v>7702000000</v>
      </c>
      <c r="D1822" s="915" t="s">
        <v>3270</v>
      </c>
      <c r="E1822" s="915">
        <v>0</v>
      </c>
      <c r="F1822" s="915">
        <v>-595094</v>
      </c>
      <c r="G1822" s="838"/>
      <c r="H1822" s="838"/>
    </row>
    <row r="1823" spans="2:8">
      <c r="B1823" t="s">
        <v>2848</v>
      </c>
      <c r="C1823" s="915">
        <v>7702000000</v>
      </c>
      <c r="D1823" s="915" t="s">
        <v>3270</v>
      </c>
      <c r="E1823" s="915">
        <v>0</v>
      </c>
      <c r="F1823" s="915">
        <v>-244513</v>
      </c>
      <c r="G1823" s="838"/>
      <c r="H1823" s="838"/>
    </row>
    <row r="1824" spans="2:8">
      <c r="B1824" t="s">
        <v>2848</v>
      </c>
      <c r="C1824" s="915">
        <v>7702000000</v>
      </c>
      <c r="D1824" s="915" t="s">
        <v>3270</v>
      </c>
      <c r="E1824" s="915">
        <v>42017</v>
      </c>
      <c r="F1824" s="915">
        <v>-2193688</v>
      </c>
      <c r="G1824" s="838"/>
      <c r="H1824" s="838"/>
    </row>
    <row r="1825" spans="2:8">
      <c r="B1825" t="s">
        <v>2848</v>
      </c>
      <c r="C1825" s="915">
        <v>7702000000</v>
      </c>
      <c r="D1825" s="915" t="s">
        <v>3270</v>
      </c>
      <c r="E1825" s="915">
        <v>1601</v>
      </c>
      <c r="F1825" s="915">
        <v>-1794167</v>
      </c>
      <c r="G1825" s="838"/>
      <c r="H1825" s="838"/>
    </row>
    <row r="1826" spans="2:8">
      <c r="B1826" t="s">
        <v>2848</v>
      </c>
      <c r="C1826" s="915">
        <v>7702000000</v>
      </c>
      <c r="D1826" s="915" t="s">
        <v>3270</v>
      </c>
      <c r="E1826" s="915">
        <v>0</v>
      </c>
      <c r="F1826" s="915">
        <v>1686733</v>
      </c>
      <c r="G1826" s="838"/>
      <c r="H1826" s="838"/>
    </row>
    <row r="1827" spans="2:8">
      <c r="B1827" t="s">
        <v>2848</v>
      </c>
      <c r="C1827" s="915">
        <v>7702000000</v>
      </c>
      <c r="D1827" s="915" t="s">
        <v>3270</v>
      </c>
      <c r="E1827" s="915">
        <v>0</v>
      </c>
      <c r="F1827" s="915">
        <v>923293</v>
      </c>
      <c r="G1827" s="838"/>
      <c r="H1827" s="838"/>
    </row>
    <row r="1828" spans="2:8">
      <c r="B1828" t="s">
        <v>2848</v>
      </c>
      <c r="C1828" s="915">
        <v>7702000000</v>
      </c>
      <c r="D1828" s="915" t="s">
        <v>3270</v>
      </c>
      <c r="E1828" s="915">
        <v>0</v>
      </c>
      <c r="F1828" s="915">
        <v>2436286</v>
      </c>
      <c r="G1828" s="838"/>
      <c r="H1828" s="838"/>
    </row>
    <row r="1829" spans="2:8">
      <c r="B1829" t="s">
        <v>2848</v>
      </c>
      <c r="C1829" s="915">
        <v>7702000000</v>
      </c>
      <c r="D1829" s="915" t="s">
        <v>3270</v>
      </c>
      <c r="E1829" s="915">
        <v>208936</v>
      </c>
      <c r="F1829" s="915">
        <v>1848393</v>
      </c>
      <c r="G1829" s="838"/>
      <c r="H1829" s="838"/>
    </row>
    <row r="1830" spans="2:8">
      <c r="B1830" t="s">
        <v>2848</v>
      </c>
      <c r="C1830" s="915">
        <v>7702000000</v>
      </c>
      <c r="D1830" s="915" t="s">
        <v>3270</v>
      </c>
      <c r="E1830" s="915">
        <v>0</v>
      </c>
      <c r="F1830" s="915">
        <v>1815000</v>
      </c>
      <c r="G1830" s="838"/>
      <c r="H1830" s="838"/>
    </row>
    <row r="1831" spans="2:8">
      <c r="B1831" t="s">
        <v>2848</v>
      </c>
      <c r="C1831" s="915">
        <v>7702000000</v>
      </c>
      <c r="D1831" s="915" t="s">
        <v>3270</v>
      </c>
      <c r="E1831" s="915">
        <v>0</v>
      </c>
      <c r="F1831" s="915">
        <v>98738</v>
      </c>
      <c r="G1831" s="838"/>
      <c r="H1831" s="838"/>
    </row>
    <row r="1832" spans="2:8">
      <c r="B1832" t="s">
        <v>2848</v>
      </c>
      <c r="C1832" s="915">
        <v>7702000000</v>
      </c>
      <c r="D1832" s="915" t="s">
        <v>3270</v>
      </c>
      <c r="E1832" s="915">
        <v>0</v>
      </c>
      <c r="F1832" s="915">
        <v>196920</v>
      </c>
      <c r="G1832" s="838"/>
      <c r="H1832" s="838"/>
    </row>
    <row r="1833" spans="2:8">
      <c r="B1833" t="s">
        <v>2848</v>
      </c>
      <c r="C1833" s="915">
        <v>7702000000</v>
      </c>
      <c r="D1833" s="915" t="s">
        <v>3270</v>
      </c>
      <c r="E1833" s="915">
        <v>0</v>
      </c>
      <c r="F1833" s="915">
        <v>12745</v>
      </c>
      <c r="G1833" s="838"/>
      <c r="H1833" s="838"/>
    </row>
    <row r="1834" spans="2:8">
      <c r="B1834" t="s">
        <v>2848</v>
      </c>
      <c r="C1834" s="915">
        <v>7702000003</v>
      </c>
      <c r="D1834" s="915" t="s">
        <v>3271</v>
      </c>
      <c r="E1834" s="915">
        <v>5866338</v>
      </c>
      <c r="F1834" s="915">
        <v>5804366</v>
      </c>
      <c r="G1834" s="838"/>
      <c r="H1834" s="838"/>
    </row>
    <row r="1835" spans="2:8">
      <c r="B1835" t="s">
        <v>2848</v>
      </c>
      <c r="C1835" s="915">
        <v>7702000003</v>
      </c>
      <c r="D1835" s="915" t="s">
        <v>3271</v>
      </c>
      <c r="E1835" s="915">
        <v>0</v>
      </c>
      <c r="F1835" s="915">
        <v>271014</v>
      </c>
      <c r="G1835" s="838"/>
      <c r="H1835" s="838"/>
    </row>
    <row r="1836" spans="2:8">
      <c r="B1836" t="s">
        <v>2848</v>
      </c>
      <c r="C1836" s="915">
        <v>7702000003</v>
      </c>
      <c r="D1836" s="915" t="s">
        <v>3271</v>
      </c>
      <c r="E1836" s="915">
        <v>0</v>
      </c>
      <c r="F1836" s="915">
        <v>211577</v>
      </c>
      <c r="G1836" s="838"/>
      <c r="H1836" s="838"/>
    </row>
    <row r="1837" spans="2:8">
      <c r="B1837" t="s">
        <v>2848</v>
      </c>
      <c r="C1837" s="915">
        <v>7702000003</v>
      </c>
      <c r="D1837" s="915" t="s">
        <v>3271</v>
      </c>
      <c r="E1837" s="915">
        <v>0</v>
      </c>
      <c r="F1837" s="915">
        <v>636807</v>
      </c>
      <c r="G1837" s="838"/>
      <c r="H1837" s="838"/>
    </row>
    <row r="1838" spans="2:8">
      <c r="B1838" t="s">
        <v>2848</v>
      </c>
      <c r="C1838" s="915">
        <v>7702000003</v>
      </c>
      <c r="D1838" s="915" t="s">
        <v>3271</v>
      </c>
      <c r="E1838" s="915">
        <v>0</v>
      </c>
      <c r="F1838" s="915">
        <v>2195168</v>
      </c>
      <c r="G1838" s="838"/>
      <c r="H1838" s="838"/>
    </row>
    <row r="1839" spans="2:8">
      <c r="B1839" t="s">
        <v>2848</v>
      </c>
      <c r="C1839" s="915">
        <v>7702000003</v>
      </c>
      <c r="D1839" s="915" t="s">
        <v>3271</v>
      </c>
      <c r="E1839" s="915">
        <v>91215</v>
      </c>
      <c r="F1839" s="915">
        <v>458062</v>
      </c>
      <c r="G1839" s="838"/>
      <c r="H1839" s="838"/>
    </row>
    <row r="1840" spans="2:8">
      <c r="B1840" t="s">
        <v>2848</v>
      </c>
      <c r="C1840" s="915">
        <v>7702000003</v>
      </c>
      <c r="D1840" s="915" t="s">
        <v>3271</v>
      </c>
      <c r="E1840" s="915">
        <v>8000</v>
      </c>
      <c r="F1840" s="915">
        <v>169531</v>
      </c>
      <c r="G1840" s="838"/>
      <c r="H1840" s="838"/>
    </row>
    <row r="1841" spans="2:8">
      <c r="B1841" t="s">
        <v>2848</v>
      </c>
      <c r="C1841" s="915">
        <v>7702000003</v>
      </c>
      <c r="D1841" s="915" t="s">
        <v>3271</v>
      </c>
      <c r="E1841" s="915">
        <v>1849</v>
      </c>
      <c r="F1841" s="915">
        <v>72433</v>
      </c>
      <c r="G1841" s="838"/>
      <c r="H1841" s="838"/>
    </row>
    <row r="1842" spans="2:8">
      <c r="B1842" t="s">
        <v>2848</v>
      </c>
      <c r="C1842" s="915">
        <v>7702000003</v>
      </c>
      <c r="D1842" s="915" t="s">
        <v>3271</v>
      </c>
      <c r="E1842" s="915">
        <v>20500</v>
      </c>
      <c r="F1842" s="915">
        <v>821315</v>
      </c>
      <c r="G1842" s="838"/>
      <c r="H1842" s="838"/>
    </row>
    <row r="1843" spans="2:8">
      <c r="B1843" t="s">
        <v>2848</v>
      </c>
      <c r="C1843" s="915">
        <v>7702000003</v>
      </c>
      <c r="D1843" s="915" t="s">
        <v>3271</v>
      </c>
      <c r="E1843" s="915">
        <v>0</v>
      </c>
      <c r="F1843" s="915">
        <v>256200</v>
      </c>
      <c r="G1843" s="838"/>
      <c r="H1843" s="838"/>
    </row>
    <row r="1844" spans="2:8">
      <c r="B1844" t="s">
        <v>2848</v>
      </c>
      <c r="C1844" s="915">
        <v>7702000003</v>
      </c>
      <c r="D1844" s="915" t="s">
        <v>3271</v>
      </c>
      <c r="E1844" s="915">
        <v>8380</v>
      </c>
      <c r="F1844" s="915">
        <v>209367</v>
      </c>
      <c r="G1844" s="838"/>
      <c r="H1844" s="838"/>
    </row>
    <row r="1845" spans="2:8">
      <c r="B1845" t="s">
        <v>2848</v>
      </c>
      <c r="C1845" s="915">
        <v>7702000003</v>
      </c>
      <c r="D1845" s="915" t="s">
        <v>3271</v>
      </c>
      <c r="E1845" s="915">
        <v>42160</v>
      </c>
      <c r="F1845" s="915">
        <v>227953</v>
      </c>
      <c r="G1845" s="838"/>
      <c r="H1845" s="838"/>
    </row>
    <row r="1846" spans="2:8">
      <c r="B1846" t="s">
        <v>2848</v>
      </c>
      <c r="C1846" s="915">
        <v>7702000003</v>
      </c>
      <c r="D1846" s="915" t="s">
        <v>3271</v>
      </c>
      <c r="E1846" s="915">
        <v>24200</v>
      </c>
      <c r="F1846" s="915">
        <v>53320</v>
      </c>
      <c r="G1846" s="838"/>
      <c r="H1846" s="838"/>
    </row>
    <row r="1847" spans="2:8">
      <c r="B1847" t="s">
        <v>2848</v>
      </c>
      <c r="C1847" s="915">
        <v>7702000003</v>
      </c>
      <c r="D1847" s="915" t="s">
        <v>3271</v>
      </c>
      <c r="E1847" s="915">
        <v>0</v>
      </c>
      <c r="F1847" s="915">
        <v>124300</v>
      </c>
      <c r="G1847" s="838"/>
      <c r="H1847" s="838"/>
    </row>
    <row r="1848" spans="2:8">
      <c r="B1848" t="s">
        <v>2848</v>
      </c>
      <c r="C1848" s="915">
        <v>7702000003</v>
      </c>
      <c r="D1848" s="915" t="s">
        <v>3271</v>
      </c>
      <c r="E1848" s="915">
        <v>0</v>
      </c>
      <c r="F1848" s="915">
        <v>150815</v>
      </c>
      <c r="G1848" s="838"/>
      <c r="H1848" s="838"/>
    </row>
    <row r="1849" spans="2:8">
      <c r="B1849" t="s">
        <v>2848</v>
      </c>
      <c r="C1849" s="915">
        <v>7702000003</v>
      </c>
      <c r="D1849" s="915" t="s">
        <v>3271</v>
      </c>
      <c r="E1849" s="915">
        <v>0</v>
      </c>
      <c r="F1849" s="915">
        <v>397732</v>
      </c>
      <c r="G1849" s="838"/>
      <c r="H1849" s="838"/>
    </row>
    <row r="1850" spans="2:8">
      <c r="B1850" t="s">
        <v>2848</v>
      </c>
      <c r="C1850" s="915">
        <v>7702000003</v>
      </c>
      <c r="D1850" s="915" t="s">
        <v>3271</v>
      </c>
      <c r="E1850" s="915">
        <v>33350</v>
      </c>
      <c r="F1850" s="915">
        <v>309388</v>
      </c>
      <c r="G1850" s="838"/>
      <c r="H1850" s="838"/>
    </row>
    <row r="1851" spans="2:8">
      <c r="B1851" t="s">
        <v>2848</v>
      </c>
      <c r="C1851" s="915">
        <v>7702000003</v>
      </c>
      <c r="D1851" s="915" t="s">
        <v>3271</v>
      </c>
      <c r="E1851" s="915">
        <v>25137</v>
      </c>
      <c r="F1851" s="915">
        <v>508615</v>
      </c>
      <c r="G1851" s="838"/>
      <c r="H1851" s="838"/>
    </row>
    <row r="1852" spans="2:8">
      <c r="B1852" t="s">
        <v>2848</v>
      </c>
      <c r="C1852" s="915">
        <v>7702000003</v>
      </c>
      <c r="D1852" s="915" t="s">
        <v>3271</v>
      </c>
      <c r="E1852" s="915">
        <v>0</v>
      </c>
      <c r="F1852" s="915">
        <v>5550</v>
      </c>
      <c r="G1852" s="838"/>
      <c r="H1852" s="838"/>
    </row>
    <row r="1853" spans="2:8">
      <c r="B1853" t="s">
        <v>2848</v>
      </c>
      <c r="C1853" s="915">
        <v>7702000003</v>
      </c>
      <c r="D1853" s="915" t="s">
        <v>3271</v>
      </c>
      <c r="E1853" s="915">
        <v>0</v>
      </c>
      <c r="F1853" s="915">
        <v>162682</v>
      </c>
      <c r="G1853" s="838"/>
      <c r="H1853" s="838"/>
    </row>
    <row r="1854" spans="2:8">
      <c r="B1854" t="s">
        <v>2848</v>
      </c>
      <c r="C1854" s="915">
        <v>7702000007</v>
      </c>
      <c r="D1854" s="915" t="s">
        <v>3272</v>
      </c>
      <c r="E1854" s="915">
        <v>2488479</v>
      </c>
      <c r="F1854" s="915">
        <v>9989585</v>
      </c>
      <c r="G1854" s="838"/>
      <c r="H1854" s="838"/>
    </row>
    <row r="1855" spans="2:8">
      <c r="B1855" t="s">
        <v>2848</v>
      </c>
      <c r="C1855" s="915">
        <v>7702000007</v>
      </c>
      <c r="D1855" s="915" t="s">
        <v>3272</v>
      </c>
      <c r="E1855" s="915">
        <v>0</v>
      </c>
      <c r="F1855" s="915">
        <v>329988</v>
      </c>
      <c r="G1855" s="838"/>
      <c r="H1855" s="838"/>
    </row>
    <row r="1856" spans="2:8">
      <c r="B1856" t="s">
        <v>2848</v>
      </c>
      <c r="C1856" s="915">
        <v>7702000007</v>
      </c>
      <c r="D1856" s="915" t="s">
        <v>3272</v>
      </c>
      <c r="E1856" s="915">
        <v>22704</v>
      </c>
      <c r="F1856" s="915">
        <v>13400</v>
      </c>
      <c r="G1856" s="838"/>
      <c r="H1856" s="838"/>
    </row>
    <row r="1857" spans="2:8">
      <c r="B1857" t="s">
        <v>2848</v>
      </c>
      <c r="C1857" s="915">
        <v>7702000007</v>
      </c>
      <c r="D1857" s="915" t="s">
        <v>3272</v>
      </c>
      <c r="E1857" s="915">
        <v>149521</v>
      </c>
      <c r="F1857" s="915">
        <v>37950</v>
      </c>
      <c r="G1857" s="838"/>
      <c r="H1857" s="838"/>
    </row>
    <row r="1858" spans="2:8">
      <c r="B1858" t="s">
        <v>2848</v>
      </c>
      <c r="C1858" s="915">
        <v>7702000007</v>
      </c>
      <c r="D1858" s="915" t="s">
        <v>3272</v>
      </c>
      <c r="E1858" s="915">
        <v>0</v>
      </c>
      <c r="F1858" s="915">
        <v>85260</v>
      </c>
      <c r="G1858" s="838"/>
      <c r="H1858" s="838"/>
    </row>
    <row r="1859" spans="2:8">
      <c r="B1859" t="s">
        <v>2848</v>
      </c>
      <c r="C1859" s="915">
        <v>7702000007</v>
      </c>
      <c r="D1859" s="915" t="s">
        <v>3272</v>
      </c>
      <c r="E1859" s="915">
        <v>11160</v>
      </c>
      <c r="F1859" s="915">
        <v>80819</v>
      </c>
      <c r="G1859" s="838"/>
      <c r="H1859" s="838"/>
    </row>
    <row r="1860" spans="2:8">
      <c r="B1860" t="s">
        <v>2848</v>
      </c>
      <c r="C1860" s="915">
        <v>7702000007</v>
      </c>
      <c r="D1860" s="915" t="s">
        <v>3272</v>
      </c>
      <c r="E1860" s="915">
        <v>19491</v>
      </c>
      <c r="F1860" s="915">
        <v>61758</v>
      </c>
      <c r="G1860" s="838"/>
      <c r="H1860" s="838"/>
    </row>
    <row r="1861" spans="2:8">
      <c r="B1861" t="s">
        <v>2848</v>
      </c>
      <c r="C1861" s="915">
        <v>7702000007</v>
      </c>
      <c r="D1861" s="915" t="s">
        <v>3272</v>
      </c>
      <c r="E1861" s="915">
        <v>2560</v>
      </c>
      <c r="F1861" s="915">
        <v>39858</v>
      </c>
      <c r="G1861" s="838"/>
      <c r="H1861" s="838"/>
    </row>
    <row r="1862" spans="2:8">
      <c r="B1862" t="s">
        <v>2848</v>
      </c>
      <c r="C1862" s="915">
        <v>7702000007</v>
      </c>
      <c r="D1862" s="915" t="s">
        <v>3272</v>
      </c>
      <c r="E1862" s="915">
        <v>85700</v>
      </c>
      <c r="F1862" s="915">
        <v>5220</v>
      </c>
      <c r="G1862" s="838"/>
      <c r="H1862" s="838"/>
    </row>
    <row r="1863" spans="2:8">
      <c r="B1863" t="s">
        <v>2848</v>
      </c>
      <c r="C1863" s="915">
        <v>7702000007</v>
      </c>
      <c r="D1863" s="915" t="s">
        <v>3272</v>
      </c>
      <c r="E1863" s="915">
        <v>0</v>
      </c>
      <c r="F1863" s="915">
        <v>36674</v>
      </c>
      <c r="G1863" s="838"/>
      <c r="H1863" s="838"/>
    </row>
    <row r="1864" spans="2:8">
      <c r="B1864" t="s">
        <v>2848</v>
      </c>
      <c r="C1864" s="915">
        <v>7702000007</v>
      </c>
      <c r="D1864" s="915" t="s">
        <v>3272</v>
      </c>
      <c r="E1864" s="915">
        <v>33730</v>
      </c>
      <c r="F1864" s="915">
        <v>2409042</v>
      </c>
      <c r="G1864" s="838"/>
      <c r="H1864" s="838"/>
    </row>
    <row r="1865" spans="2:8">
      <c r="B1865" t="s">
        <v>2848</v>
      </c>
      <c r="C1865" s="915">
        <v>7702000007</v>
      </c>
      <c r="D1865" s="915" t="s">
        <v>3272</v>
      </c>
      <c r="E1865" s="915">
        <v>85700</v>
      </c>
      <c r="F1865" s="915">
        <v>133550</v>
      </c>
      <c r="G1865" s="838"/>
      <c r="H1865" s="838"/>
    </row>
    <row r="1866" spans="2:8">
      <c r="B1866" t="s">
        <v>2848</v>
      </c>
      <c r="C1866" s="915">
        <v>7702000007</v>
      </c>
      <c r="D1866" s="915" t="s">
        <v>3272</v>
      </c>
      <c r="E1866" s="915">
        <v>0</v>
      </c>
      <c r="F1866" s="915">
        <v>123070</v>
      </c>
      <c r="G1866" s="838"/>
      <c r="H1866" s="838"/>
    </row>
    <row r="1867" spans="2:8">
      <c r="B1867" t="s">
        <v>2848</v>
      </c>
      <c r="C1867" s="915">
        <v>7702000007</v>
      </c>
      <c r="D1867" s="915" t="s">
        <v>3272</v>
      </c>
      <c r="E1867" s="915">
        <v>0</v>
      </c>
      <c r="F1867" s="915">
        <v>14520</v>
      </c>
      <c r="G1867" s="838"/>
      <c r="H1867" s="838"/>
    </row>
    <row r="1868" spans="2:8">
      <c r="B1868" t="s">
        <v>2848</v>
      </c>
      <c r="C1868" s="915">
        <v>7702000007</v>
      </c>
      <c r="D1868" s="915" t="s">
        <v>3272</v>
      </c>
      <c r="E1868" s="915">
        <v>20000</v>
      </c>
      <c r="F1868" s="915">
        <v>42990</v>
      </c>
      <c r="G1868" s="838"/>
      <c r="H1868" s="838"/>
    </row>
    <row r="1869" spans="2:8">
      <c r="B1869" t="s">
        <v>2848</v>
      </c>
      <c r="C1869" s="915">
        <v>7702000007</v>
      </c>
      <c r="D1869" s="915" t="s">
        <v>3272</v>
      </c>
      <c r="E1869" s="915">
        <v>84390</v>
      </c>
      <c r="F1869" s="915">
        <v>9750</v>
      </c>
      <c r="G1869" s="838"/>
      <c r="H1869" s="838"/>
    </row>
    <row r="1870" spans="2:8">
      <c r="B1870" t="s">
        <v>2848</v>
      </c>
      <c r="C1870" s="915">
        <v>7702000007</v>
      </c>
      <c r="D1870" s="915" t="s">
        <v>3272</v>
      </c>
      <c r="E1870" s="915">
        <v>150347</v>
      </c>
      <c r="F1870" s="915">
        <v>-181872</v>
      </c>
      <c r="G1870" s="838"/>
      <c r="H1870" s="838"/>
    </row>
    <row r="1871" spans="2:8">
      <c r="B1871" t="s">
        <v>2848</v>
      </c>
      <c r="C1871" s="915">
        <v>7702000007</v>
      </c>
      <c r="D1871" s="915" t="s">
        <v>3272</v>
      </c>
      <c r="E1871" s="915">
        <v>0</v>
      </c>
      <c r="F1871" s="915">
        <v>4120</v>
      </c>
      <c r="G1871" s="838"/>
      <c r="H1871" s="838"/>
    </row>
    <row r="1872" spans="2:8">
      <c r="B1872" t="s">
        <v>2848</v>
      </c>
      <c r="C1872" s="915">
        <v>7702000007</v>
      </c>
      <c r="D1872" s="915" t="s">
        <v>3272</v>
      </c>
      <c r="E1872" s="915">
        <v>0</v>
      </c>
      <c r="F1872" s="915">
        <v>74750</v>
      </c>
      <c r="G1872" s="838"/>
      <c r="H1872" s="838"/>
    </row>
    <row r="1873" spans="2:8">
      <c r="B1873" t="s">
        <v>2848</v>
      </c>
      <c r="C1873" s="915">
        <v>7702000011</v>
      </c>
      <c r="D1873" s="915" t="s">
        <v>3273</v>
      </c>
      <c r="E1873" s="915">
        <v>-107796</v>
      </c>
      <c r="F1873" s="915">
        <v>32720134</v>
      </c>
      <c r="G1873" s="838"/>
      <c r="H1873" s="838"/>
    </row>
    <row r="1874" spans="2:8">
      <c r="B1874" t="s">
        <v>2848</v>
      </c>
      <c r="C1874" s="915">
        <v>7702000011</v>
      </c>
      <c r="D1874" s="915" t="s">
        <v>3273</v>
      </c>
      <c r="E1874" s="915">
        <v>0</v>
      </c>
      <c r="F1874" s="915">
        <v>5003</v>
      </c>
      <c r="G1874" s="838"/>
      <c r="H1874" s="838"/>
    </row>
    <row r="1875" spans="2:8">
      <c r="B1875" t="s">
        <v>2848</v>
      </c>
      <c r="C1875" s="915">
        <v>7702000011</v>
      </c>
      <c r="D1875" s="915" t="s">
        <v>3273</v>
      </c>
      <c r="E1875" s="915">
        <v>0</v>
      </c>
      <c r="F1875" s="915">
        <v>276730</v>
      </c>
      <c r="G1875" s="838"/>
      <c r="H1875" s="838"/>
    </row>
    <row r="1876" spans="2:8">
      <c r="B1876" t="s">
        <v>2848</v>
      </c>
      <c r="C1876" s="915">
        <v>7702000011</v>
      </c>
      <c r="D1876" s="915" t="s">
        <v>3273</v>
      </c>
      <c r="E1876" s="915">
        <v>0</v>
      </c>
      <c r="F1876" s="915">
        <v>3859</v>
      </c>
      <c r="G1876" s="838"/>
      <c r="H1876" s="838"/>
    </row>
    <row r="1877" spans="2:8">
      <c r="B1877" t="s">
        <v>2848</v>
      </c>
      <c r="C1877" s="915">
        <v>7702000011</v>
      </c>
      <c r="D1877" s="915" t="s">
        <v>3273</v>
      </c>
      <c r="E1877" s="915">
        <v>0</v>
      </c>
      <c r="F1877" s="915">
        <v>89174</v>
      </c>
      <c r="G1877" s="838"/>
      <c r="H1877" s="838"/>
    </row>
    <row r="1878" spans="2:8">
      <c r="B1878" t="s">
        <v>2848</v>
      </c>
      <c r="C1878" s="915">
        <v>7702000011</v>
      </c>
      <c r="D1878" s="915" t="s">
        <v>3273</v>
      </c>
      <c r="E1878" s="915">
        <v>42342</v>
      </c>
      <c r="F1878" s="915">
        <v>341217</v>
      </c>
      <c r="G1878" s="838"/>
      <c r="H1878" s="838"/>
    </row>
    <row r="1879" spans="2:8">
      <c r="B1879" t="s">
        <v>2848</v>
      </c>
      <c r="C1879" s="915">
        <v>7702000011</v>
      </c>
      <c r="D1879" s="915" t="s">
        <v>3273</v>
      </c>
      <c r="E1879" s="915">
        <v>0</v>
      </c>
      <c r="F1879" s="915">
        <v>147868</v>
      </c>
      <c r="G1879" s="838"/>
      <c r="H1879" s="838"/>
    </row>
    <row r="1880" spans="2:8">
      <c r="B1880" t="s">
        <v>2848</v>
      </c>
      <c r="C1880" s="915">
        <v>7702000011</v>
      </c>
      <c r="D1880" s="915" t="s">
        <v>3273</v>
      </c>
      <c r="E1880" s="915">
        <v>0</v>
      </c>
      <c r="F1880" s="915">
        <v>31054</v>
      </c>
      <c r="G1880" s="838"/>
      <c r="H1880" s="838"/>
    </row>
    <row r="1881" spans="2:8">
      <c r="B1881" t="s">
        <v>2848</v>
      </c>
      <c r="C1881" s="915">
        <v>7702000011</v>
      </c>
      <c r="D1881" s="915" t="s">
        <v>3273</v>
      </c>
      <c r="E1881" s="915">
        <v>0</v>
      </c>
      <c r="F1881" s="915">
        <v>91281</v>
      </c>
      <c r="G1881" s="838"/>
      <c r="H1881" s="838"/>
    </row>
    <row r="1882" spans="2:8">
      <c r="B1882" t="s">
        <v>2848</v>
      </c>
      <c r="C1882" s="915">
        <v>7702000011</v>
      </c>
      <c r="D1882" s="915" t="s">
        <v>3273</v>
      </c>
      <c r="E1882" s="915">
        <v>0</v>
      </c>
      <c r="F1882" s="915">
        <v>27980</v>
      </c>
      <c r="G1882" s="838"/>
      <c r="H1882" s="838"/>
    </row>
    <row r="1883" spans="2:8">
      <c r="B1883" t="s">
        <v>2848</v>
      </c>
      <c r="C1883" s="915">
        <v>7702000011</v>
      </c>
      <c r="D1883" s="915" t="s">
        <v>3273</v>
      </c>
      <c r="E1883" s="915">
        <v>0</v>
      </c>
      <c r="F1883" s="915">
        <v>229450</v>
      </c>
      <c r="G1883" s="838"/>
      <c r="H1883" s="838"/>
    </row>
    <row r="1884" spans="2:8">
      <c r="B1884" t="s">
        <v>2848</v>
      </c>
      <c r="C1884" s="915">
        <v>7702000011</v>
      </c>
      <c r="D1884" s="915" t="s">
        <v>3273</v>
      </c>
      <c r="E1884" s="915">
        <v>0</v>
      </c>
      <c r="F1884" s="915">
        <v>6178</v>
      </c>
      <c r="G1884" s="838"/>
      <c r="H1884" s="838"/>
    </row>
    <row r="1885" spans="2:8">
      <c r="B1885" t="s">
        <v>2848</v>
      </c>
      <c r="C1885" s="915">
        <v>7702000011</v>
      </c>
      <c r="D1885" s="915" t="s">
        <v>3273</v>
      </c>
      <c r="E1885" s="915">
        <v>0</v>
      </c>
      <c r="F1885" s="915">
        <v>9560</v>
      </c>
      <c r="G1885" s="838"/>
      <c r="H1885" s="838"/>
    </row>
    <row r="1886" spans="2:8">
      <c r="B1886" t="s">
        <v>2848</v>
      </c>
      <c r="C1886" s="915">
        <v>7702000011</v>
      </c>
      <c r="D1886" s="915" t="s">
        <v>3273</v>
      </c>
      <c r="E1886" s="915">
        <v>0</v>
      </c>
      <c r="F1886" s="915">
        <v>270592</v>
      </c>
      <c r="G1886" s="838"/>
      <c r="H1886" s="838"/>
    </row>
    <row r="1887" spans="2:8">
      <c r="B1887" t="s">
        <v>2848</v>
      </c>
      <c r="C1887" s="915">
        <v>7702000011</v>
      </c>
      <c r="D1887" s="915" t="s">
        <v>3273</v>
      </c>
      <c r="E1887" s="915">
        <v>0</v>
      </c>
      <c r="F1887" s="915">
        <v>66513</v>
      </c>
      <c r="G1887" s="838"/>
      <c r="H1887" s="838"/>
    </row>
    <row r="1888" spans="2:8">
      <c r="B1888" t="s">
        <v>2848</v>
      </c>
      <c r="C1888" s="915">
        <v>7702000011</v>
      </c>
      <c r="D1888" s="915" t="s">
        <v>3273</v>
      </c>
      <c r="E1888" s="915">
        <v>0</v>
      </c>
      <c r="F1888" s="915">
        <v>-39218</v>
      </c>
      <c r="G1888" s="838"/>
      <c r="H1888" s="838"/>
    </row>
    <row r="1889" spans="2:8">
      <c r="B1889" t="s">
        <v>2848</v>
      </c>
      <c r="C1889" s="915">
        <v>7702000011</v>
      </c>
      <c r="D1889" s="915" t="s">
        <v>3273</v>
      </c>
      <c r="E1889" s="915">
        <v>192780</v>
      </c>
      <c r="F1889" s="915">
        <v>488537</v>
      </c>
      <c r="G1889" s="838"/>
      <c r="H1889" s="838"/>
    </row>
    <row r="1890" spans="2:8">
      <c r="B1890" t="s">
        <v>2848</v>
      </c>
      <c r="C1890" s="915">
        <v>7702000011</v>
      </c>
      <c r="D1890" s="915" t="s">
        <v>3273</v>
      </c>
      <c r="E1890" s="915">
        <v>0</v>
      </c>
      <c r="F1890" s="915">
        <v>292074</v>
      </c>
      <c r="G1890" s="838"/>
      <c r="H1890" s="838"/>
    </row>
    <row r="1891" spans="2:8">
      <c r="B1891" t="s">
        <v>2848</v>
      </c>
      <c r="C1891" s="915">
        <v>7702000011</v>
      </c>
      <c r="D1891" s="915" t="s">
        <v>3273</v>
      </c>
      <c r="E1891" s="915">
        <v>0</v>
      </c>
      <c r="F1891" s="915">
        <v>350014</v>
      </c>
      <c r="G1891" s="838"/>
      <c r="H1891" s="838"/>
    </row>
    <row r="1892" spans="2:8">
      <c r="B1892" t="s">
        <v>2848</v>
      </c>
      <c r="C1892" s="915">
        <v>7702000011</v>
      </c>
      <c r="D1892" s="915" t="s">
        <v>3273</v>
      </c>
      <c r="E1892" s="915">
        <v>0</v>
      </c>
      <c r="F1892" s="915">
        <v>212032</v>
      </c>
      <c r="G1892" s="838"/>
      <c r="H1892" s="838"/>
    </row>
    <row r="1893" spans="2:8">
      <c r="B1893" t="s">
        <v>2848</v>
      </c>
      <c r="C1893" s="915">
        <v>7702000011</v>
      </c>
      <c r="D1893" s="915" t="s">
        <v>3273</v>
      </c>
      <c r="E1893" s="915">
        <v>0</v>
      </c>
      <c r="F1893" s="915">
        <v>569929</v>
      </c>
      <c r="G1893" s="838"/>
      <c r="H1893" s="838"/>
    </row>
    <row r="1894" spans="2:8">
      <c r="B1894" t="s">
        <v>2848</v>
      </c>
      <c r="C1894" s="915">
        <v>7702200001</v>
      </c>
      <c r="D1894" s="915" t="s">
        <v>3274</v>
      </c>
      <c r="E1894" s="915">
        <v>6627536</v>
      </c>
      <c r="F1894" s="915">
        <v>27186710</v>
      </c>
      <c r="G1894" s="838"/>
      <c r="H1894" s="838"/>
    </row>
    <row r="1895" spans="2:8">
      <c r="B1895" t="s">
        <v>2848</v>
      </c>
      <c r="C1895" s="915">
        <v>7702200002</v>
      </c>
      <c r="D1895" s="915" t="s">
        <v>3275</v>
      </c>
      <c r="E1895" s="915">
        <v>3918993</v>
      </c>
      <c r="F1895" s="915">
        <v>473783</v>
      </c>
      <c r="G1895" s="838"/>
      <c r="H1895" s="838"/>
    </row>
    <row r="1896" spans="2:8">
      <c r="B1896" t="s">
        <v>2848</v>
      </c>
      <c r="C1896" s="915">
        <v>7702200002</v>
      </c>
      <c r="D1896" s="915" t="s">
        <v>3275</v>
      </c>
      <c r="E1896" s="915">
        <v>0</v>
      </c>
      <c r="F1896" s="915">
        <v>767727</v>
      </c>
      <c r="G1896" s="838"/>
      <c r="H1896" s="838"/>
    </row>
    <row r="1897" spans="2:8">
      <c r="B1897" t="s">
        <v>2848</v>
      </c>
      <c r="C1897" s="915">
        <v>7702200002</v>
      </c>
      <c r="D1897" s="915" t="s">
        <v>3275</v>
      </c>
      <c r="E1897" s="915">
        <v>17746</v>
      </c>
      <c r="F1897" s="915">
        <v>0</v>
      </c>
      <c r="G1897" s="838"/>
      <c r="H1897" s="838"/>
    </row>
    <row r="1898" spans="2:8">
      <c r="B1898" t="s">
        <v>2848</v>
      </c>
      <c r="C1898" s="915">
        <v>7702200002</v>
      </c>
      <c r="D1898" s="915" t="s">
        <v>3275</v>
      </c>
      <c r="E1898" s="915">
        <v>1379564</v>
      </c>
      <c r="F1898" s="915">
        <v>0</v>
      </c>
      <c r="G1898" s="838"/>
      <c r="H1898" s="838"/>
    </row>
    <row r="1899" spans="2:8">
      <c r="B1899" t="s">
        <v>2848</v>
      </c>
      <c r="C1899" s="915">
        <v>7702200002</v>
      </c>
      <c r="D1899" s="915" t="s">
        <v>3275</v>
      </c>
      <c r="E1899" s="915">
        <v>0</v>
      </c>
      <c r="F1899" s="915">
        <v>43000</v>
      </c>
      <c r="G1899" s="838"/>
      <c r="H1899" s="838"/>
    </row>
    <row r="1900" spans="2:8">
      <c r="B1900" t="s">
        <v>2848</v>
      </c>
      <c r="C1900" s="915">
        <v>7702200002</v>
      </c>
      <c r="D1900" s="915" t="s">
        <v>3275</v>
      </c>
      <c r="E1900" s="915">
        <v>0</v>
      </c>
      <c r="F1900" s="915">
        <v>612070</v>
      </c>
      <c r="G1900" s="838"/>
      <c r="H1900" s="838"/>
    </row>
    <row r="1901" spans="2:8">
      <c r="B1901" t="s">
        <v>2848</v>
      </c>
      <c r="C1901" s="915">
        <v>7702200002</v>
      </c>
      <c r="D1901" s="915" t="s">
        <v>3275</v>
      </c>
      <c r="E1901" s="915">
        <v>459855</v>
      </c>
      <c r="F1901" s="915">
        <v>0</v>
      </c>
      <c r="G1901" s="838"/>
      <c r="H1901" s="838"/>
    </row>
    <row r="1902" spans="2:8">
      <c r="B1902" t="s">
        <v>2848</v>
      </c>
      <c r="C1902" s="915">
        <v>7702200002</v>
      </c>
      <c r="D1902" s="915" t="s">
        <v>3275</v>
      </c>
      <c r="E1902" s="915">
        <v>10000</v>
      </c>
      <c r="F1902" s="915">
        <v>329450</v>
      </c>
      <c r="G1902" s="838"/>
      <c r="H1902" s="838"/>
    </row>
    <row r="1903" spans="2:8">
      <c r="B1903" t="s">
        <v>2848</v>
      </c>
      <c r="C1903" s="915">
        <v>7702200002</v>
      </c>
      <c r="D1903" s="915" t="s">
        <v>3275</v>
      </c>
      <c r="E1903" s="915">
        <v>15000</v>
      </c>
      <c r="F1903" s="915">
        <v>4100</v>
      </c>
      <c r="G1903" s="838"/>
      <c r="H1903" s="838"/>
    </row>
    <row r="1904" spans="2:8">
      <c r="B1904" t="s">
        <v>2848</v>
      </c>
      <c r="C1904" s="915">
        <v>7702200002</v>
      </c>
      <c r="D1904" s="915" t="s">
        <v>3275</v>
      </c>
      <c r="E1904" s="915">
        <v>0</v>
      </c>
      <c r="F1904" s="915">
        <v>96577</v>
      </c>
      <c r="G1904" s="838"/>
      <c r="H1904" s="838"/>
    </row>
    <row r="1905" spans="2:8">
      <c r="B1905" t="s">
        <v>2848</v>
      </c>
      <c r="C1905" s="915">
        <v>7702200002</v>
      </c>
      <c r="D1905" s="915" t="s">
        <v>3275</v>
      </c>
      <c r="E1905" s="915">
        <v>5621900</v>
      </c>
      <c r="F1905" s="915">
        <v>-5610</v>
      </c>
      <c r="G1905" s="838"/>
      <c r="H1905" s="838"/>
    </row>
    <row r="1906" spans="2:8">
      <c r="B1906" t="s">
        <v>2848</v>
      </c>
      <c r="C1906" s="915">
        <v>7702200002</v>
      </c>
      <c r="D1906" s="915" t="s">
        <v>3275</v>
      </c>
      <c r="E1906" s="915">
        <v>0</v>
      </c>
      <c r="F1906" s="915">
        <v>182310</v>
      </c>
      <c r="G1906" s="838"/>
      <c r="H1906" s="838"/>
    </row>
    <row r="1907" spans="2:8">
      <c r="B1907" t="s">
        <v>2848</v>
      </c>
      <c r="C1907" s="915">
        <v>7702200002</v>
      </c>
      <c r="D1907" s="915" t="s">
        <v>3275</v>
      </c>
      <c r="E1907" s="915">
        <v>0</v>
      </c>
      <c r="F1907" s="915">
        <v>371228</v>
      </c>
      <c r="G1907" s="838"/>
      <c r="H1907" s="838"/>
    </row>
    <row r="1908" spans="2:8">
      <c r="B1908" t="s">
        <v>2848</v>
      </c>
      <c r="C1908" s="915">
        <v>7702200002</v>
      </c>
      <c r="D1908" s="915" t="s">
        <v>3275</v>
      </c>
      <c r="E1908" s="915">
        <v>0</v>
      </c>
      <c r="F1908" s="915">
        <v>10000</v>
      </c>
      <c r="G1908" s="838"/>
      <c r="H1908" s="838"/>
    </row>
    <row r="1909" spans="2:8">
      <c r="B1909" t="s">
        <v>2848</v>
      </c>
      <c r="C1909" s="915">
        <v>7702200002</v>
      </c>
      <c r="D1909" s="915" t="s">
        <v>3275</v>
      </c>
      <c r="E1909" s="915">
        <v>0</v>
      </c>
      <c r="F1909" s="915">
        <v>64382</v>
      </c>
      <c r="G1909" s="838"/>
      <c r="H1909" s="838"/>
    </row>
    <row r="1910" spans="2:8">
      <c r="B1910" t="s">
        <v>2848</v>
      </c>
      <c r="C1910" s="915">
        <v>7702200002</v>
      </c>
      <c r="D1910" s="915" t="s">
        <v>3275</v>
      </c>
      <c r="E1910" s="915">
        <v>0</v>
      </c>
      <c r="F1910" s="915">
        <v>264180</v>
      </c>
      <c r="G1910" s="838"/>
      <c r="H1910" s="838"/>
    </row>
    <row r="1911" spans="2:8">
      <c r="B1911" t="s">
        <v>2848</v>
      </c>
      <c r="C1911" s="915">
        <v>7702200002</v>
      </c>
      <c r="D1911" s="915" t="s">
        <v>3275</v>
      </c>
      <c r="E1911" s="915">
        <v>0</v>
      </c>
      <c r="F1911" s="915">
        <v>41141</v>
      </c>
      <c r="G1911" s="838"/>
      <c r="H1911" s="838"/>
    </row>
    <row r="1912" spans="2:8">
      <c r="B1912" t="s">
        <v>2848</v>
      </c>
      <c r="C1912" s="915">
        <v>7704100000</v>
      </c>
      <c r="D1912" s="915" t="s">
        <v>3276</v>
      </c>
      <c r="E1912" s="915">
        <v>10100</v>
      </c>
      <c r="F1912" s="915">
        <v>39895</v>
      </c>
      <c r="G1912" s="838"/>
      <c r="H1912" s="838"/>
    </row>
    <row r="1913" spans="2:8">
      <c r="B1913" t="s">
        <v>2848</v>
      </c>
      <c r="C1913" s="915">
        <v>7704100000</v>
      </c>
      <c r="D1913" s="915" t="s">
        <v>3276</v>
      </c>
      <c r="E1913" s="915">
        <v>0</v>
      </c>
      <c r="F1913" s="915">
        <v>2450</v>
      </c>
      <c r="G1913" s="838"/>
      <c r="H1913" s="838"/>
    </row>
    <row r="1914" spans="2:8">
      <c r="B1914" t="s">
        <v>2848</v>
      </c>
      <c r="C1914" s="915">
        <v>7704100000</v>
      </c>
      <c r="D1914" s="915" t="s">
        <v>3276</v>
      </c>
      <c r="E1914" s="915">
        <v>0</v>
      </c>
      <c r="F1914" s="915">
        <v>3400</v>
      </c>
      <c r="G1914" s="838"/>
      <c r="H1914" s="838"/>
    </row>
    <row r="1915" spans="2:8">
      <c r="B1915" t="s">
        <v>2848</v>
      </c>
      <c r="C1915" s="915">
        <v>7704100000</v>
      </c>
      <c r="D1915" s="915" t="s">
        <v>3276</v>
      </c>
      <c r="E1915" s="915">
        <v>0</v>
      </c>
      <c r="F1915" s="915">
        <v>35000</v>
      </c>
      <c r="G1915" s="838"/>
      <c r="H1915" s="838"/>
    </row>
    <row r="1916" spans="2:8">
      <c r="B1916" t="s">
        <v>2848</v>
      </c>
      <c r="C1916" s="915">
        <v>7704100000</v>
      </c>
      <c r="D1916" s="915" t="s">
        <v>3276</v>
      </c>
      <c r="E1916" s="915">
        <v>0</v>
      </c>
      <c r="F1916" s="915">
        <v>80378</v>
      </c>
      <c r="G1916" s="838"/>
      <c r="H1916" s="838"/>
    </row>
    <row r="1917" spans="2:8">
      <c r="B1917" t="s">
        <v>2848</v>
      </c>
      <c r="C1917" s="915">
        <v>7704100000</v>
      </c>
      <c r="D1917" s="915" t="s">
        <v>3276</v>
      </c>
      <c r="E1917" s="915">
        <v>0</v>
      </c>
      <c r="F1917" s="915">
        <v>524862</v>
      </c>
      <c r="G1917" s="838"/>
      <c r="H1917" s="838"/>
    </row>
    <row r="1918" spans="2:8">
      <c r="B1918" t="s">
        <v>2848</v>
      </c>
      <c r="C1918" s="915">
        <v>7704100000</v>
      </c>
      <c r="D1918" s="915" t="s">
        <v>3276</v>
      </c>
      <c r="E1918" s="915">
        <v>0</v>
      </c>
      <c r="F1918" s="915">
        <v>359379</v>
      </c>
      <c r="G1918" s="838"/>
      <c r="H1918" s="838"/>
    </row>
    <row r="1919" spans="2:8">
      <c r="B1919" t="s">
        <v>2848</v>
      </c>
      <c r="C1919" s="915">
        <v>7704100000</v>
      </c>
      <c r="D1919" s="915" t="s">
        <v>3276</v>
      </c>
      <c r="E1919" s="915">
        <v>0</v>
      </c>
      <c r="F1919" s="915">
        <v>260162</v>
      </c>
      <c r="G1919" s="838"/>
      <c r="H1919" s="838"/>
    </row>
    <row r="1920" spans="2:8">
      <c r="B1920" t="s">
        <v>2848</v>
      </c>
      <c r="C1920" s="915">
        <v>7704100000</v>
      </c>
      <c r="D1920" s="915" t="s">
        <v>3276</v>
      </c>
      <c r="E1920" s="915">
        <v>0</v>
      </c>
      <c r="F1920" s="915">
        <v>210783</v>
      </c>
      <c r="G1920" s="838"/>
      <c r="H1920" s="838"/>
    </row>
    <row r="1921" spans="2:8">
      <c r="B1921" t="s">
        <v>2848</v>
      </c>
      <c r="C1921" s="915">
        <v>7704100000</v>
      </c>
      <c r="D1921" s="915" t="s">
        <v>3276</v>
      </c>
      <c r="E1921" s="915">
        <v>145038</v>
      </c>
      <c r="F1921" s="915">
        <v>0</v>
      </c>
      <c r="G1921" s="838"/>
      <c r="H1921" s="838"/>
    </row>
    <row r="1922" spans="2:8">
      <c r="B1922" t="s">
        <v>2848</v>
      </c>
      <c r="C1922" s="915">
        <v>7704100000</v>
      </c>
      <c r="D1922" s="915" t="s">
        <v>3276</v>
      </c>
      <c r="E1922" s="915">
        <v>0</v>
      </c>
      <c r="F1922" s="915">
        <v>222565</v>
      </c>
      <c r="G1922" s="838"/>
      <c r="H1922" s="838"/>
    </row>
    <row r="1923" spans="2:8">
      <c r="B1923" t="s">
        <v>2848</v>
      </c>
      <c r="C1923" s="915">
        <v>7704100000</v>
      </c>
      <c r="D1923" s="915" t="s">
        <v>3276</v>
      </c>
      <c r="E1923" s="915">
        <v>0</v>
      </c>
      <c r="F1923" s="915">
        <v>235862</v>
      </c>
      <c r="G1923" s="838"/>
      <c r="H1923" s="838"/>
    </row>
    <row r="1924" spans="2:8">
      <c r="B1924" t="s">
        <v>2848</v>
      </c>
      <c r="C1924" s="915">
        <v>7704100000</v>
      </c>
      <c r="D1924" s="915" t="s">
        <v>3276</v>
      </c>
      <c r="E1924" s="915">
        <v>7000</v>
      </c>
      <c r="F1924" s="915">
        <v>35000</v>
      </c>
      <c r="G1924" s="838"/>
      <c r="H1924" s="838"/>
    </row>
    <row r="1925" spans="2:8">
      <c r="B1925" t="s">
        <v>2848</v>
      </c>
      <c r="C1925" s="915">
        <v>7704100000</v>
      </c>
      <c r="D1925" s="915" t="s">
        <v>3276</v>
      </c>
      <c r="E1925" s="915">
        <v>0</v>
      </c>
      <c r="F1925" s="915">
        <v>35000</v>
      </c>
      <c r="G1925" s="838"/>
      <c r="H1925" s="838"/>
    </row>
    <row r="1926" spans="2:8">
      <c r="B1926" t="s">
        <v>2848</v>
      </c>
      <c r="C1926" s="915">
        <v>7704100000</v>
      </c>
      <c r="D1926" s="915" t="s">
        <v>3276</v>
      </c>
      <c r="E1926" s="915">
        <v>0</v>
      </c>
      <c r="F1926" s="915">
        <v>47300</v>
      </c>
      <c r="G1926" s="838"/>
      <c r="H1926" s="838"/>
    </row>
    <row r="1927" spans="2:8">
      <c r="B1927" t="s">
        <v>2848</v>
      </c>
      <c r="C1927" s="915">
        <v>7705000002</v>
      </c>
      <c r="D1927" s="915" t="s">
        <v>3277</v>
      </c>
      <c r="E1927" s="915">
        <v>446706</v>
      </c>
      <c r="F1927" s="915">
        <v>6378648</v>
      </c>
      <c r="G1927" s="838"/>
      <c r="H1927" s="838"/>
    </row>
    <row r="1928" spans="2:8">
      <c r="B1928" t="s">
        <v>2848</v>
      </c>
      <c r="C1928" s="915">
        <v>7705000002</v>
      </c>
      <c r="D1928" s="915" t="s">
        <v>3277</v>
      </c>
      <c r="E1928" s="915">
        <v>0</v>
      </c>
      <c r="F1928" s="915">
        <v>12800</v>
      </c>
      <c r="G1928" s="838"/>
      <c r="H1928" s="838"/>
    </row>
    <row r="1929" spans="2:8">
      <c r="B1929" t="s">
        <v>2848</v>
      </c>
      <c r="C1929" s="915">
        <v>7705000002</v>
      </c>
      <c r="D1929" s="915" t="s">
        <v>3277</v>
      </c>
      <c r="E1929" s="915">
        <v>52250</v>
      </c>
      <c r="F1929" s="915">
        <v>54500</v>
      </c>
      <c r="G1929" s="838"/>
      <c r="H1929" s="838"/>
    </row>
    <row r="1930" spans="2:8">
      <c r="B1930" t="s">
        <v>2848</v>
      </c>
      <c r="C1930" s="915">
        <v>7705000002</v>
      </c>
      <c r="D1930" s="915" t="s">
        <v>3277</v>
      </c>
      <c r="E1930" s="915">
        <v>28650</v>
      </c>
      <c r="F1930" s="915">
        <v>0</v>
      </c>
      <c r="G1930" s="838"/>
      <c r="H1930" s="838"/>
    </row>
    <row r="1931" spans="2:8">
      <c r="B1931" t="s">
        <v>2848</v>
      </c>
      <c r="C1931" s="915">
        <v>7705000002</v>
      </c>
      <c r="D1931" s="915" t="s">
        <v>3277</v>
      </c>
      <c r="E1931" s="915">
        <v>22730</v>
      </c>
      <c r="F1931" s="915">
        <v>0</v>
      </c>
      <c r="G1931" s="838"/>
      <c r="H1931" s="838"/>
    </row>
    <row r="1932" spans="2:8">
      <c r="B1932" t="s">
        <v>2848</v>
      </c>
      <c r="C1932" s="915">
        <v>7705000002</v>
      </c>
      <c r="D1932" s="915" t="s">
        <v>3277</v>
      </c>
      <c r="E1932" s="915">
        <v>33700</v>
      </c>
      <c r="F1932" s="915">
        <v>14100</v>
      </c>
      <c r="G1932" s="838"/>
      <c r="H1932" s="838"/>
    </row>
    <row r="1933" spans="2:8">
      <c r="B1933" t="s">
        <v>2848</v>
      </c>
      <c r="C1933" s="915">
        <v>7705000002</v>
      </c>
      <c r="D1933" s="915" t="s">
        <v>3277</v>
      </c>
      <c r="E1933" s="915">
        <v>1550</v>
      </c>
      <c r="F1933" s="915">
        <v>0</v>
      </c>
      <c r="G1933" s="838"/>
      <c r="H1933" s="838"/>
    </row>
    <row r="1934" spans="2:8">
      <c r="B1934" t="s">
        <v>2848</v>
      </c>
      <c r="C1934" s="915">
        <v>7705000002</v>
      </c>
      <c r="D1934" s="915" t="s">
        <v>3277</v>
      </c>
      <c r="E1934" s="915">
        <v>8720</v>
      </c>
      <c r="F1934" s="915">
        <v>3300</v>
      </c>
      <c r="G1934" s="838"/>
      <c r="H1934" s="838"/>
    </row>
    <row r="1935" spans="2:8">
      <c r="B1935" t="s">
        <v>2848</v>
      </c>
      <c r="C1935" s="915">
        <v>7705000002</v>
      </c>
      <c r="D1935" s="915" t="s">
        <v>3277</v>
      </c>
      <c r="E1935" s="915">
        <v>20000</v>
      </c>
      <c r="F1935" s="915">
        <v>25100</v>
      </c>
      <c r="G1935" s="838"/>
      <c r="H1935" s="838"/>
    </row>
    <row r="1936" spans="2:8">
      <c r="B1936" t="s">
        <v>2848</v>
      </c>
      <c r="C1936" s="915">
        <v>7705000002</v>
      </c>
      <c r="D1936" s="915" t="s">
        <v>3277</v>
      </c>
      <c r="E1936" s="915">
        <v>600</v>
      </c>
      <c r="F1936" s="915">
        <v>34500</v>
      </c>
      <c r="G1936" s="838"/>
      <c r="H1936" s="838"/>
    </row>
    <row r="1937" spans="2:8">
      <c r="B1937" t="s">
        <v>2848</v>
      </c>
      <c r="C1937" s="915">
        <v>7705000002</v>
      </c>
      <c r="D1937" s="915" t="s">
        <v>3277</v>
      </c>
      <c r="E1937" s="915">
        <v>28500</v>
      </c>
      <c r="F1937" s="915">
        <v>55700</v>
      </c>
      <c r="G1937" s="838"/>
      <c r="H1937" s="838"/>
    </row>
    <row r="1938" spans="2:8">
      <c r="B1938" t="s">
        <v>2848</v>
      </c>
      <c r="C1938" s="915">
        <v>7705000002</v>
      </c>
      <c r="D1938" s="915" t="s">
        <v>3277</v>
      </c>
      <c r="E1938" s="915">
        <v>67700</v>
      </c>
      <c r="F1938" s="915">
        <v>88350</v>
      </c>
      <c r="G1938" s="838"/>
      <c r="H1938" s="838"/>
    </row>
    <row r="1939" spans="2:8">
      <c r="B1939" t="s">
        <v>2848</v>
      </c>
      <c r="C1939" s="915">
        <v>7705000002</v>
      </c>
      <c r="D1939" s="915" t="s">
        <v>3277</v>
      </c>
      <c r="E1939" s="915">
        <v>0</v>
      </c>
      <c r="F1939" s="915">
        <v>17700</v>
      </c>
      <c r="G1939" s="838"/>
      <c r="H1939" s="838"/>
    </row>
    <row r="1940" spans="2:8">
      <c r="B1940" t="s">
        <v>2848</v>
      </c>
      <c r="C1940" s="915">
        <v>7705000002</v>
      </c>
      <c r="D1940" s="915" t="s">
        <v>3277</v>
      </c>
      <c r="E1940" s="915">
        <v>0</v>
      </c>
      <c r="F1940" s="915">
        <v>43150</v>
      </c>
      <c r="G1940" s="838"/>
      <c r="H1940" s="838"/>
    </row>
    <row r="1941" spans="2:8">
      <c r="B1941" t="s">
        <v>2848</v>
      </c>
      <c r="C1941" s="915">
        <v>7705000002</v>
      </c>
      <c r="D1941" s="915" t="s">
        <v>3277</v>
      </c>
      <c r="E1941" s="915">
        <v>600</v>
      </c>
      <c r="F1941" s="915">
        <v>21300</v>
      </c>
      <c r="G1941" s="838"/>
      <c r="H1941" s="838"/>
    </row>
    <row r="1942" spans="2:8">
      <c r="B1942" t="s">
        <v>2848</v>
      </c>
      <c r="C1942" s="915">
        <v>7705000002</v>
      </c>
      <c r="D1942" s="915" t="s">
        <v>3277</v>
      </c>
      <c r="E1942" s="915">
        <v>29200</v>
      </c>
      <c r="F1942" s="915">
        <v>301410</v>
      </c>
      <c r="G1942" s="838"/>
      <c r="H1942" s="838"/>
    </row>
    <row r="1943" spans="2:8">
      <c r="B1943" t="s">
        <v>2848</v>
      </c>
      <c r="C1943" s="915">
        <v>7705000002</v>
      </c>
      <c r="D1943" s="915" t="s">
        <v>3277</v>
      </c>
      <c r="E1943" s="915">
        <v>0</v>
      </c>
      <c r="F1943" s="915">
        <v>-3882</v>
      </c>
      <c r="G1943" s="838"/>
      <c r="H1943" s="838"/>
    </row>
    <row r="1944" spans="2:8">
      <c r="B1944" t="s">
        <v>2848</v>
      </c>
      <c r="C1944" s="915">
        <v>7710000000</v>
      </c>
      <c r="D1944" s="915" t="s">
        <v>3278</v>
      </c>
      <c r="E1944" s="915">
        <v>-705083</v>
      </c>
      <c r="F1944" s="915">
        <v>5655055</v>
      </c>
      <c r="G1944" s="838"/>
      <c r="H1944" s="838"/>
    </row>
    <row r="1945" spans="2:8">
      <c r="B1945" t="s">
        <v>2848</v>
      </c>
      <c r="C1945" s="915">
        <v>7710200000</v>
      </c>
      <c r="D1945" s="915" t="s">
        <v>3279</v>
      </c>
      <c r="E1945" s="915">
        <v>20541848</v>
      </c>
      <c r="F1945" s="915">
        <v>47797792</v>
      </c>
      <c r="G1945" s="838"/>
      <c r="H1945" s="838"/>
    </row>
    <row r="1946" spans="2:8">
      <c r="B1946" t="s">
        <v>2848</v>
      </c>
      <c r="C1946" s="915">
        <v>7711000000</v>
      </c>
      <c r="D1946" s="915" t="s">
        <v>3280</v>
      </c>
      <c r="E1946" s="915">
        <v>0</v>
      </c>
      <c r="F1946" s="915">
        <v>-1242584</v>
      </c>
      <c r="G1946" s="838"/>
      <c r="H1946" s="838"/>
    </row>
    <row r="1947" spans="2:8">
      <c r="B1947" t="s">
        <v>2848</v>
      </c>
      <c r="C1947" s="915">
        <v>7712000000</v>
      </c>
      <c r="D1947" s="915" t="s">
        <v>3281</v>
      </c>
      <c r="E1947" s="915">
        <v>233304108</v>
      </c>
      <c r="F1947" s="915">
        <v>864053126</v>
      </c>
      <c r="G1947" s="838"/>
      <c r="H1947" s="838"/>
    </row>
    <row r="1948" spans="2:8">
      <c r="B1948" t="s">
        <v>2848</v>
      </c>
      <c r="C1948" s="915">
        <v>7712000000</v>
      </c>
      <c r="D1948" s="915" t="s">
        <v>3281</v>
      </c>
      <c r="E1948" s="915">
        <v>0</v>
      </c>
      <c r="F1948" s="915">
        <v>29176</v>
      </c>
      <c r="G1948" s="838"/>
      <c r="H1948" s="838"/>
    </row>
    <row r="1949" spans="2:8">
      <c r="B1949" t="s">
        <v>2848</v>
      </c>
      <c r="C1949" s="915">
        <v>7714000000</v>
      </c>
      <c r="D1949" s="915" t="s">
        <v>3282</v>
      </c>
      <c r="E1949" s="915">
        <v>16131071</v>
      </c>
      <c r="F1949" s="915">
        <v>8925627</v>
      </c>
      <c r="G1949" s="838"/>
      <c r="H1949" s="838"/>
    </row>
    <row r="1950" spans="2:8">
      <c r="B1950" t="s">
        <v>2848</v>
      </c>
      <c r="C1950" s="915">
        <v>7715000000</v>
      </c>
      <c r="D1950" s="915" t="s">
        <v>3283</v>
      </c>
      <c r="E1950" s="915">
        <v>84768420</v>
      </c>
      <c r="F1950" s="915">
        <v>112337175</v>
      </c>
      <c r="G1950" s="838"/>
      <c r="H1950" s="838"/>
    </row>
    <row r="1951" spans="2:8">
      <c r="B1951" t="s">
        <v>2848</v>
      </c>
      <c r="C1951" s="915">
        <v>7715000006</v>
      </c>
      <c r="D1951" s="915" t="s">
        <v>3284</v>
      </c>
      <c r="E1951" s="915">
        <v>0</v>
      </c>
      <c r="F1951" s="915">
        <v>19340877</v>
      </c>
      <c r="G1951" s="838"/>
      <c r="H1951" s="838"/>
    </row>
    <row r="1952" spans="2:8">
      <c r="B1952" t="s">
        <v>2848</v>
      </c>
      <c r="C1952" s="915">
        <v>7715000007</v>
      </c>
      <c r="D1952" s="915" t="s">
        <v>3285</v>
      </c>
      <c r="E1952" s="915">
        <v>156752919</v>
      </c>
      <c r="F1952" s="915">
        <v>22845555</v>
      </c>
      <c r="G1952" s="838"/>
      <c r="H1952" s="838"/>
    </row>
    <row r="1953" spans="2:8">
      <c r="B1953" t="s">
        <v>2848</v>
      </c>
      <c r="C1953" s="915">
        <v>7716000000</v>
      </c>
      <c r="D1953" s="915" t="s">
        <v>3286</v>
      </c>
      <c r="E1953" s="915">
        <v>65157680</v>
      </c>
      <c r="F1953" s="915">
        <v>199969697</v>
      </c>
      <c r="G1953" s="838"/>
      <c r="H1953" s="838"/>
    </row>
    <row r="1954" spans="2:8">
      <c r="B1954" t="s">
        <v>2848</v>
      </c>
      <c r="C1954" s="915">
        <v>7716000000</v>
      </c>
      <c r="D1954" s="915" t="s">
        <v>3286</v>
      </c>
      <c r="E1954" s="915">
        <v>1875340</v>
      </c>
      <c r="F1954" s="915">
        <v>4316110</v>
      </c>
      <c r="G1954" s="838"/>
      <c r="H1954" s="838"/>
    </row>
    <row r="1955" spans="2:8">
      <c r="B1955" t="s">
        <v>2848</v>
      </c>
      <c r="C1955" s="915">
        <v>7716000000</v>
      </c>
      <c r="D1955" s="915" t="s">
        <v>3286</v>
      </c>
      <c r="E1955" s="915">
        <v>0</v>
      </c>
      <c r="F1955" s="915">
        <v>6715006</v>
      </c>
      <c r="G1955" s="838"/>
      <c r="H1955" s="838"/>
    </row>
    <row r="1956" spans="2:8">
      <c r="B1956" t="s">
        <v>2848</v>
      </c>
      <c r="C1956" s="915">
        <v>7716000000</v>
      </c>
      <c r="D1956" s="915" t="s">
        <v>3286</v>
      </c>
      <c r="E1956" s="915">
        <v>1713735</v>
      </c>
      <c r="F1956" s="915">
        <v>14135634</v>
      </c>
      <c r="G1956" s="838"/>
      <c r="H1956" s="838"/>
    </row>
    <row r="1957" spans="2:8">
      <c r="B1957" t="s">
        <v>2848</v>
      </c>
      <c r="C1957" s="915">
        <v>7716000000</v>
      </c>
      <c r="D1957" s="915" t="s">
        <v>3286</v>
      </c>
      <c r="E1957" s="915">
        <v>1979188</v>
      </c>
      <c r="F1957" s="915">
        <v>10137991</v>
      </c>
      <c r="G1957" s="838"/>
      <c r="H1957" s="838"/>
    </row>
    <row r="1958" spans="2:8">
      <c r="B1958" t="s">
        <v>2848</v>
      </c>
      <c r="C1958" s="915">
        <v>7716000000</v>
      </c>
      <c r="D1958" s="915" t="s">
        <v>3286</v>
      </c>
      <c r="E1958" s="915">
        <v>1658347</v>
      </c>
      <c r="F1958" s="915">
        <v>4799077</v>
      </c>
      <c r="G1958" s="838"/>
      <c r="H1958" s="838"/>
    </row>
    <row r="1959" spans="2:8">
      <c r="B1959" t="s">
        <v>2848</v>
      </c>
      <c r="C1959" s="915">
        <v>7716000000</v>
      </c>
      <c r="D1959" s="915" t="s">
        <v>3286</v>
      </c>
      <c r="E1959" s="915">
        <v>1711389</v>
      </c>
      <c r="F1959" s="915">
        <v>6619506</v>
      </c>
      <c r="G1959" s="838"/>
      <c r="H1959" s="838"/>
    </row>
    <row r="1960" spans="2:8">
      <c r="B1960" t="s">
        <v>2848</v>
      </c>
      <c r="C1960" s="915">
        <v>7716000000</v>
      </c>
      <c r="D1960" s="915" t="s">
        <v>3286</v>
      </c>
      <c r="E1960" s="915">
        <v>2710581</v>
      </c>
      <c r="F1960" s="915">
        <v>7831249</v>
      </c>
      <c r="G1960" s="838"/>
      <c r="H1960" s="838"/>
    </row>
    <row r="1961" spans="2:8">
      <c r="B1961" t="s">
        <v>2848</v>
      </c>
      <c r="C1961" s="915">
        <v>7716000000</v>
      </c>
      <c r="D1961" s="915" t="s">
        <v>3286</v>
      </c>
      <c r="E1961" s="915">
        <v>626273</v>
      </c>
      <c r="F1961" s="915">
        <v>0</v>
      </c>
      <c r="G1961" s="838"/>
      <c r="H1961" s="838"/>
    </row>
    <row r="1962" spans="2:8">
      <c r="B1962" t="s">
        <v>2848</v>
      </c>
      <c r="C1962" s="915">
        <v>7716010000</v>
      </c>
      <c r="D1962" s="915" t="s">
        <v>3287</v>
      </c>
      <c r="E1962" s="915">
        <v>183148</v>
      </c>
      <c r="F1962" s="915">
        <v>-1841104</v>
      </c>
      <c r="G1962" s="838"/>
      <c r="H1962" s="838"/>
    </row>
    <row r="1963" spans="2:8">
      <c r="B1963" t="s">
        <v>2848</v>
      </c>
      <c r="C1963" s="915">
        <v>7716010000</v>
      </c>
      <c r="D1963" s="915" t="s">
        <v>3287</v>
      </c>
      <c r="E1963" s="915">
        <v>0</v>
      </c>
      <c r="F1963" s="915">
        <v>-555529</v>
      </c>
      <c r="G1963" s="838"/>
      <c r="H1963" s="838"/>
    </row>
    <row r="1964" spans="2:8">
      <c r="B1964" t="s">
        <v>2848</v>
      </c>
      <c r="C1964" s="915">
        <v>7716010000</v>
      </c>
      <c r="D1964" s="915" t="s">
        <v>3287</v>
      </c>
      <c r="E1964" s="915">
        <v>0</v>
      </c>
      <c r="F1964" s="915">
        <v>-564711</v>
      </c>
      <c r="G1964" s="838"/>
      <c r="H1964" s="838"/>
    </row>
    <row r="1965" spans="2:8">
      <c r="B1965" t="s">
        <v>2848</v>
      </c>
      <c r="C1965" s="915">
        <v>7716010000</v>
      </c>
      <c r="D1965" s="915" t="s">
        <v>3287</v>
      </c>
      <c r="E1965" s="915">
        <v>0</v>
      </c>
      <c r="F1965" s="915">
        <v>119344</v>
      </c>
      <c r="G1965" s="838"/>
      <c r="H1965" s="838"/>
    </row>
    <row r="1966" spans="2:8">
      <c r="B1966" t="s">
        <v>2848</v>
      </c>
      <c r="C1966" s="915">
        <v>7716010000</v>
      </c>
      <c r="D1966" s="915" t="s">
        <v>3287</v>
      </c>
      <c r="E1966" s="915">
        <v>0</v>
      </c>
      <c r="F1966" s="915">
        <v>-1129422</v>
      </c>
      <c r="G1966" s="838"/>
      <c r="H1966" s="838"/>
    </row>
    <row r="1967" spans="2:8">
      <c r="B1967" t="s">
        <v>2848</v>
      </c>
      <c r="C1967" s="915">
        <v>7716010000</v>
      </c>
      <c r="D1967" s="915" t="s">
        <v>3287</v>
      </c>
      <c r="E1967" s="915">
        <v>0</v>
      </c>
      <c r="F1967" s="915">
        <v>-830700</v>
      </c>
      <c r="G1967" s="838"/>
      <c r="H1967" s="838"/>
    </row>
    <row r="1968" spans="2:8">
      <c r="B1968" t="s">
        <v>2848</v>
      </c>
      <c r="C1968" s="915">
        <v>7716011001</v>
      </c>
      <c r="D1968" s="915" t="s">
        <v>3288</v>
      </c>
      <c r="E1968" s="915">
        <v>0</v>
      </c>
      <c r="F1968" s="915">
        <v>12306161</v>
      </c>
      <c r="G1968" s="838"/>
      <c r="H1968" s="838"/>
    </row>
    <row r="1969" spans="2:8">
      <c r="B1969" t="s">
        <v>2848</v>
      </c>
      <c r="C1969" s="915">
        <v>7716011001</v>
      </c>
      <c r="D1969" s="915" t="s">
        <v>3288</v>
      </c>
      <c r="E1969" s="915">
        <v>0</v>
      </c>
      <c r="F1969" s="915">
        <v>2091488</v>
      </c>
      <c r="G1969" s="838"/>
      <c r="H1969" s="838"/>
    </row>
    <row r="1970" spans="2:8">
      <c r="B1970" t="s">
        <v>2848</v>
      </c>
      <c r="C1970" s="915">
        <v>7716013001</v>
      </c>
      <c r="D1970" s="915" t="s">
        <v>3289</v>
      </c>
      <c r="E1970" s="915">
        <v>0</v>
      </c>
      <c r="F1970" s="915">
        <v>161448</v>
      </c>
      <c r="G1970" s="838"/>
      <c r="H1970" s="838"/>
    </row>
    <row r="1971" spans="2:8">
      <c r="B1971" t="s">
        <v>2848</v>
      </c>
      <c r="C1971" s="915">
        <v>7716020001</v>
      </c>
      <c r="D1971" s="915" t="s">
        <v>3290</v>
      </c>
      <c r="E1971" s="915">
        <v>0</v>
      </c>
      <c r="F1971" s="915">
        <v>30000</v>
      </c>
      <c r="G1971" s="838"/>
      <c r="H1971" s="838"/>
    </row>
    <row r="1972" spans="2:8">
      <c r="B1972" t="s">
        <v>2848</v>
      </c>
      <c r="C1972" s="915">
        <v>7716020003</v>
      </c>
      <c r="D1972" s="915" t="s">
        <v>3291</v>
      </c>
      <c r="E1972" s="915">
        <v>0</v>
      </c>
      <c r="F1972" s="915">
        <v>2710982</v>
      </c>
      <c r="G1972" s="838"/>
      <c r="H1972" s="838"/>
    </row>
    <row r="1973" spans="2:8">
      <c r="B1973" t="s">
        <v>2848</v>
      </c>
      <c r="C1973" s="915">
        <v>7716030000</v>
      </c>
      <c r="D1973" s="915" t="s">
        <v>3292</v>
      </c>
      <c r="E1973" s="915">
        <v>152129894</v>
      </c>
      <c r="F1973" s="915">
        <v>382468786</v>
      </c>
      <c r="G1973" s="838"/>
      <c r="H1973" s="838"/>
    </row>
    <row r="1974" spans="2:8">
      <c r="B1974" t="s">
        <v>2848</v>
      </c>
      <c r="C1974" s="915">
        <v>7716030000</v>
      </c>
      <c r="D1974" s="915" t="s">
        <v>3292</v>
      </c>
      <c r="E1974" s="915">
        <v>16667</v>
      </c>
      <c r="F1974" s="915">
        <v>0</v>
      </c>
      <c r="G1974" s="838"/>
      <c r="H1974" s="838"/>
    </row>
    <row r="1975" spans="2:8">
      <c r="B1975" t="s">
        <v>2848</v>
      </c>
      <c r="C1975" s="915">
        <v>7716030000</v>
      </c>
      <c r="D1975" s="915" t="s">
        <v>3292</v>
      </c>
      <c r="E1975" s="915">
        <v>35000</v>
      </c>
      <c r="F1975" s="915">
        <v>0</v>
      </c>
      <c r="G1975" s="838"/>
      <c r="H1975" s="838"/>
    </row>
    <row r="1976" spans="2:8">
      <c r="B1976" t="s">
        <v>2848</v>
      </c>
      <c r="C1976" s="915">
        <v>7716030001</v>
      </c>
      <c r="D1976" s="915" t="s">
        <v>3293</v>
      </c>
      <c r="E1976" s="915">
        <v>301775</v>
      </c>
      <c r="F1976" s="915">
        <v>330905578</v>
      </c>
      <c r="G1976" s="838"/>
      <c r="H1976" s="838"/>
    </row>
    <row r="1977" spans="2:8">
      <c r="B1977" t="s">
        <v>2848</v>
      </c>
      <c r="C1977" s="915">
        <v>7716030002</v>
      </c>
      <c r="D1977" s="915" t="s">
        <v>3294</v>
      </c>
      <c r="E1977" s="915">
        <v>5435326</v>
      </c>
      <c r="F1977" s="915">
        <v>266168983</v>
      </c>
      <c r="G1977" s="838"/>
      <c r="H1977" s="838"/>
    </row>
    <row r="1978" spans="2:8">
      <c r="B1978" t="s">
        <v>2848</v>
      </c>
      <c r="C1978" s="915">
        <v>7716030002</v>
      </c>
      <c r="D1978" s="915" t="s">
        <v>3294</v>
      </c>
      <c r="E1978" s="915">
        <v>0</v>
      </c>
      <c r="F1978" s="915">
        <v>88240</v>
      </c>
      <c r="G1978" s="838"/>
      <c r="H1978" s="838"/>
    </row>
    <row r="1979" spans="2:8">
      <c r="B1979" t="s">
        <v>2848</v>
      </c>
      <c r="C1979" s="915">
        <v>7716030002</v>
      </c>
      <c r="D1979" s="915" t="s">
        <v>3294</v>
      </c>
      <c r="E1979" s="915">
        <v>40000</v>
      </c>
      <c r="F1979" s="915">
        <v>93000</v>
      </c>
      <c r="G1979" s="838"/>
      <c r="H1979" s="838"/>
    </row>
    <row r="1980" spans="2:8">
      <c r="B1980" t="s">
        <v>2848</v>
      </c>
      <c r="C1980" s="915">
        <v>7716050000</v>
      </c>
      <c r="D1980" s="915" t="s">
        <v>3295</v>
      </c>
      <c r="E1980" s="915">
        <v>-160714984</v>
      </c>
      <c r="F1980" s="915">
        <v>789338981</v>
      </c>
      <c r="G1980" s="838"/>
      <c r="H1980" s="838"/>
    </row>
    <row r="1981" spans="2:8">
      <c r="B1981" t="s">
        <v>2848</v>
      </c>
      <c r="C1981" s="915">
        <v>7716050000</v>
      </c>
      <c r="D1981" s="915" t="s">
        <v>3295</v>
      </c>
      <c r="E1981" s="915">
        <v>0</v>
      </c>
      <c r="F1981" s="915">
        <v>31065</v>
      </c>
      <c r="G1981" s="838"/>
      <c r="H1981" s="838"/>
    </row>
    <row r="1982" spans="2:8">
      <c r="B1982" t="s">
        <v>2848</v>
      </c>
      <c r="C1982" s="915">
        <v>7716050005</v>
      </c>
      <c r="D1982" s="915" t="s">
        <v>3296</v>
      </c>
      <c r="E1982" s="915">
        <v>2932989</v>
      </c>
      <c r="F1982" s="915">
        <v>42278376</v>
      </c>
      <c r="G1982" s="838"/>
      <c r="H1982" s="838"/>
    </row>
    <row r="1983" spans="2:8">
      <c r="B1983" t="s">
        <v>2848</v>
      </c>
      <c r="C1983" s="915">
        <v>7716050005</v>
      </c>
      <c r="D1983" s="915" t="s">
        <v>3296</v>
      </c>
      <c r="E1983" s="915">
        <v>4174962</v>
      </c>
      <c r="F1983" s="915">
        <v>109626893</v>
      </c>
      <c r="G1983" s="838"/>
      <c r="H1983" s="838"/>
    </row>
    <row r="1984" spans="2:8">
      <c r="B1984" t="s">
        <v>2848</v>
      </c>
      <c r="C1984" s="915">
        <v>7720100000</v>
      </c>
      <c r="D1984" s="915" t="s">
        <v>3297</v>
      </c>
      <c r="E1984" s="915">
        <v>79299882</v>
      </c>
      <c r="F1984" s="915">
        <v>336641671</v>
      </c>
      <c r="G1984" s="838"/>
      <c r="H1984" s="838"/>
    </row>
    <row r="1985" spans="2:8">
      <c r="B1985" t="s">
        <v>2848</v>
      </c>
      <c r="C1985" s="915">
        <v>7720100008</v>
      </c>
      <c r="D1985" s="915" t="s">
        <v>3298</v>
      </c>
      <c r="E1985" s="915">
        <v>0</v>
      </c>
      <c r="F1985" s="915">
        <v>261417</v>
      </c>
      <c r="G1985" s="838"/>
      <c r="H1985" s="838"/>
    </row>
    <row r="1986" spans="2:8">
      <c r="B1986" t="s">
        <v>2848</v>
      </c>
      <c r="C1986" s="915">
        <v>7720200000</v>
      </c>
      <c r="D1986" s="915" t="s">
        <v>3299</v>
      </c>
      <c r="E1986" s="915">
        <v>4796</v>
      </c>
      <c r="F1986" s="915">
        <v>3199</v>
      </c>
      <c r="G1986" s="838"/>
      <c r="H1986" s="838"/>
    </row>
    <row r="1987" spans="2:8">
      <c r="B1987" t="s">
        <v>2848</v>
      </c>
      <c r="C1987" s="915">
        <v>7720200000</v>
      </c>
      <c r="D1987" s="915" t="s">
        <v>3299</v>
      </c>
      <c r="E1987" s="915">
        <v>1607</v>
      </c>
      <c r="F1987" s="915">
        <v>6395</v>
      </c>
      <c r="G1987" s="838"/>
      <c r="H1987" s="838"/>
    </row>
    <row r="1988" spans="2:8">
      <c r="B1988" t="s">
        <v>2848</v>
      </c>
      <c r="C1988" s="915">
        <v>7720200000</v>
      </c>
      <c r="D1988" s="915" t="s">
        <v>3299</v>
      </c>
      <c r="E1988" s="915">
        <v>1600</v>
      </c>
      <c r="F1988" s="915">
        <v>1598</v>
      </c>
      <c r="G1988" s="838"/>
      <c r="H1988" s="838"/>
    </row>
    <row r="1989" spans="2:8">
      <c r="B1989" t="s">
        <v>2848</v>
      </c>
      <c r="C1989" s="915">
        <v>7720200000</v>
      </c>
      <c r="D1989" s="915" t="s">
        <v>3299</v>
      </c>
      <c r="E1989" s="915">
        <v>1609</v>
      </c>
      <c r="F1989" s="915">
        <v>6373</v>
      </c>
      <c r="G1989" s="838"/>
      <c r="H1989" s="838"/>
    </row>
    <row r="1990" spans="2:8">
      <c r="B1990" t="s">
        <v>2848</v>
      </c>
      <c r="C1990" s="915">
        <v>7720200000</v>
      </c>
      <c r="D1990" s="915" t="s">
        <v>3299</v>
      </c>
      <c r="E1990" s="915">
        <v>0</v>
      </c>
      <c r="F1990" s="915">
        <v>1598</v>
      </c>
      <c r="G1990" s="838"/>
      <c r="H1990" s="838"/>
    </row>
    <row r="1991" spans="2:8">
      <c r="B1991" t="s">
        <v>2848</v>
      </c>
      <c r="C1991" s="915">
        <v>7720200000</v>
      </c>
      <c r="D1991" s="915" t="s">
        <v>3299</v>
      </c>
      <c r="E1991" s="915">
        <v>0</v>
      </c>
      <c r="F1991" s="915">
        <v>1599</v>
      </c>
      <c r="G1991" s="838"/>
      <c r="H1991" s="838"/>
    </row>
    <row r="1992" spans="2:8">
      <c r="B1992" t="s">
        <v>2848</v>
      </c>
      <c r="C1992" s="915">
        <v>7720200000</v>
      </c>
      <c r="D1992" s="915" t="s">
        <v>3299</v>
      </c>
      <c r="E1992" s="915">
        <v>1609</v>
      </c>
      <c r="F1992" s="915">
        <v>6354</v>
      </c>
      <c r="G1992" s="838"/>
      <c r="H1992" s="838"/>
    </row>
    <row r="1993" spans="2:8">
      <c r="B1993" t="s">
        <v>2848</v>
      </c>
      <c r="C1993" s="915">
        <v>7720300000</v>
      </c>
      <c r="D1993" s="915" t="s">
        <v>3752</v>
      </c>
      <c r="E1993" s="915">
        <v>3465939</v>
      </c>
      <c r="F1993" s="915">
        <v>0</v>
      </c>
      <c r="G1993" s="838"/>
      <c r="H1993" s="838"/>
    </row>
    <row r="1994" spans="2:8">
      <c r="B1994" t="s">
        <v>2848</v>
      </c>
      <c r="C1994" s="915">
        <v>7720310000</v>
      </c>
      <c r="D1994" s="915" t="s">
        <v>3300</v>
      </c>
      <c r="E1994" s="915">
        <v>32361</v>
      </c>
      <c r="F1994" s="915">
        <v>14244634</v>
      </c>
      <c r="G1994" s="838"/>
      <c r="H1994" s="838"/>
    </row>
    <row r="1995" spans="2:8">
      <c r="B1995" t="s">
        <v>2848</v>
      </c>
      <c r="C1995" s="915">
        <v>7721000000</v>
      </c>
      <c r="D1995" s="915" t="s">
        <v>3301</v>
      </c>
      <c r="E1995" s="915">
        <v>741680</v>
      </c>
      <c r="F1995" s="915">
        <v>3356377</v>
      </c>
      <c r="G1995" s="838"/>
      <c r="H1995" s="838"/>
    </row>
    <row r="1996" spans="2:8">
      <c r="B1996" t="s">
        <v>2848</v>
      </c>
      <c r="C1996" s="915">
        <v>7721100000</v>
      </c>
      <c r="D1996" s="915" t="s">
        <v>3302</v>
      </c>
      <c r="E1996" s="915">
        <v>0</v>
      </c>
      <c r="F1996" s="915">
        <v>17398836</v>
      </c>
      <c r="G1996" s="838"/>
      <c r="H1996" s="838"/>
    </row>
    <row r="1997" spans="2:8">
      <c r="B1997" t="s">
        <v>2848</v>
      </c>
      <c r="C1997" s="915">
        <v>7721100000</v>
      </c>
      <c r="D1997" s="915" t="s">
        <v>3302</v>
      </c>
      <c r="E1997" s="915">
        <v>0</v>
      </c>
      <c r="F1997" s="915">
        <v>-158816</v>
      </c>
      <c r="G1997" s="838"/>
      <c r="H1997" s="838"/>
    </row>
    <row r="1998" spans="2:8">
      <c r="B1998" t="s">
        <v>2848</v>
      </c>
      <c r="C1998" s="915">
        <v>7721100000</v>
      </c>
      <c r="D1998" s="915" t="s">
        <v>3302</v>
      </c>
      <c r="E1998" s="915">
        <v>0</v>
      </c>
      <c r="F1998" s="915">
        <v>-8834</v>
      </c>
      <c r="G1998" s="838"/>
      <c r="H1998" s="838"/>
    </row>
    <row r="1999" spans="2:8">
      <c r="B1999" s="837" t="s">
        <v>2848</v>
      </c>
      <c r="C1999" s="838">
        <v>7721100000</v>
      </c>
      <c r="D1999" s="838" t="s">
        <v>3302</v>
      </c>
      <c r="E1999" s="838">
        <v>0</v>
      </c>
      <c r="F1999" s="838">
        <v>-10000</v>
      </c>
      <c r="G1999" s="838"/>
      <c r="H1999" s="838"/>
    </row>
    <row r="2000" spans="2:8">
      <c r="B2000" s="837" t="s">
        <v>2848</v>
      </c>
      <c r="C2000" s="838">
        <v>7721200000</v>
      </c>
      <c r="D2000" s="838" t="s">
        <v>3303</v>
      </c>
      <c r="E2000" s="838">
        <v>30412184</v>
      </c>
      <c r="F2000" s="838">
        <v>137727614</v>
      </c>
      <c r="G2000" s="838"/>
      <c r="H2000" s="838"/>
    </row>
    <row r="2001" spans="2:8">
      <c r="B2001" s="837" t="s">
        <v>2848</v>
      </c>
      <c r="C2001" s="838">
        <v>7721200000</v>
      </c>
      <c r="D2001" s="838" t="s">
        <v>3303</v>
      </c>
      <c r="E2001" s="838">
        <v>0</v>
      </c>
      <c r="F2001" s="838">
        <v>1724186</v>
      </c>
      <c r="G2001" s="838"/>
      <c r="H2001" s="838"/>
    </row>
    <row r="2002" spans="2:8">
      <c r="B2002" s="837" t="s">
        <v>2848</v>
      </c>
      <c r="C2002" s="838">
        <v>7721200000</v>
      </c>
      <c r="D2002" s="838" t="s">
        <v>3303</v>
      </c>
      <c r="E2002" s="838">
        <v>0</v>
      </c>
      <c r="F2002" s="838">
        <v>376045</v>
      </c>
      <c r="G2002" s="838"/>
      <c r="H2002" s="838"/>
    </row>
    <row r="2003" spans="2:8">
      <c r="B2003" s="837" t="s">
        <v>2848</v>
      </c>
      <c r="C2003" s="838">
        <v>7721200000</v>
      </c>
      <c r="D2003" s="838" t="s">
        <v>3303</v>
      </c>
      <c r="E2003" s="838">
        <v>0</v>
      </c>
      <c r="F2003" s="838">
        <v>531858</v>
      </c>
      <c r="G2003" s="838"/>
      <c r="H2003" s="838"/>
    </row>
    <row r="2004" spans="2:8">
      <c r="B2004" s="837" t="s">
        <v>2848</v>
      </c>
      <c r="C2004" s="838">
        <v>7721400000</v>
      </c>
      <c r="D2004" s="838" t="s">
        <v>3304</v>
      </c>
      <c r="E2004" s="838">
        <v>2561121</v>
      </c>
      <c r="F2004" s="838">
        <v>3343197</v>
      </c>
      <c r="G2004" s="838"/>
      <c r="H2004" s="838"/>
    </row>
    <row r="2005" spans="2:8">
      <c r="B2005" s="837" t="s">
        <v>2848</v>
      </c>
      <c r="C2005" s="838">
        <v>7721400000</v>
      </c>
      <c r="D2005" s="838" t="s">
        <v>3304</v>
      </c>
      <c r="E2005" s="838">
        <v>9596243</v>
      </c>
      <c r="F2005" s="838">
        <v>17061818</v>
      </c>
      <c r="G2005" s="838"/>
      <c r="H2005" s="838"/>
    </row>
    <row r="2006" spans="2:8">
      <c r="B2006" s="837" t="s">
        <v>2848</v>
      </c>
      <c r="C2006" s="838">
        <v>7721400000</v>
      </c>
      <c r="D2006" s="838" t="s">
        <v>3304</v>
      </c>
      <c r="E2006" s="838">
        <v>11578329</v>
      </c>
      <c r="F2006" s="838">
        <v>36271337</v>
      </c>
      <c r="G2006" s="838"/>
      <c r="H2006" s="838"/>
    </row>
    <row r="2007" spans="2:8">
      <c r="B2007" s="837" t="s">
        <v>2848</v>
      </c>
      <c r="C2007" s="838">
        <v>7721400000</v>
      </c>
      <c r="D2007" s="838" t="s">
        <v>3304</v>
      </c>
      <c r="E2007" s="838">
        <v>41188357</v>
      </c>
      <c r="F2007" s="838">
        <v>95206286</v>
      </c>
      <c r="G2007" s="838"/>
      <c r="H2007" s="838"/>
    </row>
    <row r="2008" spans="2:8">
      <c r="B2008" s="837" t="s">
        <v>2848</v>
      </c>
      <c r="C2008" s="838">
        <v>7721400000</v>
      </c>
      <c r="D2008" s="838" t="s">
        <v>3304</v>
      </c>
      <c r="E2008" s="838">
        <v>2563817</v>
      </c>
      <c r="F2008" s="838">
        <v>9182821</v>
      </c>
      <c r="G2008" s="838"/>
      <c r="H2008" s="838"/>
    </row>
    <row r="2009" spans="2:8">
      <c r="B2009" s="837" t="s">
        <v>2848</v>
      </c>
      <c r="C2009" s="838">
        <v>7721400000</v>
      </c>
      <c r="D2009" s="838" t="s">
        <v>3304</v>
      </c>
      <c r="E2009" s="838">
        <v>1820022</v>
      </c>
      <c r="F2009" s="838">
        <v>6831230</v>
      </c>
      <c r="G2009" s="838"/>
      <c r="H2009" s="838"/>
    </row>
    <row r="2010" spans="2:8">
      <c r="B2010" s="837" t="s">
        <v>2848</v>
      </c>
      <c r="C2010" s="838">
        <v>7721500000</v>
      </c>
      <c r="D2010" s="838" t="s">
        <v>3305</v>
      </c>
      <c r="E2010" s="838">
        <v>1319153</v>
      </c>
      <c r="F2010" s="838">
        <v>2133422</v>
      </c>
      <c r="G2010" s="838"/>
      <c r="H2010" s="838"/>
    </row>
    <row r="2011" spans="2:8">
      <c r="B2011" s="837" t="s">
        <v>2848</v>
      </c>
      <c r="C2011" s="838">
        <v>7721600000</v>
      </c>
      <c r="D2011" s="838" t="s">
        <v>3306</v>
      </c>
      <c r="E2011" s="838">
        <v>1893122</v>
      </c>
      <c r="F2011" s="838">
        <v>33202929</v>
      </c>
      <c r="G2011" s="838"/>
      <c r="H2011" s="838"/>
    </row>
    <row r="2012" spans="2:8">
      <c r="B2012" s="837" t="s">
        <v>2848</v>
      </c>
      <c r="C2012" s="838">
        <v>7721600000</v>
      </c>
      <c r="D2012" s="838" t="s">
        <v>3306</v>
      </c>
      <c r="E2012" s="838">
        <v>0</v>
      </c>
      <c r="F2012" s="838">
        <v>533462</v>
      </c>
      <c r="G2012" s="838"/>
      <c r="H2012" s="838"/>
    </row>
    <row r="2013" spans="2:8">
      <c r="B2013" s="837" t="s">
        <v>2848</v>
      </c>
      <c r="C2013" s="838">
        <v>7721600000</v>
      </c>
      <c r="D2013" s="838" t="s">
        <v>3306</v>
      </c>
      <c r="E2013" s="838">
        <v>0</v>
      </c>
      <c r="F2013" s="838">
        <v>45993764</v>
      </c>
      <c r="G2013" s="838"/>
      <c r="H2013" s="838"/>
    </row>
    <row r="2014" spans="2:8">
      <c r="B2014" s="837" t="s">
        <v>2848</v>
      </c>
      <c r="C2014" s="838">
        <v>7721600000</v>
      </c>
      <c r="D2014" s="838" t="s">
        <v>3306</v>
      </c>
      <c r="E2014" s="838">
        <v>370800</v>
      </c>
      <c r="F2014" s="838">
        <v>3663720</v>
      </c>
      <c r="G2014" s="838"/>
      <c r="H2014" s="838"/>
    </row>
    <row r="2015" spans="2:8">
      <c r="B2015" s="837" t="s">
        <v>2848</v>
      </c>
      <c r="C2015" s="838">
        <v>7722000000</v>
      </c>
      <c r="D2015" s="838" t="s">
        <v>3307</v>
      </c>
      <c r="E2015" s="838">
        <v>42560</v>
      </c>
      <c r="F2015" s="838">
        <v>25123680</v>
      </c>
      <c r="G2015" s="838"/>
      <c r="H2015" s="838"/>
    </row>
    <row r="2016" spans="2:8">
      <c r="B2016" s="837" t="s">
        <v>2848</v>
      </c>
      <c r="C2016" s="838">
        <v>7722000000</v>
      </c>
      <c r="D2016" s="838" t="s">
        <v>3307</v>
      </c>
      <c r="E2016" s="838">
        <v>0</v>
      </c>
      <c r="F2016" s="838">
        <v>3264198</v>
      </c>
      <c r="G2016" s="838"/>
      <c r="H2016" s="838"/>
    </row>
    <row r="2017" spans="2:8">
      <c r="B2017" s="837" t="s">
        <v>2848</v>
      </c>
      <c r="C2017" s="838">
        <v>7722000000</v>
      </c>
      <c r="D2017" s="838" t="s">
        <v>3307</v>
      </c>
      <c r="E2017" s="838">
        <v>0</v>
      </c>
      <c r="F2017" s="838">
        <v>4203837</v>
      </c>
      <c r="G2017" s="838"/>
      <c r="H2017" s="838"/>
    </row>
    <row r="2018" spans="2:8">
      <c r="B2018" s="837" t="s">
        <v>2848</v>
      </c>
      <c r="C2018" s="838">
        <v>7722000000</v>
      </c>
      <c r="D2018" s="838" t="s">
        <v>3307</v>
      </c>
      <c r="E2018" s="838">
        <v>0</v>
      </c>
      <c r="F2018" s="838">
        <v>33736</v>
      </c>
      <c r="G2018" s="838"/>
      <c r="H2018" s="838"/>
    </row>
    <row r="2019" spans="2:8">
      <c r="B2019" s="837" t="s">
        <v>2848</v>
      </c>
      <c r="C2019" s="838">
        <v>7722000000</v>
      </c>
      <c r="D2019" s="838" t="s">
        <v>3307</v>
      </c>
      <c r="E2019" s="838">
        <v>0</v>
      </c>
      <c r="F2019" s="838">
        <v>33736</v>
      </c>
      <c r="G2019" s="838"/>
      <c r="H2019" s="838"/>
    </row>
    <row r="2020" spans="2:8">
      <c r="B2020" s="837" t="s">
        <v>2848</v>
      </c>
      <c r="C2020" s="838">
        <v>7722000000</v>
      </c>
      <c r="D2020" s="838" t="s">
        <v>3307</v>
      </c>
      <c r="E2020" s="838">
        <v>0</v>
      </c>
      <c r="F2020" s="838">
        <v>38422</v>
      </c>
      <c r="G2020" s="838"/>
      <c r="H2020" s="838"/>
    </row>
    <row r="2021" spans="2:8">
      <c r="B2021" s="837" t="s">
        <v>2848</v>
      </c>
      <c r="C2021" s="838">
        <v>7722000000</v>
      </c>
      <c r="D2021" s="838" t="s">
        <v>3307</v>
      </c>
      <c r="E2021" s="838">
        <v>0</v>
      </c>
      <c r="F2021" s="838">
        <v>33736</v>
      </c>
      <c r="G2021" s="838"/>
      <c r="H2021" s="838"/>
    </row>
    <row r="2022" spans="2:8">
      <c r="B2022" s="837" t="s">
        <v>2848</v>
      </c>
      <c r="C2022" s="838">
        <v>7722000000</v>
      </c>
      <c r="D2022" s="838" t="s">
        <v>3307</v>
      </c>
      <c r="E2022" s="838">
        <v>0</v>
      </c>
      <c r="F2022" s="838">
        <v>33736</v>
      </c>
      <c r="G2022" s="838"/>
      <c r="H2022" s="838"/>
    </row>
    <row r="2023" spans="2:8">
      <c r="B2023" s="837" t="s">
        <v>2848</v>
      </c>
      <c r="C2023" s="838">
        <v>7722000000</v>
      </c>
      <c r="D2023" s="838" t="s">
        <v>3307</v>
      </c>
      <c r="E2023" s="838">
        <v>0</v>
      </c>
      <c r="F2023" s="838">
        <v>33736</v>
      </c>
      <c r="G2023" s="838"/>
      <c r="H2023" s="838"/>
    </row>
    <row r="2024" spans="2:8">
      <c r="B2024" s="837" t="s">
        <v>2848</v>
      </c>
      <c r="C2024" s="838">
        <v>7722000000</v>
      </c>
      <c r="D2024" s="838" t="s">
        <v>3307</v>
      </c>
      <c r="E2024" s="838">
        <v>0</v>
      </c>
      <c r="F2024" s="838">
        <v>33736</v>
      </c>
      <c r="G2024" s="838"/>
      <c r="H2024" s="838"/>
    </row>
    <row r="2025" spans="2:8">
      <c r="B2025" s="837" t="s">
        <v>2848</v>
      </c>
      <c r="C2025" s="838">
        <v>7722000000</v>
      </c>
      <c r="D2025" s="838" t="s">
        <v>3307</v>
      </c>
      <c r="E2025" s="838">
        <v>0</v>
      </c>
      <c r="F2025" s="838">
        <v>33729</v>
      </c>
      <c r="G2025" s="838"/>
      <c r="H2025" s="838"/>
    </row>
    <row r="2026" spans="2:8">
      <c r="B2026" s="837" t="s">
        <v>2848</v>
      </c>
      <c r="C2026" s="838">
        <v>7722000000</v>
      </c>
      <c r="D2026" s="838" t="s">
        <v>3307</v>
      </c>
      <c r="E2026" s="838">
        <v>0</v>
      </c>
      <c r="F2026" s="838">
        <v>38422</v>
      </c>
      <c r="G2026" s="838"/>
      <c r="H2026" s="838"/>
    </row>
    <row r="2027" spans="2:8">
      <c r="B2027" s="837" t="s">
        <v>2848</v>
      </c>
      <c r="C2027" s="838">
        <v>7722000000</v>
      </c>
      <c r="D2027" s="838" t="s">
        <v>3307</v>
      </c>
      <c r="E2027" s="838">
        <v>0</v>
      </c>
      <c r="F2027" s="838">
        <v>38422</v>
      </c>
      <c r="G2027" s="838"/>
      <c r="H2027" s="838"/>
    </row>
    <row r="2028" spans="2:8">
      <c r="B2028" s="837" t="s">
        <v>2848</v>
      </c>
      <c r="C2028" s="838">
        <v>7722000000</v>
      </c>
      <c r="D2028" s="838" t="s">
        <v>3307</v>
      </c>
      <c r="E2028" s="838">
        <v>0</v>
      </c>
      <c r="F2028" s="838">
        <v>38422</v>
      </c>
      <c r="G2028" s="838"/>
      <c r="H2028" s="838"/>
    </row>
    <row r="2029" spans="2:8">
      <c r="B2029" s="837" t="s">
        <v>2848</v>
      </c>
      <c r="C2029" s="838">
        <v>7722000000</v>
      </c>
      <c r="D2029" s="838" t="s">
        <v>3307</v>
      </c>
      <c r="E2029" s="838">
        <v>0</v>
      </c>
      <c r="F2029" s="838">
        <v>38422</v>
      </c>
      <c r="G2029" s="838"/>
      <c r="H2029" s="838"/>
    </row>
    <row r="2030" spans="2:8">
      <c r="B2030" s="837" t="s">
        <v>2848</v>
      </c>
      <c r="C2030" s="838">
        <v>7722000000</v>
      </c>
      <c r="D2030" s="838" t="s">
        <v>3307</v>
      </c>
      <c r="E2030" s="838">
        <v>0</v>
      </c>
      <c r="F2030" s="838">
        <v>38422</v>
      </c>
      <c r="G2030" s="838"/>
      <c r="H2030" s="838"/>
    </row>
    <row r="2031" spans="2:8">
      <c r="B2031" s="837" t="s">
        <v>2848</v>
      </c>
      <c r="C2031" s="838">
        <v>7722000000</v>
      </c>
      <c r="D2031" s="838" t="s">
        <v>3307</v>
      </c>
      <c r="E2031" s="838">
        <v>0</v>
      </c>
      <c r="F2031" s="838">
        <v>38416</v>
      </c>
      <c r="G2031" s="838"/>
      <c r="H2031" s="838"/>
    </row>
    <row r="2032" spans="2:8">
      <c r="B2032" s="837" t="s">
        <v>2848</v>
      </c>
      <c r="C2032" s="838">
        <v>7722000000</v>
      </c>
      <c r="D2032" s="838" t="s">
        <v>3307</v>
      </c>
      <c r="E2032" s="838">
        <v>0</v>
      </c>
      <c r="F2032" s="838">
        <v>33736</v>
      </c>
      <c r="G2032" s="838"/>
      <c r="H2032" s="838"/>
    </row>
    <row r="2033" spans="2:8">
      <c r="B2033" s="837" t="s">
        <v>2848</v>
      </c>
      <c r="C2033" s="838">
        <v>7722000000</v>
      </c>
      <c r="D2033" s="838" t="s">
        <v>3307</v>
      </c>
      <c r="E2033" s="838">
        <v>0</v>
      </c>
      <c r="F2033" s="838">
        <v>33736</v>
      </c>
      <c r="G2033" s="838"/>
      <c r="H2033" s="838"/>
    </row>
    <row r="2034" spans="2:8">
      <c r="B2034" s="837" t="s">
        <v>2848</v>
      </c>
      <c r="C2034" s="838">
        <v>7722004000</v>
      </c>
      <c r="D2034" s="838" t="s">
        <v>3308</v>
      </c>
      <c r="E2034" s="838">
        <v>0</v>
      </c>
      <c r="F2034" s="838">
        <v>-78493</v>
      </c>
      <c r="G2034" s="838"/>
      <c r="H2034" s="838"/>
    </row>
    <row r="2035" spans="2:8">
      <c r="B2035" s="837" t="s">
        <v>2848</v>
      </c>
      <c r="C2035" s="838">
        <v>7722300000</v>
      </c>
      <c r="D2035" s="838" t="s">
        <v>3309</v>
      </c>
      <c r="E2035" s="838">
        <v>35064</v>
      </c>
      <c r="F2035" s="838">
        <v>34891</v>
      </c>
      <c r="G2035" s="838"/>
      <c r="H2035" s="838"/>
    </row>
    <row r="2036" spans="2:8">
      <c r="B2036" s="840" t="s">
        <v>2848</v>
      </c>
      <c r="C2036" s="841">
        <v>7722300000</v>
      </c>
      <c r="D2036" s="841" t="s">
        <v>3309</v>
      </c>
      <c r="E2036" s="841">
        <v>6509443</v>
      </c>
      <c r="F2036" s="841">
        <v>8822616</v>
      </c>
      <c r="G2036" s="838"/>
      <c r="H2036" s="838"/>
    </row>
    <row r="2037" spans="2:8">
      <c r="B2037" s="840" t="s">
        <v>2848</v>
      </c>
      <c r="C2037" s="841">
        <v>7722300000</v>
      </c>
      <c r="D2037" s="841" t="s">
        <v>3309</v>
      </c>
      <c r="E2037" s="841">
        <v>14252306</v>
      </c>
      <c r="F2037" s="841">
        <v>26879656</v>
      </c>
      <c r="G2037" s="838"/>
      <c r="H2037" s="838"/>
    </row>
    <row r="2038" spans="2:8">
      <c r="B2038" s="840" t="s">
        <v>2848</v>
      </c>
      <c r="C2038" s="841">
        <v>7722300000</v>
      </c>
      <c r="D2038" s="841" t="s">
        <v>3309</v>
      </c>
      <c r="E2038" s="841">
        <v>2496030</v>
      </c>
      <c r="F2038" s="841">
        <v>4302115</v>
      </c>
      <c r="G2038" s="841"/>
      <c r="H2038" s="838"/>
    </row>
    <row r="2039" spans="2:8">
      <c r="B2039" s="840" t="s">
        <v>2848</v>
      </c>
      <c r="C2039" s="841">
        <v>7722300000</v>
      </c>
      <c r="D2039" s="841" t="s">
        <v>3309</v>
      </c>
      <c r="E2039" s="841">
        <v>7603797</v>
      </c>
      <c r="F2039" s="841">
        <v>14521756</v>
      </c>
      <c r="G2039" s="841"/>
      <c r="H2039" s="841"/>
    </row>
    <row r="2040" spans="2:8">
      <c r="B2040" s="840" t="s">
        <v>2848</v>
      </c>
      <c r="C2040" s="841">
        <v>7722300000</v>
      </c>
      <c r="D2040" s="841" t="s">
        <v>3309</v>
      </c>
      <c r="E2040" s="841">
        <v>6409226</v>
      </c>
      <c r="F2040" s="841">
        <v>12894639</v>
      </c>
      <c r="G2040" s="841"/>
      <c r="H2040" s="841"/>
    </row>
    <row r="2041" spans="2:8">
      <c r="B2041" s="840" t="s">
        <v>2848</v>
      </c>
      <c r="C2041" s="841">
        <v>7722300000</v>
      </c>
      <c r="D2041" s="841" t="s">
        <v>3309</v>
      </c>
      <c r="E2041" s="841">
        <v>5217718</v>
      </c>
      <c r="F2041" s="841">
        <v>9764628</v>
      </c>
      <c r="G2041" s="841"/>
      <c r="H2041" s="841"/>
    </row>
    <row r="2042" spans="2:8">
      <c r="B2042" s="840" t="s">
        <v>2848</v>
      </c>
      <c r="C2042" s="841">
        <v>7722300000</v>
      </c>
      <c r="D2042" s="841" t="s">
        <v>3309</v>
      </c>
      <c r="E2042" s="841">
        <v>597982</v>
      </c>
      <c r="F2042" s="841">
        <v>1136829</v>
      </c>
      <c r="G2042" s="841"/>
      <c r="H2042" s="841"/>
    </row>
    <row r="2043" spans="2:8">
      <c r="B2043" s="840" t="s">
        <v>2848</v>
      </c>
      <c r="C2043" s="841">
        <v>7722300000</v>
      </c>
      <c r="D2043" s="841" t="s">
        <v>3309</v>
      </c>
      <c r="E2043" s="841">
        <v>2564618</v>
      </c>
      <c r="F2043" s="841">
        <v>5130798</v>
      </c>
      <c r="G2043" s="841"/>
      <c r="H2043" s="841"/>
    </row>
    <row r="2044" spans="2:8">
      <c r="B2044" s="840" t="s">
        <v>2848</v>
      </c>
      <c r="C2044" s="841">
        <v>7722300000</v>
      </c>
      <c r="D2044" s="841" t="s">
        <v>3309</v>
      </c>
      <c r="E2044" s="841">
        <v>2120978</v>
      </c>
      <c r="F2044" s="841">
        <v>4152459</v>
      </c>
      <c r="G2044" s="841"/>
      <c r="H2044" s="841"/>
    </row>
    <row r="2045" spans="2:8">
      <c r="B2045" s="840" t="s">
        <v>2848</v>
      </c>
      <c r="C2045" s="841">
        <v>7722300000</v>
      </c>
      <c r="D2045" s="841" t="s">
        <v>3309</v>
      </c>
      <c r="E2045" s="841">
        <v>11705486</v>
      </c>
      <c r="F2045" s="841">
        <v>25182751</v>
      </c>
      <c r="G2045" s="841"/>
      <c r="H2045" s="841"/>
    </row>
    <row r="2046" spans="2:8">
      <c r="B2046" s="840" t="s">
        <v>2848</v>
      </c>
      <c r="C2046" s="841">
        <v>7722300000</v>
      </c>
      <c r="D2046" s="841" t="s">
        <v>3309</v>
      </c>
      <c r="E2046" s="841">
        <v>3452475</v>
      </c>
      <c r="F2046" s="841">
        <v>7168444</v>
      </c>
      <c r="G2046" s="841"/>
      <c r="H2046" s="841"/>
    </row>
    <row r="2047" spans="2:8">
      <c r="B2047" s="840" t="s">
        <v>2848</v>
      </c>
      <c r="C2047" s="841">
        <v>7722300000</v>
      </c>
      <c r="D2047" s="841" t="s">
        <v>3309</v>
      </c>
      <c r="E2047" s="841">
        <v>3014834</v>
      </c>
      <c r="F2047" s="841">
        <v>6231363</v>
      </c>
      <c r="G2047" s="841"/>
      <c r="H2047" s="841"/>
    </row>
    <row r="2048" spans="2:8">
      <c r="B2048" s="840" t="s">
        <v>2848</v>
      </c>
      <c r="C2048" s="841">
        <v>7722300000</v>
      </c>
      <c r="D2048" s="841" t="s">
        <v>3309</v>
      </c>
      <c r="E2048" s="841">
        <v>7362984</v>
      </c>
      <c r="F2048" s="841">
        <v>14098967</v>
      </c>
      <c r="G2048" s="841"/>
      <c r="H2048" s="841"/>
    </row>
    <row r="2049" spans="2:8">
      <c r="B2049" s="840" t="s">
        <v>2848</v>
      </c>
      <c r="C2049" s="841">
        <v>7722300000</v>
      </c>
      <c r="D2049" s="841" t="s">
        <v>3309</v>
      </c>
      <c r="E2049" s="841">
        <v>6198222</v>
      </c>
      <c r="F2049" s="841">
        <v>12886633</v>
      </c>
      <c r="G2049" s="841"/>
      <c r="H2049" s="841"/>
    </row>
    <row r="2050" spans="2:8">
      <c r="B2050" s="840" t="s">
        <v>2848</v>
      </c>
      <c r="C2050" s="841">
        <v>7722300000</v>
      </c>
      <c r="D2050" s="841" t="s">
        <v>3309</v>
      </c>
      <c r="E2050" s="841">
        <v>4811921</v>
      </c>
      <c r="F2050" s="841">
        <v>9480726</v>
      </c>
      <c r="G2050" s="841"/>
      <c r="H2050" s="841"/>
    </row>
    <row r="2051" spans="2:8">
      <c r="B2051" s="840" t="s">
        <v>2848</v>
      </c>
      <c r="C2051" s="841">
        <v>7722300000</v>
      </c>
      <c r="D2051" s="841" t="s">
        <v>3309</v>
      </c>
      <c r="E2051" s="841">
        <v>27672814</v>
      </c>
      <c r="F2051" s="841">
        <v>43663734</v>
      </c>
      <c r="G2051" s="841"/>
      <c r="H2051" s="841"/>
    </row>
    <row r="2052" spans="2:8">
      <c r="B2052" s="840" t="s">
        <v>2848</v>
      </c>
      <c r="C2052" s="841">
        <v>7722300000</v>
      </c>
      <c r="D2052" s="841" t="s">
        <v>3309</v>
      </c>
      <c r="E2052" s="841">
        <v>4806383</v>
      </c>
      <c r="F2052" s="841">
        <v>8815822</v>
      </c>
      <c r="G2052" s="841"/>
      <c r="H2052" s="841"/>
    </row>
    <row r="2053" spans="2:8">
      <c r="B2053" s="840" t="s">
        <v>2848</v>
      </c>
      <c r="C2053" s="841">
        <v>7722300000</v>
      </c>
      <c r="D2053" s="841" t="s">
        <v>3309</v>
      </c>
      <c r="E2053" s="841">
        <v>6903021</v>
      </c>
      <c r="F2053" s="841">
        <v>14005382</v>
      </c>
      <c r="G2053" s="841"/>
      <c r="H2053" s="841"/>
    </row>
    <row r="2054" spans="2:8">
      <c r="B2054" s="840" t="s">
        <v>2848</v>
      </c>
      <c r="C2054" s="841">
        <v>7722300000</v>
      </c>
      <c r="D2054" s="841" t="s">
        <v>3309</v>
      </c>
      <c r="E2054" s="841">
        <v>6196377</v>
      </c>
      <c r="F2054" s="841">
        <v>11484236</v>
      </c>
      <c r="G2054" s="841"/>
      <c r="H2054" s="841"/>
    </row>
    <row r="2055" spans="2:8">
      <c r="B2055" s="840" t="s">
        <v>2848</v>
      </c>
      <c r="C2055" s="841">
        <v>7722300000</v>
      </c>
      <c r="D2055" s="841" t="s">
        <v>3309</v>
      </c>
      <c r="E2055" s="841">
        <v>4396861</v>
      </c>
      <c r="F2055" s="841">
        <v>8461062</v>
      </c>
      <c r="G2055" s="841"/>
      <c r="H2055" s="841"/>
    </row>
    <row r="2056" spans="2:8">
      <c r="B2056" s="840" t="s">
        <v>2848</v>
      </c>
      <c r="C2056" s="841">
        <v>7722300000</v>
      </c>
      <c r="D2056" s="841" t="s">
        <v>3309</v>
      </c>
      <c r="E2056" s="841">
        <v>333816</v>
      </c>
      <c r="F2056" s="841">
        <v>610996</v>
      </c>
      <c r="G2056" s="841"/>
      <c r="H2056" s="841"/>
    </row>
    <row r="2057" spans="2:8">
      <c r="B2057" s="840" t="s">
        <v>2848</v>
      </c>
      <c r="C2057" s="841">
        <v>7722300000</v>
      </c>
      <c r="D2057" s="841" t="s">
        <v>3309</v>
      </c>
      <c r="E2057" s="841">
        <v>58766956</v>
      </c>
      <c r="F2057" s="841">
        <v>116182570</v>
      </c>
      <c r="G2057" s="841"/>
      <c r="H2057" s="841"/>
    </row>
    <row r="2058" spans="2:8">
      <c r="B2058" s="840" t="s">
        <v>2848</v>
      </c>
      <c r="C2058" s="841">
        <v>7723000000</v>
      </c>
      <c r="D2058" s="841" t="s">
        <v>3310</v>
      </c>
      <c r="E2058" s="841">
        <v>0</v>
      </c>
      <c r="F2058" s="841">
        <v>4000</v>
      </c>
      <c r="G2058" s="841"/>
      <c r="H2058" s="841"/>
    </row>
    <row r="2059" spans="2:8">
      <c r="B2059" s="840" t="s">
        <v>2848</v>
      </c>
      <c r="C2059" s="841">
        <v>7723000000</v>
      </c>
      <c r="D2059" s="841" t="s">
        <v>3310</v>
      </c>
      <c r="E2059" s="841">
        <v>0</v>
      </c>
      <c r="F2059" s="841">
        <v>-33529</v>
      </c>
      <c r="G2059" s="841"/>
      <c r="H2059" s="841"/>
    </row>
    <row r="2060" spans="2:8">
      <c r="B2060" s="840" t="s">
        <v>2848</v>
      </c>
      <c r="C2060" s="841">
        <v>7723000000</v>
      </c>
      <c r="D2060" s="841" t="s">
        <v>3310</v>
      </c>
      <c r="E2060" s="841">
        <v>0</v>
      </c>
      <c r="F2060" s="841">
        <v>20000</v>
      </c>
      <c r="G2060" s="841"/>
      <c r="H2060" s="841"/>
    </row>
    <row r="2061" spans="2:8">
      <c r="B2061" s="840" t="s">
        <v>2848</v>
      </c>
      <c r="C2061" s="841">
        <v>7723000001</v>
      </c>
      <c r="D2061" s="841" t="s">
        <v>3311</v>
      </c>
      <c r="E2061" s="841">
        <v>0</v>
      </c>
      <c r="F2061" s="841">
        <v>40100</v>
      </c>
      <c r="G2061" s="841"/>
      <c r="H2061" s="841"/>
    </row>
    <row r="2062" spans="2:8">
      <c r="B2062" s="840" t="s">
        <v>2848</v>
      </c>
      <c r="C2062" s="841">
        <v>7725000000</v>
      </c>
      <c r="D2062" s="841" t="s">
        <v>3312</v>
      </c>
      <c r="E2062" s="841">
        <v>35590239</v>
      </c>
      <c r="F2062" s="841">
        <v>-644606261</v>
      </c>
      <c r="G2062" s="841"/>
      <c r="H2062" s="841"/>
    </row>
    <row r="2063" spans="2:8">
      <c r="B2063" s="840" t="s">
        <v>2848</v>
      </c>
      <c r="C2063" s="841">
        <v>7725000000</v>
      </c>
      <c r="D2063" s="841" t="s">
        <v>3312</v>
      </c>
      <c r="E2063" s="841">
        <v>-2160651</v>
      </c>
      <c r="F2063" s="841">
        <v>13934702</v>
      </c>
      <c r="G2063" s="841"/>
      <c r="H2063" s="841"/>
    </row>
    <row r="2064" spans="2:8">
      <c r="B2064" s="840" t="s">
        <v>2848</v>
      </c>
      <c r="C2064" s="841">
        <v>7725000003</v>
      </c>
      <c r="D2064" s="841" t="s">
        <v>3313</v>
      </c>
      <c r="E2064" s="841">
        <v>0</v>
      </c>
      <c r="F2064" s="841">
        <v>2300</v>
      </c>
      <c r="G2064" s="841"/>
      <c r="H2064" s="841"/>
    </row>
    <row r="2065" spans="2:8">
      <c r="B2065" s="840" t="s">
        <v>2848</v>
      </c>
      <c r="C2065" s="841">
        <v>7725000003</v>
      </c>
      <c r="D2065" s="841" t="s">
        <v>3313</v>
      </c>
      <c r="E2065" s="841">
        <v>5000</v>
      </c>
      <c r="F2065" s="841">
        <v>0</v>
      </c>
      <c r="G2065" s="841"/>
      <c r="H2065" s="841"/>
    </row>
    <row r="2066" spans="2:8">
      <c r="B2066" s="840" t="s">
        <v>2848</v>
      </c>
      <c r="C2066" s="841">
        <v>7725000010</v>
      </c>
      <c r="D2066" s="841" t="s">
        <v>3314</v>
      </c>
      <c r="E2066" s="841">
        <v>65713</v>
      </c>
      <c r="F2066" s="841">
        <v>4684596</v>
      </c>
      <c r="G2066" s="841"/>
      <c r="H2066" s="841"/>
    </row>
    <row r="2067" spans="2:8">
      <c r="B2067" s="840" t="s">
        <v>2848</v>
      </c>
      <c r="C2067" s="841">
        <v>7725000900</v>
      </c>
      <c r="D2067" s="841" t="s">
        <v>3315</v>
      </c>
      <c r="E2067" s="841">
        <v>0</v>
      </c>
      <c r="F2067" s="841">
        <v>980569282</v>
      </c>
      <c r="G2067" s="841"/>
      <c r="H2067" s="841"/>
    </row>
    <row r="2068" spans="2:8">
      <c r="B2068" s="840" t="s">
        <v>2848</v>
      </c>
      <c r="C2068" s="841">
        <v>7730000002</v>
      </c>
      <c r="D2068" s="841" t="s">
        <v>3316</v>
      </c>
      <c r="E2068" s="841">
        <v>538238272</v>
      </c>
      <c r="F2068" s="841">
        <v>1652881365</v>
      </c>
      <c r="G2068" s="841"/>
      <c r="H2068" s="841"/>
    </row>
    <row r="2069" spans="2:8">
      <c r="B2069" s="840" t="s">
        <v>2848</v>
      </c>
      <c r="C2069" s="841">
        <v>7730000003</v>
      </c>
      <c r="D2069" s="841" t="s">
        <v>3317</v>
      </c>
      <c r="E2069" s="841">
        <v>805165</v>
      </c>
      <c r="F2069" s="841">
        <v>2774768</v>
      </c>
      <c r="G2069" s="841"/>
      <c r="H2069" s="841"/>
    </row>
    <row r="2070" spans="2:8">
      <c r="B2070" s="840" t="s">
        <v>2848</v>
      </c>
      <c r="C2070" s="841">
        <v>7730000007</v>
      </c>
      <c r="D2070" s="841" t="s">
        <v>3318</v>
      </c>
      <c r="E2070" s="841">
        <v>19312629</v>
      </c>
      <c r="F2070" s="841">
        <v>74446954</v>
      </c>
      <c r="G2070" s="841"/>
      <c r="H2070" s="841"/>
    </row>
    <row r="2071" spans="2:8">
      <c r="B2071" s="840" t="s">
        <v>2848</v>
      </c>
      <c r="C2071" s="841">
        <v>7730000019</v>
      </c>
      <c r="D2071" s="841" t="s">
        <v>3319</v>
      </c>
      <c r="E2071" s="841">
        <v>12860994</v>
      </c>
      <c r="F2071" s="841">
        <v>17497738</v>
      </c>
      <c r="G2071" s="841"/>
      <c r="H2071" s="841"/>
    </row>
    <row r="2072" spans="2:8">
      <c r="B2072" s="840" t="s">
        <v>2848</v>
      </c>
      <c r="C2072" s="841">
        <v>7730000024</v>
      </c>
      <c r="D2072" s="841" t="s">
        <v>3320</v>
      </c>
      <c r="E2072" s="841">
        <v>48319568</v>
      </c>
      <c r="F2072" s="841">
        <v>153235914</v>
      </c>
      <c r="G2072" s="841"/>
      <c r="H2072" s="841"/>
    </row>
    <row r="2073" spans="2:8">
      <c r="B2073" s="840" t="s">
        <v>2848</v>
      </c>
      <c r="C2073" s="841">
        <v>7730000024</v>
      </c>
      <c r="D2073" s="841" t="s">
        <v>3320</v>
      </c>
      <c r="E2073" s="841">
        <v>0</v>
      </c>
      <c r="F2073" s="841">
        <v>3000</v>
      </c>
      <c r="G2073" s="841"/>
      <c r="H2073" s="841"/>
    </row>
    <row r="2074" spans="2:8">
      <c r="B2074" s="840" t="s">
        <v>2848</v>
      </c>
      <c r="C2074" s="841">
        <v>7730200000</v>
      </c>
      <c r="D2074" s="841" t="s">
        <v>3321</v>
      </c>
      <c r="E2074" s="841">
        <v>0</v>
      </c>
      <c r="F2074" s="841">
        <v>82227813</v>
      </c>
      <c r="G2074" s="841"/>
      <c r="H2074" s="841"/>
    </row>
    <row r="2075" spans="2:8">
      <c r="B2075" s="840" t="s">
        <v>2848</v>
      </c>
      <c r="C2075" s="841">
        <v>7730200000</v>
      </c>
      <c r="D2075" s="841" t="s">
        <v>3321</v>
      </c>
      <c r="E2075" s="841">
        <v>4357024</v>
      </c>
      <c r="F2075" s="841">
        <v>120044404</v>
      </c>
      <c r="G2075" s="841"/>
      <c r="H2075" s="841"/>
    </row>
    <row r="2076" spans="2:8">
      <c r="B2076" s="840" t="s">
        <v>2848</v>
      </c>
      <c r="C2076" s="841">
        <v>7730200000</v>
      </c>
      <c r="D2076" s="841" t="s">
        <v>3321</v>
      </c>
      <c r="E2076" s="841">
        <v>27795182</v>
      </c>
      <c r="F2076" s="841">
        <v>20332546</v>
      </c>
      <c r="G2076" s="841"/>
      <c r="H2076" s="841"/>
    </row>
    <row r="2077" spans="2:8">
      <c r="B2077" s="840" t="s">
        <v>2848</v>
      </c>
      <c r="C2077" s="841">
        <v>7730200000</v>
      </c>
      <c r="D2077" s="841" t="s">
        <v>3321</v>
      </c>
      <c r="E2077" s="841">
        <v>14699299</v>
      </c>
      <c r="F2077" s="841">
        <v>62937122</v>
      </c>
      <c r="G2077" s="841"/>
      <c r="H2077" s="841"/>
    </row>
    <row r="2078" spans="2:8">
      <c r="B2078" s="840" t="s">
        <v>2848</v>
      </c>
      <c r="C2078" s="841">
        <v>7730200000</v>
      </c>
      <c r="D2078" s="841" t="s">
        <v>3321</v>
      </c>
      <c r="E2078" s="841">
        <v>0</v>
      </c>
      <c r="F2078" s="841">
        <v>1738367</v>
      </c>
      <c r="G2078" s="841"/>
      <c r="H2078" s="841"/>
    </row>
    <row r="2079" spans="2:8">
      <c r="B2079" s="840" t="s">
        <v>2848</v>
      </c>
      <c r="C2079" s="841">
        <v>7731000000</v>
      </c>
      <c r="D2079" s="841" t="s">
        <v>3322</v>
      </c>
      <c r="E2079" s="841">
        <v>651000</v>
      </c>
      <c r="F2079" s="841">
        <v>550000</v>
      </c>
      <c r="G2079" s="841"/>
    </row>
    <row r="2080" spans="2:8">
      <c r="B2080" s="840" t="s">
        <v>2848</v>
      </c>
      <c r="C2080" s="841">
        <v>7732000000</v>
      </c>
      <c r="D2080" s="841" t="s">
        <v>3323</v>
      </c>
      <c r="E2080" s="841">
        <v>0</v>
      </c>
      <c r="F2080" s="841">
        <v>50501953</v>
      </c>
      <c r="G2080" s="841"/>
      <c r="H2080" s="841"/>
    </row>
    <row r="2081" spans="2:8">
      <c r="B2081" s="840" t="s">
        <v>2848</v>
      </c>
      <c r="C2081" s="841">
        <v>7732000000</v>
      </c>
      <c r="D2081" s="841" t="s">
        <v>3323</v>
      </c>
      <c r="E2081" s="841">
        <v>0</v>
      </c>
      <c r="F2081" s="841">
        <v>350092</v>
      </c>
      <c r="G2081" s="841"/>
      <c r="H2081" s="841"/>
    </row>
    <row r="2082" spans="2:8">
      <c r="B2082" s="840" t="s">
        <v>2848</v>
      </c>
      <c r="C2082" s="841">
        <v>7732000000</v>
      </c>
      <c r="D2082" s="841" t="s">
        <v>3323</v>
      </c>
      <c r="E2082" s="841">
        <v>0</v>
      </c>
      <c r="F2082" s="841">
        <v>9184</v>
      </c>
      <c r="G2082" s="841"/>
      <c r="H2082" s="841"/>
    </row>
    <row r="2083" spans="2:8">
      <c r="B2083" s="840" t="s">
        <v>2848</v>
      </c>
      <c r="C2083" s="841">
        <v>7732000000</v>
      </c>
      <c r="D2083" s="841" t="s">
        <v>3323</v>
      </c>
      <c r="E2083" s="841">
        <v>0</v>
      </c>
      <c r="F2083" s="841">
        <v>1601</v>
      </c>
      <c r="G2083" s="841"/>
      <c r="H2083" s="841"/>
    </row>
    <row r="2084" spans="2:8">
      <c r="B2084" s="840" t="s">
        <v>2848</v>
      </c>
      <c r="C2084" s="841">
        <v>7732000000</v>
      </c>
      <c r="D2084" s="841" t="s">
        <v>3323</v>
      </c>
      <c r="E2084" s="841">
        <v>0</v>
      </c>
      <c r="F2084" s="841">
        <v>1696</v>
      </c>
      <c r="G2084" s="841"/>
      <c r="H2084" s="841"/>
    </row>
    <row r="2085" spans="2:8">
      <c r="B2085" s="840" t="s">
        <v>2848</v>
      </c>
      <c r="C2085" s="841">
        <v>7732000000</v>
      </c>
      <c r="D2085" s="841" t="s">
        <v>3323</v>
      </c>
      <c r="E2085" s="841">
        <v>0</v>
      </c>
      <c r="F2085" s="841">
        <v>721</v>
      </c>
      <c r="G2085" s="841"/>
      <c r="H2085" s="841"/>
    </row>
    <row r="2086" spans="2:8">
      <c r="B2086" s="840" t="s">
        <v>2848</v>
      </c>
      <c r="C2086" s="841">
        <v>7732000000</v>
      </c>
      <c r="D2086" s="841" t="s">
        <v>3323</v>
      </c>
      <c r="E2086" s="841">
        <v>0</v>
      </c>
      <c r="F2086" s="841">
        <v>92</v>
      </c>
      <c r="G2086" s="841"/>
      <c r="H2086" s="841"/>
    </row>
    <row r="2087" spans="2:8">
      <c r="B2087" s="840" t="s">
        <v>2848</v>
      </c>
      <c r="C2087" s="841">
        <v>7732000000</v>
      </c>
      <c r="D2087" s="841" t="s">
        <v>3323</v>
      </c>
      <c r="E2087" s="841">
        <v>0</v>
      </c>
      <c r="F2087" s="841">
        <v>27</v>
      </c>
      <c r="G2087" s="841"/>
      <c r="H2087" s="841"/>
    </row>
    <row r="2088" spans="2:8">
      <c r="B2088" s="840" t="s">
        <v>2848</v>
      </c>
      <c r="C2088" s="841">
        <v>7732000000</v>
      </c>
      <c r="D2088" s="841" t="s">
        <v>3323</v>
      </c>
      <c r="E2088" s="841">
        <v>0</v>
      </c>
      <c r="F2088" s="841">
        <v>-174</v>
      </c>
      <c r="G2088" s="841"/>
      <c r="H2088" s="841"/>
    </row>
    <row r="2089" spans="2:8">
      <c r="B2089" s="840" t="s">
        <v>2848</v>
      </c>
      <c r="C2089" s="841">
        <v>7732000000</v>
      </c>
      <c r="D2089" s="841" t="s">
        <v>3323</v>
      </c>
      <c r="E2089" s="841">
        <v>0</v>
      </c>
      <c r="F2089" s="841">
        <v>83</v>
      </c>
      <c r="G2089" s="841"/>
      <c r="H2089" s="841"/>
    </row>
    <row r="2090" spans="2:8">
      <c r="B2090" s="840" t="s">
        <v>2848</v>
      </c>
      <c r="C2090" s="841">
        <v>7732000000</v>
      </c>
      <c r="D2090" s="841" t="s">
        <v>3323</v>
      </c>
      <c r="E2090" s="841">
        <v>0</v>
      </c>
      <c r="F2090" s="841">
        <v>3</v>
      </c>
      <c r="G2090" s="841"/>
      <c r="H2090" s="841"/>
    </row>
    <row r="2091" spans="2:8">
      <c r="B2091" s="840" t="s">
        <v>2848</v>
      </c>
      <c r="C2091" s="841">
        <v>7732000000</v>
      </c>
      <c r="D2091" s="841" t="s">
        <v>3323</v>
      </c>
      <c r="E2091" s="841">
        <v>0</v>
      </c>
      <c r="F2091" s="841">
        <v>-1696</v>
      </c>
      <c r="G2091" s="841"/>
      <c r="H2091" s="841"/>
    </row>
    <row r="2092" spans="2:8">
      <c r="B2092" s="840" t="s">
        <v>2848</v>
      </c>
      <c r="C2092" s="841">
        <v>7732000000</v>
      </c>
      <c r="D2092" s="841" t="s">
        <v>3323</v>
      </c>
      <c r="E2092" s="841">
        <v>0</v>
      </c>
      <c r="F2092" s="841">
        <v>37</v>
      </c>
      <c r="G2092" s="841"/>
      <c r="H2092" s="841"/>
    </row>
    <row r="2093" spans="2:8">
      <c r="B2093" s="840" t="s">
        <v>2848</v>
      </c>
      <c r="C2093" s="841">
        <v>7732000007</v>
      </c>
      <c r="D2093" s="841" t="s">
        <v>3324</v>
      </c>
      <c r="E2093" s="841">
        <v>0</v>
      </c>
      <c r="F2093" s="841">
        <v>888889</v>
      </c>
      <c r="G2093" s="841"/>
      <c r="H2093" s="841"/>
    </row>
    <row r="2094" spans="2:8">
      <c r="B2094" s="840" t="s">
        <v>2848</v>
      </c>
      <c r="C2094" s="841">
        <v>7732000014</v>
      </c>
      <c r="D2094" s="841" t="s">
        <v>3325</v>
      </c>
      <c r="E2094" s="841">
        <v>0</v>
      </c>
      <c r="F2094" s="841">
        <v>52627</v>
      </c>
      <c r="G2094" s="841"/>
      <c r="H2094" s="841"/>
    </row>
    <row r="2095" spans="2:8">
      <c r="B2095" s="840" t="s">
        <v>2848</v>
      </c>
      <c r="C2095" s="841">
        <v>7732000030</v>
      </c>
      <c r="D2095" s="841" t="s">
        <v>3326</v>
      </c>
      <c r="E2095" s="841">
        <v>0</v>
      </c>
      <c r="F2095" s="841">
        <v>602500</v>
      </c>
      <c r="G2095" s="841"/>
      <c r="H2095" s="841"/>
    </row>
    <row r="2096" spans="2:8">
      <c r="B2096" s="840" t="s">
        <v>2848</v>
      </c>
      <c r="C2096" s="841">
        <v>7732000037</v>
      </c>
      <c r="D2096" s="841" t="s">
        <v>3327</v>
      </c>
      <c r="E2096" s="841">
        <v>805174</v>
      </c>
      <c r="F2096" s="841">
        <v>20283218</v>
      </c>
      <c r="G2096" s="841"/>
      <c r="H2096" s="841"/>
    </row>
    <row r="2097" spans="2:8">
      <c r="B2097" s="840" t="s">
        <v>2848</v>
      </c>
      <c r="C2097" s="841">
        <v>7732000037</v>
      </c>
      <c r="D2097" s="841" t="s">
        <v>3327</v>
      </c>
      <c r="E2097" s="841">
        <v>0</v>
      </c>
      <c r="F2097" s="841">
        <v>1</v>
      </c>
      <c r="G2097" s="841"/>
      <c r="H2097" s="841"/>
    </row>
    <row r="2098" spans="2:8">
      <c r="B2098" s="840" t="s">
        <v>2848</v>
      </c>
      <c r="C2098" s="841">
        <v>7732000037</v>
      </c>
      <c r="D2098" s="841" t="s">
        <v>3327</v>
      </c>
      <c r="E2098" s="841">
        <v>340946</v>
      </c>
      <c r="F2098" s="841">
        <v>0</v>
      </c>
      <c r="G2098" s="841"/>
      <c r="H2098" s="841"/>
    </row>
    <row r="2099" spans="2:8">
      <c r="B2099" s="840" t="s">
        <v>2848</v>
      </c>
      <c r="C2099" s="841">
        <v>7732000037</v>
      </c>
      <c r="D2099" s="841" t="s">
        <v>3327</v>
      </c>
      <c r="E2099" s="841">
        <v>0</v>
      </c>
      <c r="F2099" s="841">
        <v>184</v>
      </c>
      <c r="G2099" s="841"/>
      <c r="H2099" s="841"/>
    </row>
    <row r="2100" spans="2:8">
      <c r="B2100" s="840" t="s">
        <v>2848</v>
      </c>
      <c r="C2100" s="841">
        <v>7732000037</v>
      </c>
      <c r="D2100" s="841" t="s">
        <v>3327</v>
      </c>
      <c r="E2100" s="841">
        <v>11500</v>
      </c>
      <c r="F2100" s="841">
        <v>16503</v>
      </c>
      <c r="G2100" s="841"/>
      <c r="H2100" s="841"/>
    </row>
    <row r="2101" spans="2:8">
      <c r="B2101" s="840" t="s">
        <v>2848</v>
      </c>
      <c r="C2101" s="841">
        <v>7732000037</v>
      </c>
      <c r="D2101" s="841" t="s">
        <v>3327</v>
      </c>
      <c r="E2101" s="841">
        <v>8000</v>
      </c>
      <c r="F2101" s="841">
        <v>5000</v>
      </c>
      <c r="G2101" s="841"/>
      <c r="H2101" s="841"/>
    </row>
    <row r="2102" spans="2:8">
      <c r="B2102" s="840" t="s">
        <v>2848</v>
      </c>
      <c r="C2102" s="841">
        <v>7732000037</v>
      </c>
      <c r="D2102" s="841" t="s">
        <v>3327</v>
      </c>
      <c r="E2102" s="841">
        <v>49790</v>
      </c>
      <c r="F2102" s="841">
        <v>0</v>
      </c>
      <c r="G2102" s="841"/>
      <c r="H2102" s="841"/>
    </row>
    <row r="2103" spans="2:8">
      <c r="B2103" s="840" t="s">
        <v>2848</v>
      </c>
      <c r="C2103" s="841">
        <v>7732000050</v>
      </c>
      <c r="D2103" s="841" t="s">
        <v>3328</v>
      </c>
      <c r="E2103" s="841">
        <v>1540746</v>
      </c>
      <c r="F2103" s="841">
        <v>29054485</v>
      </c>
      <c r="G2103" s="841"/>
      <c r="H2103" s="841"/>
    </row>
    <row r="2104" spans="2:8">
      <c r="B2104" s="840" t="s">
        <v>2848</v>
      </c>
      <c r="C2104" s="841">
        <v>7732000050</v>
      </c>
      <c r="D2104" s="841" t="s">
        <v>3328</v>
      </c>
      <c r="E2104" s="841">
        <v>0</v>
      </c>
      <c r="F2104" s="841">
        <v>665775</v>
      </c>
      <c r="G2104" s="841"/>
      <c r="H2104" s="841"/>
    </row>
    <row r="2105" spans="2:8">
      <c r="B2105" s="840" t="s">
        <v>2848</v>
      </c>
      <c r="C2105" s="841">
        <v>7732000050</v>
      </c>
      <c r="D2105" s="841" t="s">
        <v>3328</v>
      </c>
      <c r="E2105" s="841">
        <v>0</v>
      </c>
      <c r="F2105" s="841">
        <v>9917834</v>
      </c>
      <c r="G2105" s="841"/>
      <c r="H2105" s="841"/>
    </row>
    <row r="2106" spans="2:8">
      <c r="B2106" s="840" t="s">
        <v>2848</v>
      </c>
      <c r="C2106" s="841">
        <v>7732000050</v>
      </c>
      <c r="D2106" s="841" t="s">
        <v>3328</v>
      </c>
      <c r="E2106" s="841">
        <v>0</v>
      </c>
      <c r="F2106" s="841">
        <v>2626311</v>
      </c>
      <c r="G2106" s="841"/>
      <c r="H2106" s="841"/>
    </row>
    <row r="2107" spans="2:8">
      <c r="B2107" s="840" t="s">
        <v>2848</v>
      </c>
      <c r="C2107" s="841">
        <v>7732000052</v>
      </c>
      <c r="D2107" s="841" t="s">
        <v>3329</v>
      </c>
      <c r="E2107" s="841">
        <v>0</v>
      </c>
      <c r="F2107" s="841">
        <v>5368981</v>
      </c>
      <c r="G2107" s="841"/>
      <c r="H2107" s="841"/>
    </row>
    <row r="2108" spans="2:8">
      <c r="B2108" s="840" t="s">
        <v>2848</v>
      </c>
      <c r="C2108" s="841">
        <v>7732000053</v>
      </c>
      <c r="D2108" s="841" t="s">
        <v>3330</v>
      </c>
      <c r="E2108" s="841">
        <v>3290105</v>
      </c>
      <c r="F2108" s="841">
        <v>3074755</v>
      </c>
      <c r="G2108" s="841"/>
      <c r="H2108" s="841"/>
    </row>
    <row r="2109" spans="2:8">
      <c r="B2109" s="840" t="s">
        <v>2848</v>
      </c>
      <c r="C2109" s="841">
        <v>7732000054</v>
      </c>
      <c r="D2109" s="841" t="s">
        <v>3753</v>
      </c>
      <c r="E2109" s="841">
        <v>1620000</v>
      </c>
      <c r="F2109" s="841">
        <v>0</v>
      </c>
      <c r="G2109" s="841"/>
      <c r="H2109" s="841"/>
    </row>
    <row r="2110" spans="2:8">
      <c r="B2110" s="840" t="s">
        <v>2848</v>
      </c>
      <c r="C2110" s="841">
        <v>7732003007</v>
      </c>
      <c r="D2110" s="841" t="s">
        <v>3331</v>
      </c>
      <c r="E2110" s="841">
        <v>86110493</v>
      </c>
      <c r="F2110" s="841">
        <v>256350896</v>
      </c>
      <c r="G2110" s="841"/>
      <c r="H2110" s="841"/>
    </row>
    <row r="2111" spans="2:8">
      <c r="B2111" s="840" t="s">
        <v>2848</v>
      </c>
      <c r="C2111" s="841">
        <v>7732003007</v>
      </c>
      <c r="D2111" s="841" t="s">
        <v>3331</v>
      </c>
      <c r="E2111" s="841">
        <v>0</v>
      </c>
      <c r="F2111" s="841">
        <v>1124667</v>
      </c>
      <c r="G2111" s="841"/>
      <c r="H2111" s="841"/>
    </row>
    <row r="2112" spans="2:8">
      <c r="B2112" s="840" t="s">
        <v>2848</v>
      </c>
      <c r="C2112" s="841">
        <v>7732003007</v>
      </c>
      <c r="D2112" s="841" t="s">
        <v>3331</v>
      </c>
      <c r="E2112" s="841">
        <v>0</v>
      </c>
      <c r="F2112" s="841">
        <v>1702987</v>
      </c>
      <c r="G2112" s="841"/>
      <c r="H2112" s="841"/>
    </row>
    <row r="2113" spans="2:8">
      <c r="B2113" s="840" t="s">
        <v>2848</v>
      </c>
      <c r="C2113" s="841">
        <v>7732003007</v>
      </c>
      <c r="D2113" s="841" t="s">
        <v>3331</v>
      </c>
      <c r="E2113" s="841">
        <v>0</v>
      </c>
      <c r="F2113" s="841">
        <v>1741757</v>
      </c>
      <c r="G2113" s="841"/>
      <c r="H2113" s="841"/>
    </row>
    <row r="2114" spans="2:8">
      <c r="B2114" s="840" t="s">
        <v>2848</v>
      </c>
      <c r="C2114" s="841">
        <v>7732003007</v>
      </c>
      <c r="D2114" s="841" t="s">
        <v>3331</v>
      </c>
      <c r="E2114" s="841">
        <v>0</v>
      </c>
      <c r="F2114" s="841">
        <v>1130045</v>
      </c>
      <c r="G2114" s="841"/>
      <c r="H2114" s="841"/>
    </row>
    <row r="2115" spans="2:8">
      <c r="B2115" s="840" t="s">
        <v>2848</v>
      </c>
      <c r="C2115" s="841">
        <v>7732003007</v>
      </c>
      <c r="D2115" s="841" t="s">
        <v>3331</v>
      </c>
      <c r="E2115" s="841">
        <v>0</v>
      </c>
      <c r="F2115" s="841">
        <v>830700</v>
      </c>
      <c r="G2115" s="841"/>
    </row>
    <row r="2116" spans="2:8">
      <c r="B2116" s="840" t="s">
        <v>2848</v>
      </c>
      <c r="C2116" s="841">
        <v>7732003007</v>
      </c>
      <c r="D2116" s="841" t="s">
        <v>3331</v>
      </c>
      <c r="E2116" s="841">
        <v>0</v>
      </c>
      <c r="F2116" s="841">
        <v>559884</v>
      </c>
      <c r="G2116" s="841"/>
      <c r="H2116" s="841"/>
    </row>
    <row r="2117" spans="2:8">
      <c r="B2117" s="840" t="s">
        <v>2848</v>
      </c>
      <c r="C2117" s="841">
        <v>7732005004</v>
      </c>
      <c r="D2117" s="841" t="s">
        <v>3332</v>
      </c>
      <c r="E2117" s="841">
        <v>29000</v>
      </c>
      <c r="F2117" s="841">
        <v>42838948</v>
      </c>
      <c r="G2117" s="841"/>
      <c r="H2117" s="841"/>
    </row>
    <row r="2118" spans="2:8">
      <c r="B2118" s="840" t="s">
        <v>2848</v>
      </c>
      <c r="C2118" s="841">
        <v>7732005004</v>
      </c>
      <c r="D2118" s="841" t="s">
        <v>3332</v>
      </c>
      <c r="E2118" s="841">
        <v>0</v>
      </c>
      <c r="F2118" s="841">
        <v>43000</v>
      </c>
      <c r="G2118" s="841"/>
      <c r="H2118" s="841"/>
    </row>
    <row r="2119" spans="2:8">
      <c r="B2119" s="840" t="s">
        <v>2848</v>
      </c>
      <c r="C2119" s="841">
        <v>7732005004</v>
      </c>
      <c r="D2119" s="841" t="s">
        <v>3332</v>
      </c>
      <c r="E2119" s="841">
        <v>11000</v>
      </c>
      <c r="F2119" s="841">
        <v>40000</v>
      </c>
      <c r="G2119" s="841"/>
    </row>
    <row r="2120" spans="2:8">
      <c r="B2120" s="840" t="s">
        <v>2848</v>
      </c>
      <c r="C2120" s="841">
        <v>7732005004</v>
      </c>
      <c r="D2120" s="841" t="s">
        <v>3332</v>
      </c>
      <c r="E2120" s="841">
        <v>3000</v>
      </c>
      <c r="F2120" s="841">
        <v>15000</v>
      </c>
      <c r="G2120" s="841"/>
      <c r="H2120" s="841"/>
    </row>
    <row r="2121" spans="2:8">
      <c r="B2121" s="840" t="s">
        <v>2848</v>
      </c>
      <c r="C2121" s="841">
        <v>7732005004</v>
      </c>
      <c r="D2121" s="841" t="s">
        <v>3332</v>
      </c>
      <c r="E2121" s="841">
        <v>0</v>
      </c>
      <c r="F2121" s="841">
        <v>6500</v>
      </c>
      <c r="G2121" s="841"/>
      <c r="H2121" s="841"/>
    </row>
    <row r="2122" spans="2:8">
      <c r="B2122" s="840" t="s">
        <v>2848</v>
      </c>
      <c r="C2122" s="841">
        <v>7732005004</v>
      </c>
      <c r="D2122" s="841" t="s">
        <v>3332</v>
      </c>
      <c r="E2122" s="841">
        <v>12000</v>
      </c>
      <c r="F2122" s="841">
        <v>15000</v>
      </c>
      <c r="G2122" s="841"/>
      <c r="H2122" s="841"/>
    </row>
    <row r="2123" spans="2:8">
      <c r="B2123" s="840" t="s">
        <v>2848</v>
      </c>
      <c r="C2123" s="841">
        <v>7732005004</v>
      </c>
      <c r="D2123" s="841" t="s">
        <v>3332</v>
      </c>
      <c r="E2123" s="841">
        <v>0</v>
      </c>
      <c r="F2123" s="841">
        <v>49000</v>
      </c>
      <c r="G2123" s="841"/>
      <c r="H2123" s="841"/>
    </row>
    <row r="2124" spans="2:8">
      <c r="B2124" s="840" t="s">
        <v>2848</v>
      </c>
      <c r="C2124" s="841">
        <v>7732005004</v>
      </c>
      <c r="D2124" s="841" t="s">
        <v>3332</v>
      </c>
      <c r="E2124" s="841">
        <v>2000</v>
      </c>
      <c r="F2124" s="841">
        <v>15200</v>
      </c>
      <c r="G2124" s="841"/>
      <c r="H2124" s="841"/>
    </row>
    <row r="2125" spans="2:8">
      <c r="B2125" s="840" t="s">
        <v>2848</v>
      </c>
      <c r="C2125" s="841">
        <v>7732005004</v>
      </c>
      <c r="D2125" s="841" t="s">
        <v>3332</v>
      </c>
      <c r="E2125" s="841">
        <v>0</v>
      </c>
      <c r="F2125" s="841">
        <v>3800</v>
      </c>
      <c r="G2125" s="841"/>
      <c r="H2125" s="841"/>
    </row>
    <row r="2126" spans="2:8">
      <c r="B2126" s="840" t="s">
        <v>2848</v>
      </c>
      <c r="C2126" s="841">
        <v>7732005004</v>
      </c>
      <c r="D2126" s="841" t="s">
        <v>3332</v>
      </c>
      <c r="E2126" s="841">
        <v>19500</v>
      </c>
      <c r="F2126" s="841">
        <v>60200</v>
      </c>
      <c r="H2126" s="841"/>
    </row>
    <row r="2127" spans="2:8">
      <c r="B2127" s="840" t="s">
        <v>2848</v>
      </c>
      <c r="C2127" s="841">
        <v>7732005004</v>
      </c>
      <c r="D2127" s="841" t="s">
        <v>3332</v>
      </c>
      <c r="E2127" s="841">
        <v>0</v>
      </c>
      <c r="F2127" s="841">
        <v>11000</v>
      </c>
      <c r="G2127" s="841"/>
    </row>
    <row r="2128" spans="2:8">
      <c r="B2128" s="840" t="s">
        <v>2848</v>
      </c>
      <c r="C2128" s="841">
        <v>7732005004</v>
      </c>
      <c r="D2128" s="841" t="s">
        <v>3332</v>
      </c>
      <c r="E2128" s="841">
        <v>10000</v>
      </c>
      <c r="F2128" s="841">
        <v>19800</v>
      </c>
      <c r="G2128" s="841"/>
      <c r="H2128" s="841"/>
    </row>
    <row r="2129" spans="2:8">
      <c r="B2129" s="840" t="s">
        <v>2848</v>
      </c>
      <c r="C2129" s="841">
        <v>7732005004</v>
      </c>
      <c r="D2129" s="841" t="s">
        <v>3332</v>
      </c>
      <c r="E2129" s="841">
        <v>0</v>
      </c>
      <c r="F2129" s="841">
        <v>2000</v>
      </c>
      <c r="G2129" s="841"/>
      <c r="H2129" s="841"/>
    </row>
    <row r="2130" spans="2:8">
      <c r="B2130" s="840" t="s">
        <v>2848</v>
      </c>
      <c r="C2130" s="841">
        <v>7732005004</v>
      </c>
      <c r="D2130" s="841" t="s">
        <v>3332</v>
      </c>
      <c r="E2130" s="841">
        <v>7000</v>
      </c>
      <c r="F2130" s="841">
        <v>20000</v>
      </c>
      <c r="G2130" s="841"/>
      <c r="H2130" s="841"/>
    </row>
    <row r="2131" spans="2:8">
      <c r="B2131" s="840" t="s">
        <v>2848</v>
      </c>
      <c r="C2131" s="841">
        <v>7732005004</v>
      </c>
      <c r="D2131" s="841" t="s">
        <v>3332</v>
      </c>
      <c r="E2131" s="841">
        <v>2000</v>
      </c>
      <c r="F2131" s="841">
        <v>0</v>
      </c>
      <c r="G2131" s="841"/>
    </row>
    <row r="2132" spans="2:8">
      <c r="B2132" s="840" t="s">
        <v>2848</v>
      </c>
      <c r="C2132" s="841">
        <v>7732005004</v>
      </c>
      <c r="D2132" s="841" t="s">
        <v>3332</v>
      </c>
      <c r="E2132" s="841">
        <v>0</v>
      </c>
      <c r="F2132" s="841">
        <v>12000</v>
      </c>
      <c r="G2132" s="841"/>
      <c r="H2132" s="841"/>
    </row>
    <row r="2133" spans="2:8">
      <c r="B2133" s="840" t="s">
        <v>2848</v>
      </c>
      <c r="C2133" s="841">
        <v>7732005004</v>
      </c>
      <c r="D2133" s="841" t="s">
        <v>3332</v>
      </c>
      <c r="E2133" s="841">
        <v>0</v>
      </c>
      <c r="F2133" s="841">
        <v>6000</v>
      </c>
      <c r="G2133" s="841"/>
    </row>
    <row r="2134" spans="2:8">
      <c r="B2134" s="840" t="s">
        <v>2848</v>
      </c>
      <c r="C2134" s="841">
        <v>7732005004</v>
      </c>
      <c r="D2134" s="841" t="s">
        <v>3332</v>
      </c>
      <c r="E2134" s="841">
        <v>5000</v>
      </c>
      <c r="F2134" s="841">
        <v>4500</v>
      </c>
      <c r="G2134" s="841"/>
      <c r="H2134" s="841"/>
    </row>
    <row r="2135" spans="2:8">
      <c r="B2135" s="840" t="s">
        <v>2848</v>
      </c>
      <c r="C2135" s="841">
        <v>7732005004</v>
      </c>
      <c r="D2135" s="841" t="s">
        <v>3332</v>
      </c>
      <c r="E2135" s="841">
        <v>9000</v>
      </c>
      <c r="F2135" s="841">
        <v>17000</v>
      </c>
      <c r="G2135" s="841"/>
      <c r="H2135" s="841"/>
    </row>
    <row r="2136" spans="2:8">
      <c r="B2136" s="840" t="s">
        <v>2848</v>
      </c>
      <c r="C2136" s="841">
        <v>7732005004</v>
      </c>
      <c r="D2136" s="841" t="s">
        <v>3332</v>
      </c>
      <c r="E2136" s="841">
        <v>0</v>
      </c>
      <c r="F2136" s="841">
        <v>27500</v>
      </c>
      <c r="G2136" s="841"/>
      <c r="H2136" s="841"/>
    </row>
    <row r="2137" spans="2:8">
      <c r="B2137" s="840" t="s">
        <v>2848</v>
      </c>
      <c r="C2137" s="841">
        <v>7732005006</v>
      </c>
      <c r="D2137" s="841" t="s">
        <v>3333</v>
      </c>
      <c r="E2137" s="841">
        <v>0</v>
      </c>
      <c r="F2137" s="841">
        <v>52445</v>
      </c>
      <c r="G2137" s="841"/>
      <c r="H2137" s="841"/>
    </row>
    <row r="2138" spans="2:8">
      <c r="B2138" s="840" t="s">
        <v>2848</v>
      </c>
      <c r="C2138" s="841">
        <v>7732005010</v>
      </c>
      <c r="D2138" s="841" t="s">
        <v>3334</v>
      </c>
      <c r="E2138" s="841">
        <v>2230565</v>
      </c>
      <c r="F2138" s="841">
        <v>25179174</v>
      </c>
      <c r="G2138" s="841"/>
      <c r="H2138" s="841"/>
    </row>
    <row r="2139" spans="2:8">
      <c r="B2139" s="840" t="s">
        <v>2848</v>
      </c>
      <c r="C2139" s="841">
        <v>7732005011</v>
      </c>
      <c r="D2139" s="841" t="s">
        <v>3335</v>
      </c>
      <c r="E2139" s="841">
        <v>3209803</v>
      </c>
      <c r="F2139" s="841">
        <v>1455160</v>
      </c>
      <c r="G2139" s="841"/>
      <c r="H2139" s="841"/>
    </row>
    <row r="2140" spans="2:8">
      <c r="B2140" s="840" t="s">
        <v>2848</v>
      </c>
      <c r="C2140" s="841">
        <v>7732005011</v>
      </c>
      <c r="D2140" s="841" t="s">
        <v>3335</v>
      </c>
      <c r="E2140" s="841">
        <v>0</v>
      </c>
      <c r="F2140" s="841">
        <v>3000</v>
      </c>
      <c r="G2140" s="841"/>
      <c r="H2140" s="841"/>
    </row>
    <row r="2141" spans="2:8">
      <c r="B2141" s="840" t="s">
        <v>2848</v>
      </c>
      <c r="C2141" s="841">
        <v>7732005011</v>
      </c>
      <c r="D2141" s="841" t="s">
        <v>3335</v>
      </c>
      <c r="E2141" s="841">
        <v>0</v>
      </c>
      <c r="F2141" s="841">
        <v>18000</v>
      </c>
      <c r="G2141" s="841"/>
      <c r="H2141" s="841"/>
    </row>
    <row r="2142" spans="2:8">
      <c r="B2142" s="840" t="s">
        <v>2848</v>
      </c>
      <c r="C2142" s="841">
        <v>7732005011</v>
      </c>
      <c r="D2142" s="841" t="s">
        <v>3335</v>
      </c>
      <c r="E2142" s="841">
        <v>0</v>
      </c>
      <c r="F2142" s="841">
        <v>8600</v>
      </c>
      <c r="G2142" s="841"/>
      <c r="H2142" s="841"/>
    </row>
    <row r="2143" spans="2:8">
      <c r="B2143" s="840" t="s">
        <v>2848</v>
      </c>
      <c r="C2143" s="841">
        <v>7732005011</v>
      </c>
      <c r="D2143" s="841" t="s">
        <v>3335</v>
      </c>
      <c r="E2143" s="841">
        <v>0</v>
      </c>
      <c r="F2143" s="841">
        <v>87000</v>
      </c>
      <c r="G2143" s="841"/>
      <c r="H2143" s="841"/>
    </row>
    <row r="2144" spans="2:8">
      <c r="B2144" s="840" t="s">
        <v>2848</v>
      </c>
      <c r="C2144" s="841">
        <v>7732005011</v>
      </c>
      <c r="D2144" s="841" t="s">
        <v>3335</v>
      </c>
      <c r="E2144" s="841">
        <v>0</v>
      </c>
      <c r="F2144" s="841">
        <v>24000</v>
      </c>
      <c r="G2144" s="841"/>
      <c r="H2144" s="841"/>
    </row>
    <row r="2145" spans="2:8">
      <c r="B2145" s="840" t="s">
        <v>2848</v>
      </c>
      <c r="C2145" s="841">
        <v>7732005011</v>
      </c>
      <c r="D2145" s="841" t="s">
        <v>3335</v>
      </c>
      <c r="E2145" s="841">
        <v>0</v>
      </c>
      <c r="F2145" s="841">
        <v>10500</v>
      </c>
    </row>
    <row r="2146" spans="2:8">
      <c r="B2146" s="840" t="s">
        <v>2848</v>
      </c>
      <c r="C2146" s="841">
        <v>7732005011</v>
      </c>
      <c r="D2146" s="841" t="s">
        <v>3335</v>
      </c>
      <c r="E2146" s="841">
        <v>0</v>
      </c>
      <c r="F2146" s="841">
        <v>22000</v>
      </c>
    </row>
    <row r="2147" spans="2:8">
      <c r="B2147" s="840" t="s">
        <v>2848</v>
      </c>
      <c r="C2147" s="841">
        <v>7732005011</v>
      </c>
      <c r="D2147" s="841" t="s">
        <v>3335</v>
      </c>
      <c r="E2147" s="841">
        <v>0</v>
      </c>
      <c r="F2147" s="841">
        <v>4000</v>
      </c>
    </row>
    <row r="2148" spans="2:8">
      <c r="B2148" s="840" t="s">
        <v>2848</v>
      </c>
      <c r="C2148" s="841">
        <v>7732005016</v>
      </c>
      <c r="D2148" s="841" t="s">
        <v>3336</v>
      </c>
      <c r="E2148" s="841">
        <v>19058102</v>
      </c>
      <c r="F2148" s="841">
        <v>13833344</v>
      </c>
    </row>
    <row r="2149" spans="2:8">
      <c r="B2149" s="840" t="s">
        <v>2848</v>
      </c>
      <c r="C2149" s="841">
        <v>7732005016</v>
      </c>
      <c r="D2149" s="841" t="s">
        <v>3336</v>
      </c>
      <c r="E2149" s="841">
        <v>0</v>
      </c>
      <c r="F2149" s="841">
        <v>3449194</v>
      </c>
    </row>
    <row r="2150" spans="2:8">
      <c r="B2150" s="840" t="s">
        <v>2848</v>
      </c>
      <c r="C2150" s="841">
        <v>7732005016</v>
      </c>
      <c r="D2150" s="841" t="s">
        <v>3336</v>
      </c>
      <c r="E2150" s="841">
        <v>1398593</v>
      </c>
      <c r="F2150" s="841">
        <v>14605862</v>
      </c>
    </row>
    <row r="2151" spans="2:8">
      <c r="B2151" s="840" t="s">
        <v>2848</v>
      </c>
      <c r="C2151" s="841">
        <v>7732005016</v>
      </c>
      <c r="D2151" s="841" t="s">
        <v>3336</v>
      </c>
      <c r="E2151" s="841">
        <v>5782729</v>
      </c>
      <c r="F2151" s="841">
        <v>8120118</v>
      </c>
      <c r="G2151" s="841"/>
    </row>
    <row r="2152" spans="2:8">
      <c r="B2152" s="840" t="s">
        <v>2848</v>
      </c>
      <c r="C2152" s="805">
        <v>7732005016</v>
      </c>
      <c r="D2152" s="805" t="s">
        <v>3336</v>
      </c>
      <c r="E2152" s="841">
        <v>0</v>
      </c>
      <c r="F2152" s="841">
        <v>1856574</v>
      </c>
      <c r="G2152" s="841"/>
      <c r="H2152" s="841"/>
    </row>
    <row r="2153" spans="2:8">
      <c r="B2153" s="840" t="s">
        <v>2848</v>
      </c>
      <c r="C2153" s="841">
        <v>7732005016</v>
      </c>
      <c r="D2153" s="841" t="s">
        <v>3336</v>
      </c>
      <c r="E2153" s="841">
        <v>11500</v>
      </c>
      <c r="F2153" s="841">
        <v>0</v>
      </c>
      <c r="H2153" s="841"/>
    </row>
    <row r="2154" spans="2:8">
      <c r="B2154" s="840" t="s">
        <v>2848</v>
      </c>
      <c r="C2154" s="841">
        <v>7732005016</v>
      </c>
      <c r="D2154" s="841" t="s">
        <v>3336</v>
      </c>
      <c r="E2154" s="841">
        <v>2000</v>
      </c>
      <c r="F2154" s="841">
        <v>0</v>
      </c>
    </row>
    <row r="2155" spans="2:8">
      <c r="B2155" s="840" t="s">
        <v>2848</v>
      </c>
      <c r="C2155" s="841">
        <v>7732005016</v>
      </c>
      <c r="D2155" s="841" t="s">
        <v>3336</v>
      </c>
      <c r="E2155" s="841">
        <v>2500</v>
      </c>
      <c r="F2155" s="841">
        <v>7000</v>
      </c>
      <c r="G2155" s="841"/>
    </row>
    <row r="2156" spans="2:8">
      <c r="B2156" s="840" t="s">
        <v>2848</v>
      </c>
      <c r="C2156" s="841">
        <v>7732005016</v>
      </c>
      <c r="D2156" s="841" t="s">
        <v>3336</v>
      </c>
      <c r="E2156" s="841">
        <v>2000</v>
      </c>
      <c r="F2156" s="805">
        <v>0</v>
      </c>
      <c r="G2156" s="841"/>
      <c r="H2156" s="841"/>
    </row>
    <row r="2157" spans="2:8">
      <c r="B2157" s="840" t="s">
        <v>2848</v>
      </c>
      <c r="C2157" s="841">
        <v>7732005016</v>
      </c>
      <c r="D2157" s="841" t="s">
        <v>3336</v>
      </c>
      <c r="E2157" s="841">
        <v>4000</v>
      </c>
      <c r="F2157" s="841">
        <v>6000</v>
      </c>
      <c r="G2157" s="841"/>
      <c r="H2157" s="841"/>
    </row>
    <row r="2158" spans="2:8">
      <c r="B2158" s="840" t="s">
        <v>2848</v>
      </c>
      <c r="C2158" s="841">
        <v>7732005016</v>
      </c>
      <c r="D2158" s="841" t="s">
        <v>3336</v>
      </c>
      <c r="E2158" s="841">
        <v>0</v>
      </c>
      <c r="F2158" s="841">
        <v>2000</v>
      </c>
    </row>
    <row r="2159" spans="2:8">
      <c r="B2159" s="840" t="s">
        <v>2848</v>
      </c>
      <c r="C2159" s="841">
        <v>7732005016</v>
      </c>
      <c r="D2159" s="841" t="s">
        <v>3336</v>
      </c>
      <c r="E2159" s="841">
        <v>0</v>
      </c>
      <c r="F2159" s="841">
        <v>2500</v>
      </c>
      <c r="G2159" s="841"/>
    </row>
    <row r="2160" spans="2:8">
      <c r="B2160" s="840" t="s">
        <v>2848</v>
      </c>
      <c r="C2160" s="841">
        <v>7732005028</v>
      </c>
      <c r="D2160" s="841" t="s">
        <v>3337</v>
      </c>
      <c r="E2160" s="841">
        <v>0</v>
      </c>
      <c r="F2160" s="841">
        <v>707572</v>
      </c>
      <c r="G2160" s="841"/>
      <c r="H2160" s="841"/>
    </row>
    <row r="2161" spans="2:8">
      <c r="B2161" s="840" t="s">
        <v>2848</v>
      </c>
      <c r="C2161" s="841">
        <v>7732100000</v>
      </c>
      <c r="D2161" s="841" t="s">
        <v>3338</v>
      </c>
      <c r="E2161" s="841">
        <v>0</v>
      </c>
      <c r="F2161" s="841">
        <v>1526134</v>
      </c>
      <c r="H2161" s="841"/>
    </row>
    <row r="2162" spans="2:8">
      <c r="B2162" s="840" t="s">
        <v>2848</v>
      </c>
      <c r="C2162" s="841">
        <v>7732100000</v>
      </c>
      <c r="D2162" s="841" t="s">
        <v>3338</v>
      </c>
      <c r="E2162" s="841">
        <v>0</v>
      </c>
      <c r="F2162" s="841">
        <v>780000</v>
      </c>
    </row>
    <row r="2163" spans="2:8">
      <c r="B2163" s="840" t="s">
        <v>2848</v>
      </c>
      <c r="C2163" s="841">
        <v>7732100000</v>
      </c>
      <c r="D2163" s="841" t="s">
        <v>3338</v>
      </c>
      <c r="E2163" s="841">
        <v>0</v>
      </c>
      <c r="F2163" s="841">
        <v>27000</v>
      </c>
    </row>
    <row r="2164" spans="2:8">
      <c r="B2164" s="840" t="s">
        <v>2848</v>
      </c>
      <c r="C2164" s="841">
        <v>7735000000</v>
      </c>
      <c r="D2164" s="841" t="s">
        <v>3339</v>
      </c>
      <c r="E2164" s="841">
        <v>436362783</v>
      </c>
      <c r="F2164" s="841">
        <v>1519005483</v>
      </c>
      <c r="G2164" s="841"/>
    </row>
    <row r="2165" spans="2:8">
      <c r="B2165" s="840" t="s">
        <v>2848</v>
      </c>
      <c r="C2165" s="805">
        <v>7735000000</v>
      </c>
      <c r="D2165" s="805" t="s">
        <v>3339</v>
      </c>
      <c r="E2165" s="841">
        <v>0</v>
      </c>
      <c r="F2165" s="841">
        <v>-66155</v>
      </c>
      <c r="G2165" s="841"/>
      <c r="H2165" s="841"/>
    </row>
    <row r="2166" spans="2:8">
      <c r="B2166" s="840" t="s">
        <v>2848</v>
      </c>
      <c r="C2166" s="841">
        <v>7735000000</v>
      </c>
      <c r="D2166" s="841" t="s">
        <v>3339</v>
      </c>
      <c r="E2166" s="841">
        <v>-670927</v>
      </c>
      <c r="F2166" s="841">
        <v>0</v>
      </c>
      <c r="H2166" s="841"/>
    </row>
    <row r="2167" spans="2:8">
      <c r="B2167" s="840" t="s">
        <v>2848</v>
      </c>
      <c r="C2167" s="841">
        <v>7735000000</v>
      </c>
      <c r="D2167" s="841" t="s">
        <v>3339</v>
      </c>
      <c r="E2167" s="841">
        <v>0</v>
      </c>
      <c r="F2167" s="841">
        <v>-1584234</v>
      </c>
    </row>
    <row r="2168" spans="2:8">
      <c r="B2168" s="840" t="s">
        <v>2848</v>
      </c>
      <c r="C2168" s="841">
        <v>7735000000</v>
      </c>
      <c r="D2168" s="841" t="s">
        <v>3339</v>
      </c>
      <c r="E2168" s="841">
        <v>-284409</v>
      </c>
      <c r="F2168" s="841">
        <v>0</v>
      </c>
      <c r="G2168" s="841"/>
    </row>
    <row r="2169" spans="2:8">
      <c r="B2169" s="840" t="s">
        <v>2848</v>
      </c>
      <c r="C2169" s="841">
        <v>7735000000</v>
      </c>
      <c r="D2169" s="841" t="s">
        <v>3339</v>
      </c>
      <c r="E2169" s="841">
        <v>-229872</v>
      </c>
      <c r="F2169" s="841">
        <v>0</v>
      </c>
      <c r="G2169" s="841"/>
      <c r="H2169" s="841"/>
    </row>
    <row r="2170" spans="2:8">
      <c r="B2170" s="840" t="s">
        <v>2848</v>
      </c>
      <c r="C2170" s="841">
        <v>7735000000</v>
      </c>
      <c r="D2170" s="841" t="s">
        <v>3339</v>
      </c>
      <c r="E2170" s="841">
        <v>0</v>
      </c>
      <c r="F2170" s="841">
        <v>1356778</v>
      </c>
      <c r="G2170" s="841"/>
      <c r="H2170" s="841"/>
    </row>
    <row r="2171" spans="2:8">
      <c r="B2171" s="840" t="s">
        <v>2848</v>
      </c>
      <c r="C2171" s="841">
        <v>7737005000</v>
      </c>
      <c r="D2171" s="841" t="s">
        <v>3340</v>
      </c>
      <c r="E2171" s="841">
        <v>0</v>
      </c>
      <c r="F2171" s="841">
        <v>8300747</v>
      </c>
      <c r="G2171" s="841"/>
      <c r="H2171" s="841"/>
    </row>
    <row r="2172" spans="2:8">
      <c r="B2172" s="840" t="s">
        <v>2848</v>
      </c>
      <c r="C2172" s="841">
        <v>7737005000</v>
      </c>
      <c r="D2172" s="841" t="s">
        <v>3340</v>
      </c>
      <c r="E2172" s="841">
        <v>0</v>
      </c>
      <c r="F2172" s="841">
        <v>162165619</v>
      </c>
      <c r="G2172" s="841"/>
      <c r="H2172" s="841"/>
    </row>
    <row r="2173" spans="2:8">
      <c r="B2173" s="840" t="s">
        <v>2848</v>
      </c>
      <c r="C2173" s="841">
        <v>7737005000</v>
      </c>
      <c r="D2173" s="841" t="s">
        <v>3340</v>
      </c>
      <c r="E2173" s="841">
        <v>0</v>
      </c>
      <c r="F2173" s="841">
        <v>268377643</v>
      </c>
      <c r="G2173" s="841"/>
      <c r="H2173" s="841"/>
    </row>
    <row r="2174" spans="2:8">
      <c r="B2174" s="840" t="s">
        <v>2848</v>
      </c>
      <c r="C2174" s="841">
        <v>7737005000</v>
      </c>
      <c r="D2174" s="841" t="s">
        <v>3340</v>
      </c>
      <c r="E2174" s="841">
        <v>0</v>
      </c>
      <c r="F2174" s="841">
        <v>520293257</v>
      </c>
      <c r="G2174" s="841"/>
      <c r="H2174" s="841"/>
    </row>
    <row r="2175" spans="2:8">
      <c r="B2175" s="840" t="s">
        <v>2848</v>
      </c>
      <c r="C2175" s="841">
        <v>7737005000</v>
      </c>
      <c r="D2175" s="841" t="s">
        <v>3340</v>
      </c>
      <c r="E2175" s="841">
        <v>0</v>
      </c>
      <c r="F2175" s="841">
        <v>53077925</v>
      </c>
      <c r="G2175" s="841"/>
      <c r="H2175" s="841"/>
    </row>
    <row r="2176" spans="2:8">
      <c r="B2176" s="840" t="s">
        <v>2848</v>
      </c>
      <c r="C2176" s="841">
        <v>7737005000</v>
      </c>
      <c r="D2176" s="841" t="s">
        <v>3340</v>
      </c>
      <c r="E2176" s="841">
        <v>0</v>
      </c>
      <c r="F2176" s="841">
        <v>42186996</v>
      </c>
      <c r="G2176" s="841"/>
      <c r="H2176" s="841"/>
    </row>
    <row r="2177" spans="2:8">
      <c r="B2177" s="840" t="s">
        <v>2848</v>
      </c>
      <c r="C2177" s="841">
        <v>7800000003</v>
      </c>
      <c r="D2177" s="841" t="s">
        <v>3341</v>
      </c>
      <c r="E2177" s="841">
        <v>0</v>
      </c>
      <c r="F2177" s="841">
        <v>295457978</v>
      </c>
      <c r="G2177" s="841"/>
    </row>
    <row r="2178" spans="2:8">
      <c r="B2178" s="840" t="s">
        <v>2848</v>
      </c>
      <c r="C2178" s="841">
        <v>7801000000</v>
      </c>
      <c r="D2178" s="841" t="s">
        <v>3342</v>
      </c>
      <c r="E2178" s="841">
        <v>1740586</v>
      </c>
      <c r="F2178" s="841">
        <v>272561543</v>
      </c>
      <c r="G2178" s="841"/>
      <c r="H2178" s="841"/>
    </row>
    <row r="2179" spans="2:8">
      <c r="B2179" s="840" t="s">
        <v>2848</v>
      </c>
      <c r="C2179" s="841">
        <v>7801100001</v>
      </c>
      <c r="D2179" s="841" t="s">
        <v>3343</v>
      </c>
      <c r="E2179" s="841">
        <v>1816669</v>
      </c>
      <c r="F2179" s="841">
        <v>2256633</v>
      </c>
      <c r="G2179" s="841"/>
      <c r="H2179" s="841"/>
    </row>
    <row r="2180" spans="2:8">
      <c r="B2180" s="840" t="s">
        <v>2848</v>
      </c>
      <c r="C2180" s="841">
        <v>7801200004</v>
      </c>
      <c r="D2180" s="841" t="s">
        <v>3344</v>
      </c>
      <c r="E2180" s="841">
        <v>83287997</v>
      </c>
      <c r="F2180" s="841">
        <v>299397702</v>
      </c>
      <c r="G2180" s="841"/>
    </row>
    <row r="2181" spans="2:8">
      <c r="B2181" s="840" t="s">
        <v>2848</v>
      </c>
      <c r="C2181" s="841">
        <v>7801200047</v>
      </c>
      <c r="D2181" s="841" t="s">
        <v>3345</v>
      </c>
      <c r="E2181" s="841">
        <v>40968373</v>
      </c>
      <c r="F2181" s="841">
        <v>5716119</v>
      </c>
      <c r="G2181" s="841"/>
      <c r="H2181" s="841"/>
    </row>
    <row r="2182" spans="2:8">
      <c r="B2182" s="840" t="s">
        <v>2848</v>
      </c>
      <c r="C2182" s="841">
        <v>7801300002</v>
      </c>
      <c r="D2182" s="841" t="s">
        <v>3346</v>
      </c>
      <c r="E2182" s="841">
        <v>28431631</v>
      </c>
      <c r="F2182" s="841">
        <v>153183739</v>
      </c>
      <c r="G2182" s="841"/>
      <c r="H2182" s="841"/>
    </row>
    <row r="2183" spans="2:8">
      <c r="B2183" s="840" t="s">
        <v>2848</v>
      </c>
      <c r="C2183" s="841">
        <v>7804000005</v>
      </c>
      <c r="D2183" s="841" t="s">
        <v>3347</v>
      </c>
      <c r="E2183" s="841">
        <v>17014254</v>
      </c>
      <c r="F2183" s="841">
        <v>2425505562</v>
      </c>
      <c r="G2183" s="841"/>
      <c r="H2183" s="841"/>
    </row>
    <row r="2184" spans="2:8">
      <c r="B2184" s="840" t="s">
        <v>2848</v>
      </c>
      <c r="C2184" s="841">
        <v>7804000006</v>
      </c>
      <c r="D2184" s="841" t="s">
        <v>3348</v>
      </c>
      <c r="E2184" s="841">
        <v>218764818</v>
      </c>
      <c r="F2184" s="841">
        <v>-94888568</v>
      </c>
      <c r="G2184" s="841"/>
      <c r="H2184" s="841"/>
    </row>
    <row r="2185" spans="2:8">
      <c r="B2185" s="840" t="s">
        <v>2848</v>
      </c>
      <c r="C2185" s="841">
        <v>7804000008</v>
      </c>
      <c r="D2185" s="841" t="s">
        <v>3349</v>
      </c>
      <c r="E2185" s="841">
        <v>66957745</v>
      </c>
      <c r="F2185" s="841">
        <v>732171666</v>
      </c>
      <c r="G2185" s="841"/>
      <c r="H2185" s="841"/>
    </row>
    <row r="2186" spans="2:8">
      <c r="B2186" s="840" t="s">
        <v>2848</v>
      </c>
      <c r="C2186" s="841">
        <v>7804000019</v>
      </c>
      <c r="D2186" s="841" t="s">
        <v>3350</v>
      </c>
      <c r="E2186" s="841">
        <v>16241190</v>
      </c>
      <c r="F2186" s="841">
        <v>64310651</v>
      </c>
      <c r="G2186" s="841"/>
      <c r="H2186" s="841"/>
    </row>
    <row r="2187" spans="2:8">
      <c r="B2187" s="840" t="s">
        <v>2848</v>
      </c>
      <c r="C2187" s="841">
        <v>7804000025</v>
      </c>
      <c r="D2187" s="841" t="s">
        <v>3754</v>
      </c>
      <c r="E2187" s="841">
        <v>242944709</v>
      </c>
      <c r="F2187" s="841">
        <v>0</v>
      </c>
      <c r="G2187" s="841"/>
      <c r="H2187" s="841"/>
    </row>
    <row r="2188" spans="2:8">
      <c r="B2188" s="840" t="s">
        <v>2848</v>
      </c>
      <c r="C2188" s="841">
        <v>7834000000</v>
      </c>
      <c r="D2188" s="841" t="s">
        <v>3351</v>
      </c>
      <c r="E2188" s="841">
        <v>105786846</v>
      </c>
      <c r="F2188" s="841">
        <v>11740619</v>
      </c>
      <c r="G2188" s="841"/>
      <c r="H2188" s="841"/>
    </row>
    <row r="2189" spans="2:8">
      <c r="B2189" s="840" t="s">
        <v>2848</v>
      </c>
      <c r="C2189" s="841">
        <v>7861020000</v>
      </c>
      <c r="D2189" s="841" t="s">
        <v>3352</v>
      </c>
      <c r="E2189" s="841">
        <v>0</v>
      </c>
      <c r="F2189" s="841">
        <v>39647585</v>
      </c>
      <c r="G2189" s="841"/>
      <c r="H2189" s="841"/>
    </row>
    <row r="2190" spans="2:8">
      <c r="B2190" s="840" t="s">
        <v>2848</v>
      </c>
      <c r="C2190" s="841">
        <v>7861080000</v>
      </c>
      <c r="D2190" s="841" t="s">
        <v>3353</v>
      </c>
      <c r="E2190" s="841">
        <v>6403106</v>
      </c>
      <c r="F2190" s="841">
        <v>118435</v>
      </c>
      <c r="G2190" s="841"/>
      <c r="H2190" s="841"/>
    </row>
    <row r="2191" spans="2:8">
      <c r="B2191" s="840" t="s">
        <v>2848</v>
      </c>
      <c r="C2191" s="841">
        <v>7861091000</v>
      </c>
      <c r="D2191" s="841" t="s">
        <v>3354</v>
      </c>
      <c r="E2191" s="841">
        <v>145799539</v>
      </c>
      <c r="F2191" s="841">
        <v>615192978</v>
      </c>
      <c r="G2191" s="841"/>
      <c r="H2191" s="841"/>
    </row>
    <row r="2192" spans="2:8">
      <c r="B2192" s="840" t="s">
        <v>2848</v>
      </c>
      <c r="C2192" s="841">
        <v>7861091000</v>
      </c>
      <c r="D2192" s="841" t="s">
        <v>3354</v>
      </c>
      <c r="E2192" s="841">
        <v>6011760</v>
      </c>
      <c r="F2192" s="841">
        <v>5421225</v>
      </c>
      <c r="G2192" s="841"/>
      <c r="H2192" s="841"/>
    </row>
    <row r="2193" spans="2:8">
      <c r="B2193" s="840" t="s">
        <v>2848</v>
      </c>
      <c r="C2193" s="841">
        <v>7861092000</v>
      </c>
      <c r="D2193" s="841" t="s">
        <v>3355</v>
      </c>
      <c r="E2193" s="841">
        <v>-47318241</v>
      </c>
      <c r="F2193" s="841">
        <v>164265740</v>
      </c>
      <c r="G2193" s="841"/>
      <c r="H2193" s="841"/>
    </row>
    <row r="2194" spans="2:8">
      <c r="B2194" s="840" t="s">
        <v>2848</v>
      </c>
      <c r="C2194" s="841">
        <v>7861092000</v>
      </c>
      <c r="D2194" s="841" t="s">
        <v>3355</v>
      </c>
      <c r="E2194" s="841">
        <v>44105</v>
      </c>
      <c r="F2194" s="841">
        <v>0</v>
      </c>
      <c r="G2194" s="841"/>
      <c r="H2194" s="841"/>
    </row>
    <row r="2195" spans="2:8">
      <c r="B2195" s="840" t="s">
        <v>2848</v>
      </c>
      <c r="C2195" s="841">
        <v>7861092000</v>
      </c>
      <c r="D2195" s="841" t="s">
        <v>3355</v>
      </c>
      <c r="E2195" s="841">
        <v>-1299392</v>
      </c>
      <c r="F2195" s="841">
        <v>1721912</v>
      </c>
      <c r="G2195" s="841"/>
      <c r="H2195" s="841"/>
    </row>
    <row r="2196" spans="2:8">
      <c r="B2196" s="840" t="s">
        <v>2848</v>
      </c>
      <c r="C2196" s="841">
        <v>7861100000</v>
      </c>
      <c r="D2196" s="841" t="s">
        <v>3356</v>
      </c>
      <c r="E2196" s="841">
        <v>30229349</v>
      </c>
      <c r="F2196" s="841">
        <v>87042997</v>
      </c>
      <c r="H2196" s="841"/>
    </row>
    <row r="2197" spans="2:8">
      <c r="B2197" s="840" t="s">
        <v>2848</v>
      </c>
      <c r="C2197" s="841">
        <v>7861110000</v>
      </c>
      <c r="D2197" s="841" t="s">
        <v>3357</v>
      </c>
      <c r="E2197" s="841">
        <v>675000</v>
      </c>
      <c r="F2197" s="841">
        <v>-10239070</v>
      </c>
    </row>
    <row r="2198" spans="2:8">
      <c r="B2198" s="840" t="s">
        <v>2848</v>
      </c>
      <c r="C2198" s="841">
        <v>7861140001</v>
      </c>
      <c r="D2198" s="841" t="s">
        <v>3358</v>
      </c>
      <c r="E2198" s="841">
        <v>0</v>
      </c>
      <c r="F2198" s="841">
        <v>32546824</v>
      </c>
    </row>
    <row r="2199" spans="2:8">
      <c r="B2199" s="840" t="s">
        <v>2848</v>
      </c>
      <c r="C2199" s="841">
        <v>7861150110</v>
      </c>
      <c r="D2199" s="841" t="s">
        <v>3359</v>
      </c>
      <c r="E2199" s="841">
        <v>103147913</v>
      </c>
      <c r="F2199" s="841">
        <v>408187257</v>
      </c>
    </row>
    <row r="2200" spans="2:8">
      <c r="B2200" s="840" t="s">
        <v>2848</v>
      </c>
      <c r="C2200" s="841">
        <v>7861150410</v>
      </c>
      <c r="D2200" s="841" t="s">
        <v>3360</v>
      </c>
      <c r="E2200" s="841">
        <v>437234861</v>
      </c>
      <c r="F2200" s="841">
        <v>1550904697</v>
      </c>
    </row>
    <row r="2201" spans="2:8">
      <c r="B2201" s="840" t="s">
        <v>2848</v>
      </c>
      <c r="C2201" s="841">
        <v>7861151110</v>
      </c>
      <c r="D2201" s="841" t="s">
        <v>3361</v>
      </c>
      <c r="E2201" s="841">
        <v>55950884</v>
      </c>
      <c r="F2201" s="841">
        <v>224365630</v>
      </c>
    </row>
    <row r="2202" spans="2:8">
      <c r="B2202" s="840" t="s">
        <v>2848</v>
      </c>
      <c r="C2202" s="841">
        <v>7861151110</v>
      </c>
      <c r="D2202" s="841" t="s">
        <v>3361</v>
      </c>
      <c r="E2202" s="841">
        <v>4628928</v>
      </c>
      <c r="F2202" s="841">
        <v>20232750</v>
      </c>
    </row>
    <row r="2203" spans="2:8">
      <c r="B2203" s="840" t="s">
        <v>2848</v>
      </c>
      <c r="C2203" s="841">
        <v>7861151110</v>
      </c>
      <c r="D2203" s="841" t="s">
        <v>3361</v>
      </c>
      <c r="E2203" s="841">
        <v>329218</v>
      </c>
      <c r="F2203" s="841">
        <v>1308156</v>
      </c>
    </row>
    <row r="2204" spans="2:8">
      <c r="B2204" s="840" t="s">
        <v>2848</v>
      </c>
      <c r="C2204" s="841">
        <v>7861151110</v>
      </c>
      <c r="D2204" s="841" t="s">
        <v>3361</v>
      </c>
      <c r="E2204" s="841">
        <v>411529</v>
      </c>
      <c r="F2204" s="841">
        <v>1646329</v>
      </c>
    </row>
    <row r="2205" spans="2:8">
      <c r="B2205" s="840" t="s">
        <v>2848</v>
      </c>
      <c r="C2205" s="841">
        <v>7861151110</v>
      </c>
      <c r="D2205" s="841" t="s">
        <v>3361</v>
      </c>
      <c r="E2205" s="841">
        <v>301184</v>
      </c>
      <c r="F2205" s="841">
        <v>1204738</v>
      </c>
    </row>
    <row r="2206" spans="2:8">
      <c r="B2206" s="840" t="s">
        <v>2848</v>
      </c>
      <c r="C2206" s="841">
        <v>7861151110</v>
      </c>
      <c r="D2206" s="841" t="s">
        <v>3361</v>
      </c>
      <c r="E2206" s="841">
        <v>288035</v>
      </c>
      <c r="F2206" s="841">
        <v>534686</v>
      </c>
    </row>
    <row r="2207" spans="2:8">
      <c r="B2207" s="840" t="s">
        <v>2848</v>
      </c>
      <c r="C2207" s="841">
        <v>7861151110</v>
      </c>
      <c r="D2207" s="841" t="s">
        <v>3361</v>
      </c>
      <c r="E2207" s="841">
        <v>308468</v>
      </c>
      <c r="F2207" s="841">
        <v>1233958</v>
      </c>
    </row>
    <row r="2208" spans="2:8">
      <c r="B2208" s="840" t="s">
        <v>2848</v>
      </c>
      <c r="C2208" s="805">
        <v>7861151110</v>
      </c>
      <c r="D2208" s="805" t="s">
        <v>3361</v>
      </c>
      <c r="E2208" s="841">
        <v>1892256</v>
      </c>
      <c r="F2208" s="841">
        <v>7569024</v>
      </c>
    </row>
    <row r="2209" spans="2:6">
      <c r="B2209" s="840" t="s">
        <v>2848</v>
      </c>
      <c r="C2209" s="841">
        <v>7861151110</v>
      </c>
      <c r="D2209" s="841" t="s">
        <v>3361</v>
      </c>
      <c r="E2209" s="841">
        <v>0</v>
      </c>
      <c r="F2209" s="805">
        <v>3</v>
      </c>
    </row>
    <row r="2210" spans="2:6">
      <c r="B2210" s="840" t="s">
        <v>2848</v>
      </c>
      <c r="C2210" s="841">
        <v>7861151110</v>
      </c>
      <c r="D2210" s="841" t="s">
        <v>3361</v>
      </c>
      <c r="E2210" s="841">
        <v>158797</v>
      </c>
      <c r="F2210" s="841">
        <v>1205269</v>
      </c>
    </row>
    <row r="2211" spans="2:6">
      <c r="B2211" s="840" t="s">
        <v>2848</v>
      </c>
      <c r="C2211" s="841">
        <v>7861151110</v>
      </c>
      <c r="D2211" s="841" t="s">
        <v>3361</v>
      </c>
      <c r="E2211" s="841">
        <v>258217</v>
      </c>
      <c r="F2211" s="841">
        <v>886792</v>
      </c>
    </row>
    <row r="2212" spans="2:6">
      <c r="B2212" s="840" t="s">
        <v>2848</v>
      </c>
      <c r="C2212" s="841">
        <v>7861151110</v>
      </c>
      <c r="D2212" s="841" t="s">
        <v>3361</v>
      </c>
      <c r="E2212" s="841">
        <v>8043394</v>
      </c>
      <c r="F2212" s="841">
        <v>32173770</v>
      </c>
    </row>
    <row r="2213" spans="2:6">
      <c r="B2213" s="840" t="s">
        <v>2848</v>
      </c>
      <c r="C2213" s="841">
        <v>7861151110</v>
      </c>
      <c r="D2213" s="841" t="s">
        <v>3361</v>
      </c>
      <c r="E2213" s="841">
        <v>2773357</v>
      </c>
      <c r="F2213" s="841">
        <v>11093411</v>
      </c>
    </row>
    <row r="2214" spans="2:6">
      <c r="B2214" s="840" t="s">
        <v>2848</v>
      </c>
      <c r="C2214" s="841">
        <v>7861151110</v>
      </c>
      <c r="D2214" s="841" t="s">
        <v>3361</v>
      </c>
      <c r="E2214" s="841">
        <v>1333159</v>
      </c>
      <c r="F2214" s="841">
        <v>5332626</v>
      </c>
    </row>
    <row r="2215" spans="2:6">
      <c r="B2215" s="840" t="s">
        <v>2848</v>
      </c>
      <c r="C2215" s="841">
        <v>7861151110</v>
      </c>
      <c r="D2215" s="841" t="s">
        <v>3361</v>
      </c>
      <c r="E2215" s="841">
        <v>278233</v>
      </c>
      <c r="F2215" s="841">
        <v>1112925</v>
      </c>
    </row>
    <row r="2216" spans="2:6">
      <c r="B2216" s="840" t="s">
        <v>2848</v>
      </c>
      <c r="C2216" s="841">
        <v>7861151110</v>
      </c>
      <c r="D2216" s="841" t="s">
        <v>3361</v>
      </c>
      <c r="E2216" s="841">
        <v>3892981</v>
      </c>
      <c r="F2216" s="841">
        <v>15571919</v>
      </c>
    </row>
    <row r="2217" spans="2:6">
      <c r="B2217" s="840" t="s">
        <v>2848</v>
      </c>
      <c r="C2217" s="841">
        <v>7861151110</v>
      </c>
      <c r="D2217" s="841" t="s">
        <v>3361</v>
      </c>
      <c r="E2217" s="841">
        <v>2676863</v>
      </c>
      <c r="F2217" s="841">
        <v>10707471</v>
      </c>
    </row>
    <row r="2218" spans="2:6">
      <c r="B2218" s="840" t="s">
        <v>2848</v>
      </c>
      <c r="C2218" s="841">
        <v>7861151110</v>
      </c>
      <c r="D2218" s="841" t="s">
        <v>3361</v>
      </c>
      <c r="E2218" s="841">
        <v>3244319</v>
      </c>
      <c r="F2218" s="841">
        <v>12977259</v>
      </c>
    </row>
    <row r="2219" spans="2:6">
      <c r="B2219" s="840" t="s">
        <v>2848</v>
      </c>
      <c r="C2219" s="841">
        <v>7861151110</v>
      </c>
      <c r="D2219" s="841" t="s">
        <v>3361</v>
      </c>
      <c r="E2219" s="841">
        <v>4152621</v>
      </c>
      <c r="F2219" s="841">
        <v>16610506</v>
      </c>
    </row>
    <row r="2220" spans="2:6">
      <c r="B2220" s="840" t="s">
        <v>2848</v>
      </c>
      <c r="C2220" s="841">
        <v>7861151110</v>
      </c>
      <c r="D2220" s="841" t="s">
        <v>3361</v>
      </c>
      <c r="E2220" s="841">
        <v>532717</v>
      </c>
      <c r="F2220" s="841">
        <v>2130865</v>
      </c>
    </row>
    <row r="2221" spans="2:6">
      <c r="B2221" s="840" t="s">
        <v>2848</v>
      </c>
      <c r="C2221" s="805">
        <v>7861151110</v>
      </c>
      <c r="D2221" s="805" t="s">
        <v>3361</v>
      </c>
      <c r="E2221" s="841">
        <v>3720570</v>
      </c>
      <c r="F2221" s="841">
        <v>14882269</v>
      </c>
    </row>
    <row r="2222" spans="2:6">
      <c r="B2222" s="840" t="s">
        <v>2848</v>
      </c>
      <c r="C2222" s="841">
        <v>7861151110</v>
      </c>
      <c r="D2222" s="841" t="s">
        <v>3361</v>
      </c>
      <c r="E2222" s="841">
        <v>0</v>
      </c>
      <c r="F2222" s="805">
        <v>6</v>
      </c>
    </row>
    <row r="2223" spans="2:6">
      <c r="B2223" s="840" t="s">
        <v>2848</v>
      </c>
      <c r="C2223" s="805">
        <v>7861151110</v>
      </c>
      <c r="D2223" s="805" t="s">
        <v>3361</v>
      </c>
      <c r="E2223" s="841">
        <v>6906083</v>
      </c>
      <c r="F2223" s="841">
        <v>27624319</v>
      </c>
    </row>
    <row r="2224" spans="2:6">
      <c r="B2224" s="840" t="s">
        <v>2848</v>
      </c>
      <c r="C2224" s="841">
        <v>7861151110</v>
      </c>
      <c r="D2224" s="841" t="s">
        <v>3361</v>
      </c>
      <c r="E2224" s="841">
        <v>0</v>
      </c>
      <c r="F2224" s="805">
        <v>1</v>
      </c>
    </row>
    <row r="2225" spans="2:6">
      <c r="B2225" s="840" t="s">
        <v>2848</v>
      </c>
      <c r="C2225" s="805">
        <v>7861151210</v>
      </c>
      <c r="D2225" s="805" t="s">
        <v>3362</v>
      </c>
      <c r="E2225" s="841">
        <v>540162</v>
      </c>
      <c r="F2225" s="841">
        <v>1815057</v>
      </c>
    </row>
    <row r="2226" spans="2:6">
      <c r="B2226" s="840" t="s">
        <v>2848</v>
      </c>
      <c r="C2226" s="805">
        <v>7861151210</v>
      </c>
      <c r="D2226" s="805" t="s">
        <v>3362</v>
      </c>
      <c r="E2226" s="805">
        <v>0</v>
      </c>
      <c r="F2226" s="805">
        <v>37</v>
      </c>
    </row>
    <row r="2227" spans="2:6">
      <c r="B2227" s="840" t="s">
        <v>2848</v>
      </c>
      <c r="C2227" s="841">
        <v>7861151210</v>
      </c>
      <c r="D2227" s="841" t="s">
        <v>3362</v>
      </c>
      <c r="E2227" s="841">
        <v>0</v>
      </c>
      <c r="F2227" s="805">
        <v>1</v>
      </c>
    </row>
    <row r="2228" spans="2:6">
      <c r="B2228" s="840" t="s">
        <v>2848</v>
      </c>
      <c r="C2228" s="841">
        <v>7861151350</v>
      </c>
      <c r="D2228" s="841" t="s">
        <v>3363</v>
      </c>
      <c r="E2228" s="841">
        <v>15839819</v>
      </c>
      <c r="F2228" s="841">
        <v>73570147</v>
      </c>
    </row>
    <row r="2229" spans="2:6">
      <c r="B2229" s="840" t="s">
        <v>2848</v>
      </c>
      <c r="C2229" s="841">
        <v>7861151350</v>
      </c>
      <c r="D2229" s="841" t="s">
        <v>3363</v>
      </c>
      <c r="E2229" s="841">
        <v>374417</v>
      </c>
      <c r="F2229" s="841">
        <v>1588242</v>
      </c>
    </row>
    <row r="2230" spans="2:6">
      <c r="B2230" s="840" t="s">
        <v>2848</v>
      </c>
      <c r="C2230" s="841">
        <v>7861151350</v>
      </c>
      <c r="D2230" s="841" t="s">
        <v>3363</v>
      </c>
      <c r="E2230" s="841">
        <v>0</v>
      </c>
      <c r="F2230" s="841">
        <v>59186</v>
      </c>
    </row>
    <row r="2231" spans="2:6">
      <c r="B2231" s="840" t="s">
        <v>2848</v>
      </c>
      <c r="C2231" s="841">
        <v>7861151350</v>
      </c>
      <c r="D2231" s="841" t="s">
        <v>3363</v>
      </c>
      <c r="E2231" s="841">
        <v>20724</v>
      </c>
      <c r="F2231" s="841">
        <v>82897</v>
      </c>
    </row>
    <row r="2232" spans="2:6">
      <c r="B2232" s="840" t="s">
        <v>2848</v>
      </c>
      <c r="C2232" s="805">
        <v>7861151350</v>
      </c>
      <c r="D2232" s="805" t="s">
        <v>3363</v>
      </c>
      <c r="E2232" s="841">
        <v>344969</v>
      </c>
      <c r="F2232" s="841">
        <v>1379885</v>
      </c>
    </row>
    <row r="2233" spans="2:6">
      <c r="B2233" s="840" t="s">
        <v>2848</v>
      </c>
      <c r="C2233" s="805">
        <v>7861151350</v>
      </c>
      <c r="D2233" s="805" t="s">
        <v>3363</v>
      </c>
      <c r="E2233" s="805">
        <v>0</v>
      </c>
      <c r="F2233" s="805">
        <v>4</v>
      </c>
    </row>
    <row r="2234" spans="2:6">
      <c r="B2234" s="840" t="s">
        <v>2848</v>
      </c>
      <c r="C2234" s="841">
        <v>7861151350</v>
      </c>
      <c r="D2234" s="841" t="s">
        <v>3363</v>
      </c>
      <c r="E2234" s="841">
        <v>0</v>
      </c>
      <c r="F2234" s="805">
        <v>4</v>
      </c>
    </row>
    <row r="2235" spans="2:6">
      <c r="B2235" s="840" t="s">
        <v>2848</v>
      </c>
      <c r="C2235" s="841">
        <v>7861151350</v>
      </c>
      <c r="D2235" s="841" t="s">
        <v>3363</v>
      </c>
      <c r="E2235" s="841">
        <v>210534</v>
      </c>
      <c r="F2235" s="841">
        <v>842137</v>
      </c>
    </row>
    <row r="2236" spans="2:6">
      <c r="B2236" s="840" t="s">
        <v>2848</v>
      </c>
      <c r="C2236" s="841">
        <v>7861151350</v>
      </c>
      <c r="D2236" s="841" t="s">
        <v>3363</v>
      </c>
      <c r="E2236" s="841">
        <v>246400</v>
      </c>
      <c r="F2236" s="841">
        <v>985599</v>
      </c>
    </row>
    <row r="2237" spans="2:6">
      <c r="B2237" s="840" t="s">
        <v>2848</v>
      </c>
      <c r="C2237" s="805">
        <v>7861151350</v>
      </c>
      <c r="D2237" s="805" t="s">
        <v>3363</v>
      </c>
      <c r="E2237" s="841">
        <v>240734</v>
      </c>
      <c r="F2237" s="841">
        <v>962938</v>
      </c>
    </row>
    <row r="2238" spans="2:6">
      <c r="B2238" s="840" t="s">
        <v>2848</v>
      </c>
      <c r="C2238" s="841">
        <v>7861151350</v>
      </c>
      <c r="D2238" s="841" t="s">
        <v>3363</v>
      </c>
      <c r="E2238" s="841">
        <v>0</v>
      </c>
      <c r="F2238" s="805">
        <v>4</v>
      </c>
    </row>
    <row r="2239" spans="2:6">
      <c r="B2239" s="840" t="s">
        <v>2848</v>
      </c>
      <c r="C2239" s="805">
        <v>7861151350</v>
      </c>
      <c r="D2239" s="805" t="s">
        <v>3363</v>
      </c>
      <c r="E2239" s="841">
        <v>244101</v>
      </c>
      <c r="F2239" s="841">
        <v>976402</v>
      </c>
    </row>
    <row r="2240" spans="2:6">
      <c r="B2240" s="840" t="s">
        <v>2848</v>
      </c>
      <c r="C2240" s="841">
        <v>7861151350</v>
      </c>
      <c r="D2240" s="841" t="s">
        <v>3363</v>
      </c>
      <c r="E2240" s="841">
        <v>0</v>
      </c>
      <c r="F2240" s="805">
        <v>2</v>
      </c>
    </row>
    <row r="2241" spans="2:6">
      <c r="B2241" s="840" t="s">
        <v>2848</v>
      </c>
      <c r="C2241" s="805">
        <v>7861151350</v>
      </c>
      <c r="D2241" s="805" t="s">
        <v>3363</v>
      </c>
      <c r="E2241" s="841">
        <v>301163</v>
      </c>
      <c r="F2241" s="841">
        <v>1204654</v>
      </c>
    </row>
    <row r="2242" spans="2:6">
      <c r="B2242" s="840" t="s">
        <v>2848</v>
      </c>
      <c r="C2242" s="805">
        <v>7861151350</v>
      </c>
      <c r="D2242" s="805" t="s">
        <v>3363</v>
      </c>
      <c r="E2242" s="805">
        <v>0</v>
      </c>
      <c r="F2242" s="805">
        <v>2</v>
      </c>
    </row>
    <row r="2243" spans="2:6">
      <c r="B2243" s="840" t="s">
        <v>2848</v>
      </c>
      <c r="C2243" s="805">
        <v>7861151350</v>
      </c>
      <c r="D2243" s="805" t="s">
        <v>3363</v>
      </c>
      <c r="E2243" s="805">
        <v>0</v>
      </c>
      <c r="F2243" s="805">
        <v>1</v>
      </c>
    </row>
    <row r="2244" spans="2:6">
      <c r="B2244" s="840" t="s">
        <v>2848</v>
      </c>
      <c r="C2244" s="805">
        <v>7861151350</v>
      </c>
      <c r="D2244" s="805" t="s">
        <v>3363</v>
      </c>
      <c r="E2244" s="805">
        <v>0</v>
      </c>
      <c r="F2244" s="805">
        <v>3</v>
      </c>
    </row>
    <row r="2245" spans="2:6">
      <c r="B2245" s="840" t="s">
        <v>2848</v>
      </c>
      <c r="C2245" s="841">
        <v>7861151350</v>
      </c>
      <c r="D2245" s="841" t="s">
        <v>3363</v>
      </c>
      <c r="E2245" s="841">
        <v>0</v>
      </c>
      <c r="F2245" s="805">
        <v>4</v>
      </c>
    </row>
    <row r="2246" spans="2:6">
      <c r="B2246" s="840" t="s">
        <v>2848</v>
      </c>
      <c r="C2246" s="841">
        <v>7861151350</v>
      </c>
      <c r="D2246" s="841" t="s">
        <v>3363</v>
      </c>
      <c r="E2246" s="841">
        <v>287737</v>
      </c>
      <c r="F2246" s="841">
        <v>1210124</v>
      </c>
    </row>
    <row r="2247" spans="2:6">
      <c r="B2247" s="840" t="s">
        <v>2848</v>
      </c>
      <c r="C2247" s="841">
        <v>7861151350</v>
      </c>
      <c r="D2247" s="841" t="s">
        <v>3363</v>
      </c>
      <c r="E2247" s="841">
        <v>350701</v>
      </c>
      <c r="F2247" s="841">
        <v>1402804</v>
      </c>
    </row>
    <row r="2248" spans="2:6">
      <c r="B2248" s="840" t="s">
        <v>2848</v>
      </c>
      <c r="C2248" s="841">
        <v>7861151350</v>
      </c>
      <c r="D2248" s="841" t="s">
        <v>3363</v>
      </c>
      <c r="E2248" s="841">
        <v>213891</v>
      </c>
      <c r="F2248" s="841">
        <v>855565</v>
      </c>
    </row>
    <row r="2249" spans="2:6">
      <c r="B2249" s="840" t="s">
        <v>2848</v>
      </c>
      <c r="C2249" s="841">
        <v>7861151350</v>
      </c>
      <c r="D2249" s="841" t="s">
        <v>3363</v>
      </c>
      <c r="E2249" s="841">
        <v>520390</v>
      </c>
      <c r="F2249" s="841">
        <v>2187093</v>
      </c>
    </row>
    <row r="2250" spans="2:6">
      <c r="B2250" s="840" t="s">
        <v>2848</v>
      </c>
      <c r="C2250" s="841">
        <v>7861151350</v>
      </c>
      <c r="D2250" s="841" t="s">
        <v>3363</v>
      </c>
      <c r="E2250" s="841">
        <v>324475</v>
      </c>
      <c r="F2250" s="841">
        <v>1297903</v>
      </c>
    </row>
    <row r="2251" spans="2:6">
      <c r="B2251" s="840" t="s">
        <v>2848</v>
      </c>
      <c r="C2251" s="805">
        <v>7861151360</v>
      </c>
      <c r="D2251" s="805" t="s">
        <v>3364</v>
      </c>
      <c r="E2251" s="841">
        <v>7475901</v>
      </c>
      <c r="F2251" s="841">
        <v>53929182</v>
      </c>
    </row>
    <row r="2252" spans="2:6">
      <c r="B2252" s="840" t="s">
        <v>2848</v>
      </c>
      <c r="C2252" s="805">
        <v>7861151360</v>
      </c>
      <c r="D2252" s="805" t="s">
        <v>3364</v>
      </c>
      <c r="E2252" s="805">
        <v>0</v>
      </c>
      <c r="F2252" s="805">
        <v>13</v>
      </c>
    </row>
    <row r="2253" spans="2:6">
      <c r="B2253" s="840" t="s">
        <v>2848</v>
      </c>
      <c r="C2253" s="805">
        <v>7861151360</v>
      </c>
      <c r="D2253" s="805" t="s">
        <v>3364</v>
      </c>
      <c r="E2253" s="805">
        <v>0</v>
      </c>
      <c r="F2253" s="805">
        <v>1</v>
      </c>
    </row>
    <row r="2254" spans="2:6">
      <c r="B2254" s="840" t="s">
        <v>2848</v>
      </c>
      <c r="C2254" s="805">
        <v>7861151360</v>
      </c>
      <c r="D2254" s="805" t="s">
        <v>3364</v>
      </c>
      <c r="E2254" s="805">
        <v>0</v>
      </c>
      <c r="F2254" s="805">
        <v>2</v>
      </c>
    </row>
    <row r="2255" spans="2:6">
      <c r="B2255" s="840" t="s">
        <v>2848</v>
      </c>
      <c r="C2255" s="805">
        <v>7861151360</v>
      </c>
      <c r="D2255" s="805" t="s">
        <v>3364</v>
      </c>
      <c r="E2255" s="805">
        <v>0</v>
      </c>
      <c r="F2255" s="805">
        <v>2</v>
      </c>
    </row>
    <row r="2256" spans="2:6">
      <c r="B2256" s="840" t="s">
        <v>2848</v>
      </c>
      <c r="C2256" s="805">
        <v>7861151360</v>
      </c>
      <c r="D2256" s="805" t="s">
        <v>3364</v>
      </c>
      <c r="E2256" s="805">
        <v>0</v>
      </c>
      <c r="F2256" s="805">
        <v>1</v>
      </c>
    </row>
    <row r="2257" spans="2:6">
      <c r="B2257" s="840" t="s">
        <v>2848</v>
      </c>
      <c r="C2257" s="805">
        <v>7861151360</v>
      </c>
      <c r="D2257" s="805" t="s">
        <v>3364</v>
      </c>
      <c r="E2257" s="805">
        <v>0</v>
      </c>
      <c r="F2257" s="805">
        <v>11</v>
      </c>
    </row>
    <row r="2258" spans="2:6">
      <c r="B2258" s="840" t="s">
        <v>2848</v>
      </c>
      <c r="C2258" s="805">
        <v>7861151360</v>
      </c>
      <c r="D2258" s="805" t="s">
        <v>3364</v>
      </c>
      <c r="E2258" s="805">
        <v>0</v>
      </c>
      <c r="F2258" s="805">
        <v>1</v>
      </c>
    </row>
    <row r="2259" spans="2:6">
      <c r="B2259" s="840" t="s">
        <v>2848</v>
      </c>
      <c r="C2259" s="805">
        <v>7861151360</v>
      </c>
      <c r="D2259" s="805" t="s">
        <v>3364</v>
      </c>
      <c r="E2259" s="805">
        <v>0</v>
      </c>
      <c r="F2259" s="805">
        <v>2</v>
      </c>
    </row>
    <row r="2260" spans="2:6">
      <c r="B2260" s="840" t="s">
        <v>2848</v>
      </c>
      <c r="C2260" s="805">
        <v>7861151360</v>
      </c>
      <c r="D2260" s="805" t="s">
        <v>3364</v>
      </c>
      <c r="E2260" s="805">
        <v>0</v>
      </c>
      <c r="F2260" s="805">
        <v>2</v>
      </c>
    </row>
    <row r="2261" spans="2:6">
      <c r="B2261" s="840" t="s">
        <v>2848</v>
      </c>
      <c r="C2261" s="805">
        <v>7861151360</v>
      </c>
      <c r="D2261" s="805" t="s">
        <v>3364</v>
      </c>
      <c r="E2261" s="805">
        <v>0</v>
      </c>
      <c r="F2261" s="805">
        <v>3</v>
      </c>
    </row>
    <row r="2262" spans="2:6">
      <c r="B2262" s="840" t="s">
        <v>2848</v>
      </c>
      <c r="C2262" s="841">
        <v>7861151360</v>
      </c>
      <c r="D2262" s="841" t="s">
        <v>3364</v>
      </c>
      <c r="E2262" s="841">
        <v>0</v>
      </c>
      <c r="F2262" s="805">
        <v>1</v>
      </c>
    </row>
    <row r="2263" spans="2:6">
      <c r="B2263" s="840" t="s">
        <v>2848</v>
      </c>
      <c r="C2263" s="841">
        <v>7861151360</v>
      </c>
      <c r="D2263" s="841" t="s">
        <v>3364</v>
      </c>
      <c r="E2263" s="841">
        <v>149984</v>
      </c>
      <c r="F2263" s="841">
        <v>599959</v>
      </c>
    </row>
    <row r="2264" spans="2:6">
      <c r="B2264" s="840" t="s">
        <v>2848</v>
      </c>
      <c r="C2264" s="805">
        <v>7861151370</v>
      </c>
      <c r="D2264" s="805" t="s">
        <v>3365</v>
      </c>
      <c r="E2264" s="841">
        <v>21063926</v>
      </c>
      <c r="F2264" s="841">
        <v>120509690</v>
      </c>
    </row>
    <row r="2265" spans="2:6">
      <c r="B2265" s="840" t="s">
        <v>2848</v>
      </c>
      <c r="C2265" s="805">
        <v>7861151370</v>
      </c>
      <c r="D2265" s="805" t="s">
        <v>3365</v>
      </c>
      <c r="E2265" s="841">
        <v>0</v>
      </c>
      <c r="F2265" s="805">
        <v>20</v>
      </c>
    </row>
    <row r="2266" spans="2:6">
      <c r="B2266" s="840" t="s">
        <v>2848</v>
      </c>
      <c r="C2266" s="805">
        <v>7861151370</v>
      </c>
      <c r="D2266" s="805" t="s">
        <v>3365</v>
      </c>
      <c r="E2266" s="841">
        <v>86015</v>
      </c>
      <c r="F2266" s="805">
        <v>0</v>
      </c>
    </row>
    <row r="2267" spans="2:6">
      <c r="B2267" s="840" t="s">
        <v>2848</v>
      </c>
      <c r="C2267" s="805">
        <v>7861151370</v>
      </c>
      <c r="D2267" s="805" t="s">
        <v>3365</v>
      </c>
      <c r="E2267" s="805">
        <v>0</v>
      </c>
      <c r="F2267" s="805">
        <v>2</v>
      </c>
    </row>
    <row r="2268" spans="2:6">
      <c r="B2268" s="840" t="s">
        <v>2848</v>
      </c>
      <c r="C2268" s="805">
        <v>7861151370</v>
      </c>
      <c r="D2268" s="805" t="s">
        <v>3365</v>
      </c>
      <c r="E2268" s="805">
        <v>0</v>
      </c>
      <c r="F2268" s="805">
        <v>1</v>
      </c>
    </row>
    <row r="2269" spans="2:6">
      <c r="B2269" s="840" t="s">
        <v>2848</v>
      </c>
      <c r="C2269" s="805">
        <v>7861151370</v>
      </c>
      <c r="D2269" s="805" t="s">
        <v>3365</v>
      </c>
      <c r="E2269" s="805">
        <v>0</v>
      </c>
      <c r="F2269" s="805">
        <v>1</v>
      </c>
    </row>
    <row r="2270" spans="2:6">
      <c r="B2270" s="840" t="s">
        <v>2848</v>
      </c>
      <c r="C2270" s="805">
        <v>7861151370</v>
      </c>
      <c r="D2270" s="805" t="s">
        <v>3365</v>
      </c>
      <c r="E2270" s="805">
        <v>0</v>
      </c>
      <c r="F2270" s="805">
        <v>1</v>
      </c>
    </row>
    <row r="2271" spans="2:6">
      <c r="B2271" s="840" t="s">
        <v>2848</v>
      </c>
      <c r="C2271" s="841">
        <v>7861151370</v>
      </c>
      <c r="D2271" s="841" t="s">
        <v>3365</v>
      </c>
      <c r="E2271" s="841">
        <v>0</v>
      </c>
      <c r="F2271" s="805">
        <v>1</v>
      </c>
    </row>
    <row r="2272" spans="2:6">
      <c r="B2272" s="840" t="s">
        <v>2848</v>
      </c>
      <c r="C2272" s="841">
        <v>7861151370</v>
      </c>
      <c r="D2272" s="841" t="s">
        <v>3365</v>
      </c>
      <c r="E2272" s="841">
        <v>82160</v>
      </c>
      <c r="F2272" s="841">
        <v>23250</v>
      </c>
    </row>
    <row r="2273" spans="2:6">
      <c r="B2273" s="840" t="s">
        <v>2848</v>
      </c>
      <c r="C2273" s="805">
        <v>7861151370</v>
      </c>
      <c r="D2273" s="805" t="s">
        <v>3365</v>
      </c>
      <c r="E2273" s="841">
        <v>66405</v>
      </c>
      <c r="F2273" s="841">
        <v>18792</v>
      </c>
    </row>
    <row r="2274" spans="2:6">
      <c r="B2274" s="840" t="s">
        <v>2848</v>
      </c>
      <c r="C2274" s="805">
        <v>7861151370</v>
      </c>
      <c r="D2274" s="805" t="s">
        <v>3365</v>
      </c>
      <c r="E2274" s="805">
        <v>0</v>
      </c>
      <c r="F2274" s="805">
        <v>2</v>
      </c>
    </row>
    <row r="2275" spans="2:6">
      <c r="B2275" s="840" t="s">
        <v>2848</v>
      </c>
      <c r="C2275" s="805">
        <v>7861151370</v>
      </c>
      <c r="D2275" s="805" t="s">
        <v>3365</v>
      </c>
      <c r="E2275" s="805">
        <v>0</v>
      </c>
      <c r="F2275" s="805">
        <v>2</v>
      </c>
    </row>
    <row r="2276" spans="2:6">
      <c r="B2276" s="840" t="s">
        <v>2848</v>
      </c>
      <c r="C2276" s="841">
        <v>7861151370</v>
      </c>
      <c r="D2276" s="841" t="s">
        <v>3365</v>
      </c>
      <c r="E2276" s="841">
        <v>0</v>
      </c>
      <c r="F2276" s="805">
        <v>1</v>
      </c>
    </row>
    <row r="2277" spans="2:6">
      <c r="B2277" s="840" t="s">
        <v>2848</v>
      </c>
      <c r="C2277" s="805">
        <v>7861151520</v>
      </c>
      <c r="D2277" s="805" t="s">
        <v>3366</v>
      </c>
      <c r="E2277" s="841">
        <v>17231</v>
      </c>
      <c r="F2277" s="841">
        <v>21531</v>
      </c>
    </row>
    <row r="2278" spans="2:6">
      <c r="B2278" s="840" t="s">
        <v>2848</v>
      </c>
      <c r="C2278" s="805">
        <v>7861151520</v>
      </c>
      <c r="D2278" s="805" t="s">
        <v>3366</v>
      </c>
      <c r="E2278" s="805">
        <v>115</v>
      </c>
      <c r="F2278" s="805">
        <v>0</v>
      </c>
    </row>
    <row r="2279" spans="2:6">
      <c r="B2279" s="840" t="s">
        <v>2848</v>
      </c>
      <c r="C2279" s="805">
        <v>7861151520</v>
      </c>
      <c r="D2279" s="805" t="s">
        <v>3366</v>
      </c>
      <c r="E2279" s="805">
        <v>133</v>
      </c>
      <c r="F2279" s="805">
        <v>0</v>
      </c>
    </row>
    <row r="2280" spans="2:6">
      <c r="B2280" s="840" t="s">
        <v>2848</v>
      </c>
      <c r="C2280" s="841">
        <v>7861151520</v>
      </c>
      <c r="D2280" s="841" t="s">
        <v>3366</v>
      </c>
      <c r="E2280" s="841">
        <v>959</v>
      </c>
      <c r="F2280" s="805">
        <v>0</v>
      </c>
    </row>
    <row r="2281" spans="2:6">
      <c r="B2281" s="840" t="s">
        <v>2848</v>
      </c>
      <c r="C2281" s="805">
        <v>7861161100</v>
      </c>
      <c r="D2281" s="805" t="s">
        <v>3367</v>
      </c>
      <c r="E2281" s="841">
        <v>26697153</v>
      </c>
      <c r="F2281" s="841">
        <v>82422020</v>
      </c>
    </row>
    <row r="2282" spans="2:6">
      <c r="B2282" s="840" t="s">
        <v>2848</v>
      </c>
      <c r="C2282" s="841">
        <v>7861161100</v>
      </c>
      <c r="D2282" s="841" t="s">
        <v>3367</v>
      </c>
      <c r="E2282" s="805">
        <v>0</v>
      </c>
      <c r="F2282" s="805">
        <v>1</v>
      </c>
    </row>
    <row r="2283" spans="2:6">
      <c r="B2283" s="840" t="s">
        <v>2848</v>
      </c>
      <c r="C2283" s="841">
        <v>9200100004</v>
      </c>
      <c r="D2283" s="841" t="s">
        <v>3368</v>
      </c>
      <c r="E2283" s="841">
        <v>-1787966</v>
      </c>
      <c r="F2283" s="841">
        <v>-1787966</v>
      </c>
    </row>
    <row r="2284" spans="2:6">
      <c r="B2284" s="840" t="s">
        <v>2848</v>
      </c>
      <c r="C2284" s="841">
        <v>9200100004</v>
      </c>
      <c r="D2284" s="841" t="s">
        <v>3368</v>
      </c>
      <c r="E2284" s="841">
        <v>890866</v>
      </c>
      <c r="F2284" s="841">
        <v>890866</v>
      </c>
    </row>
    <row r="2285" spans="2:6">
      <c r="B2285" s="840" t="s">
        <v>2848</v>
      </c>
      <c r="C2285" s="841">
        <v>9200100004</v>
      </c>
      <c r="D2285" s="841" t="s">
        <v>3368</v>
      </c>
      <c r="E2285" s="841">
        <v>897100</v>
      </c>
      <c r="F2285" s="841">
        <v>897100</v>
      </c>
    </row>
    <row r="2286" spans="2:6">
      <c r="B2286" s="840" t="s">
        <v>2848</v>
      </c>
      <c r="C2286" s="841">
        <v>9200100011</v>
      </c>
      <c r="D2286" s="841" t="s">
        <v>3369</v>
      </c>
      <c r="E2286" s="841">
        <v>-30011066</v>
      </c>
      <c r="F2286" s="841">
        <v>-23463066</v>
      </c>
    </row>
    <row r="2287" spans="2:6">
      <c r="B2287" s="840" t="s">
        <v>2848</v>
      </c>
      <c r="C2287" s="841">
        <v>9200100011</v>
      </c>
      <c r="D2287" s="841" t="s">
        <v>3369</v>
      </c>
      <c r="E2287" s="841">
        <v>15023040</v>
      </c>
      <c r="F2287" s="841">
        <v>15023040</v>
      </c>
    </row>
    <row r="2288" spans="2:6">
      <c r="B2288" s="840" t="s">
        <v>2848</v>
      </c>
      <c r="C2288" s="841">
        <v>9200100011</v>
      </c>
      <c r="D2288" s="841" t="s">
        <v>3369</v>
      </c>
      <c r="E2288" s="841">
        <v>4786026</v>
      </c>
      <c r="F2288" s="841">
        <v>4786026</v>
      </c>
    </row>
    <row r="2289" spans="2:6">
      <c r="B2289" s="840" t="s">
        <v>2848</v>
      </c>
      <c r="C2289" s="841">
        <v>9200100011</v>
      </c>
      <c r="D2289" s="841" t="s">
        <v>3369</v>
      </c>
      <c r="E2289" s="841">
        <v>1330000</v>
      </c>
      <c r="F2289" s="841">
        <v>532000</v>
      </c>
    </row>
    <row r="2290" spans="2:6">
      <c r="B2290" s="840" t="s">
        <v>2848</v>
      </c>
      <c r="C2290" s="841">
        <v>9200100011</v>
      </c>
      <c r="D2290" s="841" t="s">
        <v>3369</v>
      </c>
      <c r="E2290" s="841">
        <v>1674000</v>
      </c>
      <c r="F2290" s="841">
        <v>1674000</v>
      </c>
    </row>
    <row r="2291" spans="2:6">
      <c r="B2291" s="840" t="s">
        <v>2848</v>
      </c>
      <c r="C2291" s="841">
        <v>9200100011</v>
      </c>
      <c r="D2291" s="841" t="s">
        <v>3369</v>
      </c>
      <c r="E2291" s="841">
        <v>1353000</v>
      </c>
      <c r="F2291" s="841">
        <v>1353000</v>
      </c>
    </row>
    <row r="2292" spans="2:6">
      <c r="B2292" s="840" t="s">
        <v>2848</v>
      </c>
      <c r="C2292" s="841">
        <v>9200100011</v>
      </c>
      <c r="D2292" s="841" t="s">
        <v>3369</v>
      </c>
      <c r="E2292" s="841">
        <v>5845000</v>
      </c>
      <c r="F2292" s="841">
        <v>95000</v>
      </c>
    </row>
    <row r="2293" spans="2:6">
      <c r="B2293" s="840" t="s">
        <v>2848</v>
      </c>
      <c r="C2293" s="841">
        <v>9200100012</v>
      </c>
      <c r="D2293" s="841" t="s">
        <v>3370</v>
      </c>
      <c r="E2293" s="841">
        <v>-240756570</v>
      </c>
      <c r="F2293" s="841">
        <v>-103811962</v>
      </c>
    </row>
    <row r="2294" spans="2:6">
      <c r="B2294" s="840" t="s">
        <v>2848</v>
      </c>
      <c r="C2294" s="841">
        <v>9200100012</v>
      </c>
      <c r="D2294" s="841" t="s">
        <v>3370</v>
      </c>
      <c r="E2294" s="841">
        <v>238317457</v>
      </c>
      <c r="F2294" s="841">
        <v>103103119</v>
      </c>
    </row>
    <row r="2295" spans="2:6">
      <c r="B2295" s="840" t="s">
        <v>2848</v>
      </c>
      <c r="C2295" s="805">
        <v>9200100012</v>
      </c>
      <c r="D2295" s="805" t="s">
        <v>3370</v>
      </c>
      <c r="E2295" s="841">
        <v>138000</v>
      </c>
      <c r="F2295" s="841">
        <v>138000</v>
      </c>
    </row>
    <row r="2296" spans="2:6">
      <c r="B2296" s="840" t="s">
        <v>2848</v>
      </c>
      <c r="C2296" s="841">
        <v>9200100012</v>
      </c>
      <c r="D2296" s="841" t="s">
        <v>3370</v>
      </c>
      <c r="E2296" s="841">
        <v>688280</v>
      </c>
      <c r="F2296" s="805">
        <v>0</v>
      </c>
    </row>
    <row r="2297" spans="2:6">
      <c r="B2297" s="840" t="s">
        <v>2848</v>
      </c>
      <c r="C2297" s="841">
        <v>9200100012</v>
      </c>
      <c r="D2297" s="841" t="s">
        <v>3370</v>
      </c>
      <c r="E2297" s="841">
        <v>1612833</v>
      </c>
      <c r="F2297" s="841">
        <v>570843</v>
      </c>
    </row>
    <row r="2298" spans="2:6">
      <c r="B2298" s="840" t="s">
        <v>2848</v>
      </c>
      <c r="C2298" s="841">
        <v>9200100019</v>
      </c>
      <c r="D2298" s="841" t="s">
        <v>3371</v>
      </c>
      <c r="E2298" s="841">
        <v>-1492197</v>
      </c>
      <c r="F2298" s="841">
        <v>-1492197</v>
      </c>
    </row>
    <row r="2299" spans="2:6">
      <c r="B2299" s="840" t="s">
        <v>2848</v>
      </c>
      <c r="C2299" s="841">
        <v>9200100019</v>
      </c>
      <c r="D2299" s="841" t="s">
        <v>3371</v>
      </c>
      <c r="E2299" s="841">
        <v>1492197</v>
      </c>
      <c r="F2299" s="841">
        <v>1492197</v>
      </c>
    </row>
    <row r="2300" spans="2:6">
      <c r="B2300" s="840" t="s">
        <v>2848</v>
      </c>
      <c r="C2300" s="841">
        <v>9200100025</v>
      </c>
      <c r="D2300" s="841" t="s">
        <v>3372</v>
      </c>
      <c r="E2300" s="841">
        <v>-2070000</v>
      </c>
      <c r="F2300" s="841">
        <v>-2070000</v>
      </c>
    </row>
    <row r="2301" spans="2:6">
      <c r="B2301" s="840" t="s">
        <v>2848</v>
      </c>
      <c r="C2301" s="841">
        <v>9200100025</v>
      </c>
      <c r="D2301" s="841" t="s">
        <v>3372</v>
      </c>
      <c r="E2301" s="841">
        <v>2070000</v>
      </c>
      <c r="F2301" s="841">
        <v>2070000</v>
      </c>
    </row>
    <row r="2302" spans="2:6">
      <c r="B2302" s="840" t="s">
        <v>2848</v>
      </c>
      <c r="C2302" s="841">
        <v>9200100039</v>
      </c>
      <c r="D2302" s="841" t="s">
        <v>3373</v>
      </c>
      <c r="E2302" s="841">
        <v>-4000015212</v>
      </c>
      <c r="F2302" s="841">
        <v>-3016224638</v>
      </c>
    </row>
    <row r="2303" spans="2:6">
      <c r="B2303" s="840" t="s">
        <v>2848</v>
      </c>
      <c r="C2303" s="841">
        <v>9200100039</v>
      </c>
      <c r="D2303" s="841" t="s">
        <v>3373</v>
      </c>
      <c r="E2303" s="841">
        <v>892510152</v>
      </c>
      <c r="F2303" s="841">
        <v>733888638</v>
      </c>
    </row>
    <row r="2304" spans="2:6">
      <c r="B2304" s="840" t="s">
        <v>2848</v>
      </c>
      <c r="C2304" s="841">
        <v>9200100039</v>
      </c>
      <c r="D2304" s="841" t="s">
        <v>3373</v>
      </c>
      <c r="E2304" s="841">
        <v>1872144070</v>
      </c>
      <c r="F2304" s="841">
        <v>1323334865</v>
      </c>
    </row>
    <row r="2305" spans="2:6">
      <c r="B2305" s="840" t="s">
        <v>2848</v>
      </c>
      <c r="C2305" s="841">
        <v>9200100039</v>
      </c>
      <c r="D2305" s="841" t="s">
        <v>3373</v>
      </c>
      <c r="E2305" s="841">
        <v>869380445</v>
      </c>
      <c r="F2305" s="841">
        <v>634068178</v>
      </c>
    </row>
    <row r="2306" spans="2:6">
      <c r="B2306" s="840" t="s">
        <v>2848</v>
      </c>
      <c r="C2306" s="841">
        <v>9200100039</v>
      </c>
      <c r="D2306" s="841" t="s">
        <v>3373</v>
      </c>
      <c r="E2306" s="841">
        <v>238691881</v>
      </c>
      <c r="F2306" s="841">
        <v>197644293</v>
      </c>
    </row>
    <row r="2307" spans="2:6">
      <c r="B2307" s="840" t="s">
        <v>2848</v>
      </c>
      <c r="C2307" s="841">
        <v>9200100039</v>
      </c>
      <c r="D2307" s="841" t="s">
        <v>3373</v>
      </c>
      <c r="E2307" s="841">
        <v>122157224</v>
      </c>
      <c r="F2307" s="841">
        <v>122157224</v>
      </c>
    </row>
    <row r="2308" spans="2:6">
      <c r="B2308" s="840" t="s">
        <v>2848</v>
      </c>
      <c r="C2308" s="805">
        <v>9200100039</v>
      </c>
      <c r="D2308" s="805" t="s">
        <v>3373</v>
      </c>
      <c r="E2308" s="841">
        <v>5131440</v>
      </c>
      <c r="F2308" s="841">
        <v>5131440</v>
      </c>
    </row>
    <row r="2309" spans="2:6">
      <c r="B2309" s="840" t="s">
        <v>2848</v>
      </c>
      <c r="C2309" s="805">
        <v>9911000000</v>
      </c>
      <c r="D2309" s="805" t="s">
        <v>3374</v>
      </c>
      <c r="E2309" s="805">
        <v>-30</v>
      </c>
      <c r="F2309" s="805">
        <v>332</v>
      </c>
    </row>
  </sheetData>
  <pageMargins left="0.7" right="0.7" top="0.75" bottom="0.75" header="0.3" footer="0.3"/>
  <pageSetup orientation="portrait"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5:E569"/>
  <sheetViews>
    <sheetView topLeftCell="A6" zoomScaleNormal="100" workbookViewId="0">
      <selection activeCell="D10" sqref="D10"/>
    </sheetView>
  </sheetViews>
  <sheetFormatPr baseColWidth="10" defaultRowHeight="15"/>
  <cols>
    <col min="1" max="1" width="11.42578125" style="801"/>
    <col min="2" max="2" width="14.85546875" style="801" customWidth="1"/>
    <col min="3" max="3" width="43.5703125" style="801" customWidth="1"/>
    <col min="4" max="4" width="34" style="801" customWidth="1"/>
    <col min="5" max="16384" width="11.42578125" style="801"/>
  </cols>
  <sheetData>
    <row r="5" spans="2:4">
      <c r="B5" s="896" t="s">
        <v>3375</v>
      </c>
      <c r="D5" s="827"/>
    </row>
    <row r="7" spans="2:4">
      <c r="B7" s="912" t="s">
        <v>3376</v>
      </c>
      <c r="C7" s="912" t="s">
        <v>551</v>
      </c>
      <c r="D7" s="914" t="s">
        <v>3757</v>
      </c>
    </row>
    <row r="8" spans="2:4">
      <c r="B8" s="842">
        <v>1110500000</v>
      </c>
      <c r="C8" s="842" t="s">
        <v>2849</v>
      </c>
      <c r="D8" s="843">
        <f>+IFERROR(+VLOOKUP(B8,SAP!$I$10:$K$560,3,0),0)</f>
        <v>19307680543</v>
      </c>
    </row>
    <row r="9" spans="2:4">
      <c r="B9" s="842">
        <v>1115400100</v>
      </c>
      <c r="C9" s="842" t="s">
        <v>2850</v>
      </c>
      <c r="D9" s="1178">
        <f>+IFERROR(+VLOOKUP(B9,SAP!$I$10:$K$560,3,0),0)</f>
        <v>15005281</v>
      </c>
    </row>
    <row r="10" spans="2:4">
      <c r="B10" s="842">
        <v>1115501165</v>
      </c>
      <c r="C10" s="842" t="s">
        <v>2852</v>
      </c>
      <c r="D10" s="1178">
        <f>+IFERROR(+VLOOKUP(B10,SAP!$I$10:$K$560,3,0),0)</f>
        <v>72316172</v>
      </c>
    </row>
    <row r="11" spans="2:4">
      <c r="B11" s="842">
        <v>1115505707</v>
      </c>
      <c r="C11" s="842" t="s">
        <v>2853</v>
      </c>
      <c r="D11" s="1178">
        <f>+IFERROR(+VLOOKUP(B11,SAP!$I$10:$K$560,3,0),0)</f>
        <v>2338335737</v>
      </c>
    </row>
    <row r="12" spans="2:4">
      <c r="B12" s="842">
        <v>1115505708</v>
      </c>
      <c r="C12" s="842" t="s">
        <v>2854</v>
      </c>
      <c r="D12" s="1178">
        <f>+IFERROR(+VLOOKUP(B12,SAP!$I$10:$K$560,3,0),0)</f>
        <v>633063800</v>
      </c>
    </row>
    <row r="13" spans="2:4">
      <c r="B13" s="842">
        <v>1115505709</v>
      </c>
      <c r="C13" s="842" t="s">
        <v>2855</v>
      </c>
      <c r="D13" s="1178">
        <f>+IFERROR(+VLOOKUP(B13,SAP!$I$10:$K$560,3,0),0)</f>
        <v>193714056</v>
      </c>
    </row>
    <row r="14" spans="2:4">
      <c r="B14" s="842">
        <v>1115505710</v>
      </c>
      <c r="C14" s="842" t="s">
        <v>2856</v>
      </c>
      <c r="D14" s="1178">
        <f>+IFERROR(+VLOOKUP(B14,SAP!$I$10:$K$560,3,0),0)</f>
        <v>13874203</v>
      </c>
    </row>
    <row r="15" spans="2:4">
      <c r="B15" s="842">
        <v>1115505716</v>
      </c>
      <c r="C15" s="842" t="s">
        <v>2857</v>
      </c>
      <c r="D15" s="1178">
        <f>+IFERROR(+VLOOKUP(B15,SAP!$I$10:$K$560,3,0),0)</f>
        <v>12446814</v>
      </c>
    </row>
    <row r="16" spans="2:4">
      <c r="B16" s="842">
        <v>1115505721</v>
      </c>
      <c r="C16" s="842" t="s">
        <v>2858</v>
      </c>
      <c r="D16" s="1178">
        <f>+IFERROR(+VLOOKUP(B16,SAP!$I$10:$K$560,3,0),0)</f>
        <v>357632415</v>
      </c>
    </row>
    <row r="17" spans="2:4">
      <c r="B17" s="842">
        <v>1115505735</v>
      </c>
      <c r="C17" s="842" t="s">
        <v>2859</v>
      </c>
      <c r="D17" s="1178">
        <f>+IFERROR(+VLOOKUP(B17,SAP!$I$10:$K$560,3,0),0)</f>
        <v>5227711231</v>
      </c>
    </row>
    <row r="18" spans="2:4">
      <c r="B18" s="842">
        <v>1115505736</v>
      </c>
      <c r="C18" s="842" t="s">
        <v>2860</v>
      </c>
      <c r="D18" s="1178">
        <f>+IFERROR(+VLOOKUP(B18,SAP!$I$10:$K$560,3,0),0)</f>
        <v>38794</v>
      </c>
    </row>
    <row r="19" spans="2:4">
      <c r="B19" s="842">
        <v>1115505742</v>
      </c>
      <c r="C19" s="842" t="s">
        <v>2861</v>
      </c>
      <c r="D19" s="1178">
        <f>+IFERROR(+VLOOKUP(B19,SAP!$I$10:$K$560,3,0),0)</f>
        <v>120838924</v>
      </c>
    </row>
    <row r="20" spans="2:4">
      <c r="B20" s="842">
        <v>1115505750</v>
      </c>
      <c r="C20" s="842" t="s">
        <v>2862</v>
      </c>
      <c r="D20" s="1178">
        <f>+IFERROR(+VLOOKUP(B20,SAP!$I$10:$K$560,3,0),0)</f>
        <v>228093795</v>
      </c>
    </row>
    <row r="21" spans="2:4">
      <c r="B21" s="842">
        <v>1115505756</v>
      </c>
      <c r="C21" s="842" t="s">
        <v>2863</v>
      </c>
      <c r="D21" s="1178">
        <f>+IFERROR(+VLOOKUP(B21,SAP!$I$10:$K$560,3,0),0)</f>
        <v>57080134</v>
      </c>
    </row>
    <row r="22" spans="2:4">
      <c r="B22" s="842">
        <v>1115505758</v>
      </c>
      <c r="C22" s="842" t="s">
        <v>2864</v>
      </c>
      <c r="D22" s="1178">
        <f>+IFERROR(+VLOOKUP(B22,SAP!$I$10:$K$560,3,0),0)</f>
        <v>42623435</v>
      </c>
    </row>
    <row r="23" spans="2:4">
      <c r="B23" s="842">
        <v>1115505760</v>
      </c>
      <c r="C23" s="842" t="s">
        <v>2865</v>
      </c>
      <c r="D23" s="1178">
        <f>+IFERROR(+VLOOKUP(B23,SAP!$I$10:$K$560,3,0),0)</f>
        <v>129952660</v>
      </c>
    </row>
    <row r="24" spans="2:4">
      <c r="B24" s="842">
        <v>1115505764</v>
      </c>
      <c r="C24" s="842" t="s">
        <v>2866</v>
      </c>
      <c r="D24" s="1178">
        <f>+IFERROR(+VLOOKUP(B24,SAP!$I$10:$K$560,3,0),0)</f>
        <v>210000000</v>
      </c>
    </row>
    <row r="25" spans="2:4">
      <c r="B25" s="842">
        <v>1115505765</v>
      </c>
      <c r="C25" s="842" t="s">
        <v>2867</v>
      </c>
      <c r="D25" s="1178">
        <f>+IFERROR(+VLOOKUP(B25,SAP!$I$10:$K$560,3,0),0)</f>
        <v>543289</v>
      </c>
    </row>
    <row r="26" spans="2:4">
      <c r="B26" s="842">
        <v>1115505766</v>
      </c>
      <c r="C26" s="842" t="s">
        <v>2868</v>
      </c>
      <c r="D26" s="1178">
        <f>+IFERROR(+VLOOKUP(B26,SAP!$I$10:$K$560,3,0),0)</f>
        <v>36357270</v>
      </c>
    </row>
    <row r="27" spans="2:4">
      <c r="B27" s="842">
        <v>1115505771</v>
      </c>
      <c r="C27" s="842" t="s">
        <v>2869</v>
      </c>
      <c r="D27" s="1178">
        <f>+IFERROR(+VLOOKUP(B27,SAP!$I$10:$K$560,3,0),0)</f>
        <v>66908554</v>
      </c>
    </row>
    <row r="28" spans="2:4">
      <c r="B28" s="842">
        <v>1115505773</v>
      </c>
      <c r="C28" s="842" t="s">
        <v>2870</v>
      </c>
      <c r="D28" s="1178">
        <f>+IFERROR(+VLOOKUP(B28,SAP!$I$10:$K$560,3,0),0)</f>
        <v>157175875</v>
      </c>
    </row>
    <row r="29" spans="2:4">
      <c r="B29" s="842">
        <v>1115505786</v>
      </c>
      <c r="C29" s="842" t="s">
        <v>2871</v>
      </c>
      <c r="D29" s="1178">
        <f>+IFERROR(+VLOOKUP(B29,SAP!$I$10:$K$560,3,0),0)</f>
        <v>31179003</v>
      </c>
    </row>
    <row r="30" spans="2:4">
      <c r="B30" s="842">
        <v>1115505812</v>
      </c>
      <c r="C30" s="842" t="s">
        <v>3740</v>
      </c>
      <c r="D30" s="1178">
        <f>+IFERROR(+VLOOKUP(B30,SAP!$I$10:$K$560,3,0),0)</f>
        <v>77284</v>
      </c>
    </row>
    <row r="31" spans="2:4">
      <c r="B31" s="842">
        <v>1121110000</v>
      </c>
      <c r="C31" s="842" t="s">
        <v>2872</v>
      </c>
      <c r="D31" s="1178">
        <f>+IFERROR(+VLOOKUP(B31,SAP!$I$10:$K$560,3,0),0)</f>
        <v>8375398550</v>
      </c>
    </row>
    <row r="32" spans="2:4">
      <c r="B32" s="842">
        <v>1121120000</v>
      </c>
      <c r="C32" s="842" t="s">
        <v>2873</v>
      </c>
      <c r="D32" s="1178">
        <f>+IFERROR(+VLOOKUP(B32,SAP!$I$10:$K$560,3,0),0)</f>
        <v>8364191430</v>
      </c>
    </row>
    <row r="33" spans="2:4">
      <c r="B33" s="842">
        <v>1121130000</v>
      </c>
      <c r="C33" s="842" t="s">
        <v>2874</v>
      </c>
      <c r="D33" s="1178">
        <f>+IFERROR(+VLOOKUP(B33,SAP!$I$10:$K$560,3,0),0)</f>
        <v>20307161527</v>
      </c>
    </row>
    <row r="34" spans="2:4">
      <c r="B34" s="842">
        <v>1123100000</v>
      </c>
      <c r="C34" s="842" t="s">
        <v>2875</v>
      </c>
      <c r="D34" s="1178">
        <f>+IFERROR(+VLOOKUP(B34,SAP!$I$10:$K$560,3,0),0)</f>
        <v>5463590111</v>
      </c>
    </row>
    <row r="35" spans="2:4">
      <c r="B35" s="842">
        <v>1125130000</v>
      </c>
      <c r="C35" s="842" t="s">
        <v>2876</v>
      </c>
      <c r="D35" s="1178">
        <f>+IFERROR(+VLOOKUP(B35,SAP!$I$10:$K$560,3,0),0)</f>
        <v>0</v>
      </c>
    </row>
    <row r="36" spans="2:4">
      <c r="B36" s="842">
        <v>1125140000</v>
      </c>
      <c r="C36" s="842" t="s">
        <v>2877</v>
      </c>
      <c r="D36" s="1178">
        <f>+IFERROR(+VLOOKUP(B36,SAP!$I$10:$K$560,3,0),0)</f>
        <v>81195062</v>
      </c>
    </row>
    <row r="37" spans="2:4">
      <c r="B37" s="842">
        <v>1131130000</v>
      </c>
      <c r="C37" s="842" t="s">
        <v>2878</v>
      </c>
      <c r="D37" s="1178">
        <f>+IFERROR(+VLOOKUP(B37,SAP!$I$10:$K$560,3,0),0)</f>
        <v>200747135014</v>
      </c>
    </row>
    <row r="38" spans="2:4">
      <c r="B38" s="842">
        <v>1131130100</v>
      </c>
      <c r="C38" s="842" t="s">
        <v>2879</v>
      </c>
      <c r="D38" s="1178">
        <f>+IFERROR(+VLOOKUP(B38,SAP!$I$10:$K$560,3,0),0)</f>
        <v>2665975323</v>
      </c>
    </row>
    <row r="39" spans="2:4">
      <c r="B39" s="842">
        <v>1131160000</v>
      </c>
      <c r="C39" s="842" t="s">
        <v>2880</v>
      </c>
      <c r="D39" s="1178">
        <f>+IFERROR(+VLOOKUP(B39,SAP!$I$10:$K$560,3,0),0)</f>
        <v>1026231825390</v>
      </c>
    </row>
    <row r="40" spans="2:4">
      <c r="B40" s="842">
        <v>1131160100</v>
      </c>
      <c r="C40" s="842" t="s">
        <v>2881</v>
      </c>
      <c r="D40" s="1178">
        <f>+IFERROR(+VLOOKUP(B40,SAP!$I$10:$K$560,3,0),0)</f>
        <v>66719473306</v>
      </c>
    </row>
    <row r="41" spans="2:4">
      <c r="B41" s="842">
        <v>1133100000</v>
      </c>
      <c r="C41" s="842" t="s">
        <v>2882</v>
      </c>
      <c r="D41" s="1178">
        <f>+IFERROR(+VLOOKUP(B41,SAP!$I$10:$K$560,3,0),0)</f>
        <v>615271459</v>
      </c>
    </row>
    <row r="42" spans="2:4">
      <c r="B42" s="842">
        <v>1141000100</v>
      </c>
      <c r="C42" s="842" t="s">
        <v>2883</v>
      </c>
      <c r="D42" s="1178">
        <f>+IFERROR(+VLOOKUP(B42,SAP!$I$10:$K$560,3,0),0)</f>
        <v>40554120907</v>
      </c>
    </row>
    <row r="43" spans="2:4">
      <c r="B43" s="842">
        <v>1142000003</v>
      </c>
      <c r="C43" s="842" t="s">
        <v>2884</v>
      </c>
      <c r="D43" s="1178">
        <f>+IFERROR(+VLOOKUP(B43,SAP!$I$10:$K$560,3,0),0)</f>
        <v>-769896565</v>
      </c>
    </row>
    <row r="44" spans="2:4">
      <c r="B44" s="842">
        <v>1142000004</v>
      </c>
      <c r="C44" s="842" t="s">
        <v>2885</v>
      </c>
      <c r="D44" s="1178">
        <f>+IFERROR(+VLOOKUP(B44,SAP!$I$10:$K$560,3,0),0)</f>
        <v>-10953355673</v>
      </c>
    </row>
    <row r="45" spans="2:4">
      <c r="B45" s="842">
        <v>1142000100</v>
      </c>
      <c r="C45" s="842" t="s">
        <v>2886</v>
      </c>
      <c r="D45" s="1178">
        <f>+IFERROR(+VLOOKUP(B45,SAP!$I$10:$K$560,3,0),0)</f>
        <v>124498975771</v>
      </c>
    </row>
    <row r="46" spans="2:4">
      <c r="B46" s="842">
        <v>1151100000</v>
      </c>
      <c r="C46" s="842" t="s">
        <v>2887</v>
      </c>
      <c r="D46" s="1178">
        <f>+IFERROR(+VLOOKUP(B46,SAP!$I$10:$K$560,3,0),0)</f>
        <v>127750550226</v>
      </c>
    </row>
    <row r="47" spans="2:4">
      <c r="B47" s="842">
        <v>1151100007</v>
      </c>
      <c r="C47" s="842" t="s">
        <v>2888</v>
      </c>
      <c r="D47" s="1178">
        <f>+IFERROR(+VLOOKUP(B47,SAP!$I$10:$K$560,3,0),0)</f>
        <v>5204991228</v>
      </c>
    </row>
    <row r="48" spans="2:4">
      <c r="B48" s="842">
        <v>1151300000</v>
      </c>
      <c r="C48" s="842" t="s">
        <v>2889</v>
      </c>
      <c r="D48" s="1178">
        <f>+IFERROR(+VLOOKUP(B48,SAP!$I$10:$K$560,3,0),0)</f>
        <v>-273112485</v>
      </c>
    </row>
    <row r="49" spans="2:4">
      <c r="B49" s="842">
        <v>1161000000</v>
      </c>
      <c r="C49" s="842" t="s">
        <v>2890</v>
      </c>
      <c r="D49" s="1178">
        <f>+IFERROR(+VLOOKUP(B49,SAP!$I$10:$K$560,3,0),0)</f>
        <v>2377051173</v>
      </c>
    </row>
    <row r="50" spans="2:4">
      <c r="B50" s="842">
        <v>1161000001</v>
      </c>
      <c r="C50" s="842" t="s">
        <v>2891</v>
      </c>
      <c r="D50" s="1178">
        <f>+IFERROR(+VLOOKUP(B50,SAP!$I$10:$K$560,3,0),0)</f>
        <v>131848875</v>
      </c>
    </row>
    <row r="51" spans="2:4">
      <c r="B51" s="842">
        <v>1161000002</v>
      </c>
      <c r="C51" s="842" t="s">
        <v>2892</v>
      </c>
      <c r="D51" s="1178">
        <f>+IFERROR(+VLOOKUP(B51,SAP!$I$10:$K$560,3,0),0)</f>
        <v>412545405</v>
      </c>
    </row>
    <row r="52" spans="2:4">
      <c r="B52" s="842">
        <v>1161000003</v>
      </c>
      <c r="C52" s="842" t="s">
        <v>2893</v>
      </c>
      <c r="D52" s="1178">
        <f>+IFERROR(+VLOOKUP(B52,SAP!$I$10:$K$560,3,0),0)</f>
        <v>158258071</v>
      </c>
    </row>
    <row r="53" spans="2:4">
      <c r="B53" s="842">
        <v>1164100000</v>
      </c>
      <c r="C53" s="842" t="s">
        <v>2894</v>
      </c>
      <c r="D53" s="1178">
        <f>+IFERROR(+VLOOKUP(B53,SAP!$I$10:$K$560,3,0),0)</f>
        <v>-29798367</v>
      </c>
    </row>
    <row r="54" spans="2:4">
      <c r="B54" s="842">
        <v>1164200000</v>
      </c>
      <c r="C54" s="842" t="s">
        <v>2895</v>
      </c>
      <c r="D54" s="1178">
        <f>+IFERROR(+VLOOKUP(B54,SAP!$I$10:$K$560,3,0),0)</f>
        <v>137842726275</v>
      </c>
    </row>
    <row r="55" spans="2:4">
      <c r="B55" s="842">
        <v>1164200001</v>
      </c>
      <c r="C55" s="842" t="s">
        <v>2896</v>
      </c>
      <c r="D55" s="1178">
        <f>+IFERROR(+VLOOKUP(B55,SAP!$I$10:$K$560,3,0),0)</f>
        <v>8026550802</v>
      </c>
    </row>
    <row r="56" spans="2:4">
      <c r="B56" s="842">
        <v>1172110000</v>
      </c>
      <c r="C56" s="842" t="s">
        <v>2897</v>
      </c>
      <c r="D56" s="1178">
        <f>+IFERROR(+VLOOKUP(B56,SAP!$I$10:$K$560,3,0),0)</f>
        <v>0</v>
      </c>
    </row>
    <row r="57" spans="2:4">
      <c r="B57" s="842">
        <v>1176310000</v>
      </c>
      <c r="C57" s="842" t="s">
        <v>2898</v>
      </c>
      <c r="D57" s="1178">
        <f>+IFERROR(+VLOOKUP(B57,SAP!$I$10:$K$560,3,0),0)</f>
        <v>81839744752</v>
      </c>
    </row>
    <row r="58" spans="2:4">
      <c r="B58" s="842">
        <v>1182320400</v>
      </c>
      <c r="C58" s="842" t="s">
        <v>2899</v>
      </c>
      <c r="D58" s="1178">
        <f>+IFERROR(+VLOOKUP(B58,SAP!$I$10:$K$560,3,0),0)</f>
        <v>78870570203</v>
      </c>
    </row>
    <row r="59" spans="2:4">
      <c r="B59" s="842">
        <v>1182330000</v>
      </c>
      <c r="C59" s="842" t="s">
        <v>2900</v>
      </c>
      <c r="D59" s="1178">
        <f>+IFERROR(+VLOOKUP(B59,SAP!$I$10:$K$560,3,0),0)</f>
        <v>79031059464</v>
      </c>
    </row>
    <row r="60" spans="2:4">
      <c r="B60" s="842">
        <v>1193105707</v>
      </c>
      <c r="C60" s="842" t="s">
        <v>2901</v>
      </c>
      <c r="D60" s="1178">
        <f>+IFERROR(+VLOOKUP(B60,SAP!$I$10:$K$560,3,0),0)</f>
        <v>-207384888</v>
      </c>
    </row>
    <row r="61" spans="2:4">
      <c r="B61" s="842">
        <v>1193105708</v>
      </c>
      <c r="C61" s="842" t="s">
        <v>2902</v>
      </c>
      <c r="D61" s="1178">
        <f>+IFERROR(+VLOOKUP(B61,SAP!$I$10:$K$560,3,0),0)</f>
        <v>-6122826</v>
      </c>
    </row>
    <row r="62" spans="2:4">
      <c r="B62" s="842">
        <v>1193105709</v>
      </c>
      <c r="C62" s="842" t="s">
        <v>2903</v>
      </c>
      <c r="D62" s="1178">
        <f>+IFERROR(+VLOOKUP(B62,SAP!$I$10:$K$560,3,0),0)</f>
        <v>-14815928</v>
      </c>
    </row>
    <row r="63" spans="2:4">
      <c r="B63" s="842">
        <v>1193105716</v>
      </c>
      <c r="C63" s="842" t="s">
        <v>2904</v>
      </c>
      <c r="D63" s="1178">
        <f>+IFERROR(+VLOOKUP(B63,SAP!$I$10:$K$560,3,0),0)</f>
        <v>293998</v>
      </c>
    </row>
    <row r="64" spans="2:4">
      <c r="B64" s="842">
        <v>1193105721</v>
      </c>
      <c r="C64" s="842" t="s">
        <v>2858</v>
      </c>
      <c r="D64" s="1178">
        <f>+IFERROR(+VLOOKUP(B64,SAP!$I$10:$K$560,3,0),0)</f>
        <v>-108832512</v>
      </c>
    </row>
    <row r="65" spans="2:4">
      <c r="B65" s="842">
        <v>1193105735</v>
      </c>
      <c r="C65" s="842" t="s">
        <v>2905</v>
      </c>
      <c r="D65" s="1178">
        <f>+IFERROR(+VLOOKUP(B65,SAP!$I$10:$K$560,3,0),0)</f>
        <v>-646104994</v>
      </c>
    </row>
    <row r="66" spans="2:4">
      <c r="B66" s="842">
        <v>1193105742</v>
      </c>
      <c r="C66" s="842" t="s">
        <v>2906</v>
      </c>
      <c r="D66" s="1178">
        <f>+IFERROR(+VLOOKUP(B66,SAP!$I$10:$K$560,3,0),0)</f>
        <v>284003353</v>
      </c>
    </row>
    <row r="67" spans="2:4">
      <c r="B67" s="842">
        <v>1193105743</v>
      </c>
      <c r="C67" s="842" t="s">
        <v>3402</v>
      </c>
      <c r="D67" s="1178">
        <f>+IFERROR(+VLOOKUP(B67,SAP!$I$10:$K$560,3,0),0)</f>
        <v>-2106253</v>
      </c>
    </row>
    <row r="68" spans="2:4">
      <c r="B68" s="842">
        <v>1193105750</v>
      </c>
      <c r="C68" s="842" t="s">
        <v>2907</v>
      </c>
      <c r="D68" s="1178">
        <f>+IFERROR(+VLOOKUP(B68,SAP!$I$10:$K$560,3,0),0)</f>
        <v>-179810852</v>
      </c>
    </row>
    <row r="69" spans="2:4">
      <c r="B69" s="842">
        <v>1193105756</v>
      </c>
      <c r="C69" s="842" t="s">
        <v>2908</v>
      </c>
      <c r="D69" s="1178">
        <f>+IFERROR(+VLOOKUP(B69,SAP!$I$10:$K$560,3,0),0)</f>
        <v>-16046581</v>
      </c>
    </row>
    <row r="70" spans="2:4">
      <c r="B70" s="842">
        <v>1193105760</v>
      </c>
      <c r="C70" s="842" t="s">
        <v>2909</v>
      </c>
      <c r="D70" s="1178">
        <f>+IFERROR(+VLOOKUP(B70,SAP!$I$10:$K$560,3,0),0)</f>
        <v>0</v>
      </c>
    </row>
    <row r="71" spans="2:4">
      <c r="B71" s="842">
        <v>1193105765</v>
      </c>
      <c r="C71" s="842" t="s">
        <v>2867</v>
      </c>
      <c r="D71" s="1178">
        <f>+IFERROR(+VLOOKUP(B71,SAP!$I$10:$K$560,3,0),0)</f>
        <v>2442570</v>
      </c>
    </row>
    <row r="72" spans="2:4">
      <c r="B72" s="842">
        <v>1193105766</v>
      </c>
      <c r="C72" s="842" t="s">
        <v>2868</v>
      </c>
      <c r="D72" s="1178">
        <f>+IFERROR(+VLOOKUP(B72,SAP!$I$10:$K$560,3,0),0)</f>
        <v>-4859379</v>
      </c>
    </row>
    <row r="73" spans="2:4">
      <c r="B73" s="842">
        <v>1193105773</v>
      </c>
      <c r="C73" s="842" t="s">
        <v>3405</v>
      </c>
      <c r="D73" s="1178">
        <f>+IFERROR(+VLOOKUP(B73,SAP!$I$10:$K$560,3,0),0)</f>
        <v>-45778011</v>
      </c>
    </row>
    <row r="74" spans="2:4">
      <c r="B74" s="842">
        <v>1193105812</v>
      </c>
      <c r="C74" s="842" t="s">
        <v>3741</v>
      </c>
      <c r="D74" s="1178">
        <f>+IFERROR(+VLOOKUP(B74,SAP!$I$10:$K$560,3,0),0)</f>
        <v>-64713449</v>
      </c>
    </row>
    <row r="75" spans="2:4">
      <c r="B75" s="842">
        <v>1193205707</v>
      </c>
      <c r="C75" s="842" t="s">
        <v>2910</v>
      </c>
      <c r="D75" s="1178">
        <f>+IFERROR(+VLOOKUP(B75,SAP!$I$10:$K$560,3,0),0)</f>
        <v>-2064006581</v>
      </c>
    </row>
    <row r="76" spans="2:4">
      <c r="B76" s="842">
        <v>1193205708</v>
      </c>
      <c r="C76" s="842" t="s">
        <v>2911</v>
      </c>
      <c r="D76" s="1178">
        <f>+IFERROR(+VLOOKUP(B76,SAP!$I$10:$K$560,3,0),0)</f>
        <v>-115358722</v>
      </c>
    </row>
    <row r="77" spans="2:4">
      <c r="B77" s="842">
        <v>1193205709</v>
      </c>
      <c r="C77" s="842" t="s">
        <v>3406</v>
      </c>
      <c r="D77" s="1178">
        <f>+IFERROR(+VLOOKUP(B77,SAP!$I$10:$K$560,3,0),0)</f>
        <v>10001596</v>
      </c>
    </row>
    <row r="78" spans="2:4">
      <c r="B78" s="842">
        <v>1193205716</v>
      </c>
      <c r="C78" s="842" t="s">
        <v>2912</v>
      </c>
      <c r="D78" s="1178">
        <f>+IFERROR(+VLOOKUP(B78,SAP!$I$10:$K$560,3,0),0)</f>
        <v>79842</v>
      </c>
    </row>
    <row r="79" spans="2:4">
      <c r="B79" s="842">
        <v>1193205721</v>
      </c>
      <c r="C79" s="842" t="s">
        <v>2858</v>
      </c>
      <c r="D79" s="1178">
        <f>+IFERROR(+VLOOKUP(B79,SAP!$I$10:$K$560,3,0),0)</f>
        <v>7643690</v>
      </c>
    </row>
    <row r="80" spans="2:4">
      <c r="B80" s="842">
        <v>1193205735</v>
      </c>
      <c r="C80" s="842" t="s">
        <v>2913</v>
      </c>
      <c r="D80" s="1178">
        <f>+IFERROR(+VLOOKUP(B80,SAP!$I$10:$K$560,3,0),0)</f>
        <v>108440482</v>
      </c>
    </row>
    <row r="81" spans="2:4">
      <c r="B81" s="842">
        <v>1193205736</v>
      </c>
      <c r="C81" s="842" t="s">
        <v>2914</v>
      </c>
      <c r="D81" s="1178">
        <f>+IFERROR(+VLOOKUP(B81,SAP!$I$10:$K$560,3,0),0)</f>
        <v>451706</v>
      </c>
    </row>
    <row r="82" spans="2:4">
      <c r="B82" s="842">
        <v>1193205742</v>
      </c>
      <c r="C82" s="842" t="s">
        <v>2915</v>
      </c>
      <c r="D82" s="1178">
        <f>+IFERROR(+VLOOKUP(B82,SAP!$I$10:$K$560,3,0),0)</f>
        <v>11337556</v>
      </c>
    </row>
    <row r="83" spans="2:4">
      <c r="B83" s="842">
        <v>1193205743</v>
      </c>
      <c r="C83" s="842" t="s">
        <v>3402</v>
      </c>
      <c r="D83" s="1178">
        <f>+IFERROR(+VLOOKUP(B83,SAP!$I$10:$K$560,3,0),0)</f>
        <v>2106253</v>
      </c>
    </row>
    <row r="84" spans="2:4">
      <c r="B84" s="842">
        <v>1193205750</v>
      </c>
      <c r="C84" s="842" t="s">
        <v>2916</v>
      </c>
      <c r="D84" s="1178">
        <f>+IFERROR(+VLOOKUP(B84,SAP!$I$10:$K$560,3,0),0)</f>
        <v>68726089</v>
      </c>
    </row>
    <row r="85" spans="2:4">
      <c r="B85" s="842">
        <v>1193205756</v>
      </c>
      <c r="C85" s="842" t="s">
        <v>2908</v>
      </c>
      <c r="D85" s="1178">
        <f>+IFERROR(+VLOOKUP(B85,SAP!$I$10:$K$560,3,0),0)</f>
        <v>1986798</v>
      </c>
    </row>
    <row r="86" spans="2:4">
      <c r="B86" s="842">
        <v>1193205764</v>
      </c>
      <c r="C86" s="842" t="s">
        <v>2917</v>
      </c>
      <c r="D86" s="1178">
        <f>+IFERROR(+VLOOKUP(B86,SAP!$I$10:$K$560,3,0),0)</f>
        <v>37538</v>
      </c>
    </row>
    <row r="87" spans="2:4">
      <c r="B87" s="842">
        <v>1193205765</v>
      </c>
      <c r="C87" s="842" t="s">
        <v>2918</v>
      </c>
      <c r="D87" s="1178">
        <f>+IFERROR(+VLOOKUP(B87,SAP!$I$10:$K$560,3,0),0)</f>
        <v>0</v>
      </c>
    </row>
    <row r="88" spans="2:4">
      <c r="B88" s="842">
        <v>1193205766</v>
      </c>
      <c r="C88" s="842" t="s">
        <v>2868</v>
      </c>
      <c r="D88" s="1178">
        <f>+IFERROR(+VLOOKUP(B88,SAP!$I$10:$K$560,3,0),0)</f>
        <v>45129</v>
      </c>
    </row>
    <row r="89" spans="2:4">
      <c r="B89" s="842">
        <v>1193205773</v>
      </c>
      <c r="C89" s="842" t="s">
        <v>3405</v>
      </c>
      <c r="D89" s="1178">
        <f>+IFERROR(+VLOOKUP(B89,SAP!$I$10:$K$560,3,0),0)</f>
        <v>44600000</v>
      </c>
    </row>
    <row r="90" spans="2:4">
      <c r="B90" s="842">
        <v>1193205812</v>
      </c>
      <c r="C90" s="842" t="s">
        <v>3742</v>
      </c>
      <c r="D90" s="1178">
        <f>+IFERROR(+VLOOKUP(B90,SAP!$I$10:$K$560,3,0),0)</f>
        <v>64711954</v>
      </c>
    </row>
    <row r="91" spans="2:4">
      <c r="B91" s="842">
        <v>1199999000</v>
      </c>
      <c r="C91" s="842" t="s">
        <v>2919</v>
      </c>
      <c r="D91" s="1178">
        <f>+IFERROR(+VLOOKUP(B91,SAP!$I$10:$K$560,3,0),0)</f>
        <v>-7450463</v>
      </c>
    </row>
    <row r="92" spans="2:4">
      <c r="B92" s="842">
        <v>1211010000</v>
      </c>
      <c r="C92" s="842" t="s">
        <v>2920</v>
      </c>
      <c r="D92" s="1178">
        <f>+IFERROR(+VLOOKUP(B92,SAP!$I$10:$K$560,3,0),0)</f>
        <v>46808600502</v>
      </c>
    </row>
    <row r="93" spans="2:4">
      <c r="B93" s="842">
        <v>1211010036</v>
      </c>
      <c r="C93" s="842" t="s">
        <v>2921</v>
      </c>
      <c r="D93" s="1178">
        <f>+IFERROR(+VLOOKUP(B93,SAP!$I$10:$K$560,3,0),0)</f>
        <v>4672130398</v>
      </c>
    </row>
    <row r="94" spans="2:4">
      <c r="B94" s="842">
        <v>1211010043</v>
      </c>
      <c r="C94" s="842" t="s">
        <v>2922</v>
      </c>
      <c r="D94" s="1178">
        <f>+IFERROR(+VLOOKUP(B94,SAP!$I$10:$K$560,3,0),0)</f>
        <v>79293110</v>
      </c>
    </row>
    <row r="95" spans="2:4">
      <c r="B95" s="842">
        <v>1211510001</v>
      </c>
      <c r="C95" s="842" t="s">
        <v>3743</v>
      </c>
      <c r="D95" s="1178">
        <f>+IFERROR(+VLOOKUP(B95,SAP!$I$10:$K$560,3,0),0)</f>
        <v>681803</v>
      </c>
    </row>
    <row r="96" spans="2:4">
      <c r="B96" s="842">
        <v>1221020000</v>
      </c>
      <c r="C96" s="842" t="s">
        <v>2923</v>
      </c>
      <c r="D96" s="1178">
        <f>+IFERROR(+VLOOKUP(B96,SAP!$I$10:$K$560,3,0),0)</f>
        <v>76723117</v>
      </c>
    </row>
    <row r="97" spans="2:4">
      <c r="B97" s="842">
        <v>1231012000</v>
      </c>
      <c r="C97" s="842" t="s">
        <v>2924</v>
      </c>
      <c r="D97" s="1178">
        <f>+IFERROR(+VLOOKUP(B97,SAP!$I$10:$K$560,3,0),0)</f>
        <v>27387</v>
      </c>
    </row>
    <row r="98" spans="2:4">
      <c r="B98" s="842">
        <v>1231700500</v>
      </c>
      <c r="C98" s="842" t="s">
        <v>2925</v>
      </c>
      <c r="D98" s="1178">
        <f>+IFERROR(+VLOOKUP(B98,SAP!$I$10:$K$560,3,0),0)</f>
        <v>15793169</v>
      </c>
    </row>
    <row r="99" spans="2:4">
      <c r="B99" s="842">
        <v>1231700501</v>
      </c>
      <c r="C99" s="842" t="s">
        <v>2926</v>
      </c>
      <c r="D99" s="1178">
        <f>+IFERROR(+VLOOKUP(B99,SAP!$I$10:$K$560,3,0),0)</f>
        <v>5918051</v>
      </c>
    </row>
    <row r="100" spans="2:4">
      <c r="B100" s="842">
        <v>1250200000</v>
      </c>
      <c r="C100" s="842" t="s">
        <v>2927</v>
      </c>
      <c r="D100" s="1178">
        <f>+IFERROR(+VLOOKUP(B100,SAP!$I$10:$K$560,3,0),0)</f>
        <v>-9509325393</v>
      </c>
    </row>
    <row r="101" spans="2:4">
      <c r="B101" s="842">
        <v>1311010000</v>
      </c>
      <c r="C101" s="842" t="s">
        <v>2928</v>
      </c>
      <c r="D101" s="1178">
        <f>+IFERROR(+VLOOKUP(B101,SAP!$I$10:$K$560,3,0),0)</f>
        <v>16170019706</v>
      </c>
    </row>
    <row r="102" spans="2:4">
      <c r="B102" s="842">
        <v>1311010002</v>
      </c>
      <c r="C102" s="842" t="s">
        <v>2929</v>
      </c>
      <c r="D102" s="1178">
        <f>+IFERROR(+VLOOKUP(B102,SAP!$I$10:$K$560,3,0),0)</f>
        <v>682774</v>
      </c>
    </row>
    <row r="103" spans="2:4">
      <c r="B103" s="842">
        <v>1411400000</v>
      </c>
      <c r="C103" s="842" t="s">
        <v>2930</v>
      </c>
      <c r="D103" s="1178">
        <f>+IFERROR(+VLOOKUP(B103,SAP!$I$10:$K$560,3,0),0)</f>
        <v>-2431384783</v>
      </c>
    </row>
    <row r="104" spans="2:4">
      <c r="B104" s="842">
        <v>1429310003</v>
      </c>
      <c r="C104" s="842" t="s">
        <v>2931</v>
      </c>
      <c r="D104" s="1178">
        <f>+IFERROR(+VLOOKUP(B104,SAP!$I$10:$K$560,3,0),0)</f>
        <v>117694546</v>
      </c>
    </row>
    <row r="105" spans="2:4">
      <c r="B105" s="842">
        <v>1441100012</v>
      </c>
      <c r="C105" s="842" t="s">
        <v>2932</v>
      </c>
      <c r="D105" s="1178">
        <f>+IFERROR(+VLOOKUP(B105,SAP!$I$10:$K$560,3,0),0)</f>
        <v>60821</v>
      </c>
    </row>
    <row r="106" spans="2:4">
      <c r="B106" s="842">
        <v>1441100021</v>
      </c>
      <c r="C106" s="842" t="s">
        <v>2933</v>
      </c>
      <c r="D106" s="1178">
        <f>+IFERROR(+VLOOKUP(B106,SAP!$I$10:$K$560,3,0),0)</f>
        <v>327895699</v>
      </c>
    </row>
    <row r="107" spans="2:4">
      <c r="B107" s="842">
        <v>1441100028</v>
      </c>
      <c r="C107" s="842" t="s">
        <v>2934</v>
      </c>
      <c r="D107" s="1178">
        <f>+IFERROR(+VLOOKUP(B107,SAP!$I$10:$K$560,3,0),0)</f>
        <v>53757770</v>
      </c>
    </row>
    <row r="108" spans="2:4">
      <c r="B108" s="842">
        <v>1441100118</v>
      </c>
      <c r="C108" s="842" t="s">
        <v>2935</v>
      </c>
      <c r="D108" s="1178">
        <f>+IFERROR(+VLOOKUP(B108,SAP!$I$10:$K$560,3,0),0)</f>
        <v>23892085</v>
      </c>
    </row>
    <row r="109" spans="2:4">
      <c r="B109" s="842">
        <v>1441110034</v>
      </c>
      <c r="C109" s="842" t="s">
        <v>2936</v>
      </c>
      <c r="D109" s="1178">
        <f>+IFERROR(+VLOOKUP(B109,SAP!$I$10:$K$560,3,0),0)</f>
        <v>-269435857</v>
      </c>
    </row>
    <row r="110" spans="2:4">
      <c r="B110" s="842">
        <v>1441110035</v>
      </c>
      <c r="C110" s="842" t="s">
        <v>2937</v>
      </c>
      <c r="D110" s="1178">
        <f>+IFERROR(+VLOOKUP(B110,SAP!$I$10:$K$560,3,0),0)</f>
        <v>142403544</v>
      </c>
    </row>
    <row r="111" spans="2:4">
      <c r="B111" s="842">
        <v>1441110036</v>
      </c>
      <c r="C111" s="842" t="s">
        <v>2938</v>
      </c>
      <c r="D111" s="1178">
        <f>+IFERROR(+VLOOKUP(B111,SAP!$I$10:$K$560,3,0),0)</f>
        <v>300862022</v>
      </c>
    </row>
    <row r="112" spans="2:4">
      <c r="B112" s="842">
        <v>1441113000</v>
      </c>
      <c r="C112" s="842" t="s">
        <v>2939</v>
      </c>
      <c r="D112" s="1178">
        <f>+IFERROR(+VLOOKUP(B112,SAP!$I$10:$K$560,3,0),0)</f>
        <v>404170843</v>
      </c>
    </row>
    <row r="113" spans="2:4">
      <c r="B113" s="842">
        <v>1442100000</v>
      </c>
      <c r="C113" s="842" t="s">
        <v>2940</v>
      </c>
      <c r="D113" s="1178">
        <f>+IFERROR(+VLOOKUP(B113,SAP!$I$10:$K$560,3,0),0)</f>
        <v>837013130</v>
      </c>
    </row>
    <row r="114" spans="2:4">
      <c r="B114" s="842">
        <v>1442100003</v>
      </c>
      <c r="C114" s="842" t="s">
        <v>2941</v>
      </c>
      <c r="D114" s="1178">
        <f>+IFERROR(+VLOOKUP(B114,SAP!$I$10:$K$560,3,0),0)</f>
        <v>-17228725</v>
      </c>
    </row>
    <row r="115" spans="2:4">
      <c r="B115" s="842">
        <v>1442300000</v>
      </c>
      <c r="C115" s="842" t="s">
        <v>2942</v>
      </c>
      <c r="D115" s="1178">
        <f>+IFERROR(+VLOOKUP(B115,SAP!$I$10:$K$560,3,0),0)</f>
        <v>637826543</v>
      </c>
    </row>
    <row r="116" spans="2:4">
      <c r="B116" s="842">
        <v>1442370000</v>
      </c>
      <c r="C116" s="842" t="s">
        <v>2943</v>
      </c>
      <c r="D116" s="1178">
        <f>+IFERROR(+VLOOKUP(B116,SAP!$I$10:$K$560,3,0),0)</f>
        <v>632644</v>
      </c>
    </row>
    <row r="117" spans="2:4">
      <c r="B117" s="842">
        <v>1442801000</v>
      </c>
      <c r="C117" s="842" t="s">
        <v>2944</v>
      </c>
      <c r="D117" s="1178">
        <f>+IFERROR(+VLOOKUP(B117,SAP!$I$10:$K$560,3,0),0)</f>
        <v>120810206</v>
      </c>
    </row>
    <row r="118" spans="2:4">
      <c r="B118" s="842">
        <v>1442999900</v>
      </c>
      <c r="C118" s="842" t="s">
        <v>2945</v>
      </c>
      <c r="D118" s="1178">
        <f>+IFERROR(+VLOOKUP(B118,SAP!$I$10:$K$560,3,0),0)</f>
        <v>70088</v>
      </c>
    </row>
    <row r="119" spans="2:4">
      <c r="B119" s="842">
        <v>1443020000</v>
      </c>
      <c r="C119" s="842" t="s">
        <v>2946</v>
      </c>
      <c r="D119" s="1178">
        <f>+IFERROR(+VLOOKUP(B119,SAP!$I$10:$K$560,3,0),0)</f>
        <v>34200000</v>
      </c>
    </row>
    <row r="120" spans="2:4">
      <c r="B120" s="842">
        <v>1449500003</v>
      </c>
      <c r="C120" s="842" t="s">
        <v>2947</v>
      </c>
      <c r="D120" s="1178">
        <f>+IFERROR(+VLOOKUP(B120,SAP!$I$10:$K$560,3,0),0)</f>
        <v>405213296</v>
      </c>
    </row>
    <row r="121" spans="2:4">
      <c r="B121" s="842">
        <v>1450004022</v>
      </c>
      <c r="C121" s="842" t="s">
        <v>2948</v>
      </c>
      <c r="D121" s="1178">
        <f>+IFERROR(+VLOOKUP(B121,SAP!$I$10:$K$560,3,0),0)</f>
        <v>588714373</v>
      </c>
    </row>
    <row r="122" spans="2:4">
      <c r="B122" s="842">
        <v>1455200024</v>
      </c>
      <c r="C122" s="842" t="s">
        <v>2949</v>
      </c>
      <c r="D122" s="1178">
        <f>+IFERROR(+VLOOKUP(B122,SAP!$I$10:$K$560,3,0),0)</f>
        <v>897964522</v>
      </c>
    </row>
    <row r="123" spans="2:4">
      <c r="B123" s="842">
        <v>1455200071</v>
      </c>
      <c r="C123" s="842" t="s">
        <v>2950</v>
      </c>
      <c r="D123" s="1178">
        <f>+IFERROR(+VLOOKUP(B123,SAP!$I$10:$K$560,3,0),0)</f>
        <v>4923019052</v>
      </c>
    </row>
    <row r="124" spans="2:4">
      <c r="B124" s="842">
        <v>1456100026</v>
      </c>
      <c r="C124" s="842" t="s">
        <v>2951</v>
      </c>
      <c r="D124" s="1178">
        <f>+IFERROR(+VLOOKUP(B124,SAP!$I$10:$K$560,3,0),0)</f>
        <v>3610169</v>
      </c>
    </row>
    <row r="125" spans="2:4">
      <c r="B125" s="842">
        <v>1456200020</v>
      </c>
      <c r="C125" s="842" t="s">
        <v>2952</v>
      </c>
      <c r="D125" s="1178">
        <f>+IFERROR(+VLOOKUP(B125,SAP!$I$10:$K$560,3,0),0)</f>
        <v>-724305450</v>
      </c>
    </row>
    <row r="126" spans="2:4">
      <c r="B126" s="842">
        <v>1456300026</v>
      </c>
      <c r="C126" s="842" t="s">
        <v>2953</v>
      </c>
      <c r="D126" s="1178">
        <f>+IFERROR(+VLOOKUP(B126,SAP!$I$10:$K$560,3,0),0)</f>
        <v>26840</v>
      </c>
    </row>
    <row r="127" spans="2:4">
      <c r="B127" s="842">
        <v>1456810001</v>
      </c>
      <c r="C127" s="842" t="s">
        <v>2954</v>
      </c>
      <c r="D127" s="1178">
        <f>+IFERROR(+VLOOKUP(B127,SAP!$I$10:$K$560,3,0),0)</f>
        <v>10416332511</v>
      </c>
    </row>
    <row r="128" spans="2:4">
      <c r="B128" s="842">
        <v>1481210000</v>
      </c>
      <c r="C128" s="842" t="s">
        <v>2955</v>
      </c>
      <c r="D128" s="1178">
        <f>+IFERROR(+VLOOKUP(B128,SAP!$I$10:$K$560,3,0),0)</f>
        <v>-230482086</v>
      </c>
    </row>
    <row r="129" spans="2:4">
      <c r="B129" s="842">
        <v>1481220000</v>
      </c>
      <c r="C129" s="842" t="s">
        <v>2956</v>
      </c>
      <c r="D129" s="1178">
        <f>+IFERROR(+VLOOKUP(B129,SAP!$I$10:$K$560,3,0),0)</f>
        <v>-464407153</v>
      </c>
    </row>
    <row r="130" spans="2:4">
      <c r="B130" s="842">
        <v>1490210000</v>
      </c>
      <c r="C130" s="842" t="s">
        <v>2957</v>
      </c>
      <c r="D130" s="1178">
        <f>+IFERROR(+VLOOKUP(B130,SAP!$I$10:$K$560,3,0),0)</f>
        <v>-22699615</v>
      </c>
    </row>
    <row r="131" spans="2:4">
      <c r="B131" s="842">
        <v>1490210001</v>
      </c>
      <c r="C131" s="842" t="s">
        <v>2958</v>
      </c>
      <c r="D131" s="1178">
        <f>+IFERROR(+VLOOKUP(B131,SAP!$I$10:$K$560,3,0),0)</f>
        <v>32341063</v>
      </c>
    </row>
    <row r="132" spans="2:4">
      <c r="B132" s="842">
        <v>1490210004</v>
      </c>
      <c r="C132" s="842" t="s">
        <v>2959</v>
      </c>
      <c r="D132" s="1178">
        <f>+IFERROR(+VLOOKUP(B132,SAP!$I$10:$K$560,3,0),0)</f>
        <v>-194163627</v>
      </c>
    </row>
    <row r="133" spans="2:4">
      <c r="B133" s="842">
        <v>1490920000</v>
      </c>
      <c r="C133" s="842" t="s">
        <v>2960</v>
      </c>
      <c r="D133" s="1178">
        <f>+IFERROR(+VLOOKUP(B133,SAP!$I$10:$K$560,3,0),0)</f>
        <v>4520699212</v>
      </c>
    </row>
    <row r="134" spans="2:4">
      <c r="B134" s="842">
        <v>1491110000</v>
      </c>
      <c r="C134" s="842" t="s">
        <v>2961</v>
      </c>
      <c r="D134" s="1178">
        <f>+IFERROR(+VLOOKUP(B134,SAP!$I$10:$K$560,3,0),0)</f>
        <v>1557525063</v>
      </c>
    </row>
    <row r="135" spans="2:4">
      <c r="B135" s="842">
        <v>1491110013</v>
      </c>
      <c r="C135" s="842" t="s">
        <v>2962</v>
      </c>
      <c r="D135" s="1178">
        <f>+IFERROR(+VLOOKUP(B135,SAP!$I$10:$K$560,3,0),0)</f>
        <v>204867552</v>
      </c>
    </row>
    <row r="136" spans="2:4">
      <c r="B136" s="842">
        <v>1491110014</v>
      </c>
      <c r="C136" s="842" t="s">
        <v>2963</v>
      </c>
      <c r="D136" s="1178">
        <f>+IFERROR(+VLOOKUP(B136,SAP!$I$10:$K$560,3,0),0)</f>
        <v>6041283</v>
      </c>
    </row>
    <row r="137" spans="2:4">
      <c r="B137" s="842">
        <v>1491110015</v>
      </c>
      <c r="C137" s="842" t="s">
        <v>2964</v>
      </c>
      <c r="D137" s="1178">
        <f>+IFERROR(+VLOOKUP(B137,SAP!$I$10:$K$560,3,0),0)</f>
        <v>175607097</v>
      </c>
    </row>
    <row r="138" spans="2:4">
      <c r="B138" s="842">
        <v>1491110100</v>
      </c>
      <c r="C138" s="842" t="s">
        <v>2965</v>
      </c>
      <c r="D138" s="1178">
        <f>+IFERROR(+VLOOKUP(B138,SAP!$I$10:$K$560,3,0),0)</f>
        <v>322386946</v>
      </c>
    </row>
    <row r="139" spans="2:4">
      <c r="B139" s="842">
        <v>1541110000</v>
      </c>
      <c r="C139" s="842" t="s">
        <v>2821</v>
      </c>
      <c r="D139" s="1178">
        <f>+IFERROR(+VLOOKUP(B139,SAP!$I$10:$K$560,3,0),0)</f>
        <v>565018613</v>
      </c>
    </row>
    <row r="140" spans="2:4">
      <c r="B140" s="842">
        <v>1541180000</v>
      </c>
      <c r="C140" s="842" t="s">
        <v>2966</v>
      </c>
      <c r="D140" s="1178">
        <f>+IFERROR(+VLOOKUP(B140,SAP!$I$10:$K$560,3,0),0)</f>
        <v>-349126788</v>
      </c>
    </row>
    <row r="141" spans="2:4">
      <c r="B141" s="842">
        <v>1551110000</v>
      </c>
      <c r="C141" s="842" t="s">
        <v>2967</v>
      </c>
      <c r="D141" s="1178">
        <f>+IFERROR(+VLOOKUP(B141,SAP!$I$10:$K$560,3,0),0)</f>
        <v>4074946970</v>
      </c>
    </row>
    <row r="142" spans="2:4">
      <c r="B142" s="842">
        <v>1551180000</v>
      </c>
      <c r="C142" s="842" t="s">
        <v>2968</v>
      </c>
      <c r="D142" s="1178">
        <f>+IFERROR(+VLOOKUP(B142,SAP!$I$10:$K$560,3,0),0)</f>
        <v>-2633423524</v>
      </c>
    </row>
    <row r="143" spans="2:4">
      <c r="B143" s="842">
        <v>1551180001</v>
      </c>
      <c r="C143" s="842" t="s">
        <v>2969</v>
      </c>
      <c r="D143" s="1178">
        <f>+IFERROR(+VLOOKUP(B143,SAP!$I$10:$K$560,3,0),0)</f>
        <v>-182026222</v>
      </c>
    </row>
    <row r="144" spans="2:4">
      <c r="B144" s="842">
        <v>1552110000</v>
      </c>
      <c r="C144" s="842" t="s">
        <v>2970</v>
      </c>
      <c r="D144" s="1178">
        <f>+IFERROR(+VLOOKUP(B144,SAP!$I$10:$K$560,3,0),0)</f>
        <v>20936728</v>
      </c>
    </row>
    <row r="145" spans="2:4">
      <c r="B145" s="842">
        <v>1552180000</v>
      </c>
      <c r="C145" s="842" t="s">
        <v>2971</v>
      </c>
      <c r="D145" s="1178">
        <f>+IFERROR(+VLOOKUP(B145,SAP!$I$10:$K$560,3,0),0)</f>
        <v>-14832362</v>
      </c>
    </row>
    <row r="146" spans="2:4">
      <c r="B146" s="842">
        <v>1553110000</v>
      </c>
      <c r="C146" s="842" t="s">
        <v>2972</v>
      </c>
      <c r="D146" s="1178">
        <f>+IFERROR(+VLOOKUP(B146,SAP!$I$10:$K$560,3,0),0)</f>
        <v>909595578</v>
      </c>
    </row>
    <row r="147" spans="2:4">
      <c r="B147" s="842">
        <v>1553180000</v>
      </c>
      <c r="C147" s="842" t="s">
        <v>2973</v>
      </c>
      <c r="D147" s="1178">
        <f>+IFERROR(+VLOOKUP(B147,SAP!$I$10:$K$560,3,0),0)</f>
        <v>-836942194</v>
      </c>
    </row>
    <row r="148" spans="2:4">
      <c r="B148" s="842">
        <v>1554110000</v>
      </c>
      <c r="C148" s="842" t="s">
        <v>2974</v>
      </c>
      <c r="D148" s="1178">
        <f>+IFERROR(+VLOOKUP(B148,SAP!$I$10:$K$560,3,0),0)</f>
        <v>4051163792</v>
      </c>
    </row>
    <row r="149" spans="2:4">
      <c r="B149" s="842">
        <v>1554180000</v>
      </c>
      <c r="C149" s="842" t="s">
        <v>2975</v>
      </c>
      <c r="D149" s="1178">
        <f>+IFERROR(+VLOOKUP(B149,SAP!$I$10:$K$560,3,0),0)</f>
        <v>-3864308754</v>
      </c>
    </row>
    <row r="150" spans="2:4">
      <c r="B150" s="842">
        <v>1558100000</v>
      </c>
      <c r="C150" s="842" t="s">
        <v>2976</v>
      </c>
      <c r="D150" s="1178">
        <f>+IFERROR(+VLOOKUP(B150,SAP!$I$10:$K$560,3,0),0)</f>
        <v>5842040330</v>
      </c>
    </row>
    <row r="151" spans="2:4">
      <c r="B151" s="842">
        <v>1558300000</v>
      </c>
      <c r="C151" s="842" t="s">
        <v>2977</v>
      </c>
      <c r="D151" s="1178">
        <f>+IFERROR(+VLOOKUP(B151,SAP!$I$10:$K$560,3,0),0)</f>
        <v>-848771120</v>
      </c>
    </row>
    <row r="152" spans="2:4">
      <c r="B152" s="842">
        <v>1558300001</v>
      </c>
      <c r="C152" s="842" t="s">
        <v>2977</v>
      </c>
      <c r="D152" s="1178">
        <f>+IFERROR(+VLOOKUP(B152,SAP!$I$10:$K$560,3,0),0)</f>
        <v>-511335170</v>
      </c>
    </row>
    <row r="153" spans="2:4">
      <c r="B153" s="842">
        <v>1559110001</v>
      </c>
      <c r="C153" s="842" t="s">
        <v>2978</v>
      </c>
      <c r="D153" s="1178">
        <f>+IFERROR(+VLOOKUP(B153,SAP!$I$10:$K$560,3,0),0)</f>
        <v>-170086001</v>
      </c>
    </row>
    <row r="154" spans="2:4">
      <c r="B154" s="842">
        <v>1559210000</v>
      </c>
      <c r="C154" s="842" t="s">
        <v>2979</v>
      </c>
      <c r="D154" s="1178">
        <f>+IFERROR(+VLOOKUP(B154,SAP!$I$10:$K$560,3,0),0)</f>
        <v>403410330</v>
      </c>
    </row>
    <row r="155" spans="2:4">
      <c r="B155" s="842">
        <v>1581400000</v>
      </c>
      <c r="C155" s="842" t="s">
        <v>2835</v>
      </c>
      <c r="D155" s="1178">
        <f>+IFERROR(+VLOOKUP(B155,SAP!$I$10:$K$560,3,0),0)</f>
        <v>1349764990</v>
      </c>
    </row>
    <row r="156" spans="2:4">
      <c r="B156" s="842">
        <v>1591000000</v>
      </c>
      <c r="C156" s="842" t="s">
        <v>2980</v>
      </c>
      <c r="D156" s="1178">
        <f>+IFERROR(+VLOOKUP(B156,SAP!$I$10:$K$560,3,0),0)</f>
        <v>12750062181</v>
      </c>
    </row>
    <row r="157" spans="2:4">
      <c r="B157" s="842">
        <v>1722300000</v>
      </c>
      <c r="C157" s="842" t="s">
        <v>2981</v>
      </c>
      <c r="D157" s="1178">
        <f>+IFERROR(+VLOOKUP(B157,SAP!$I$10:$K$560,3,0),0)</f>
        <v>-660104493</v>
      </c>
    </row>
    <row r="158" spans="2:4">
      <c r="B158" s="842">
        <v>2020110000</v>
      </c>
      <c r="C158" s="842" t="s">
        <v>2982</v>
      </c>
      <c r="D158" s="1178">
        <f>+IFERROR(+VLOOKUP(B158,SAP!$I$10:$K$560,3,0),0)</f>
        <v>-1495813864013</v>
      </c>
    </row>
    <row r="159" spans="2:4">
      <c r="B159" s="842">
        <v>2020110005</v>
      </c>
      <c r="C159" s="842" t="s">
        <v>2983</v>
      </c>
      <c r="D159" s="1178">
        <f>+IFERROR(+VLOOKUP(B159,SAP!$I$10:$K$560,3,0),0)</f>
        <v>-34625495611</v>
      </c>
    </row>
    <row r="160" spans="2:4">
      <c r="B160" s="842">
        <v>2020110039</v>
      </c>
      <c r="C160" s="842" t="s">
        <v>2984</v>
      </c>
      <c r="D160" s="1178">
        <f>+IFERROR(+VLOOKUP(B160,SAP!$I$10:$K$560,3,0),0)</f>
        <v>-495497091</v>
      </c>
    </row>
    <row r="161" spans="2:4">
      <c r="B161" s="842">
        <v>2020110050</v>
      </c>
      <c r="C161" s="842" t="s">
        <v>2985</v>
      </c>
      <c r="D161" s="1178">
        <f>+IFERROR(+VLOOKUP(B161,SAP!$I$10:$K$560,3,0),0)</f>
        <v>-14009815502</v>
      </c>
    </row>
    <row r="162" spans="2:4">
      <c r="B162" s="842">
        <v>2020170000</v>
      </c>
      <c r="C162" s="842" t="s">
        <v>2986</v>
      </c>
      <c r="D162" s="1178">
        <f>+IFERROR(+VLOOKUP(B162,SAP!$I$10:$K$560,3,0),0)</f>
        <v>-15621001909</v>
      </c>
    </row>
    <row r="163" spans="2:4">
      <c r="B163" s="842">
        <v>2020310000</v>
      </c>
      <c r="C163" s="842" t="s">
        <v>2987</v>
      </c>
      <c r="D163" s="1178">
        <f>+IFERROR(+VLOOKUP(B163,SAP!$I$10:$K$560,3,0),0)</f>
        <v>20502789206</v>
      </c>
    </row>
    <row r="164" spans="2:4">
      <c r="B164" s="842">
        <v>2020380000</v>
      </c>
      <c r="C164" s="842" t="s">
        <v>2988</v>
      </c>
      <c r="D164" s="1178">
        <f>+IFERROR(+VLOOKUP(B164,SAP!$I$10:$K$560,3,0),0)</f>
        <v>367717007</v>
      </c>
    </row>
    <row r="165" spans="2:4">
      <c r="B165" s="842">
        <v>2030100000</v>
      </c>
      <c r="C165" s="842" t="s">
        <v>2989</v>
      </c>
      <c r="D165" s="1178">
        <f>+IFERROR(+VLOOKUP(B165,SAP!$I$10:$K$560,3,0),0)</f>
        <v>-82465329027</v>
      </c>
    </row>
    <row r="166" spans="2:4">
      <c r="B166" s="842">
        <v>2042100000</v>
      </c>
      <c r="C166" s="842" t="s">
        <v>2990</v>
      </c>
      <c r="D166" s="1178">
        <f>+IFERROR(+VLOOKUP(B166,SAP!$I$10:$K$560,3,0),0)</f>
        <v>-293357523</v>
      </c>
    </row>
    <row r="167" spans="2:4">
      <c r="B167" s="842">
        <v>2042100002</v>
      </c>
      <c r="C167" s="842" t="s">
        <v>2991</v>
      </c>
      <c r="D167" s="1178">
        <f>+IFERROR(+VLOOKUP(B167,SAP!$I$10:$K$560,3,0),0)</f>
        <v>-197323769</v>
      </c>
    </row>
    <row r="168" spans="2:4">
      <c r="B168" s="842">
        <v>2071120000</v>
      </c>
      <c r="C168" s="842" t="s">
        <v>2992</v>
      </c>
      <c r="D168" s="1178">
        <f>+IFERROR(+VLOOKUP(B168,SAP!$I$10:$K$560,3,0),0)</f>
        <v>-1149848504</v>
      </c>
    </row>
    <row r="169" spans="2:4">
      <c r="B169" s="842">
        <v>2071320000</v>
      </c>
      <c r="C169" s="842" t="s">
        <v>2993</v>
      </c>
      <c r="D169" s="1178">
        <f>+IFERROR(+VLOOKUP(B169,SAP!$I$10:$K$560,3,0),0)</f>
        <v>711466380</v>
      </c>
    </row>
    <row r="170" spans="2:4">
      <c r="B170" s="842">
        <v>2071331000</v>
      </c>
      <c r="C170" s="842" t="s">
        <v>2994</v>
      </c>
      <c r="D170" s="1178">
        <f>+IFERROR(+VLOOKUP(B170,SAP!$I$10:$K$560,3,0),0)</f>
        <v>-101934877397</v>
      </c>
    </row>
    <row r="171" spans="2:4">
      <c r="B171" s="842">
        <v>2071331029</v>
      </c>
      <c r="C171" s="842" t="s">
        <v>2995</v>
      </c>
      <c r="D171" s="1178">
        <f>+IFERROR(+VLOOKUP(B171,SAP!$I$10:$K$560,3,0),0)</f>
        <v>-30157397561</v>
      </c>
    </row>
    <row r="172" spans="2:4">
      <c r="B172" s="842">
        <v>2071333000</v>
      </c>
      <c r="C172" s="842" t="s">
        <v>2996</v>
      </c>
      <c r="D172" s="1178">
        <f>+IFERROR(+VLOOKUP(B172,SAP!$I$10:$K$560,3,0),0)</f>
        <v>37725919595</v>
      </c>
    </row>
    <row r="173" spans="2:4">
      <c r="B173" s="842">
        <v>2071333001</v>
      </c>
      <c r="C173" s="842" t="s">
        <v>2997</v>
      </c>
      <c r="D173" s="1178">
        <f>+IFERROR(+VLOOKUP(B173,SAP!$I$10:$K$560,3,0),0)</f>
        <v>9212932336</v>
      </c>
    </row>
    <row r="174" spans="2:4">
      <c r="B174" s="842">
        <v>2080100001</v>
      </c>
      <c r="C174" s="842" t="s">
        <v>2998</v>
      </c>
      <c r="D174" s="1178">
        <f>+IFERROR(+VLOOKUP(B174,SAP!$I$10:$K$560,3,0),0)</f>
        <v>-5564253353</v>
      </c>
    </row>
    <row r="175" spans="2:4">
      <c r="B175" s="842">
        <v>2080100002</v>
      </c>
      <c r="C175" s="842" t="s">
        <v>2999</v>
      </c>
      <c r="D175" s="1178">
        <f>+IFERROR(+VLOOKUP(B175,SAP!$I$10:$K$560,3,0),0)</f>
        <v>-275946923</v>
      </c>
    </row>
    <row r="176" spans="2:4">
      <c r="B176" s="842">
        <v>2080100010</v>
      </c>
      <c r="C176" s="842" t="s">
        <v>3000</v>
      </c>
      <c r="D176" s="1178">
        <f>+IFERROR(+VLOOKUP(B176,SAP!$I$10:$K$560,3,0),0)</f>
        <v>-148713568110</v>
      </c>
    </row>
    <row r="177" spans="2:5">
      <c r="B177" s="842">
        <v>2080100019</v>
      </c>
      <c r="C177" s="842" t="s">
        <v>3001</v>
      </c>
      <c r="D177" s="1178">
        <f>+IFERROR(+VLOOKUP(B177,SAP!$I$10:$K$560,3,0),0)</f>
        <v>-123940960</v>
      </c>
    </row>
    <row r="178" spans="2:5">
      <c r="B178" s="842">
        <v>2211000000</v>
      </c>
      <c r="C178" s="842" t="s">
        <v>3002</v>
      </c>
      <c r="D178" s="1178">
        <f>+IFERROR(+VLOOKUP(B178,SAP!$I$10:$K$560,3,0),0)</f>
        <v>-660903380</v>
      </c>
      <c r="E178" s="827"/>
    </row>
    <row r="179" spans="2:5">
      <c r="B179" s="842">
        <v>2211040003</v>
      </c>
      <c r="C179" s="842" t="s">
        <v>3003</v>
      </c>
      <c r="D179" s="1178">
        <f>+IFERROR(+VLOOKUP(B179,SAP!$I$10:$K$560,3,0),0)</f>
        <v>-11854372</v>
      </c>
    </row>
    <row r="180" spans="2:5">
      <c r="B180" s="842">
        <v>2221020002</v>
      </c>
      <c r="C180" s="842" t="s">
        <v>3004</v>
      </c>
      <c r="D180" s="1178">
        <f>+IFERROR(+VLOOKUP(B180,SAP!$I$10:$K$560,3,0),0)</f>
        <v>-985088058</v>
      </c>
    </row>
    <row r="181" spans="2:5">
      <c r="B181" s="842">
        <v>2221030006</v>
      </c>
      <c r="C181" s="842" t="s">
        <v>3005</v>
      </c>
      <c r="D181" s="1178">
        <f>+IFERROR(+VLOOKUP(B181,SAP!$I$10:$K$560,3,0),0)</f>
        <v>-1110180802</v>
      </c>
    </row>
    <row r="182" spans="2:5">
      <c r="B182" s="842">
        <v>2221700101</v>
      </c>
      <c r="C182" s="842" t="s">
        <v>3006</v>
      </c>
      <c r="D182" s="1178">
        <f>+IFERROR(+VLOOKUP(B182,SAP!$I$10:$K$560,3,0),0)</f>
        <v>516915324</v>
      </c>
    </row>
    <row r="183" spans="2:5">
      <c r="B183" s="842">
        <v>2231700012</v>
      </c>
      <c r="C183" s="842" t="s">
        <v>3007</v>
      </c>
      <c r="D183" s="1178">
        <f>+IFERROR(+VLOOKUP(B183,SAP!$I$10:$K$560,3,0),0)</f>
        <v>-52247769</v>
      </c>
    </row>
    <row r="184" spans="2:5">
      <c r="B184" s="842">
        <v>2231700014</v>
      </c>
      <c r="C184" s="842" t="s">
        <v>3008</v>
      </c>
      <c r="D184" s="1178">
        <f>+IFERROR(+VLOOKUP(B184,SAP!$I$10:$K$560,3,0),0)</f>
        <v>-228368</v>
      </c>
    </row>
    <row r="185" spans="2:5">
      <c r="B185" s="842">
        <v>2311010000</v>
      </c>
      <c r="C185" s="842" t="s">
        <v>3009</v>
      </c>
      <c r="D185" s="1178">
        <f>+IFERROR(+VLOOKUP(B185,SAP!$I$10:$K$560,3,0),0)</f>
        <v>-20345053882</v>
      </c>
    </row>
    <row r="186" spans="2:5">
      <c r="B186" s="842">
        <v>2311011100</v>
      </c>
      <c r="C186" s="842" t="s">
        <v>3010</v>
      </c>
      <c r="D186" s="1178">
        <f>+IFERROR(+VLOOKUP(B186,SAP!$I$10:$K$560,3,0),0)</f>
        <v>-12470912735</v>
      </c>
    </row>
    <row r="187" spans="2:5">
      <c r="B187" s="842">
        <v>2413100000</v>
      </c>
      <c r="C187" s="842" t="s">
        <v>3011</v>
      </c>
      <c r="D187" s="1178">
        <f>+IFERROR(+VLOOKUP(B187,SAP!$I$10:$K$560,3,0),0)</f>
        <v>-4257681675</v>
      </c>
    </row>
    <row r="188" spans="2:5">
      <c r="B188" s="842">
        <v>2441111000</v>
      </c>
      <c r="C188" s="842" t="s">
        <v>3012</v>
      </c>
      <c r="D188" s="1178">
        <f>+IFERROR(+VLOOKUP(B188,SAP!$I$10:$K$560,3,0),0)</f>
        <v>-1763162</v>
      </c>
    </row>
    <row r="189" spans="2:5">
      <c r="B189" s="842">
        <v>2441112000</v>
      </c>
      <c r="C189" s="842" t="s">
        <v>3013</v>
      </c>
      <c r="D189" s="1178">
        <f>+IFERROR(+VLOOKUP(B189,SAP!$I$10:$K$560,3,0),0)</f>
        <v>-241188946</v>
      </c>
    </row>
    <row r="190" spans="2:5">
      <c r="B190" s="842">
        <v>2441112012</v>
      </c>
      <c r="C190" s="842" t="s">
        <v>3014</v>
      </c>
      <c r="D190" s="1178">
        <f>+IFERROR(+VLOOKUP(B190,SAP!$I$10:$K$560,3,0),0)</f>
        <v>0</v>
      </c>
    </row>
    <row r="191" spans="2:5">
      <c r="B191" s="842">
        <v>2441112028</v>
      </c>
      <c r="C191" s="842" t="s">
        <v>3015</v>
      </c>
      <c r="D191" s="1178">
        <f>+IFERROR(+VLOOKUP(B191,SAP!$I$10:$K$560,3,0),0)</f>
        <v>-73580623</v>
      </c>
    </row>
    <row r="192" spans="2:5">
      <c r="B192" s="842">
        <v>2441112032</v>
      </c>
      <c r="C192" s="842" t="s">
        <v>3016</v>
      </c>
      <c r="D192" s="1178">
        <f>+IFERROR(+VLOOKUP(B192,SAP!$I$10:$K$560,3,0),0)</f>
        <v>-863558355</v>
      </c>
    </row>
    <row r="193" spans="2:4">
      <c r="B193" s="842">
        <v>2441112046</v>
      </c>
      <c r="C193" s="842" t="s">
        <v>3017</v>
      </c>
      <c r="D193" s="1178">
        <f>+IFERROR(+VLOOKUP(B193,SAP!$I$10:$K$560,3,0),0)</f>
        <v>-12556000</v>
      </c>
    </row>
    <row r="194" spans="2:4">
      <c r="B194" s="842">
        <v>2441112052</v>
      </c>
      <c r="C194" s="842" t="s">
        <v>3018</v>
      </c>
      <c r="D194" s="1178">
        <f>+IFERROR(+VLOOKUP(B194,SAP!$I$10:$K$560,3,0),0)</f>
        <v>-204030347</v>
      </c>
    </row>
    <row r="195" spans="2:4">
      <c r="B195" s="1168">
        <v>2441112056</v>
      </c>
      <c r="C195" s="1168" t="s">
        <v>3019</v>
      </c>
      <c r="D195" s="1178">
        <f>+IFERROR(+VLOOKUP(B195,SAP!$I$10:$K$560,3,0),0)</f>
        <v>1678727</v>
      </c>
    </row>
    <row r="196" spans="2:4">
      <c r="B196" s="842">
        <v>2441112160</v>
      </c>
      <c r="C196" s="842" t="s">
        <v>3020</v>
      </c>
      <c r="D196" s="1178">
        <f>+IFERROR(+VLOOKUP(B196,SAP!$I$10:$K$560,3,0),0)</f>
        <v>-423966098</v>
      </c>
    </row>
    <row r="197" spans="2:4">
      <c r="B197" s="842">
        <v>2441112200</v>
      </c>
      <c r="C197" s="842" t="s">
        <v>3021</v>
      </c>
      <c r="D197" s="1178">
        <f>+IFERROR(+VLOOKUP(B197,SAP!$I$10:$K$560,3,0),0)</f>
        <v>-225655262</v>
      </c>
    </row>
    <row r="198" spans="2:4">
      <c r="B198" s="842">
        <v>2441112300</v>
      </c>
      <c r="C198" s="842" t="s">
        <v>3022</v>
      </c>
      <c r="D198" s="1178">
        <f>+IFERROR(+VLOOKUP(B198,SAP!$I$10:$K$560,3,0),0)</f>
        <v>-1110336876</v>
      </c>
    </row>
    <row r="199" spans="2:4">
      <c r="B199" s="842">
        <v>2442100006</v>
      </c>
      <c r="C199" s="842" t="s">
        <v>3023</v>
      </c>
      <c r="D199" s="1178">
        <f>+IFERROR(+VLOOKUP(B199,SAP!$I$10:$K$560,3,0),0)</f>
        <v>19276497</v>
      </c>
    </row>
    <row r="200" spans="2:4">
      <c r="B200" s="842">
        <v>2442100010</v>
      </c>
      <c r="C200" s="842" t="s">
        <v>3024</v>
      </c>
      <c r="D200" s="1178">
        <f>+IFERROR(+VLOOKUP(B200,SAP!$I$10:$K$560,3,0),0)</f>
        <v>-1033315221</v>
      </c>
    </row>
    <row r="201" spans="2:4">
      <c r="B201" s="842">
        <v>2442300000</v>
      </c>
      <c r="C201" s="842" t="s">
        <v>3025</v>
      </c>
      <c r="D201" s="1178">
        <f>+IFERROR(+VLOOKUP(B201,SAP!$I$10:$K$560,3,0),0)</f>
        <v>-171539024</v>
      </c>
    </row>
    <row r="202" spans="2:4">
      <c r="B202" s="842">
        <v>2442300003</v>
      </c>
      <c r="C202" s="842" t="s">
        <v>3026</v>
      </c>
      <c r="D202" s="1178">
        <f>+IFERROR(+VLOOKUP(B202,SAP!$I$10:$K$560,3,0),0)</f>
        <v>-22673898</v>
      </c>
    </row>
    <row r="203" spans="2:4">
      <c r="B203" s="842">
        <v>2442300011</v>
      </c>
      <c r="C203" s="842" t="s">
        <v>3027</v>
      </c>
      <c r="D203" s="1178">
        <f>+IFERROR(+VLOOKUP(B203,SAP!$I$10:$K$560,3,0),0)</f>
        <v>-547619914</v>
      </c>
    </row>
    <row r="204" spans="2:4">
      <c r="B204" s="844">
        <v>2442850000</v>
      </c>
      <c r="C204" s="844" t="s">
        <v>3028</v>
      </c>
      <c r="D204" s="1178">
        <f>+IFERROR(+VLOOKUP(B204,SAP!$I$10:$K$560,3,0),0)</f>
        <v>-3542856307</v>
      </c>
    </row>
    <row r="205" spans="2:4">
      <c r="B205" s="842">
        <v>2443010007</v>
      </c>
      <c r="C205" s="842" t="s">
        <v>3029</v>
      </c>
      <c r="D205" s="1178">
        <f>+IFERROR(+VLOOKUP(B205,SAP!$I$10:$K$560,3,0),0)</f>
        <v>-68327344</v>
      </c>
    </row>
    <row r="206" spans="2:4">
      <c r="B206" s="1168">
        <v>2443010008</v>
      </c>
      <c r="C206" s="1168" t="s">
        <v>3030</v>
      </c>
      <c r="D206" s="1178">
        <f>+IFERROR(+VLOOKUP(B206,SAP!$I$10:$K$560,3,0),0)</f>
        <v>39196882</v>
      </c>
    </row>
    <row r="207" spans="2:4">
      <c r="B207" s="842">
        <v>2443010022</v>
      </c>
      <c r="C207" s="842" t="s">
        <v>3031</v>
      </c>
      <c r="D207" s="1178">
        <f>+IFERROR(+VLOOKUP(B207,SAP!$I$10:$K$560,3,0),0)</f>
        <v>-778392</v>
      </c>
    </row>
    <row r="208" spans="2:4">
      <c r="B208" s="842">
        <v>2443010026</v>
      </c>
      <c r="C208" s="842" t="s">
        <v>3032</v>
      </c>
      <c r="D208" s="1178">
        <f>+IFERROR(+VLOOKUP(B208,SAP!$I$10:$K$560,3,0),0)</f>
        <v>-29714445</v>
      </c>
    </row>
    <row r="209" spans="2:4">
      <c r="B209" s="842">
        <v>2443010029</v>
      </c>
      <c r="C209" s="842" t="s">
        <v>3746</v>
      </c>
      <c r="D209" s="1178">
        <f>+IFERROR(+VLOOKUP(B209,SAP!$I$10:$K$560,3,0),0)</f>
        <v>-2180154346</v>
      </c>
    </row>
    <row r="210" spans="2:4">
      <c r="B210" s="842">
        <v>2443510046</v>
      </c>
      <c r="C210" s="842" t="s">
        <v>3033</v>
      </c>
      <c r="D210" s="1178">
        <f>+IFERROR(+VLOOKUP(B210,SAP!$I$10:$K$560,3,0),0)</f>
        <v>-1295862412</v>
      </c>
    </row>
    <row r="211" spans="2:4">
      <c r="B211" s="842">
        <v>2455200004</v>
      </c>
      <c r="C211" s="842" t="s">
        <v>3034</v>
      </c>
      <c r="D211" s="1178">
        <f>+IFERROR(+VLOOKUP(B211,SAP!$I$10:$K$560,3,0),0)</f>
        <v>-9096199</v>
      </c>
    </row>
    <row r="212" spans="2:4">
      <c r="B212" s="842">
        <v>2456100009</v>
      </c>
      <c r="C212" s="842" t="s">
        <v>3035</v>
      </c>
      <c r="D212" s="1178">
        <f>+IFERROR(+VLOOKUP(B212,SAP!$I$10:$K$560,3,0),0)</f>
        <v>-513652</v>
      </c>
    </row>
    <row r="213" spans="2:4">
      <c r="B213" s="842">
        <v>2456200002</v>
      </c>
      <c r="C213" s="842" t="s">
        <v>3036</v>
      </c>
      <c r="D213" s="1178">
        <f>+IFERROR(+VLOOKUP(B213,SAP!$I$10:$K$560,3,0),0)</f>
        <v>406799593</v>
      </c>
    </row>
    <row r="214" spans="2:4">
      <c r="B214" s="842">
        <v>2456300002</v>
      </c>
      <c r="C214" s="842" t="s">
        <v>3037</v>
      </c>
      <c r="D214" s="1178">
        <f>+IFERROR(+VLOOKUP(B214,SAP!$I$10:$K$560,3,0),0)</f>
        <v>-904586394</v>
      </c>
    </row>
    <row r="215" spans="2:4">
      <c r="B215" s="842">
        <v>2471010003</v>
      </c>
      <c r="C215" s="842" t="s">
        <v>3038</v>
      </c>
      <c r="D215" s="1178">
        <f>+IFERROR(+VLOOKUP(B215,SAP!$I$10:$K$560,3,0),0)</f>
        <v>-523262959</v>
      </c>
    </row>
    <row r="216" spans="2:4">
      <c r="B216" s="844">
        <v>2471010004</v>
      </c>
      <c r="C216" s="844" t="s">
        <v>3039</v>
      </c>
      <c r="D216" s="1178">
        <f>+IFERROR(+VLOOKUP(B216,SAP!$I$10:$K$560,3,0),0)</f>
        <v>0</v>
      </c>
    </row>
    <row r="217" spans="2:4">
      <c r="B217" s="842">
        <v>2490210000</v>
      </c>
      <c r="C217" s="842" t="s">
        <v>3040</v>
      </c>
      <c r="D217" s="1178">
        <f>+IFERROR(+VLOOKUP(B217,SAP!$I$10:$K$560,3,0),0)</f>
        <v>-954457762</v>
      </c>
    </row>
    <row r="218" spans="2:4">
      <c r="B218" s="1168">
        <v>2490500003</v>
      </c>
      <c r="C218" s="1168" t="s">
        <v>3041</v>
      </c>
      <c r="D218" s="1178">
        <f>+IFERROR(+VLOOKUP(B218,SAP!$I$10:$K$560,3,0),0)</f>
        <v>-353973599</v>
      </c>
    </row>
    <row r="219" spans="2:4">
      <c r="B219" s="842">
        <v>2490500009</v>
      </c>
      <c r="C219" s="842" t="s">
        <v>3042</v>
      </c>
      <c r="D219" s="1178">
        <f>+IFERROR(+VLOOKUP(B219,SAP!$I$10:$K$560,3,0),0)</f>
        <v>254886</v>
      </c>
    </row>
    <row r="220" spans="2:4">
      <c r="B220" s="842">
        <v>2490500014</v>
      </c>
      <c r="C220" s="842" t="s">
        <v>3043</v>
      </c>
      <c r="D220" s="1178">
        <f>+IFERROR(+VLOOKUP(B220,SAP!$I$10:$K$560,3,0),0)</f>
        <v>-28819297</v>
      </c>
    </row>
    <row r="221" spans="2:4">
      <c r="B221" s="842">
        <v>2490500043</v>
      </c>
      <c r="C221" s="842" t="s">
        <v>3044</v>
      </c>
      <c r="D221" s="1178">
        <f>+IFERROR(+VLOOKUP(B221,SAP!$I$10:$K$560,3,0),0)</f>
        <v>-4773204</v>
      </c>
    </row>
    <row r="222" spans="2:4">
      <c r="B222" s="842">
        <v>2490500048</v>
      </c>
      <c r="C222" s="842" t="s">
        <v>3045</v>
      </c>
      <c r="D222" s="1178">
        <f>+IFERROR(+VLOOKUP(B222,SAP!$I$10:$K$560,3,0),0)</f>
        <v>-1214136</v>
      </c>
    </row>
    <row r="223" spans="2:4">
      <c r="B223" s="842">
        <v>2490500054</v>
      </c>
      <c r="C223" s="842" t="s">
        <v>3046</v>
      </c>
      <c r="D223" s="1178">
        <f>+IFERROR(+VLOOKUP(B223,SAP!$I$10:$K$560,3,0),0)</f>
        <v>-8302644</v>
      </c>
    </row>
    <row r="224" spans="2:4">
      <c r="B224" s="842">
        <v>2490910030</v>
      </c>
      <c r="C224" s="842" t="s">
        <v>3047</v>
      </c>
      <c r="D224" s="1178">
        <f>+IFERROR(+VLOOKUP(B224,SAP!$I$10:$K$560,3,0),0)</f>
        <v>-18053654</v>
      </c>
    </row>
    <row r="225" spans="2:4">
      <c r="B225" s="842">
        <v>2490910031</v>
      </c>
      <c r="C225" s="842" t="s">
        <v>3445</v>
      </c>
      <c r="D225" s="1178">
        <f>+IFERROR(+VLOOKUP(B225,SAP!$I$10:$K$560,3,0),0)</f>
        <v>-645319</v>
      </c>
    </row>
    <row r="226" spans="2:4">
      <c r="B226" s="842">
        <v>2521210000</v>
      </c>
      <c r="C226" s="842" t="s">
        <v>3048</v>
      </c>
      <c r="D226" s="1178">
        <f>+IFERROR(+VLOOKUP(B226,SAP!$I$10:$K$560,3,0),0)</f>
        <v>-691953352</v>
      </c>
    </row>
    <row r="227" spans="2:4">
      <c r="B227" s="842">
        <v>2522140000</v>
      </c>
      <c r="C227" s="842" t="s">
        <v>3049</v>
      </c>
      <c r="D227" s="1178">
        <f>+IFERROR(+VLOOKUP(B227,SAP!$I$10:$K$560,3,0),0)</f>
        <v>0</v>
      </c>
    </row>
    <row r="228" spans="2:4">
      <c r="B228" s="842">
        <v>2522190000</v>
      </c>
      <c r="C228" s="842" t="s">
        <v>3050</v>
      </c>
      <c r="D228" s="1178">
        <f>+IFERROR(+VLOOKUP(B228,SAP!$I$10:$K$560,3,0),0)</f>
        <v>0</v>
      </c>
    </row>
    <row r="229" spans="2:4">
      <c r="B229" s="844">
        <v>2525110000</v>
      </c>
      <c r="C229" s="844" t="s">
        <v>3018</v>
      </c>
      <c r="D229" s="1178">
        <f>+IFERROR(+VLOOKUP(B229,SAP!$I$10:$K$560,3,0),0)</f>
        <v>-363303412</v>
      </c>
    </row>
    <row r="230" spans="2:4">
      <c r="B230" s="842">
        <v>2525110006</v>
      </c>
      <c r="C230" s="842" t="s">
        <v>3051</v>
      </c>
      <c r="D230" s="1178">
        <f>+IFERROR(+VLOOKUP(B230,SAP!$I$10:$K$560,3,0),0)</f>
        <v>-629417532</v>
      </c>
    </row>
    <row r="231" spans="2:4">
      <c r="B231" s="842">
        <v>2529020100</v>
      </c>
      <c r="C231" s="842" t="s">
        <v>3052</v>
      </c>
      <c r="D231" s="1178">
        <f>+IFERROR(+VLOOKUP(B231,SAP!$I$10:$K$560,3,0),0)</f>
        <v>-216253391</v>
      </c>
    </row>
    <row r="232" spans="2:4">
      <c r="B232" s="842">
        <v>2529110000</v>
      </c>
      <c r="C232" s="842" t="s">
        <v>3053</v>
      </c>
      <c r="D232" s="1178">
        <f>+IFERROR(+VLOOKUP(B232,SAP!$I$10:$K$560,3,0),0)</f>
        <v>-1950482509</v>
      </c>
    </row>
    <row r="233" spans="2:4">
      <c r="B233" s="842">
        <v>2539999100</v>
      </c>
      <c r="C233" s="842" t="s">
        <v>3054</v>
      </c>
      <c r="D233" s="1178">
        <f>+IFERROR(+VLOOKUP(B233,SAP!$I$10:$K$560,3,0),0)</f>
        <v>-1573441</v>
      </c>
    </row>
    <row r="234" spans="2:4">
      <c r="B234" s="842">
        <v>2539999200</v>
      </c>
      <c r="C234" s="842" t="s">
        <v>3055</v>
      </c>
      <c r="D234" s="1178">
        <f>+IFERROR(+VLOOKUP(B234,SAP!$I$10:$K$560,3,0),0)</f>
        <v>14401801</v>
      </c>
    </row>
    <row r="235" spans="2:4">
      <c r="B235" s="1168">
        <v>2612110000</v>
      </c>
      <c r="C235" s="1168" t="s">
        <v>2897</v>
      </c>
      <c r="D235" s="1178">
        <f>+IFERROR(+VLOOKUP(B235,SAP!$I$10:$K$560,3,0),0)</f>
        <v>0</v>
      </c>
    </row>
    <row r="236" spans="2:4">
      <c r="B236" s="842">
        <v>2616310000</v>
      </c>
      <c r="C236" s="842" t="s">
        <v>2898</v>
      </c>
      <c r="D236" s="1178">
        <f>+IFERROR(+VLOOKUP(B236,SAP!$I$10:$K$560,3,0),0)</f>
        <v>-69590312262</v>
      </c>
    </row>
    <row r="237" spans="2:4">
      <c r="B237" s="842">
        <v>2675100000</v>
      </c>
      <c r="C237" s="842" t="s">
        <v>3056</v>
      </c>
      <c r="D237" s="1178">
        <f>+IFERROR(+VLOOKUP(B237,SAP!$I$10:$K$560,3,0),0)</f>
        <v>-9310170684</v>
      </c>
    </row>
    <row r="238" spans="2:4">
      <c r="B238" s="842">
        <v>2713000000</v>
      </c>
      <c r="C238" s="842" t="s">
        <v>3057</v>
      </c>
      <c r="D238" s="1178">
        <f>+IFERROR(+VLOOKUP(B238,SAP!$I$10:$K$560,3,0),0)</f>
        <v>93627637</v>
      </c>
    </row>
    <row r="239" spans="2:4">
      <c r="B239" s="842">
        <v>2723100000</v>
      </c>
      <c r="C239" s="842" t="s">
        <v>3058</v>
      </c>
      <c r="D239" s="1178">
        <f>+IFERROR(+VLOOKUP(B239,SAP!$I$10:$K$560,3,0),0)</f>
        <v>0</v>
      </c>
    </row>
    <row r="240" spans="2:4">
      <c r="B240" s="842">
        <v>2723100002</v>
      </c>
      <c r="C240" s="842" t="s">
        <v>3059</v>
      </c>
      <c r="D240" s="1178">
        <f>+IFERROR(+VLOOKUP(B240,SAP!$I$10:$K$560,3,0),0)</f>
        <v>-30742255</v>
      </c>
    </row>
    <row r="241" spans="2:4">
      <c r="B241" s="842">
        <v>2751110000</v>
      </c>
      <c r="C241" s="842" t="s">
        <v>3060</v>
      </c>
      <c r="D241" s="1178">
        <f>+IFERROR(+VLOOKUP(B241,SAP!$I$10:$K$560,3,0),0)</f>
        <v>-1857116141</v>
      </c>
    </row>
    <row r="242" spans="2:4">
      <c r="B242" s="842">
        <v>2751110023</v>
      </c>
      <c r="C242" s="842" t="s">
        <v>3061</v>
      </c>
      <c r="D242" s="1178">
        <f>+IFERROR(+VLOOKUP(B242,SAP!$I$10:$K$560,3,0),0)</f>
        <v>0</v>
      </c>
    </row>
    <row r="243" spans="2:4">
      <c r="B243" s="842">
        <v>2751212000</v>
      </c>
      <c r="C243" s="842" t="s">
        <v>3062</v>
      </c>
      <c r="D243" s="1178">
        <f>+IFERROR(+VLOOKUP(B243,SAP!$I$10:$K$560,3,0),0)</f>
        <v>-297108560</v>
      </c>
    </row>
    <row r="244" spans="2:4">
      <c r="B244" s="842">
        <v>2752410000</v>
      </c>
      <c r="C244" s="842" t="s">
        <v>3063</v>
      </c>
      <c r="D244" s="1178">
        <f>+IFERROR(+VLOOKUP(B244,SAP!$I$10:$K$560,3,0),0)</f>
        <v>-151811300</v>
      </c>
    </row>
    <row r="245" spans="2:4">
      <c r="B245" s="842">
        <v>2901000000</v>
      </c>
      <c r="C245" s="842" t="s">
        <v>3064</v>
      </c>
      <c r="D245" s="1178">
        <f>+IFERROR(+VLOOKUP(B245,SAP!$I$10:$K$560,3,0),0)</f>
        <v>-47032213922</v>
      </c>
    </row>
    <row r="246" spans="2:4">
      <c r="B246" s="844">
        <v>2922050102</v>
      </c>
      <c r="C246" s="844" t="s">
        <v>3065</v>
      </c>
      <c r="D246" s="1178">
        <f>+IFERROR(+VLOOKUP(B246,SAP!$I$10:$K$560,3,0),0)</f>
        <v>0</v>
      </c>
    </row>
    <row r="247" spans="2:4">
      <c r="B247" s="842">
        <v>2970100000</v>
      </c>
      <c r="C247" s="842" t="s">
        <v>3066</v>
      </c>
      <c r="D247" s="1178">
        <f>+IFERROR(+VLOOKUP(B247,SAP!$I$10:$K$560,3,0),0)</f>
        <v>-103996800912</v>
      </c>
    </row>
    <row r="248" spans="2:4">
      <c r="B248" s="842">
        <v>2970100006</v>
      </c>
      <c r="C248" s="842" t="s">
        <v>3067</v>
      </c>
      <c r="D248" s="1178">
        <f>+IFERROR(+VLOOKUP(B248,SAP!$I$10:$K$560,3,0),0)</f>
        <v>13863084334</v>
      </c>
    </row>
    <row r="249" spans="2:4">
      <c r="B249" s="842">
        <v>2970100007</v>
      </c>
      <c r="C249" s="842" t="s">
        <v>3068</v>
      </c>
      <c r="D249" s="1178">
        <f>+IFERROR(+VLOOKUP(B249,SAP!$I$10:$K$560,3,0),0)</f>
        <v>495497088</v>
      </c>
    </row>
    <row r="250" spans="2:4">
      <c r="B250" s="842">
        <v>2972100000</v>
      </c>
      <c r="C250" s="842" t="s">
        <v>3069</v>
      </c>
      <c r="D250" s="1178">
        <f>+IFERROR(+VLOOKUP(B250,SAP!$I$10:$K$560,3,0),0)</f>
        <v>0</v>
      </c>
    </row>
    <row r="251" spans="2:4">
      <c r="B251" s="842">
        <v>2972200000</v>
      </c>
      <c r="C251" s="842" t="s">
        <v>3069</v>
      </c>
      <c r="D251" s="1178">
        <f>+IFERROR(+VLOOKUP(B251,SAP!$I$10:$K$560,3,0),0)</f>
        <v>0</v>
      </c>
    </row>
    <row r="252" spans="2:4">
      <c r="B252" s="842">
        <v>2972400000</v>
      </c>
      <c r="C252" s="842" t="s">
        <v>3070</v>
      </c>
      <c r="D252" s="1178">
        <f>+IFERROR(+VLOOKUP(B252,SAP!$I$10:$K$560,3,0),0)</f>
        <v>0</v>
      </c>
    </row>
    <row r="253" spans="2:4">
      <c r="B253" s="842">
        <v>3010100000</v>
      </c>
      <c r="C253" s="842" t="s">
        <v>3071</v>
      </c>
      <c r="D253" s="1178">
        <f>+IFERROR(+VLOOKUP(B253,SAP!$I$10:$K$560,3,0),0)</f>
        <v>-88382085666</v>
      </c>
    </row>
    <row r="254" spans="2:4">
      <c r="B254" s="842">
        <v>3010100030</v>
      </c>
      <c r="C254" s="842" t="s">
        <v>3072</v>
      </c>
      <c r="D254" s="1178">
        <f>+IFERROR(+VLOOKUP(B254,SAP!$I$10:$K$560,3,0),0)</f>
        <v>-972444764</v>
      </c>
    </row>
    <row r="255" spans="2:4">
      <c r="B255" s="842">
        <v>3010500002</v>
      </c>
      <c r="C255" s="842" t="s">
        <v>3073</v>
      </c>
      <c r="D255" s="1178">
        <f>+IFERROR(+VLOOKUP(B255,SAP!$I$10:$K$560,3,0),0)</f>
        <v>-29353621039</v>
      </c>
    </row>
    <row r="256" spans="2:4">
      <c r="B256" s="842">
        <v>3019000000</v>
      </c>
      <c r="C256" s="842" t="s">
        <v>3074</v>
      </c>
      <c r="D256" s="1178">
        <f>+IFERROR(+VLOOKUP(B256,SAP!$I$10:$K$560,3,0),0)</f>
        <v>15480324</v>
      </c>
    </row>
    <row r="257" spans="2:4">
      <c r="B257" s="842">
        <v>3030000000</v>
      </c>
      <c r="C257" s="842" t="s">
        <v>3075</v>
      </c>
      <c r="D257" s="1178">
        <f>+IFERROR(+VLOOKUP(B257,SAP!$I$10:$K$560,3,0),0)</f>
        <v>20996687489</v>
      </c>
    </row>
    <row r="258" spans="2:4">
      <c r="B258" s="842">
        <v>3030400030</v>
      </c>
      <c r="C258" s="842" t="s">
        <v>3076</v>
      </c>
      <c r="D258" s="1178">
        <f>+IFERROR(+VLOOKUP(B258,SAP!$I$10:$K$560,3,0),0)</f>
        <v>0</v>
      </c>
    </row>
    <row r="259" spans="2:4">
      <c r="B259" s="842">
        <v>3090000000</v>
      </c>
      <c r="C259" s="842" t="s">
        <v>3077</v>
      </c>
      <c r="D259" s="1178">
        <f>+IFERROR(+VLOOKUP(B259,SAP!$I$10:$K$560,3,0),0)</f>
        <v>37774985</v>
      </c>
    </row>
    <row r="260" spans="2:4">
      <c r="B260" s="842">
        <v>3091000000</v>
      </c>
      <c r="C260" s="842" t="s">
        <v>3078</v>
      </c>
      <c r="D260" s="1178">
        <f>+IFERROR(+VLOOKUP(B260,SAP!$I$10:$K$560,3,0),0)</f>
        <v>-15735724</v>
      </c>
    </row>
    <row r="261" spans="2:4">
      <c r="B261" s="842">
        <v>3101000000</v>
      </c>
      <c r="C261" s="842" t="s">
        <v>3079</v>
      </c>
      <c r="D261" s="1178">
        <f>+IFERROR(+VLOOKUP(B261,SAP!$I$10:$K$560,3,0),0)</f>
        <v>375497864</v>
      </c>
    </row>
    <row r="262" spans="2:4">
      <c r="B262" s="842">
        <v>3103000000</v>
      </c>
      <c r="C262" s="842" t="s">
        <v>3080</v>
      </c>
      <c r="D262" s="1178">
        <f>+IFERROR(+VLOOKUP(B262,SAP!$I$10:$K$560,3,0),0)</f>
        <v>-190279242</v>
      </c>
    </row>
    <row r="263" spans="2:4">
      <c r="B263" s="842">
        <v>3301100000</v>
      </c>
      <c r="C263" s="842" t="s">
        <v>3081</v>
      </c>
      <c r="D263" s="1178">
        <f>+IFERROR(+VLOOKUP(B263,SAP!$I$10:$K$560,3,0),0)</f>
        <v>0</v>
      </c>
    </row>
    <row r="264" spans="2:4">
      <c r="B264" s="842">
        <v>3301100008</v>
      </c>
      <c r="C264" s="842" t="s">
        <v>3082</v>
      </c>
      <c r="D264" s="1178">
        <f>+IFERROR(+VLOOKUP(B264,SAP!$I$10:$K$560,3,0),0)</f>
        <v>-123000000</v>
      </c>
    </row>
    <row r="265" spans="2:4">
      <c r="B265" s="842">
        <v>3301100010</v>
      </c>
      <c r="C265" s="842" t="s">
        <v>3083</v>
      </c>
      <c r="D265" s="1178">
        <f>+IFERROR(+VLOOKUP(B265,SAP!$I$10:$K$560,3,0),0)</f>
        <v>-34040648</v>
      </c>
    </row>
    <row r="266" spans="2:4">
      <c r="B266" s="842">
        <v>3301100999</v>
      </c>
      <c r="C266" s="842" t="s">
        <v>3084</v>
      </c>
      <c r="D266" s="1178">
        <f>+IFERROR(+VLOOKUP(B266,SAP!$I$10:$K$560,3,0),0)</f>
        <v>-27577104</v>
      </c>
    </row>
    <row r="267" spans="2:4">
      <c r="B267" s="842">
        <v>3301450000</v>
      </c>
      <c r="C267" s="842" t="s">
        <v>3085</v>
      </c>
      <c r="D267" s="1178">
        <f>+IFERROR(+VLOOKUP(B267,SAP!$I$10:$K$560,3,0),0)</f>
        <v>64781</v>
      </c>
    </row>
    <row r="268" spans="2:4">
      <c r="B268" s="842">
        <v>3591110200</v>
      </c>
      <c r="C268" s="842" t="s">
        <v>3086</v>
      </c>
      <c r="D268" s="1178">
        <f>+IFERROR(+VLOOKUP(B268,SAP!$I$10:$K$560,3,0),0)</f>
        <v>-249304099</v>
      </c>
    </row>
    <row r="269" spans="2:4">
      <c r="B269" s="842">
        <v>4002000000</v>
      </c>
      <c r="C269" s="842" t="s">
        <v>3087</v>
      </c>
      <c r="D269" s="1178">
        <f>+IFERROR(+VLOOKUP(B269,SAP!$I$10:$K$560,3,0),0)</f>
        <v>0</v>
      </c>
    </row>
    <row r="270" spans="2:4">
      <c r="B270" s="842">
        <v>4110000000</v>
      </c>
      <c r="C270" s="842" t="s">
        <v>3088</v>
      </c>
      <c r="D270" s="1178">
        <f>+IFERROR(+VLOOKUP(B270,SAP!$I$10:$K$560,3,0),0)</f>
        <v>54266141261</v>
      </c>
    </row>
    <row r="271" spans="2:4">
      <c r="B271" s="842">
        <v>4112000000</v>
      </c>
      <c r="C271" s="842" t="s">
        <v>3089</v>
      </c>
      <c r="D271" s="1178">
        <f>+IFERROR(+VLOOKUP(B271,SAP!$I$10:$K$560,3,0),0)</f>
        <v>1410729209</v>
      </c>
    </row>
    <row r="272" spans="2:4">
      <c r="B272" s="842">
        <v>4113000000</v>
      </c>
      <c r="C272" s="842" t="s">
        <v>3090</v>
      </c>
      <c r="D272" s="1178">
        <f>+IFERROR(+VLOOKUP(B272,SAP!$I$10:$K$560,3,0),0)</f>
        <v>11725594831</v>
      </c>
    </row>
    <row r="273" spans="2:4">
      <c r="B273" s="842">
        <v>4114000000</v>
      </c>
      <c r="C273" s="842" t="s">
        <v>3091</v>
      </c>
      <c r="D273" s="1178">
        <f>+IFERROR(+VLOOKUP(B273,SAP!$I$10:$K$560,3,0),0)</f>
        <v>363505451</v>
      </c>
    </row>
    <row r="274" spans="2:4">
      <c r="B274" s="842">
        <v>4115010000</v>
      </c>
      <c r="C274" s="842" t="s">
        <v>3092</v>
      </c>
      <c r="D274" s="1178">
        <f>+IFERROR(+VLOOKUP(B274,SAP!$I$10:$K$560,3,0),0)</f>
        <v>27061791104</v>
      </c>
    </row>
    <row r="275" spans="2:4">
      <c r="B275" s="842">
        <v>4130000000</v>
      </c>
      <c r="C275" s="842" t="s">
        <v>3093</v>
      </c>
      <c r="D275" s="1178">
        <f>+IFERROR(+VLOOKUP(B275,SAP!$I$10:$K$560,3,0),0)</f>
        <v>-16586391029</v>
      </c>
    </row>
    <row r="276" spans="2:4">
      <c r="B276" s="842">
        <v>4130000600</v>
      </c>
      <c r="C276" s="842" t="s">
        <v>3094</v>
      </c>
      <c r="D276" s="1178">
        <f>+IFERROR(+VLOOKUP(B276,SAP!$I$10:$K$560,3,0),0)</f>
        <v>320123998</v>
      </c>
    </row>
    <row r="277" spans="2:4">
      <c r="B277" s="842">
        <v>4161100000</v>
      </c>
      <c r="C277" s="842" t="s">
        <v>3095</v>
      </c>
      <c r="D277" s="1178">
        <f>+IFERROR(+VLOOKUP(B277,SAP!$I$10:$K$560,3,0),0)</f>
        <v>-336147207</v>
      </c>
    </row>
    <row r="278" spans="2:4">
      <c r="B278" s="842">
        <v>4161100001</v>
      </c>
      <c r="C278" s="842" t="s">
        <v>3096</v>
      </c>
      <c r="D278" s="1178">
        <f>+IFERROR(+VLOOKUP(B278,SAP!$I$10:$K$560,3,0),0)</f>
        <v>-1665633815</v>
      </c>
    </row>
    <row r="279" spans="2:4">
      <c r="B279" s="842">
        <v>4161200000</v>
      </c>
      <c r="C279" s="842" t="s">
        <v>3097</v>
      </c>
      <c r="D279" s="1178">
        <f>+IFERROR(+VLOOKUP(B279,SAP!$I$10:$K$560,3,0),0)</f>
        <v>455762924</v>
      </c>
    </row>
    <row r="280" spans="2:4">
      <c r="B280" s="842">
        <v>4161320000</v>
      </c>
      <c r="C280" s="842" t="s">
        <v>3098</v>
      </c>
      <c r="D280" s="1178">
        <f>+IFERROR(+VLOOKUP(B280,SAP!$I$10:$K$560,3,0),0)</f>
        <v>16359456395</v>
      </c>
    </row>
    <row r="281" spans="2:4">
      <c r="B281" s="842">
        <v>4161400000</v>
      </c>
      <c r="C281" s="842" t="s">
        <v>3099</v>
      </c>
      <c r="D281" s="1178">
        <f>+IFERROR(+VLOOKUP(B281,SAP!$I$10:$K$560,3,0),0)</f>
        <v>1965339360</v>
      </c>
    </row>
    <row r="282" spans="2:4">
      <c r="B282" s="842">
        <v>4163100000</v>
      </c>
      <c r="C282" s="842" t="s">
        <v>3100</v>
      </c>
      <c r="D282" s="1178">
        <f>+IFERROR(+VLOOKUP(B282,SAP!$I$10:$K$560,3,0),0)</f>
        <v>47681927</v>
      </c>
    </row>
    <row r="283" spans="2:4">
      <c r="B283" s="842">
        <v>4163160000</v>
      </c>
      <c r="C283" s="842" t="s">
        <v>3101</v>
      </c>
      <c r="D283" s="1178">
        <f>+IFERROR(+VLOOKUP(B283,SAP!$I$10:$K$560,3,0),0)</f>
        <v>2069578710</v>
      </c>
    </row>
    <row r="284" spans="2:4">
      <c r="B284" s="842">
        <v>4163400000</v>
      </c>
      <c r="C284" s="842" t="s">
        <v>3102</v>
      </c>
      <c r="D284" s="1178">
        <f>+IFERROR(+VLOOKUP(B284,SAP!$I$10:$K$560,3,0),0)</f>
        <v>-683779541</v>
      </c>
    </row>
    <row r="285" spans="2:4">
      <c r="B285" s="842">
        <v>4281120000</v>
      </c>
      <c r="C285" s="842" t="s">
        <v>3103</v>
      </c>
      <c r="D285" s="1178">
        <f>+IFERROR(+VLOOKUP(B285,SAP!$I$10:$K$560,3,0),0)</f>
        <v>-1532865445</v>
      </c>
    </row>
    <row r="286" spans="2:4">
      <c r="B286" s="842">
        <v>4281320000</v>
      </c>
      <c r="C286" s="842" t="s">
        <v>3104</v>
      </c>
      <c r="D286" s="1178">
        <f>+IFERROR(+VLOOKUP(B286,SAP!$I$10:$K$560,3,0),0)</f>
        <v>981382567</v>
      </c>
    </row>
    <row r="287" spans="2:4">
      <c r="B287" s="842">
        <v>4281430000</v>
      </c>
      <c r="C287" s="842" t="s">
        <v>3105</v>
      </c>
      <c r="D287" s="1178">
        <f>+IFERROR(+VLOOKUP(B287,SAP!$I$10:$K$560,3,0),0)</f>
        <v>1974996017</v>
      </c>
    </row>
    <row r="288" spans="2:4">
      <c r="B288" s="842">
        <v>4301125100</v>
      </c>
      <c r="C288" s="842" t="s">
        <v>3106</v>
      </c>
      <c r="D288" s="1178">
        <f>+IFERROR(+VLOOKUP(B288,SAP!$I$10:$K$560,3,0),0)</f>
        <v>-2445070</v>
      </c>
    </row>
    <row r="289" spans="2:4">
      <c r="B289" s="842">
        <v>4401000000</v>
      </c>
      <c r="C289" s="842" t="s">
        <v>3107</v>
      </c>
      <c r="D289" s="1178">
        <f>+IFERROR(+VLOOKUP(B289,SAP!$I$10:$K$560,3,0),0)</f>
        <v>909644312</v>
      </c>
    </row>
    <row r="290" spans="2:4">
      <c r="B290" s="842">
        <v>4401000050</v>
      </c>
      <c r="C290" s="842" t="s">
        <v>3107</v>
      </c>
      <c r="D290" s="1178">
        <f>+IFERROR(+VLOOKUP(B290,SAP!$I$10:$K$560,3,0),0)</f>
        <v>2103779579</v>
      </c>
    </row>
    <row r="291" spans="2:4">
      <c r="B291" s="842">
        <v>4401000070</v>
      </c>
      <c r="C291" s="842" t="s">
        <v>3108</v>
      </c>
      <c r="D291" s="1178">
        <f>+IFERROR(+VLOOKUP(B291,SAP!$I$10:$K$560,3,0),0)</f>
        <v>1932371331</v>
      </c>
    </row>
    <row r="292" spans="2:4">
      <c r="B292" s="842">
        <v>4401000072</v>
      </c>
      <c r="C292" s="842" t="s">
        <v>3109</v>
      </c>
      <c r="D292" s="1178">
        <f>+IFERROR(+VLOOKUP(B292,SAP!$I$10:$K$560,3,0),0)</f>
        <v>999572904</v>
      </c>
    </row>
    <row r="293" spans="2:4">
      <c r="B293" s="842">
        <v>4401100000</v>
      </c>
      <c r="C293" s="842" t="s">
        <v>3110</v>
      </c>
      <c r="D293" s="1178">
        <f>+IFERROR(+VLOOKUP(B293,SAP!$I$10:$K$560,3,0),0)</f>
        <v>828947740</v>
      </c>
    </row>
    <row r="294" spans="2:4">
      <c r="B294" s="842">
        <v>4403000000</v>
      </c>
      <c r="C294" s="842" t="s">
        <v>3111</v>
      </c>
      <c r="D294" s="1178">
        <f>+IFERROR(+VLOOKUP(B294,SAP!$I$10:$K$560,3,0),0)</f>
        <v>-527132681</v>
      </c>
    </row>
    <row r="295" spans="2:4">
      <c r="B295" s="842">
        <v>4403100000</v>
      </c>
      <c r="C295" s="842" t="s">
        <v>3112</v>
      </c>
      <c r="D295" s="1178">
        <f>+IFERROR(+VLOOKUP(B295,SAP!$I$10:$K$560,3,0),0)</f>
        <v>-72411245</v>
      </c>
    </row>
    <row r="296" spans="2:4">
      <c r="B296" s="842">
        <v>5111100000</v>
      </c>
      <c r="C296" s="842" t="s">
        <v>3113</v>
      </c>
      <c r="D296" s="1178">
        <f>+IFERROR(+VLOOKUP(B296,SAP!$I$10:$K$560,3,0),0)</f>
        <v>-129314867</v>
      </c>
    </row>
    <row r="297" spans="2:4">
      <c r="B297" s="842">
        <v>5121100000</v>
      </c>
      <c r="C297" s="842" t="s">
        <v>3114</v>
      </c>
      <c r="D297" s="1178">
        <f>+IFERROR(+VLOOKUP(B297,SAP!$I$10:$K$560,3,0),0)</f>
        <v>-122003302</v>
      </c>
    </row>
    <row r="298" spans="2:4">
      <c r="B298" s="842">
        <v>5131000300</v>
      </c>
      <c r="C298" s="842" t="s">
        <v>3115</v>
      </c>
      <c r="D298" s="1178">
        <f>+IFERROR(+VLOOKUP(B298,SAP!$I$10:$K$560,3,0),0)</f>
        <v>-784971</v>
      </c>
    </row>
    <row r="299" spans="2:4">
      <c r="B299" s="842">
        <v>5131022040</v>
      </c>
      <c r="C299" s="842" t="s">
        <v>3116</v>
      </c>
      <c r="D299" s="1178">
        <f>+IFERROR(+VLOOKUP(B299,SAP!$I$10:$K$560,3,0),0)</f>
        <v>-12691860402</v>
      </c>
    </row>
    <row r="300" spans="2:4">
      <c r="B300" s="842">
        <v>5131104000</v>
      </c>
      <c r="C300" s="842" t="s">
        <v>3117</v>
      </c>
      <c r="D300" s="1178">
        <f>+IFERROR(+VLOOKUP(B300,SAP!$I$10:$K$560,3,0),0)</f>
        <v>59762666</v>
      </c>
    </row>
    <row r="301" spans="2:4">
      <c r="B301" s="842">
        <v>5141000000</v>
      </c>
      <c r="C301" s="842" t="s">
        <v>3118</v>
      </c>
      <c r="D301" s="1178">
        <f>+IFERROR(+VLOOKUP(B301,SAP!$I$10:$K$560,3,0),0)</f>
        <v>-2939040181</v>
      </c>
    </row>
    <row r="302" spans="2:4">
      <c r="B302" s="842">
        <v>5151000000</v>
      </c>
      <c r="C302" s="842" t="s">
        <v>3119</v>
      </c>
      <c r="D302" s="1178">
        <f>+IFERROR(+VLOOKUP(B302,SAP!$I$10:$K$560,3,0),0)</f>
        <v>-1329587004</v>
      </c>
    </row>
    <row r="303" spans="2:4">
      <c r="B303" s="842">
        <v>5153000000</v>
      </c>
      <c r="C303" s="842" t="s">
        <v>3120</v>
      </c>
      <c r="D303" s="1178">
        <f>+IFERROR(+VLOOKUP(B303,SAP!$I$10:$K$560,3,0),0)</f>
        <v>-349208423</v>
      </c>
    </row>
    <row r="304" spans="2:4">
      <c r="B304" s="842">
        <v>5153100000</v>
      </c>
      <c r="C304" s="842" t="s">
        <v>3121</v>
      </c>
      <c r="D304" s="1178">
        <f>+IFERROR(+VLOOKUP(B304,SAP!$I$10:$K$560,3,0),0)</f>
        <v>-8817309</v>
      </c>
    </row>
    <row r="305" spans="2:4">
      <c r="B305" s="842">
        <v>5157310000</v>
      </c>
      <c r="C305" s="842" t="s">
        <v>3122</v>
      </c>
      <c r="D305" s="1178">
        <f>+IFERROR(+VLOOKUP(B305,SAP!$I$10:$K$560,3,0),0)</f>
        <v>-1817490875</v>
      </c>
    </row>
    <row r="306" spans="2:4">
      <c r="B306" s="842">
        <v>5157320000</v>
      </c>
      <c r="C306" s="842" t="s">
        <v>3124</v>
      </c>
      <c r="D306" s="1178">
        <f>+IFERROR(+VLOOKUP(B306,SAP!$I$10:$K$560,3,0),0)</f>
        <v>-177975754</v>
      </c>
    </row>
    <row r="307" spans="2:4">
      <c r="B307" s="842">
        <v>5321110000</v>
      </c>
      <c r="C307" s="842" t="s">
        <v>3125</v>
      </c>
      <c r="D307" s="1178">
        <f>+IFERROR(+VLOOKUP(B307,SAP!$I$10:$K$560,3,0),0)</f>
        <v>-2232364514</v>
      </c>
    </row>
    <row r="308" spans="2:4">
      <c r="B308" s="842">
        <v>5323300000</v>
      </c>
      <c r="C308" s="842" t="s">
        <v>3126</v>
      </c>
      <c r="D308" s="1178">
        <f>+IFERROR(+VLOOKUP(B308,SAP!$I$10:$K$560,3,0),0)</f>
        <v>-231094123</v>
      </c>
    </row>
    <row r="309" spans="2:4">
      <c r="B309" s="842">
        <v>5324140000</v>
      </c>
      <c r="C309" s="842" t="s">
        <v>3127</v>
      </c>
      <c r="D309" s="1178">
        <f>+IFERROR(+VLOOKUP(B309,SAP!$I$10:$K$560,3,0),0)</f>
        <v>0</v>
      </c>
    </row>
    <row r="310" spans="2:4">
      <c r="B310" s="842">
        <v>5331100000</v>
      </c>
      <c r="C310" s="842" t="s">
        <v>3128</v>
      </c>
      <c r="D310" s="1178">
        <f>+IFERROR(+VLOOKUP(B310,SAP!$I$10:$K$560,3,0),0)</f>
        <v>-288584220</v>
      </c>
    </row>
    <row r="311" spans="2:4">
      <c r="B311" s="842">
        <v>5341000000</v>
      </c>
      <c r="C311" s="842" t="s">
        <v>3129</v>
      </c>
      <c r="D311" s="1178">
        <f>+IFERROR(+VLOOKUP(B311,SAP!$I$10:$K$560,3,0),0)</f>
        <v>0</v>
      </c>
    </row>
    <row r="312" spans="2:4">
      <c r="B312" s="842">
        <v>5342000000</v>
      </c>
      <c r="C312" s="842" t="s">
        <v>3377</v>
      </c>
      <c r="D312" s="1178">
        <f>+IFERROR(+VLOOKUP(B312,SAP!$I$10:$K$560,3,0),0)</f>
        <v>0</v>
      </c>
    </row>
    <row r="313" spans="2:4">
      <c r="B313" s="842">
        <v>5351000000</v>
      </c>
      <c r="C313" s="842" t="s">
        <v>3130</v>
      </c>
      <c r="D313" s="1178">
        <f>+IFERROR(+VLOOKUP(B313,SAP!$I$10:$K$560,3,0),0)</f>
        <v>-1683044</v>
      </c>
    </row>
    <row r="314" spans="2:4">
      <c r="B314" s="842">
        <v>5354000000</v>
      </c>
      <c r="C314" s="842" t="s">
        <v>3131</v>
      </c>
      <c r="D314" s="1178">
        <f>+IFERROR(+VLOOKUP(B314,SAP!$I$10:$K$560,3,0),0)</f>
        <v>-662499649</v>
      </c>
    </row>
    <row r="315" spans="2:4">
      <c r="B315" s="842">
        <v>5372620000</v>
      </c>
      <c r="C315" s="842" t="s">
        <v>3132</v>
      </c>
      <c r="D315" s="1178">
        <f>+IFERROR(+VLOOKUP(B315,SAP!$I$10:$K$560,3,0),0)</f>
        <v>-1485699739</v>
      </c>
    </row>
    <row r="316" spans="2:4">
      <c r="B316" s="842">
        <v>5372630000</v>
      </c>
      <c r="C316" s="842" t="s">
        <v>3133</v>
      </c>
      <c r="D316" s="1178">
        <f>+IFERROR(+VLOOKUP(B316,SAP!$I$10:$K$560,3,0),0)</f>
        <v>-2826744824</v>
      </c>
    </row>
    <row r="317" spans="2:4">
      <c r="B317" s="842">
        <v>5421110000</v>
      </c>
      <c r="C317" s="842" t="s">
        <v>3134</v>
      </c>
      <c r="D317" s="1178">
        <f>+IFERROR(+VLOOKUP(B317,SAP!$I$10:$K$560,3,0),0)</f>
        <v>2837019243</v>
      </c>
    </row>
    <row r="318" spans="2:4">
      <c r="B318" s="842">
        <v>5424140000</v>
      </c>
      <c r="C318" s="842" t="s">
        <v>3135</v>
      </c>
      <c r="D318" s="1178">
        <f>+IFERROR(+VLOOKUP(B318,SAP!$I$10:$K$560,3,0),0)</f>
        <v>0</v>
      </c>
    </row>
    <row r="319" spans="2:4">
      <c r="B319" s="842">
        <v>5424150000</v>
      </c>
      <c r="C319" s="842" t="s">
        <v>3136</v>
      </c>
      <c r="D319" s="1178">
        <f>+IFERROR(+VLOOKUP(B319,SAP!$I$10:$K$560,3,0),0)</f>
        <v>95469464</v>
      </c>
    </row>
    <row r="320" spans="2:4">
      <c r="B320" s="842">
        <v>5431100000</v>
      </c>
      <c r="C320" s="842" t="s">
        <v>3137</v>
      </c>
      <c r="D320" s="1178">
        <f>+IFERROR(+VLOOKUP(B320,SAP!$I$10:$K$560,3,0),0)</f>
        <v>0</v>
      </c>
    </row>
    <row r="321" spans="2:4">
      <c r="B321" s="842">
        <v>5442000000</v>
      </c>
      <c r="C321" s="842" t="s">
        <v>3138</v>
      </c>
      <c r="D321" s="1178">
        <f>+IFERROR(+VLOOKUP(B321,SAP!$I$10:$K$560,3,0),0)</f>
        <v>137066029</v>
      </c>
    </row>
    <row r="322" spans="2:4">
      <c r="B322" s="842">
        <v>5451000000</v>
      </c>
      <c r="C322" s="842" t="s">
        <v>3139</v>
      </c>
      <c r="D322" s="1178">
        <f>+IFERROR(+VLOOKUP(B322,SAP!$I$10:$K$560,3,0),0)</f>
        <v>27856</v>
      </c>
    </row>
    <row r="323" spans="2:4">
      <c r="B323" s="842">
        <v>5472620000</v>
      </c>
      <c r="C323" s="842" t="s">
        <v>3140</v>
      </c>
      <c r="D323" s="1178">
        <f>+IFERROR(+VLOOKUP(B323,SAP!$I$10:$K$560,3,0),0)</f>
        <v>1114999435</v>
      </c>
    </row>
    <row r="324" spans="2:4">
      <c r="B324" s="842">
        <v>5472630000</v>
      </c>
      <c r="C324" s="842" t="s">
        <v>3141</v>
      </c>
      <c r="D324" s="1178">
        <f>+IFERROR(+VLOOKUP(B324,SAP!$I$10:$K$560,3,0),0)</f>
        <v>3258545972</v>
      </c>
    </row>
    <row r="325" spans="2:4">
      <c r="B325" s="842">
        <v>5495100000</v>
      </c>
      <c r="C325" s="842" t="s">
        <v>3142</v>
      </c>
      <c r="D325" s="1178">
        <f>+IFERROR(+VLOOKUP(B325,SAP!$I$10:$K$560,3,0),0)</f>
        <v>38199734</v>
      </c>
    </row>
    <row r="326" spans="2:4">
      <c r="B326" s="842">
        <v>6012110000</v>
      </c>
      <c r="C326" s="842" t="s">
        <v>3143</v>
      </c>
      <c r="D326" s="1178">
        <f>+IFERROR(+VLOOKUP(B326,SAP!$I$10:$K$560,3,0),0)</f>
        <v>-75775241</v>
      </c>
    </row>
    <row r="327" spans="2:4">
      <c r="B327" s="842">
        <v>6012130000</v>
      </c>
      <c r="C327" s="842" t="s">
        <v>3144</v>
      </c>
      <c r="D327" s="1178">
        <f>+IFERROR(+VLOOKUP(B327,SAP!$I$10:$K$560,3,0),0)</f>
        <v>-512339134</v>
      </c>
    </row>
    <row r="328" spans="2:4">
      <c r="B328" s="842">
        <v>6012210000</v>
      </c>
      <c r="C328" s="842" t="s">
        <v>3145</v>
      </c>
      <c r="D328" s="1178">
        <f>+IFERROR(+VLOOKUP(B328,SAP!$I$10:$K$560,3,0),0)</f>
        <v>-28752627</v>
      </c>
    </row>
    <row r="329" spans="2:4">
      <c r="B329" s="842">
        <v>6012230000</v>
      </c>
      <c r="C329" s="842" t="s">
        <v>3146</v>
      </c>
      <c r="D329" s="1178">
        <f>+IFERROR(+VLOOKUP(B329,SAP!$I$10:$K$560,3,0),0)</f>
        <v>-9379424440</v>
      </c>
    </row>
    <row r="330" spans="2:4">
      <c r="B330" s="842">
        <v>6012310000</v>
      </c>
      <c r="C330" s="842" t="s">
        <v>3147</v>
      </c>
      <c r="D330" s="1178">
        <f>+IFERROR(+VLOOKUP(B330,SAP!$I$10:$K$560,3,0),0)</f>
        <v>93031734</v>
      </c>
    </row>
    <row r="331" spans="2:4">
      <c r="B331" s="842">
        <v>6012410000</v>
      </c>
      <c r="C331" s="842" t="s">
        <v>3148</v>
      </c>
      <c r="D331" s="1178">
        <f>+IFERROR(+VLOOKUP(B331,SAP!$I$10:$K$560,3,0),0)</f>
        <v>15535197</v>
      </c>
    </row>
    <row r="332" spans="2:4">
      <c r="B332" s="842">
        <v>6012430000</v>
      </c>
      <c r="C332" s="842" t="s">
        <v>3149</v>
      </c>
      <c r="D332" s="1178">
        <f>+IFERROR(+VLOOKUP(B332,SAP!$I$10:$K$560,3,0),0)</f>
        <v>164804</v>
      </c>
    </row>
    <row r="333" spans="2:4">
      <c r="B333" s="842">
        <v>6013210000</v>
      </c>
      <c r="C333" s="842" t="s">
        <v>3150</v>
      </c>
      <c r="D333" s="1178">
        <f>+IFERROR(+VLOOKUP(B333,SAP!$I$10:$K$560,3,0),0)</f>
        <v>0</v>
      </c>
    </row>
    <row r="334" spans="2:4">
      <c r="B334" s="842">
        <v>6013220000</v>
      </c>
      <c r="C334" s="842" t="s">
        <v>3151</v>
      </c>
      <c r="D334" s="1178">
        <f>+IFERROR(+VLOOKUP(B334,SAP!$I$10:$K$560,3,0),0)</f>
        <v>0</v>
      </c>
    </row>
    <row r="335" spans="2:4">
      <c r="B335" s="842">
        <v>6031110000</v>
      </c>
      <c r="C335" s="842" t="s">
        <v>3152</v>
      </c>
      <c r="D335" s="1178">
        <f>+IFERROR(+VLOOKUP(B335,SAP!$I$10:$K$560,3,0),0)</f>
        <v>76497645</v>
      </c>
    </row>
    <row r="336" spans="2:4">
      <c r="B336" s="842">
        <v>6031120000</v>
      </c>
      <c r="C336" s="842" t="s">
        <v>3153</v>
      </c>
      <c r="D336" s="1178">
        <f>+IFERROR(+VLOOKUP(B336,SAP!$I$10:$K$560,3,0),0)</f>
        <v>-1159639345</v>
      </c>
    </row>
    <row r="337" spans="2:4">
      <c r="B337" s="842">
        <v>6031130000</v>
      </c>
      <c r="C337" s="842" t="s">
        <v>3154</v>
      </c>
      <c r="D337" s="1178">
        <f>+IFERROR(+VLOOKUP(B337,SAP!$I$10:$K$560,3,0),0)</f>
        <v>-448596954</v>
      </c>
    </row>
    <row r="338" spans="2:4">
      <c r="B338" s="842">
        <v>6031140000</v>
      </c>
      <c r="C338" s="842" t="s">
        <v>3155</v>
      </c>
      <c r="D338" s="1178">
        <f>+IFERROR(+VLOOKUP(B338,SAP!$I$10:$K$560,3,0),0)</f>
        <v>-15382751</v>
      </c>
    </row>
    <row r="339" spans="2:4">
      <c r="B339" s="842">
        <v>6031150000</v>
      </c>
      <c r="C339" s="842" t="s">
        <v>3156</v>
      </c>
      <c r="D339" s="1178">
        <f>+IFERROR(+VLOOKUP(B339,SAP!$I$10:$K$560,3,0),0)</f>
        <v>-9639959</v>
      </c>
    </row>
    <row r="340" spans="2:4">
      <c r="B340" s="842">
        <v>6031190000</v>
      </c>
      <c r="C340" s="842" t="s">
        <v>3157</v>
      </c>
      <c r="D340" s="1178">
        <f>+IFERROR(+VLOOKUP(B340,SAP!$I$10:$K$560,3,0),0)</f>
        <v>-1210085</v>
      </c>
    </row>
    <row r="341" spans="2:4">
      <c r="B341" s="842">
        <v>6031210000</v>
      </c>
      <c r="C341" s="842" t="s">
        <v>3158</v>
      </c>
      <c r="D341" s="1178">
        <f>+IFERROR(+VLOOKUP(B341,SAP!$I$10:$K$560,3,0),0)</f>
        <v>-1203319</v>
      </c>
    </row>
    <row r="342" spans="2:4">
      <c r="B342" s="842">
        <v>6031220000</v>
      </c>
      <c r="C342" s="842" t="s">
        <v>3159</v>
      </c>
      <c r="D342" s="1178">
        <f>+IFERROR(+VLOOKUP(B342,SAP!$I$10:$K$560,3,0),0)</f>
        <v>-566866</v>
      </c>
    </row>
    <row r="343" spans="2:4">
      <c r="B343" s="842">
        <v>6031240000</v>
      </c>
      <c r="C343" s="842" t="s">
        <v>3160</v>
      </c>
      <c r="D343" s="1178">
        <f>+IFERROR(+VLOOKUP(B343,SAP!$I$10:$K$560,3,0),0)</f>
        <v>-9825998</v>
      </c>
    </row>
    <row r="344" spans="2:4">
      <c r="B344" s="842">
        <v>6031290000</v>
      </c>
      <c r="C344" s="842" t="s">
        <v>3161</v>
      </c>
      <c r="D344" s="1178">
        <f>+IFERROR(+VLOOKUP(B344,SAP!$I$10:$K$560,3,0),0)</f>
        <v>-224164</v>
      </c>
    </row>
    <row r="345" spans="2:4">
      <c r="B345" s="842">
        <v>6032110000</v>
      </c>
      <c r="C345" s="842" t="s">
        <v>3162</v>
      </c>
      <c r="D345" s="1178">
        <f>+IFERROR(+VLOOKUP(B345,SAP!$I$10:$K$560,3,0),0)</f>
        <v>-86904427</v>
      </c>
    </row>
    <row r="346" spans="2:4">
      <c r="B346" s="842">
        <v>6032120000</v>
      </c>
      <c r="C346" s="842" t="s">
        <v>3163</v>
      </c>
      <c r="D346" s="1178">
        <f>+IFERROR(+VLOOKUP(B346,SAP!$I$10:$K$560,3,0),0)</f>
        <v>73446141</v>
      </c>
    </row>
    <row r="347" spans="2:4">
      <c r="B347" s="842">
        <v>6032130000</v>
      </c>
      <c r="C347" s="842" t="s">
        <v>3164</v>
      </c>
      <c r="D347" s="1178">
        <f>+IFERROR(+VLOOKUP(B347,SAP!$I$10:$K$560,3,0),0)</f>
        <v>1703341283</v>
      </c>
    </row>
    <row r="348" spans="2:4">
      <c r="B348" s="842">
        <v>6032140000</v>
      </c>
      <c r="C348" s="842" t="s">
        <v>3165</v>
      </c>
      <c r="D348" s="1178">
        <f>+IFERROR(+VLOOKUP(B348,SAP!$I$10:$K$560,3,0),0)</f>
        <v>-771807</v>
      </c>
    </row>
    <row r="349" spans="2:4">
      <c r="B349" s="842">
        <v>6032150000</v>
      </c>
      <c r="C349" s="842" t="s">
        <v>3166</v>
      </c>
      <c r="D349" s="1178">
        <f>+IFERROR(+VLOOKUP(B349,SAP!$I$10:$K$560,3,0),0)</f>
        <v>9315395839</v>
      </c>
    </row>
    <row r="350" spans="2:4">
      <c r="B350" s="842">
        <v>6032190000</v>
      </c>
      <c r="C350" s="842" t="s">
        <v>3167</v>
      </c>
      <c r="D350" s="1178">
        <f>+IFERROR(+VLOOKUP(B350,SAP!$I$10:$K$560,3,0),0)</f>
        <v>0</v>
      </c>
    </row>
    <row r="351" spans="2:4">
      <c r="B351" s="842">
        <v>6032210000</v>
      </c>
      <c r="C351" s="842" t="s">
        <v>3168</v>
      </c>
      <c r="D351" s="1178">
        <f>+IFERROR(+VLOOKUP(B351,SAP!$I$10:$K$560,3,0),0)</f>
        <v>2962893</v>
      </c>
    </row>
    <row r="352" spans="2:4">
      <c r="B352" s="842">
        <v>6032230000</v>
      </c>
      <c r="C352" s="842" t="s">
        <v>3169</v>
      </c>
      <c r="D352" s="1178">
        <f>+IFERROR(+VLOOKUP(B352,SAP!$I$10:$K$560,3,0),0)</f>
        <v>0</v>
      </c>
    </row>
    <row r="353" spans="2:4">
      <c r="B353" s="842">
        <v>6032240000</v>
      </c>
      <c r="C353" s="842" t="s">
        <v>3170</v>
      </c>
      <c r="D353" s="1178">
        <f>+IFERROR(+VLOOKUP(B353,SAP!$I$10:$K$560,3,0),0)</f>
        <v>9662653</v>
      </c>
    </row>
    <row r="354" spans="2:4">
      <c r="B354" s="842">
        <v>6032290000</v>
      </c>
      <c r="C354" s="842" t="s">
        <v>3171</v>
      </c>
      <c r="D354" s="1178">
        <f>+IFERROR(+VLOOKUP(B354,SAP!$I$10:$K$560,3,0),0)</f>
        <v>798603</v>
      </c>
    </row>
    <row r="355" spans="2:4">
      <c r="B355" s="842">
        <v>6543100010</v>
      </c>
      <c r="C355" s="842" t="s">
        <v>3172</v>
      </c>
      <c r="D355" s="1178">
        <f>+IFERROR(+VLOOKUP(B355,SAP!$I$10:$K$560,3,0),0)</f>
        <v>0</v>
      </c>
    </row>
    <row r="356" spans="2:4">
      <c r="B356" s="842">
        <v>6543200010</v>
      </c>
      <c r="C356" s="842" t="s">
        <v>3173</v>
      </c>
      <c r="D356" s="1178">
        <f>+IFERROR(+VLOOKUP(B356,SAP!$I$10:$K$560,3,0),0)</f>
        <v>0</v>
      </c>
    </row>
    <row r="357" spans="2:4">
      <c r="B357" s="842">
        <v>6543400010</v>
      </c>
      <c r="C357" s="842" t="s">
        <v>3174</v>
      </c>
      <c r="D357" s="1178">
        <f>+IFERROR(+VLOOKUP(B357,SAP!$I$10:$K$560,3,0),0)</f>
        <v>0</v>
      </c>
    </row>
    <row r="358" spans="2:4">
      <c r="B358" s="842">
        <v>6595910106</v>
      </c>
      <c r="C358" s="842" t="s">
        <v>3175</v>
      </c>
      <c r="D358" s="1178">
        <f>+IFERROR(+VLOOKUP(B358,SAP!$I$10:$K$560,3,0),0)</f>
        <v>0</v>
      </c>
    </row>
    <row r="359" spans="2:4">
      <c r="B359" s="842">
        <v>6643400010</v>
      </c>
      <c r="C359" s="842" t="s">
        <v>3176</v>
      </c>
      <c r="D359" s="1178">
        <f>+IFERROR(+VLOOKUP(B359,SAP!$I$10:$K$560,3,0),0)</f>
        <v>0</v>
      </c>
    </row>
    <row r="360" spans="2:4">
      <c r="B360" s="842">
        <v>6810010000</v>
      </c>
      <c r="C360" s="842" t="s">
        <v>3177</v>
      </c>
      <c r="D360" s="1178">
        <f>+IFERROR(+VLOOKUP(B360,SAP!$I$10:$K$560,3,0),0)</f>
        <v>-110756550</v>
      </c>
    </row>
    <row r="361" spans="2:4">
      <c r="B361" s="842">
        <v>6810020000</v>
      </c>
      <c r="C361" s="842" t="s">
        <v>3178</v>
      </c>
      <c r="D361" s="1178">
        <f>+IFERROR(+VLOOKUP(B361,SAP!$I$10:$K$560,3,0),0)</f>
        <v>0</v>
      </c>
    </row>
    <row r="362" spans="2:4">
      <c r="B362" s="842">
        <v>6810110000</v>
      </c>
      <c r="C362" s="842" t="s">
        <v>3179</v>
      </c>
      <c r="D362" s="1178">
        <f>+IFERROR(+VLOOKUP(B362,SAP!$I$10:$K$560,3,0),0)</f>
        <v>1949932861</v>
      </c>
    </row>
    <row r="363" spans="2:4">
      <c r="B363" s="842">
        <v>7020000003</v>
      </c>
      <c r="C363" s="842" t="s">
        <v>3180</v>
      </c>
      <c r="D363" s="1178">
        <f>+IFERROR(+VLOOKUP(B363,SAP!$I$10:$K$560,3,0),0)</f>
        <v>0</v>
      </c>
    </row>
    <row r="364" spans="2:4">
      <c r="B364" s="842">
        <v>7020000109</v>
      </c>
      <c r="C364" s="842" t="s">
        <v>3181</v>
      </c>
      <c r="D364" s="1178">
        <f>+IFERROR(+VLOOKUP(B364,SAP!$I$10:$K$560,3,0),0)</f>
        <v>1590292</v>
      </c>
    </row>
    <row r="365" spans="2:4">
      <c r="B365" s="842">
        <v>7020000112</v>
      </c>
      <c r="C365" s="842" t="s">
        <v>3182</v>
      </c>
      <c r="D365" s="1178">
        <f>+IFERROR(+VLOOKUP(B365,SAP!$I$10:$K$560,3,0),0)</f>
        <v>1699975</v>
      </c>
    </row>
    <row r="366" spans="2:4">
      <c r="B366" s="842">
        <v>7020000408</v>
      </c>
      <c r="C366" s="842" t="s">
        <v>3183</v>
      </c>
      <c r="D366" s="1178">
        <f>+IFERROR(+VLOOKUP(B366,SAP!$I$10:$K$560,3,0),0)</f>
        <v>227432981</v>
      </c>
    </row>
    <row r="367" spans="2:4">
      <c r="B367" s="842">
        <v>7100000000</v>
      </c>
      <c r="C367" s="842" t="s">
        <v>3184</v>
      </c>
      <c r="D367" s="1178">
        <f>+IFERROR(+VLOOKUP(B367,SAP!$I$10:$K$560,3,0),0)</f>
        <v>1246765471</v>
      </c>
    </row>
    <row r="368" spans="2:4">
      <c r="B368" s="842">
        <v>7100100000</v>
      </c>
      <c r="C368" s="842" t="s">
        <v>3185</v>
      </c>
      <c r="D368" s="1178">
        <f>+IFERROR(+VLOOKUP(B368,SAP!$I$10:$K$560,3,0),0)</f>
        <v>11572248</v>
      </c>
    </row>
    <row r="369" spans="2:4">
      <c r="B369" s="842">
        <v>7100200000</v>
      </c>
      <c r="C369" s="842" t="s">
        <v>3186</v>
      </c>
      <c r="D369" s="1178">
        <f>+IFERROR(+VLOOKUP(B369,SAP!$I$10:$K$560,3,0),0)</f>
        <v>2787385</v>
      </c>
    </row>
    <row r="370" spans="2:4">
      <c r="B370" s="842">
        <v>7100200007</v>
      </c>
      <c r="C370" s="842" t="s">
        <v>3187</v>
      </c>
      <c r="D370" s="1178">
        <f>+IFERROR(+VLOOKUP(B370,SAP!$I$10:$K$560,3,0),0)</f>
        <v>-80076153</v>
      </c>
    </row>
    <row r="371" spans="2:4">
      <c r="B371" s="842">
        <v>7100322003</v>
      </c>
      <c r="C371" s="842" t="s">
        <v>3188</v>
      </c>
      <c r="D371" s="1178">
        <f>+IFERROR(+VLOOKUP(B371,SAP!$I$10:$K$560,3,0),0)</f>
        <v>619401145</v>
      </c>
    </row>
    <row r="372" spans="2:4">
      <c r="B372" s="842">
        <v>7100330002</v>
      </c>
      <c r="C372" s="842" t="s">
        <v>3189</v>
      </c>
      <c r="D372" s="1178">
        <f>+IFERROR(+VLOOKUP(B372,SAP!$I$10:$K$560,3,0),0)</f>
        <v>46091822</v>
      </c>
    </row>
    <row r="373" spans="2:4">
      <c r="B373" s="842">
        <v>7100340003</v>
      </c>
      <c r="C373" s="842" t="s">
        <v>3190</v>
      </c>
      <c r="D373" s="1178">
        <f>+IFERROR(+VLOOKUP(B373,SAP!$I$10:$K$560,3,0),0)</f>
        <v>71814210</v>
      </c>
    </row>
    <row r="374" spans="2:4">
      <c r="B374" s="842">
        <v>7102000001</v>
      </c>
      <c r="C374" s="842" t="s">
        <v>3191</v>
      </c>
      <c r="D374" s="1178">
        <f>+IFERROR(+VLOOKUP(B374,SAP!$I$10:$K$560,3,0),0)</f>
        <v>133725346</v>
      </c>
    </row>
    <row r="375" spans="2:4">
      <c r="B375" s="842">
        <v>7116000000</v>
      </c>
      <c r="C375" s="842" t="s">
        <v>3192</v>
      </c>
      <c r="D375" s="1178">
        <f>+IFERROR(+VLOOKUP(B375,SAP!$I$10:$K$560,3,0),0)</f>
        <v>148736558</v>
      </c>
    </row>
    <row r="376" spans="2:4">
      <c r="B376" s="842">
        <v>7116000003</v>
      </c>
      <c r="C376" s="842" t="s">
        <v>3193</v>
      </c>
      <c r="D376" s="1178">
        <f>+IFERROR(+VLOOKUP(B376,SAP!$I$10:$K$560,3,0),0)</f>
        <v>66464390</v>
      </c>
    </row>
    <row r="377" spans="2:4">
      <c r="B377" s="842">
        <v>7202000008</v>
      </c>
      <c r="C377" s="842" t="s">
        <v>3194</v>
      </c>
      <c r="D377" s="1178">
        <f>+IFERROR(+VLOOKUP(B377,SAP!$I$10:$K$560,3,0),0)</f>
        <v>60498480</v>
      </c>
    </row>
    <row r="378" spans="2:4">
      <c r="B378" s="842">
        <v>7202001009</v>
      </c>
      <c r="C378" s="842" t="s">
        <v>3195</v>
      </c>
      <c r="D378" s="1178">
        <f>+IFERROR(+VLOOKUP(B378,SAP!$I$10:$K$560,3,0),0)</f>
        <v>10057267</v>
      </c>
    </row>
    <row r="379" spans="2:4">
      <c r="B379" s="842">
        <v>7242003002</v>
      </c>
      <c r="C379" s="842" t="s">
        <v>3196</v>
      </c>
      <c r="D379" s="1178">
        <f>+IFERROR(+VLOOKUP(B379,SAP!$I$10:$K$560,3,0),0)</f>
        <v>55841871</v>
      </c>
    </row>
    <row r="380" spans="2:4">
      <c r="B380" s="842">
        <v>7244000000</v>
      </c>
      <c r="C380" s="842" t="s">
        <v>3197</v>
      </c>
      <c r="D380" s="1178">
        <f>+IFERROR(+VLOOKUP(B380,SAP!$I$10:$K$560,3,0),0)</f>
        <v>3363267</v>
      </c>
    </row>
    <row r="381" spans="2:4">
      <c r="B381" s="842">
        <v>7245000000</v>
      </c>
      <c r="C381" s="842" t="s">
        <v>3198</v>
      </c>
      <c r="D381" s="1178">
        <f>+IFERROR(+VLOOKUP(B381,SAP!$I$10:$K$560,3,0),0)</f>
        <v>1761770</v>
      </c>
    </row>
    <row r="382" spans="2:4">
      <c r="B382" s="842">
        <v>7248000000</v>
      </c>
      <c r="C382" s="842" t="s">
        <v>3199</v>
      </c>
      <c r="D382" s="1178">
        <f>+IFERROR(+VLOOKUP(B382,SAP!$I$10:$K$560,3,0),0)</f>
        <v>126286369</v>
      </c>
    </row>
    <row r="383" spans="2:4">
      <c r="B383" s="842">
        <v>7250000000</v>
      </c>
      <c r="C383" s="842" t="s">
        <v>3200</v>
      </c>
      <c r="D383" s="1178">
        <f>+IFERROR(+VLOOKUP(B383,SAP!$I$10:$K$560,3,0),0)</f>
        <v>1682000</v>
      </c>
    </row>
    <row r="384" spans="2:4">
      <c r="B384" s="842">
        <v>7250100000</v>
      </c>
      <c r="C384" s="842" t="s">
        <v>3201</v>
      </c>
      <c r="D384" s="1178">
        <f>+IFERROR(+VLOOKUP(B384,SAP!$I$10:$K$560,3,0),0)</f>
        <v>16451799</v>
      </c>
    </row>
    <row r="385" spans="2:4">
      <c r="B385" s="842">
        <v>7250100003</v>
      </c>
      <c r="C385" s="842" t="s">
        <v>3202</v>
      </c>
      <c r="D385" s="1178">
        <f>+IFERROR(+VLOOKUP(B385,SAP!$I$10:$K$560,3,0),0)</f>
        <v>2460515</v>
      </c>
    </row>
    <row r="386" spans="2:4">
      <c r="B386" s="842">
        <v>7251000004</v>
      </c>
      <c r="C386" s="842" t="s">
        <v>3203</v>
      </c>
      <c r="D386" s="1178">
        <f>+IFERROR(+VLOOKUP(B386,SAP!$I$10:$K$560,3,0),0)</f>
        <v>10131817</v>
      </c>
    </row>
    <row r="387" spans="2:4">
      <c r="B387" s="842">
        <v>7401000000</v>
      </c>
      <c r="C387" s="842" t="s">
        <v>3204</v>
      </c>
      <c r="D387" s="1178">
        <f>+IFERROR(+VLOOKUP(B387,SAP!$I$10:$K$560,3,0),0)</f>
        <v>17471097</v>
      </c>
    </row>
    <row r="388" spans="2:4">
      <c r="B388" s="842">
        <v>7410000000</v>
      </c>
      <c r="C388" s="842" t="s">
        <v>3205</v>
      </c>
      <c r="D388" s="1178">
        <f>+IFERROR(+VLOOKUP(B388,SAP!$I$10:$K$560,3,0),0)</f>
        <v>55815132</v>
      </c>
    </row>
    <row r="389" spans="2:4">
      <c r="B389" s="842">
        <v>7411000000</v>
      </c>
      <c r="C389" s="842" t="s">
        <v>3206</v>
      </c>
      <c r="D389" s="1178">
        <f>+IFERROR(+VLOOKUP(B389,SAP!$I$10:$K$560,3,0),0)</f>
        <v>112483467</v>
      </c>
    </row>
    <row r="390" spans="2:4">
      <c r="B390" s="842">
        <v>7422000000</v>
      </c>
      <c r="C390" s="842" t="s">
        <v>3207</v>
      </c>
      <c r="D390" s="1178">
        <f>+IFERROR(+VLOOKUP(B390,SAP!$I$10:$K$560,3,0),0)</f>
        <v>11775322</v>
      </c>
    </row>
    <row r="391" spans="2:4">
      <c r="B391" s="842">
        <v>7430000000</v>
      </c>
      <c r="C391" s="842" t="s">
        <v>3208</v>
      </c>
      <c r="D391" s="1178">
        <f>+IFERROR(+VLOOKUP(B391,SAP!$I$10:$K$560,3,0),0)</f>
        <v>27665755</v>
      </c>
    </row>
    <row r="392" spans="2:4">
      <c r="B392" s="842">
        <v>7431000002</v>
      </c>
      <c r="C392" s="842" t="s">
        <v>3748</v>
      </c>
      <c r="D392" s="1178">
        <f>+IFERROR(+VLOOKUP(B392,SAP!$I$10:$K$560,3,0),0)</f>
        <v>4145289</v>
      </c>
    </row>
    <row r="393" spans="2:4">
      <c r="B393" s="842">
        <v>7440000001</v>
      </c>
      <c r="C393" s="842" t="s">
        <v>3209</v>
      </c>
      <c r="D393" s="1178">
        <f>+IFERROR(+VLOOKUP(B393,SAP!$I$10:$K$560,3,0),0)</f>
        <v>34687676</v>
      </c>
    </row>
    <row r="394" spans="2:4">
      <c r="B394" s="842">
        <v>7440000003</v>
      </c>
      <c r="C394" s="842" t="s">
        <v>3210</v>
      </c>
      <c r="D394" s="1178">
        <f>+IFERROR(+VLOOKUP(B394,SAP!$I$10:$K$560,3,0),0)</f>
        <v>58002819</v>
      </c>
    </row>
    <row r="395" spans="2:4">
      <c r="B395" s="842">
        <v>7500000000</v>
      </c>
      <c r="C395" s="842" t="s">
        <v>3211</v>
      </c>
      <c r="D395" s="1178">
        <f>+IFERROR(+VLOOKUP(B395,SAP!$I$10:$K$560,3,0),0)</f>
        <v>15565770</v>
      </c>
    </row>
    <row r="396" spans="2:4">
      <c r="B396" s="842">
        <v>7501000000</v>
      </c>
      <c r="C396" s="842" t="s">
        <v>3749</v>
      </c>
      <c r="D396" s="1178">
        <f>+IFERROR(+VLOOKUP(B396,SAP!$I$10:$K$560,3,0),0)</f>
        <v>10000000</v>
      </c>
    </row>
    <row r="397" spans="2:4">
      <c r="B397" s="842">
        <v>7503000000</v>
      </c>
      <c r="C397" s="842" t="s">
        <v>3750</v>
      </c>
      <c r="D397" s="1178">
        <f>+IFERROR(+VLOOKUP(B397,SAP!$I$10:$K$560,3,0),0)</f>
        <v>34950800</v>
      </c>
    </row>
    <row r="398" spans="2:4">
      <c r="B398" s="842">
        <v>7510000000</v>
      </c>
      <c r="C398" s="842" t="s">
        <v>3212</v>
      </c>
      <c r="D398" s="1178">
        <f>+IFERROR(+VLOOKUP(B398,SAP!$I$10:$K$560,3,0),0)</f>
        <v>0</v>
      </c>
    </row>
    <row r="399" spans="2:4">
      <c r="B399" s="842">
        <v>7512000000</v>
      </c>
      <c r="C399" s="842" t="s">
        <v>3213</v>
      </c>
      <c r="D399" s="1178">
        <f>+IFERROR(+VLOOKUP(B399,SAP!$I$10:$K$560,3,0),0)</f>
        <v>17160270</v>
      </c>
    </row>
    <row r="400" spans="2:4">
      <c r="B400" s="842">
        <v>7512120000</v>
      </c>
      <c r="C400" s="842" t="s">
        <v>3214</v>
      </c>
      <c r="D400" s="1178">
        <f>+IFERROR(+VLOOKUP(B400,SAP!$I$10:$K$560,3,0),0)</f>
        <v>124637123</v>
      </c>
    </row>
    <row r="401" spans="2:4">
      <c r="B401" s="842">
        <v>7512130000</v>
      </c>
      <c r="C401" s="842" t="s">
        <v>3215</v>
      </c>
      <c r="D401" s="1178">
        <f>+IFERROR(+VLOOKUP(B401,SAP!$I$10:$K$560,3,0),0)</f>
        <v>0</v>
      </c>
    </row>
    <row r="402" spans="2:4">
      <c r="B402" s="842">
        <v>7520130000</v>
      </c>
      <c r="C402" s="842" t="s">
        <v>3216</v>
      </c>
      <c r="D402" s="1178">
        <f>+IFERROR(+VLOOKUP(B402,SAP!$I$10:$K$560,3,0),0)</f>
        <v>0</v>
      </c>
    </row>
    <row r="403" spans="2:4">
      <c r="B403" s="842">
        <v>7521000000</v>
      </c>
      <c r="C403" s="842" t="s">
        <v>3217</v>
      </c>
      <c r="D403" s="1178">
        <f>+IFERROR(+VLOOKUP(B403,SAP!$I$10:$K$560,3,0),0)</f>
        <v>27000</v>
      </c>
    </row>
    <row r="404" spans="2:4">
      <c r="B404" s="842">
        <v>7521100000</v>
      </c>
      <c r="C404" s="842" t="s">
        <v>3218</v>
      </c>
      <c r="D404" s="1178">
        <f>+IFERROR(+VLOOKUP(B404,SAP!$I$10:$K$560,3,0),0)</f>
        <v>0</v>
      </c>
    </row>
    <row r="405" spans="2:4">
      <c r="B405" s="842">
        <v>7521100001</v>
      </c>
      <c r="C405" s="842" t="s">
        <v>3219</v>
      </c>
      <c r="D405" s="1178">
        <f>+IFERROR(+VLOOKUP(B405,SAP!$I$10:$K$560,3,0),0)</f>
        <v>19801376</v>
      </c>
    </row>
    <row r="406" spans="2:4">
      <c r="B406" s="842">
        <v>7521100002</v>
      </c>
      <c r="C406" s="842" t="s">
        <v>3220</v>
      </c>
      <c r="D406" s="1178">
        <f>+IFERROR(+VLOOKUP(B406,SAP!$I$10:$K$560,3,0),0)</f>
        <v>4550000</v>
      </c>
    </row>
    <row r="407" spans="2:4">
      <c r="B407" s="842">
        <v>7521100003</v>
      </c>
      <c r="C407" s="842" t="s">
        <v>3221</v>
      </c>
      <c r="D407" s="1178">
        <f>+IFERROR(+VLOOKUP(B407,SAP!$I$10:$K$560,3,0),0)</f>
        <v>0</v>
      </c>
    </row>
    <row r="408" spans="2:4">
      <c r="B408" s="842">
        <v>7521200000</v>
      </c>
      <c r="C408" s="842" t="s">
        <v>3222</v>
      </c>
      <c r="D408" s="1178">
        <f>+IFERROR(+VLOOKUP(B408,SAP!$I$10:$K$560,3,0),0)</f>
        <v>32302805</v>
      </c>
    </row>
    <row r="409" spans="2:4">
      <c r="B409" s="842">
        <v>7521200002</v>
      </c>
      <c r="C409" s="842" t="s">
        <v>3223</v>
      </c>
      <c r="D409" s="1178">
        <f>+IFERROR(+VLOOKUP(B409,SAP!$I$10:$K$560,3,0),0)</f>
        <v>1318000</v>
      </c>
    </row>
    <row r="410" spans="2:4">
      <c r="B410" s="842">
        <v>7522200000</v>
      </c>
      <c r="C410" s="842" t="s">
        <v>3224</v>
      </c>
      <c r="D410" s="1178">
        <f>+IFERROR(+VLOOKUP(B410,SAP!$I$10:$K$560,3,0),0)</f>
        <v>4858654</v>
      </c>
    </row>
    <row r="411" spans="2:4">
      <c r="B411" s="842">
        <v>7522400000</v>
      </c>
      <c r="C411" s="842" t="s">
        <v>3225</v>
      </c>
      <c r="D411" s="1178">
        <f>+IFERROR(+VLOOKUP(B411,SAP!$I$10:$K$560,3,0),0)</f>
        <v>0</v>
      </c>
    </row>
    <row r="412" spans="2:4">
      <c r="B412" s="842">
        <v>7523000000</v>
      </c>
      <c r="C412" s="842" t="s">
        <v>3226</v>
      </c>
      <c r="D412" s="1178">
        <f>+IFERROR(+VLOOKUP(B412,SAP!$I$10:$K$560,3,0),0)</f>
        <v>16960860</v>
      </c>
    </row>
    <row r="413" spans="2:4">
      <c r="B413" s="842">
        <v>7523100004</v>
      </c>
      <c r="C413" s="842" t="s">
        <v>3227</v>
      </c>
      <c r="D413" s="1178">
        <f>+IFERROR(+VLOOKUP(B413,SAP!$I$10:$K$560,3,0),0)</f>
        <v>17301652</v>
      </c>
    </row>
    <row r="414" spans="2:4">
      <c r="B414" s="842">
        <v>7525100000</v>
      </c>
      <c r="C414" s="842" t="s">
        <v>3751</v>
      </c>
      <c r="D414" s="1178">
        <f>+IFERROR(+VLOOKUP(B414,SAP!$I$10:$K$560,3,0),0)</f>
        <v>675000</v>
      </c>
    </row>
    <row r="415" spans="2:4">
      <c r="B415" s="842">
        <v>7525800000</v>
      </c>
      <c r="C415" s="842" t="s">
        <v>3228</v>
      </c>
      <c r="D415" s="1178">
        <f>+IFERROR(+VLOOKUP(B415,SAP!$I$10:$K$560,3,0),0)</f>
        <v>1083936</v>
      </c>
    </row>
    <row r="416" spans="2:4">
      <c r="B416" s="842">
        <v>7525810000</v>
      </c>
      <c r="C416" s="842" t="s">
        <v>3229</v>
      </c>
      <c r="D416" s="1178">
        <f>+IFERROR(+VLOOKUP(B416,SAP!$I$10:$K$560,3,0),0)</f>
        <v>0</v>
      </c>
    </row>
    <row r="417" spans="2:4">
      <c r="B417" s="842">
        <v>7526000000</v>
      </c>
      <c r="C417" s="842" t="s">
        <v>3230</v>
      </c>
      <c r="D417" s="1178">
        <f>+IFERROR(+VLOOKUP(B417,SAP!$I$10:$K$560,3,0),0)</f>
        <v>707428</v>
      </c>
    </row>
    <row r="418" spans="2:4">
      <c r="B418" s="842">
        <v>7526100000</v>
      </c>
      <c r="C418" s="842" t="s">
        <v>3231</v>
      </c>
      <c r="D418" s="1178">
        <f>+IFERROR(+VLOOKUP(B418,SAP!$I$10:$K$560,3,0),0)</f>
        <v>3217696</v>
      </c>
    </row>
    <row r="419" spans="2:4">
      <c r="B419" s="842">
        <v>7526300000</v>
      </c>
      <c r="C419" s="842" t="s">
        <v>3232</v>
      </c>
      <c r="D419" s="1178">
        <f>+IFERROR(+VLOOKUP(B419,SAP!$I$10:$K$560,3,0),0)</f>
        <v>0</v>
      </c>
    </row>
    <row r="420" spans="2:4">
      <c r="B420" s="842">
        <v>7527000000</v>
      </c>
      <c r="C420" s="842" t="s">
        <v>3233</v>
      </c>
      <c r="D420" s="1178">
        <f>+IFERROR(+VLOOKUP(B420,SAP!$I$10:$K$560,3,0),0)</f>
        <v>12286325</v>
      </c>
    </row>
    <row r="421" spans="2:4">
      <c r="B421" s="842">
        <v>7530000009</v>
      </c>
      <c r="C421" s="842" t="s">
        <v>3234</v>
      </c>
      <c r="D421" s="1178">
        <f>+IFERROR(+VLOOKUP(B421,SAP!$I$10:$K$560,3,0),0)</f>
        <v>0</v>
      </c>
    </row>
    <row r="422" spans="2:4">
      <c r="B422" s="842">
        <v>7530000100</v>
      </c>
      <c r="C422" s="842" t="s">
        <v>3235</v>
      </c>
      <c r="D422" s="1178">
        <f>+IFERROR(+VLOOKUP(B422,SAP!$I$10:$K$560,3,0),0)</f>
        <v>0</v>
      </c>
    </row>
    <row r="423" spans="2:4">
      <c r="B423" s="842">
        <v>7600000000</v>
      </c>
      <c r="C423" s="842" t="s">
        <v>3236</v>
      </c>
      <c r="D423" s="1178">
        <f>+IFERROR(+VLOOKUP(B423,SAP!$I$10:$K$560,3,0),0)</f>
        <v>300654437</v>
      </c>
    </row>
    <row r="424" spans="2:4">
      <c r="B424" s="842">
        <v>7600000002</v>
      </c>
      <c r="C424" s="842" t="s">
        <v>3237</v>
      </c>
      <c r="D424" s="1178">
        <f>+IFERROR(+VLOOKUP(B424,SAP!$I$10:$K$560,3,0),0)</f>
        <v>4897244</v>
      </c>
    </row>
    <row r="425" spans="2:4">
      <c r="B425" s="842">
        <v>7600000014</v>
      </c>
      <c r="C425" s="842" t="s">
        <v>3238</v>
      </c>
      <c r="D425" s="1178">
        <f>+IFERROR(+VLOOKUP(B425,SAP!$I$10:$K$560,3,0),0)</f>
        <v>15670441</v>
      </c>
    </row>
    <row r="426" spans="2:4">
      <c r="B426" s="842">
        <v>7602000000</v>
      </c>
      <c r="C426" s="842" t="s">
        <v>3239</v>
      </c>
      <c r="D426" s="1178">
        <f>+IFERROR(+VLOOKUP(B426,SAP!$I$10:$K$560,3,0),0)</f>
        <v>169216575</v>
      </c>
    </row>
    <row r="427" spans="2:4">
      <c r="B427" s="842">
        <v>7603000000</v>
      </c>
      <c r="C427" s="842" t="s">
        <v>3240</v>
      </c>
      <c r="D427" s="1178">
        <f>+IFERROR(+VLOOKUP(B427,SAP!$I$10:$K$560,3,0),0)</f>
        <v>0</v>
      </c>
    </row>
    <row r="428" spans="2:4">
      <c r="B428" s="842">
        <v>7607000000</v>
      </c>
      <c r="C428" s="842" t="s">
        <v>3241</v>
      </c>
      <c r="D428" s="1178">
        <f>+IFERROR(+VLOOKUP(B428,SAP!$I$10:$K$560,3,0),0)</f>
        <v>0</v>
      </c>
    </row>
    <row r="429" spans="2:4">
      <c r="B429" s="842">
        <v>7610100000</v>
      </c>
      <c r="C429" s="842" t="s">
        <v>3242</v>
      </c>
      <c r="D429" s="1178">
        <f>+IFERROR(+VLOOKUP(B429,SAP!$I$10:$K$560,3,0),0)</f>
        <v>51741990</v>
      </c>
    </row>
    <row r="430" spans="2:4">
      <c r="B430" s="842">
        <v>7610103000</v>
      </c>
      <c r="C430" s="842" t="s">
        <v>3243</v>
      </c>
      <c r="D430" s="1178">
        <f>+IFERROR(+VLOOKUP(B430,SAP!$I$10:$K$560,3,0),0)</f>
        <v>2465932</v>
      </c>
    </row>
    <row r="431" spans="2:4">
      <c r="B431" s="842">
        <v>7610200000</v>
      </c>
      <c r="C431" s="842" t="s">
        <v>3244</v>
      </c>
      <c r="D431" s="1178">
        <f>+IFERROR(+VLOOKUP(B431,SAP!$I$10:$K$560,3,0),0)</f>
        <v>341108</v>
      </c>
    </row>
    <row r="432" spans="2:4">
      <c r="B432" s="842">
        <v>7610500000</v>
      </c>
      <c r="C432" s="842" t="s">
        <v>3245</v>
      </c>
      <c r="D432" s="1178">
        <f>+IFERROR(+VLOOKUP(B432,SAP!$I$10:$K$560,3,0),0)</f>
        <v>19999980</v>
      </c>
    </row>
    <row r="433" spans="2:4">
      <c r="B433" s="842">
        <v>7611000000</v>
      </c>
      <c r="C433" s="842" t="s">
        <v>3246</v>
      </c>
      <c r="D433" s="1178">
        <f>+IFERROR(+VLOOKUP(B433,SAP!$I$10:$K$560,3,0),0)</f>
        <v>26829560</v>
      </c>
    </row>
    <row r="434" spans="2:4">
      <c r="B434" s="842">
        <v>7612000000</v>
      </c>
      <c r="C434" s="842" t="s">
        <v>3247</v>
      </c>
      <c r="D434" s="1178">
        <f>+IFERROR(+VLOOKUP(B434,SAP!$I$10:$K$560,3,0),0)</f>
        <v>29920594</v>
      </c>
    </row>
    <row r="435" spans="2:4">
      <c r="B435" s="842">
        <v>7612100000</v>
      </c>
      <c r="C435" s="842" t="s">
        <v>3248</v>
      </c>
      <c r="D435" s="1178">
        <f>+IFERROR(+VLOOKUP(B435,SAP!$I$10:$K$560,3,0),0)</f>
        <v>2732769</v>
      </c>
    </row>
    <row r="436" spans="2:4">
      <c r="B436" s="842">
        <v>7612200000</v>
      </c>
      <c r="C436" s="842" t="s">
        <v>3249</v>
      </c>
      <c r="D436" s="1178">
        <f>+IFERROR(+VLOOKUP(B436,SAP!$I$10:$K$560,3,0),0)</f>
        <v>0</v>
      </c>
    </row>
    <row r="437" spans="2:4">
      <c r="B437" s="842">
        <v>7612201000</v>
      </c>
      <c r="C437" s="842" t="s">
        <v>3250</v>
      </c>
      <c r="D437" s="1178">
        <f>+IFERROR(+VLOOKUP(B437,SAP!$I$10:$K$560,3,0),0)</f>
        <v>1378077</v>
      </c>
    </row>
    <row r="438" spans="2:4">
      <c r="B438" s="842">
        <v>7612300000</v>
      </c>
      <c r="C438" s="842" t="s">
        <v>3251</v>
      </c>
      <c r="D438" s="1178">
        <f>+IFERROR(+VLOOKUP(B438,SAP!$I$10:$K$560,3,0),0)</f>
        <v>0</v>
      </c>
    </row>
    <row r="439" spans="2:4">
      <c r="B439" s="842">
        <v>7613100003</v>
      </c>
      <c r="C439" s="842" t="s">
        <v>3252</v>
      </c>
      <c r="D439" s="1178">
        <f>+IFERROR(+VLOOKUP(B439,SAP!$I$10:$K$560,3,0),0)</f>
        <v>6989534</v>
      </c>
    </row>
    <row r="440" spans="2:4">
      <c r="B440" s="842">
        <v>7613200000</v>
      </c>
      <c r="C440" s="842" t="s">
        <v>3253</v>
      </c>
      <c r="D440" s="1178">
        <f>+IFERROR(+VLOOKUP(B440,SAP!$I$10:$K$560,3,0),0)</f>
        <v>287726</v>
      </c>
    </row>
    <row r="441" spans="2:4">
      <c r="B441" s="842">
        <v>7613210000</v>
      </c>
      <c r="C441" s="842" t="s">
        <v>3254</v>
      </c>
      <c r="D441" s="1178">
        <f>+IFERROR(+VLOOKUP(B441,SAP!$I$10:$K$560,3,0),0)</f>
        <v>51871543</v>
      </c>
    </row>
    <row r="442" spans="2:4">
      <c r="B442" s="842">
        <v>7615000000</v>
      </c>
      <c r="C442" s="842" t="s">
        <v>3255</v>
      </c>
      <c r="D442" s="1178">
        <f>+IFERROR(+VLOOKUP(B442,SAP!$I$10:$K$560,3,0),0)</f>
        <v>22704431</v>
      </c>
    </row>
    <row r="443" spans="2:4">
      <c r="B443" s="842">
        <v>7615010000</v>
      </c>
      <c r="C443" s="842" t="s">
        <v>3256</v>
      </c>
      <c r="D443" s="1178">
        <f>+IFERROR(+VLOOKUP(B443,SAP!$I$10:$K$560,3,0),0)</f>
        <v>15603515</v>
      </c>
    </row>
    <row r="444" spans="2:4">
      <c r="B444" s="842">
        <v>7615020000</v>
      </c>
      <c r="C444" s="842" t="s">
        <v>3257</v>
      </c>
      <c r="D444" s="1178">
        <f>+IFERROR(+VLOOKUP(B444,SAP!$I$10:$K$560,3,0),0)</f>
        <v>3298864</v>
      </c>
    </row>
    <row r="445" spans="2:4">
      <c r="B445" s="842">
        <v>7615430000</v>
      </c>
      <c r="C445" s="842" t="s">
        <v>3258</v>
      </c>
      <c r="D445" s="1178">
        <f>+IFERROR(+VLOOKUP(B445,SAP!$I$10:$K$560,3,0),0)</f>
        <v>18028823</v>
      </c>
    </row>
    <row r="446" spans="2:4">
      <c r="B446" s="842">
        <v>7615500000</v>
      </c>
      <c r="C446" s="842" t="s">
        <v>3259</v>
      </c>
      <c r="D446" s="1178">
        <f>+IFERROR(+VLOOKUP(B446,SAP!$I$10:$K$560,3,0),0)</f>
        <v>40031161</v>
      </c>
    </row>
    <row r="447" spans="2:4">
      <c r="B447" s="842">
        <v>7615600000</v>
      </c>
      <c r="C447" s="842" t="s">
        <v>3260</v>
      </c>
      <c r="D447" s="1178">
        <f>+IFERROR(+VLOOKUP(B447,SAP!$I$10:$K$560,3,0),0)</f>
        <v>336386</v>
      </c>
    </row>
    <row r="448" spans="2:4">
      <c r="B448" s="842">
        <v>7617000002</v>
      </c>
      <c r="C448" s="842" t="s">
        <v>3261</v>
      </c>
      <c r="D448" s="1178">
        <f>+IFERROR(+VLOOKUP(B448,SAP!$I$10:$K$560,3,0),0)</f>
        <v>0</v>
      </c>
    </row>
    <row r="449" spans="2:4">
      <c r="B449" s="842">
        <v>7617000004</v>
      </c>
      <c r="C449" s="842" t="s">
        <v>3262</v>
      </c>
      <c r="D449" s="1178">
        <f>+IFERROR(+VLOOKUP(B449,SAP!$I$10:$K$560,3,0),0)</f>
        <v>518437638</v>
      </c>
    </row>
    <row r="450" spans="2:4">
      <c r="B450" s="842">
        <v>7617003003</v>
      </c>
      <c r="C450" s="842" t="s">
        <v>3263</v>
      </c>
      <c r="D450" s="1178">
        <f>+IFERROR(+VLOOKUP(B450,SAP!$I$10:$K$560,3,0),0)</f>
        <v>2585161</v>
      </c>
    </row>
    <row r="451" spans="2:4">
      <c r="B451" s="842">
        <v>7700000004</v>
      </c>
      <c r="C451" s="842" t="s">
        <v>3264</v>
      </c>
      <c r="D451" s="1178">
        <f>+IFERROR(+VLOOKUP(B451,SAP!$I$10:$K$560,3,0),0)</f>
        <v>178864</v>
      </c>
    </row>
    <row r="452" spans="2:4">
      <c r="B452" s="842">
        <v>7700021000</v>
      </c>
      <c r="C452" s="842" t="s">
        <v>3265</v>
      </c>
      <c r="D452" s="1178">
        <f>+IFERROR(+VLOOKUP(B452,SAP!$I$10:$K$560,3,0),0)</f>
        <v>112500</v>
      </c>
    </row>
    <row r="453" spans="2:4">
      <c r="B453" s="842">
        <v>7700300000</v>
      </c>
      <c r="C453" s="842" t="s">
        <v>3266</v>
      </c>
      <c r="D453" s="1178">
        <f>+IFERROR(+VLOOKUP(B453,SAP!$I$10:$K$560,3,0),0)</f>
        <v>181000</v>
      </c>
    </row>
    <row r="454" spans="2:4">
      <c r="B454" s="842">
        <v>7700300002</v>
      </c>
      <c r="C454" s="842" t="s">
        <v>3267</v>
      </c>
      <c r="D454" s="1178">
        <f>+IFERROR(+VLOOKUP(B454,SAP!$I$10:$K$560,3,0),0)</f>
        <v>16271902</v>
      </c>
    </row>
    <row r="455" spans="2:4">
      <c r="B455" s="842">
        <v>7700311002</v>
      </c>
      <c r="C455" s="842" t="s">
        <v>3268</v>
      </c>
      <c r="D455" s="1178">
        <f>+IFERROR(+VLOOKUP(B455,SAP!$I$10:$K$560,3,0),0)</f>
        <v>9321969</v>
      </c>
    </row>
    <row r="456" spans="2:4">
      <c r="B456" s="842">
        <v>7700320000</v>
      </c>
      <c r="C456" s="842" t="s">
        <v>3269</v>
      </c>
      <c r="D456" s="1178">
        <f>+IFERROR(+VLOOKUP(B456,SAP!$I$10:$K$560,3,0),0)</f>
        <v>0</v>
      </c>
    </row>
    <row r="457" spans="2:4">
      <c r="B457" s="842">
        <v>7702000000</v>
      </c>
      <c r="C457" s="842" t="s">
        <v>3270</v>
      </c>
      <c r="D457" s="1178">
        <f>+IFERROR(+VLOOKUP(B457,SAP!$I$10:$K$560,3,0),0)</f>
        <v>5675560</v>
      </c>
    </row>
    <row r="458" spans="2:4">
      <c r="B458" s="842">
        <v>7702000003</v>
      </c>
      <c r="C458" s="842" t="s">
        <v>3271</v>
      </c>
      <c r="D458" s="1178">
        <f>+IFERROR(+VLOOKUP(B458,SAP!$I$10:$K$560,3,0),0)</f>
        <v>6121129</v>
      </c>
    </row>
    <row r="459" spans="2:4">
      <c r="B459" s="842">
        <v>7702000007</v>
      </c>
      <c r="C459" s="842" t="s">
        <v>3272</v>
      </c>
      <c r="D459" s="1178">
        <f>+IFERROR(+VLOOKUP(B459,SAP!$I$10:$K$560,3,0),0)</f>
        <v>3153782</v>
      </c>
    </row>
    <row r="460" spans="2:4">
      <c r="B460" s="842">
        <v>7702000011</v>
      </c>
      <c r="C460" s="842" t="s">
        <v>3273</v>
      </c>
      <c r="D460" s="1178">
        <f>+IFERROR(+VLOOKUP(B460,SAP!$I$10:$K$560,3,0),0)</f>
        <v>127326</v>
      </c>
    </row>
    <row r="461" spans="2:4">
      <c r="B461" s="842">
        <v>7702200001</v>
      </c>
      <c r="C461" s="842" t="s">
        <v>3274</v>
      </c>
      <c r="D461" s="1178">
        <f>+IFERROR(+VLOOKUP(B461,SAP!$I$10:$K$560,3,0),0)</f>
        <v>6627536</v>
      </c>
    </row>
    <row r="462" spans="2:4">
      <c r="B462" s="842">
        <v>7702200002</v>
      </c>
      <c r="C462" s="842" t="s">
        <v>3275</v>
      </c>
      <c r="D462" s="1178">
        <f>+IFERROR(+VLOOKUP(B462,SAP!$I$10:$K$560,3,0),0)</f>
        <v>11423058</v>
      </c>
    </row>
    <row r="463" spans="2:4">
      <c r="B463" s="842">
        <v>7704100000</v>
      </c>
      <c r="C463" s="842" t="s">
        <v>3276</v>
      </c>
      <c r="D463" s="1178">
        <f>+IFERROR(+VLOOKUP(B463,SAP!$I$10:$K$560,3,0),0)</f>
        <v>162138</v>
      </c>
    </row>
    <row r="464" spans="2:4">
      <c r="B464" s="842">
        <v>7705000002</v>
      </c>
      <c r="C464" s="842" t="s">
        <v>3277</v>
      </c>
      <c r="D464" s="1178">
        <f>+IFERROR(+VLOOKUP(B464,SAP!$I$10:$K$560,3,0),0)</f>
        <v>740906</v>
      </c>
    </row>
    <row r="465" spans="2:4">
      <c r="B465" s="842">
        <v>7710000000</v>
      </c>
      <c r="C465" s="842" t="s">
        <v>3278</v>
      </c>
      <c r="D465" s="1178">
        <f>+IFERROR(+VLOOKUP(B465,SAP!$I$10:$K$560,3,0),0)</f>
        <v>-705083</v>
      </c>
    </row>
    <row r="466" spans="2:4">
      <c r="B466" s="842">
        <v>7710200000</v>
      </c>
      <c r="C466" s="842" t="s">
        <v>3279</v>
      </c>
      <c r="D466" s="1178">
        <f>+IFERROR(+VLOOKUP(B466,SAP!$I$10:$K$560,3,0),0)</f>
        <v>20541848</v>
      </c>
    </row>
    <row r="467" spans="2:4">
      <c r="B467" s="842">
        <v>7711000000</v>
      </c>
      <c r="C467" s="842" t="s">
        <v>3280</v>
      </c>
      <c r="D467" s="1178">
        <f>+IFERROR(+VLOOKUP(B467,SAP!$I$10:$K$560,3,0),0)</f>
        <v>0</v>
      </c>
    </row>
    <row r="468" spans="2:4">
      <c r="B468" s="842">
        <v>7712000000</v>
      </c>
      <c r="C468" s="842" t="s">
        <v>3281</v>
      </c>
      <c r="D468" s="1178">
        <f>+IFERROR(+VLOOKUP(B468,SAP!$I$10:$K$560,3,0),0)</f>
        <v>233304108</v>
      </c>
    </row>
    <row r="469" spans="2:4">
      <c r="B469" s="842">
        <v>7714000000</v>
      </c>
      <c r="C469" s="842" t="s">
        <v>3282</v>
      </c>
      <c r="D469" s="1178">
        <f>+IFERROR(+VLOOKUP(B469,SAP!$I$10:$K$560,3,0),0)</f>
        <v>16131071</v>
      </c>
    </row>
    <row r="470" spans="2:4">
      <c r="B470" s="842">
        <v>7715000000</v>
      </c>
      <c r="C470" s="842" t="s">
        <v>3283</v>
      </c>
      <c r="D470" s="1178">
        <f>+IFERROR(+VLOOKUP(B470,SAP!$I$10:$K$560,3,0),0)</f>
        <v>84768420</v>
      </c>
    </row>
    <row r="471" spans="2:4">
      <c r="B471" s="842">
        <v>7715000006</v>
      </c>
      <c r="C471" s="842" t="s">
        <v>3284</v>
      </c>
      <c r="D471" s="1178">
        <f>+IFERROR(+VLOOKUP(B471,SAP!$I$10:$K$560,3,0),0)</f>
        <v>0</v>
      </c>
    </row>
    <row r="472" spans="2:4">
      <c r="B472" s="842">
        <v>7715000007</v>
      </c>
      <c r="C472" s="842" t="s">
        <v>3285</v>
      </c>
      <c r="D472" s="1178">
        <f>+IFERROR(+VLOOKUP(B472,SAP!$I$10:$K$560,3,0),0)</f>
        <v>156752919</v>
      </c>
    </row>
    <row r="473" spans="2:4">
      <c r="B473" s="842">
        <v>7716000000</v>
      </c>
      <c r="C473" s="842" t="s">
        <v>3286</v>
      </c>
      <c r="D473" s="1178">
        <f>+IFERROR(+VLOOKUP(B473,SAP!$I$10:$K$560,3,0),0)</f>
        <v>77432533</v>
      </c>
    </row>
    <row r="474" spans="2:4">
      <c r="B474" s="842">
        <v>7716010000</v>
      </c>
      <c r="C474" s="842" t="s">
        <v>3287</v>
      </c>
      <c r="D474" s="1178">
        <f>+IFERROR(+VLOOKUP(B474,SAP!$I$10:$K$560,3,0),0)</f>
        <v>183148</v>
      </c>
    </row>
    <row r="475" spans="2:4">
      <c r="B475" s="842">
        <v>7716011001</v>
      </c>
      <c r="C475" s="842" t="s">
        <v>3288</v>
      </c>
      <c r="D475" s="1178">
        <f>+IFERROR(+VLOOKUP(B475,SAP!$I$10:$K$560,3,0),0)</f>
        <v>0</v>
      </c>
    </row>
    <row r="476" spans="2:4">
      <c r="B476" s="842">
        <v>7716013001</v>
      </c>
      <c r="C476" s="842" t="s">
        <v>3289</v>
      </c>
      <c r="D476" s="1178">
        <f>+IFERROR(+VLOOKUP(B476,SAP!$I$10:$K$560,3,0),0)</f>
        <v>0</v>
      </c>
    </row>
    <row r="477" spans="2:4">
      <c r="B477" s="842">
        <v>7716020001</v>
      </c>
      <c r="C477" s="842" t="s">
        <v>3290</v>
      </c>
      <c r="D477" s="1178">
        <f>+IFERROR(+VLOOKUP(B477,SAP!$I$10:$K$560,3,0),0)</f>
        <v>0</v>
      </c>
    </row>
    <row r="478" spans="2:4">
      <c r="B478" s="842">
        <v>7716020003</v>
      </c>
      <c r="C478" s="842" t="s">
        <v>3291</v>
      </c>
      <c r="D478" s="1178">
        <f>+IFERROR(+VLOOKUP(B478,SAP!$I$10:$K$560,3,0),0)</f>
        <v>0</v>
      </c>
    </row>
    <row r="479" spans="2:4">
      <c r="B479" s="842">
        <v>7716030000</v>
      </c>
      <c r="C479" s="842" t="s">
        <v>3292</v>
      </c>
      <c r="D479" s="1178">
        <f>+IFERROR(+VLOOKUP(B479,SAP!$I$10:$K$560,3,0),0)</f>
        <v>152181561</v>
      </c>
    </row>
    <row r="480" spans="2:4">
      <c r="B480" s="842">
        <v>7716030001</v>
      </c>
      <c r="C480" s="842" t="s">
        <v>3293</v>
      </c>
      <c r="D480" s="1178">
        <f>+IFERROR(+VLOOKUP(B480,SAP!$I$10:$K$560,3,0),0)</f>
        <v>301775</v>
      </c>
    </row>
    <row r="481" spans="2:4">
      <c r="B481" s="842">
        <v>7716030002</v>
      </c>
      <c r="C481" s="842" t="s">
        <v>3294</v>
      </c>
      <c r="D481" s="1178">
        <f>+IFERROR(+VLOOKUP(B481,SAP!$I$10:$K$560,3,0),0)</f>
        <v>5475326</v>
      </c>
    </row>
    <row r="482" spans="2:4">
      <c r="B482" s="842">
        <v>7716050000</v>
      </c>
      <c r="C482" s="842" t="s">
        <v>3295</v>
      </c>
      <c r="D482" s="1178">
        <f>+IFERROR(+VLOOKUP(B482,SAP!$I$10:$K$560,3,0),0)</f>
        <v>-160714984</v>
      </c>
    </row>
    <row r="483" spans="2:4">
      <c r="B483" s="842">
        <v>7716050005</v>
      </c>
      <c r="C483" s="842" t="s">
        <v>3296</v>
      </c>
      <c r="D483" s="1178">
        <f>+IFERROR(+VLOOKUP(B483,SAP!$I$10:$K$560,3,0),0)</f>
        <v>7107951</v>
      </c>
    </row>
    <row r="484" spans="2:4">
      <c r="B484" s="842">
        <v>7720100000</v>
      </c>
      <c r="C484" s="842" t="s">
        <v>3297</v>
      </c>
      <c r="D484" s="1178">
        <f>+IFERROR(+VLOOKUP(B484,SAP!$I$10:$K$560,3,0),0)</f>
        <v>79299882</v>
      </c>
    </row>
    <row r="485" spans="2:4">
      <c r="B485" s="842">
        <v>7720100008</v>
      </c>
      <c r="C485" s="842" t="s">
        <v>3298</v>
      </c>
      <c r="D485" s="1178">
        <f>+IFERROR(+VLOOKUP(B485,SAP!$I$10:$K$560,3,0),0)</f>
        <v>0</v>
      </c>
    </row>
    <row r="486" spans="2:4">
      <c r="B486" s="842">
        <v>7720200000</v>
      </c>
      <c r="C486" s="842" t="s">
        <v>3299</v>
      </c>
      <c r="D486" s="1178">
        <f>+IFERROR(+VLOOKUP(B486,SAP!$I$10:$K$560,3,0),0)</f>
        <v>11221</v>
      </c>
    </row>
    <row r="487" spans="2:4">
      <c r="B487" s="842">
        <v>7720300000</v>
      </c>
      <c r="C487" s="842" t="s">
        <v>3752</v>
      </c>
      <c r="D487" s="1178">
        <f>+IFERROR(+VLOOKUP(B487,SAP!$I$10:$K$560,3,0),0)</f>
        <v>3465939</v>
      </c>
    </row>
    <row r="488" spans="2:4">
      <c r="B488" s="842">
        <v>7720310000</v>
      </c>
      <c r="C488" s="842" t="s">
        <v>3300</v>
      </c>
      <c r="D488" s="1178">
        <f>+IFERROR(+VLOOKUP(B488,SAP!$I$10:$K$560,3,0),0)</f>
        <v>32361</v>
      </c>
    </row>
    <row r="489" spans="2:4">
      <c r="B489" s="842">
        <v>7721000000</v>
      </c>
      <c r="C489" s="842" t="s">
        <v>3301</v>
      </c>
      <c r="D489" s="1178">
        <f>+IFERROR(+VLOOKUP(B489,SAP!$I$10:$K$560,3,0),0)</f>
        <v>741680</v>
      </c>
    </row>
    <row r="490" spans="2:4">
      <c r="B490" s="842">
        <v>7721100000</v>
      </c>
      <c r="C490" s="842" t="s">
        <v>3302</v>
      </c>
      <c r="D490" s="1178">
        <f>+IFERROR(+VLOOKUP(B490,SAP!$I$10:$K$560,3,0),0)</f>
        <v>0</v>
      </c>
    </row>
    <row r="491" spans="2:4">
      <c r="B491" s="842">
        <v>7721200000</v>
      </c>
      <c r="C491" s="842" t="s">
        <v>3303</v>
      </c>
      <c r="D491" s="1178">
        <f>+IFERROR(+VLOOKUP(B491,SAP!$I$10:$K$560,3,0),0)</f>
        <v>30412184</v>
      </c>
    </row>
    <row r="492" spans="2:4">
      <c r="B492" s="842">
        <v>7721400000</v>
      </c>
      <c r="C492" s="842" t="s">
        <v>3304</v>
      </c>
      <c r="D492" s="1178">
        <f>+IFERROR(+VLOOKUP(B492,SAP!$I$10:$K$560,3,0),0)</f>
        <v>69307889</v>
      </c>
    </row>
    <row r="493" spans="2:4">
      <c r="B493" s="842">
        <v>7721500000</v>
      </c>
      <c r="C493" s="842" t="s">
        <v>3305</v>
      </c>
      <c r="D493" s="1178">
        <f>+IFERROR(+VLOOKUP(B493,SAP!$I$10:$K$560,3,0),0)</f>
        <v>1319153</v>
      </c>
    </row>
    <row r="494" spans="2:4">
      <c r="B494" s="842">
        <v>7721600000</v>
      </c>
      <c r="C494" s="842" t="s">
        <v>3306</v>
      </c>
      <c r="D494" s="1178">
        <f>+IFERROR(+VLOOKUP(B494,SAP!$I$10:$K$560,3,0),0)</f>
        <v>2263922</v>
      </c>
    </row>
    <row r="495" spans="2:4">
      <c r="B495" s="842">
        <v>7722000000</v>
      </c>
      <c r="C495" s="842" t="s">
        <v>3307</v>
      </c>
      <c r="D495" s="1178">
        <f>+IFERROR(+VLOOKUP(B495,SAP!$I$10:$K$560,3,0),0)</f>
        <v>42560</v>
      </c>
    </row>
    <row r="496" spans="2:4">
      <c r="B496" s="842">
        <v>7722004000</v>
      </c>
      <c r="C496" s="842" t="s">
        <v>3308</v>
      </c>
      <c r="D496" s="1178">
        <f>+IFERROR(+VLOOKUP(B496,SAP!$I$10:$K$560,3,0),0)</f>
        <v>0</v>
      </c>
    </row>
    <row r="497" spans="2:4">
      <c r="B497" s="842">
        <v>7722300000</v>
      </c>
      <c r="C497" s="842" t="s">
        <v>3309</v>
      </c>
      <c r="D497" s="1178">
        <f>+IFERROR(+VLOOKUP(B497,SAP!$I$10:$K$560,3,0),0)</f>
        <v>193429312</v>
      </c>
    </row>
    <row r="498" spans="2:4">
      <c r="B498" s="842">
        <v>7723000000</v>
      </c>
      <c r="C498" s="842" t="s">
        <v>3310</v>
      </c>
      <c r="D498" s="1178">
        <f>+IFERROR(+VLOOKUP(B498,SAP!$I$10:$K$560,3,0),0)</f>
        <v>0</v>
      </c>
    </row>
    <row r="499" spans="2:4">
      <c r="B499" s="842">
        <v>7723000001</v>
      </c>
      <c r="C499" s="842" t="s">
        <v>3311</v>
      </c>
      <c r="D499" s="1178">
        <f>+IFERROR(+VLOOKUP(B499,SAP!$I$10:$K$560,3,0),0)</f>
        <v>0</v>
      </c>
    </row>
    <row r="500" spans="2:4">
      <c r="B500" s="842">
        <v>7725000000</v>
      </c>
      <c r="C500" s="842" t="s">
        <v>3312</v>
      </c>
      <c r="D500" s="1178">
        <f>+IFERROR(+VLOOKUP(B500,SAP!$I$10:$K$560,3,0),0)</f>
        <v>33429588</v>
      </c>
    </row>
    <row r="501" spans="2:4">
      <c r="B501" s="842">
        <v>7725000003</v>
      </c>
      <c r="C501" s="842" t="s">
        <v>3313</v>
      </c>
      <c r="D501" s="1178">
        <f>+IFERROR(+VLOOKUP(B501,SAP!$I$10:$K$560,3,0),0)</f>
        <v>5000</v>
      </c>
    </row>
    <row r="502" spans="2:4">
      <c r="B502" s="842">
        <v>7725000010</v>
      </c>
      <c r="C502" s="842" t="s">
        <v>3314</v>
      </c>
      <c r="D502" s="1178">
        <f>+IFERROR(+VLOOKUP(B502,SAP!$I$10:$K$560,3,0),0)</f>
        <v>65713</v>
      </c>
    </row>
    <row r="503" spans="2:4">
      <c r="B503" s="842">
        <v>7725000900</v>
      </c>
      <c r="C503" s="842" t="s">
        <v>3315</v>
      </c>
      <c r="D503" s="1178">
        <f>+IFERROR(+VLOOKUP(B503,SAP!$I$10:$K$560,3,0),0)</f>
        <v>0</v>
      </c>
    </row>
    <row r="504" spans="2:4">
      <c r="B504" s="842">
        <v>7730000002</v>
      </c>
      <c r="C504" s="842" t="s">
        <v>3316</v>
      </c>
      <c r="D504" s="1178">
        <f>+IFERROR(+VLOOKUP(B504,SAP!$I$10:$K$560,3,0),0)</f>
        <v>538238272</v>
      </c>
    </row>
    <row r="505" spans="2:4">
      <c r="B505" s="842">
        <v>7730000003</v>
      </c>
      <c r="C505" s="842" t="s">
        <v>3317</v>
      </c>
      <c r="D505" s="1178">
        <f>+IFERROR(+VLOOKUP(B505,SAP!$I$10:$K$560,3,0),0)</f>
        <v>805165</v>
      </c>
    </row>
    <row r="506" spans="2:4">
      <c r="B506" s="842">
        <v>7730000007</v>
      </c>
      <c r="C506" s="842" t="s">
        <v>3318</v>
      </c>
      <c r="D506" s="1178">
        <f>+IFERROR(+VLOOKUP(B506,SAP!$I$10:$K$560,3,0),0)</f>
        <v>19312629</v>
      </c>
    </row>
    <row r="507" spans="2:4">
      <c r="B507" s="842">
        <v>7730000019</v>
      </c>
      <c r="C507" s="842" t="s">
        <v>3319</v>
      </c>
      <c r="D507" s="1178">
        <f>+IFERROR(+VLOOKUP(B507,SAP!$I$10:$K$560,3,0),0)</f>
        <v>12860994</v>
      </c>
    </row>
    <row r="508" spans="2:4">
      <c r="B508" s="842">
        <v>7730000024</v>
      </c>
      <c r="C508" s="842" t="s">
        <v>3320</v>
      </c>
      <c r="D508" s="1178">
        <f>+IFERROR(+VLOOKUP(B508,SAP!$I$10:$K$560,3,0),0)</f>
        <v>48319568</v>
      </c>
    </row>
    <row r="509" spans="2:4">
      <c r="B509" s="842">
        <v>7730200000</v>
      </c>
      <c r="C509" s="842" t="s">
        <v>3321</v>
      </c>
      <c r="D509" s="1178">
        <f>+IFERROR(+VLOOKUP(B509,SAP!$I$10:$K$560,3,0),0)</f>
        <v>46851505</v>
      </c>
    </row>
    <row r="510" spans="2:4">
      <c r="B510" s="842">
        <v>7731000000</v>
      </c>
      <c r="C510" s="842" t="s">
        <v>3322</v>
      </c>
      <c r="D510" s="1178">
        <f>+IFERROR(+VLOOKUP(B510,SAP!$I$10:$K$560,3,0),0)</f>
        <v>651000</v>
      </c>
    </row>
    <row r="511" spans="2:4">
      <c r="B511" s="842">
        <v>7732000000</v>
      </c>
      <c r="C511" s="842" t="s">
        <v>3323</v>
      </c>
      <c r="D511" s="1178">
        <f>+IFERROR(+VLOOKUP(B511,SAP!$I$10:$K$560,3,0),0)</f>
        <v>0</v>
      </c>
    </row>
    <row r="512" spans="2:4">
      <c r="B512" s="842">
        <v>7732000007</v>
      </c>
      <c r="C512" s="842" t="s">
        <v>3324</v>
      </c>
      <c r="D512" s="1178">
        <f>+IFERROR(+VLOOKUP(B512,SAP!$I$10:$K$560,3,0),0)</f>
        <v>0</v>
      </c>
    </row>
    <row r="513" spans="2:4">
      <c r="B513" s="842">
        <v>7732000014</v>
      </c>
      <c r="C513" s="842" t="s">
        <v>3325</v>
      </c>
      <c r="D513" s="1178">
        <f>+IFERROR(+VLOOKUP(B513,SAP!$I$10:$K$560,3,0),0)</f>
        <v>0</v>
      </c>
    </row>
    <row r="514" spans="2:4">
      <c r="B514" s="842">
        <v>7732000030</v>
      </c>
      <c r="C514" s="842" t="s">
        <v>3326</v>
      </c>
      <c r="D514" s="1178">
        <f>+IFERROR(+VLOOKUP(B514,SAP!$I$10:$K$560,3,0),0)</f>
        <v>0</v>
      </c>
    </row>
    <row r="515" spans="2:4">
      <c r="B515" s="842">
        <v>7732000037</v>
      </c>
      <c r="C515" s="842" t="s">
        <v>3327</v>
      </c>
      <c r="D515" s="1178">
        <f>+IFERROR(+VLOOKUP(B515,SAP!$I$10:$K$560,3,0),0)</f>
        <v>1215410</v>
      </c>
    </row>
    <row r="516" spans="2:4">
      <c r="B516" s="842">
        <v>7732000050</v>
      </c>
      <c r="C516" s="842" t="s">
        <v>3328</v>
      </c>
      <c r="D516" s="1178">
        <f>+IFERROR(+VLOOKUP(B516,SAP!$I$10:$K$560,3,0),0)</f>
        <v>1540746</v>
      </c>
    </row>
    <row r="517" spans="2:4">
      <c r="B517" s="842">
        <v>7732000052</v>
      </c>
      <c r="C517" s="842" t="s">
        <v>3329</v>
      </c>
      <c r="D517" s="1178">
        <f>+IFERROR(+VLOOKUP(B517,SAP!$I$10:$K$560,3,0),0)</f>
        <v>0</v>
      </c>
    </row>
    <row r="518" spans="2:4">
      <c r="B518" s="842">
        <v>7732000053</v>
      </c>
      <c r="C518" s="842" t="s">
        <v>3330</v>
      </c>
      <c r="D518" s="1178">
        <f>+IFERROR(+VLOOKUP(B518,SAP!$I$10:$K$560,3,0),0)</f>
        <v>3290105</v>
      </c>
    </row>
    <row r="519" spans="2:4">
      <c r="B519" s="842">
        <v>7732000054</v>
      </c>
      <c r="C519" s="842" t="s">
        <v>3753</v>
      </c>
      <c r="D519" s="1178">
        <f>+IFERROR(+VLOOKUP(B519,SAP!$I$10:$K$560,3,0),0)</f>
        <v>1620000</v>
      </c>
    </row>
    <row r="520" spans="2:4">
      <c r="B520" s="842">
        <v>7732003007</v>
      </c>
      <c r="C520" s="842" t="s">
        <v>3331</v>
      </c>
      <c r="D520" s="1178">
        <f>+IFERROR(+VLOOKUP(B520,SAP!$I$10:$K$560,3,0),0)</f>
        <v>86110493</v>
      </c>
    </row>
    <row r="521" spans="2:4">
      <c r="B521" s="842">
        <v>7732005004</v>
      </c>
      <c r="C521" s="842" t="s">
        <v>3332</v>
      </c>
      <c r="D521" s="1178">
        <f>+IFERROR(+VLOOKUP(B521,SAP!$I$10:$K$560,3,0),0)</f>
        <v>109500</v>
      </c>
    </row>
    <row r="522" spans="2:4">
      <c r="B522" s="842">
        <v>7732005006</v>
      </c>
      <c r="C522" s="842" t="s">
        <v>3333</v>
      </c>
      <c r="D522" s="1178">
        <f>+IFERROR(+VLOOKUP(B522,SAP!$I$10:$K$560,3,0),0)</f>
        <v>0</v>
      </c>
    </row>
    <row r="523" spans="2:4">
      <c r="B523" s="842">
        <v>7732005010</v>
      </c>
      <c r="C523" s="842" t="s">
        <v>3334</v>
      </c>
      <c r="D523" s="1178">
        <f>+IFERROR(+VLOOKUP(B523,SAP!$I$10:$K$560,3,0),0)</f>
        <v>2230565</v>
      </c>
    </row>
    <row r="524" spans="2:4">
      <c r="B524" s="842">
        <v>7732005011</v>
      </c>
      <c r="C524" s="842" t="s">
        <v>3335</v>
      </c>
      <c r="D524" s="1178">
        <f>+IFERROR(+VLOOKUP(B524,SAP!$I$10:$K$560,3,0),0)</f>
        <v>3209803</v>
      </c>
    </row>
    <row r="525" spans="2:4">
      <c r="B525" s="842">
        <v>7732005016</v>
      </c>
      <c r="C525" s="842" t="s">
        <v>3336</v>
      </c>
      <c r="D525" s="1178">
        <f>+IFERROR(+VLOOKUP(B525,SAP!$I$10:$K$560,3,0),0)</f>
        <v>26261424</v>
      </c>
    </row>
    <row r="526" spans="2:4">
      <c r="B526" s="842">
        <v>7732005028</v>
      </c>
      <c r="C526" s="842" t="s">
        <v>3337</v>
      </c>
      <c r="D526" s="1178">
        <f>+IFERROR(+VLOOKUP(B526,SAP!$I$10:$K$560,3,0),0)</f>
        <v>0</v>
      </c>
    </row>
    <row r="527" spans="2:4">
      <c r="B527" s="842">
        <v>7732100000</v>
      </c>
      <c r="C527" s="842" t="s">
        <v>3338</v>
      </c>
      <c r="D527" s="1178">
        <f>+IFERROR(+VLOOKUP(B527,SAP!$I$10:$K$560,3,0),0)</f>
        <v>0</v>
      </c>
    </row>
    <row r="528" spans="2:4">
      <c r="B528" s="842">
        <v>7735000000</v>
      </c>
      <c r="C528" s="842" t="s">
        <v>3339</v>
      </c>
      <c r="D528" s="1178">
        <f>+IFERROR(+VLOOKUP(B528,SAP!$I$10:$K$560,3,0),0)</f>
        <v>435177575</v>
      </c>
    </row>
    <row r="529" spans="2:4">
      <c r="B529" s="842">
        <v>7737005000</v>
      </c>
      <c r="C529" s="842" t="s">
        <v>3340</v>
      </c>
      <c r="D529" s="1178">
        <f>+IFERROR(+VLOOKUP(B529,SAP!$I$10:$K$560,3,0),0)</f>
        <v>0</v>
      </c>
    </row>
    <row r="530" spans="2:4">
      <c r="B530" s="842">
        <v>7800000003</v>
      </c>
      <c r="C530" s="842" t="s">
        <v>3341</v>
      </c>
      <c r="D530" s="1178">
        <f>+IFERROR(+VLOOKUP(B530,SAP!$I$10:$K$560,3,0),0)</f>
        <v>0</v>
      </c>
    </row>
    <row r="531" spans="2:4">
      <c r="B531" s="842">
        <v>7801000000</v>
      </c>
      <c r="C531" s="842" t="s">
        <v>3342</v>
      </c>
      <c r="D531" s="1178">
        <f>+IFERROR(+VLOOKUP(B531,SAP!$I$10:$K$560,3,0),0)</f>
        <v>1740586</v>
      </c>
    </row>
    <row r="532" spans="2:4">
      <c r="B532" s="842">
        <v>7801100001</v>
      </c>
      <c r="C532" s="842" t="s">
        <v>3343</v>
      </c>
      <c r="D532" s="1178">
        <f>+IFERROR(+VLOOKUP(B532,SAP!$I$10:$K$560,3,0),0)</f>
        <v>1816669</v>
      </c>
    </row>
    <row r="533" spans="2:4">
      <c r="B533" s="842">
        <v>7801200004</v>
      </c>
      <c r="C533" s="842" t="s">
        <v>3344</v>
      </c>
      <c r="D533" s="1178">
        <f>+IFERROR(+VLOOKUP(B533,SAP!$I$10:$K$560,3,0),0)</f>
        <v>83287997</v>
      </c>
    </row>
    <row r="534" spans="2:4">
      <c r="B534" s="842">
        <v>7801200047</v>
      </c>
      <c r="C534" s="842" t="s">
        <v>3345</v>
      </c>
      <c r="D534" s="1178">
        <f>+IFERROR(+VLOOKUP(B534,SAP!$I$10:$K$560,3,0),0)</f>
        <v>40968373</v>
      </c>
    </row>
    <row r="535" spans="2:4">
      <c r="B535" s="842">
        <v>7801300002</v>
      </c>
      <c r="C535" s="842" t="s">
        <v>3346</v>
      </c>
      <c r="D535" s="1178">
        <f>+IFERROR(+VLOOKUP(B535,SAP!$I$10:$K$560,3,0),0)</f>
        <v>28431631</v>
      </c>
    </row>
    <row r="536" spans="2:4">
      <c r="B536" s="842">
        <v>7804000005</v>
      </c>
      <c r="C536" s="842" t="s">
        <v>3347</v>
      </c>
      <c r="D536" s="1178">
        <f>+IFERROR(+VLOOKUP(B536,SAP!$I$10:$K$560,3,0),0)</f>
        <v>17014254</v>
      </c>
    </row>
    <row r="537" spans="2:4">
      <c r="B537" s="842">
        <v>7804000006</v>
      </c>
      <c r="C537" s="842" t="s">
        <v>3348</v>
      </c>
      <c r="D537" s="1178">
        <f>+IFERROR(+VLOOKUP(B537,SAP!$I$10:$K$560,3,0),0)</f>
        <v>218764818</v>
      </c>
    </row>
    <row r="538" spans="2:4">
      <c r="B538" s="842">
        <v>7804000008</v>
      </c>
      <c r="C538" s="842" t="s">
        <v>3349</v>
      </c>
      <c r="D538" s="1178">
        <f>+IFERROR(+VLOOKUP(B538,SAP!$I$10:$K$560,3,0),0)</f>
        <v>66957745</v>
      </c>
    </row>
    <row r="539" spans="2:4">
      <c r="B539" s="842">
        <v>7804000019</v>
      </c>
      <c r="C539" s="842" t="s">
        <v>3350</v>
      </c>
      <c r="D539" s="1178">
        <f>+IFERROR(+VLOOKUP(B539,SAP!$I$10:$K$560,3,0),0)</f>
        <v>16241190</v>
      </c>
    </row>
    <row r="540" spans="2:4">
      <c r="B540" s="842">
        <v>7804000025</v>
      </c>
      <c r="C540" s="842" t="s">
        <v>3754</v>
      </c>
      <c r="D540" s="1178">
        <f>+IFERROR(+VLOOKUP(B540,SAP!$I$10:$K$560,3,0),0)</f>
        <v>242944709</v>
      </c>
    </row>
    <row r="541" spans="2:4">
      <c r="B541" s="842">
        <v>7834000000</v>
      </c>
      <c r="C541" s="842" t="s">
        <v>3351</v>
      </c>
      <c r="D541" s="1178">
        <f>+IFERROR(+VLOOKUP(B541,SAP!$I$10:$K$560,3,0),0)</f>
        <v>105786846</v>
      </c>
    </row>
    <row r="542" spans="2:4">
      <c r="B542" s="842">
        <v>7861020000</v>
      </c>
      <c r="C542" s="842" t="s">
        <v>3352</v>
      </c>
      <c r="D542" s="1178">
        <f>+IFERROR(+VLOOKUP(B542,SAP!$I$10:$K$560,3,0),0)</f>
        <v>0</v>
      </c>
    </row>
    <row r="543" spans="2:4">
      <c r="B543" s="842">
        <v>7861080000</v>
      </c>
      <c r="C543" s="842" t="s">
        <v>3353</v>
      </c>
      <c r="D543" s="1178">
        <f>+IFERROR(+VLOOKUP(B543,SAP!$I$10:$K$560,3,0),0)</f>
        <v>6403106</v>
      </c>
    </row>
    <row r="544" spans="2:4">
      <c r="B544" s="842">
        <v>7861091000</v>
      </c>
      <c r="C544" s="842" t="s">
        <v>3354</v>
      </c>
      <c r="D544" s="1178">
        <f>+IFERROR(+VLOOKUP(B544,SAP!$I$10:$K$560,3,0),0)</f>
        <v>151811299</v>
      </c>
    </row>
    <row r="545" spans="2:4">
      <c r="B545" s="842">
        <v>7861092000</v>
      </c>
      <c r="C545" s="842" t="s">
        <v>3355</v>
      </c>
      <c r="D545" s="1178">
        <f>+IFERROR(+VLOOKUP(B545,SAP!$I$10:$K$560,3,0),0)</f>
        <v>-48573528</v>
      </c>
    </row>
    <row r="546" spans="2:4">
      <c r="B546" s="842">
        <v>7861100000</v>
      </c>
      <c r="C546" s="842" t="s">
        <v>3356</v>
      </c>
      <c r="D546" s="1178">
        <f>+IFERROR(+VLOOKUP(B546,SAP!$I$10:$K$560,3,0),0)</f>
        <v>30229349</v>
      </c>
    </row>
    <row r="547" spans="2:4">
      <c r="B547" s="1168">
        <v>7861110000</v>
      </c>
      <c r="C547" s="1168" t="s">
        <v>3357</v>
      </c>
      <c r="D547" s="1178">
        <f>+IFERROR(+VLOOKUP(B547,SAP!$I$10:$K$560,3,0),0)</f>
        <v>675000</v>
      </c>
    </row>
    <row r="548" spans="2:4">
      <c r="B548" s="1168">
        <v>7861140001</v>
      </c>
      <c r="C548" s="1168" t="s">
        <v>3358</v>
      </c>
      <c r="D548" s="1178">
        <f>+IFERROR(+VLOOKUP(B548,SAP!$I$10:$K$560,3,0),0)</f>
        <v>0</v>
      </c>
    </row>
    <row r="549" spans="2:4">
      <c r="B549" s="1168">
        <v>7861150110</v>
      </c>
      <c r="C549" s="1168" t="s">
        <v>3359</v>
      </c>
      <c r="D549" s="1178">
        <f>+IFERROR(+VLOOKUP(B549,SAP!$I$10:$K$560,3,0),0)</f>
        <v>103147913</v>
      </c>
    </row>
    <row r="550" spans="2:4">
      <c r="B550" s="1168">
        <v>7861150410</v>
      </c>
      <c r="C550" s="1168" t="s">
        <v>3360</v>
      </c>
      <c r="D550" s="1178">
        <f>+IFERROR(+VLOOKUP(B550,SAP!$I$10:$K$560,3,0),0)</f>
        <v>437234861</v>
      </c>
    </row>
    <row r="551" spans="2:4">
      <c r="B551" s="1168">
        <v>7861151110</v>
      </c>
      <c r="C551" s="1168" t="s">
        <v>3361</v>
      </c>
      <c r="D551" s="1178">
        <f>+IFERROR(+VLOOKUP(B551,SAP!$I$10:$K$560,3,0),0)</f>
        <v>102081813</v>
      </c>
    </row>
    <row r="552" spans="2:4">
      <c r="B552" s="1168">
        <v>7861151210</v>
      </c>
      <c r="C552" s="1168" t="s">
        <v>3362</v>
      </c>
      <c r="D552" s="1178">
        <f>+IFERROR(+VLOOKUP(B552,SAP!$I$10:$K$560,3,0),0)</f>
        <v>540162</v>
      </c>
    </row>
    <row r="553" spans="2:4">
      <c r="B553" s="1168">
        <v>7861151350</v>
      </c>
      <c r="C553" s="1168" t="s">
        <v>3363</v>
      </c>
      <c r="D553" s="1178">
        <f>+IFERROR(+VLOOKUP(B553,SAP!$I$10:$K$560,3,0),0)</f>
        <v>19520055</v>
      </c>
    </row>
    <row r="554" spans="2:4">
      <c r="B554" s="1168">
        <v>7861151360</v>
      </c>
      <c r="C554" s="1168" t="s">
        <v>3364</v>
      </c>
      <c r="D554" s="1178">
        <f>+IFERROR(+VLOOKUP(B554,SAP!$I$10:$K$560,3,0),0)</f>
        <v>7625885</v>
      </c>
    </row>
    <row r="555" spans="2:4">
      <c r="B555" s="1168">
        <v>7861151370</v>
      </c>
      <c r="C555" s="1168" t="s">
        <v>3365</v>
      </c>
      <c r="D555" s="1178">
        <f>+IFERROR(+VLOOKUP(B555,SAP!$I$10:$K$560,3,0),0)</f>
        <v>21298506</v>
      </c>
    </row>
    <row r="556" spans="2:4">
      <c r="B556" s="1168">
        <v>7861151520</v>
      </c>
      <c r="C556" s="1168" t="s">
        <v>3366</v>
      </c>
      <c r="D556" s="1178">
        <f>+IFERROR(+VLOOKUP(B556,SAP!$I$10:$K$560,3,0),0)</f>
        <v>18438</v>
      </c>
    </row>
    <row r="557" spans="2:4">
      <c r="B557" s="1168">
        <v>7861161100</v>
      </c>
      <c r="C557" s="1168" t="s">
        <v>3367</v>
      </c>
      <c r="D557" s="1178">
        <f>+IFERROR(+VLOOKUP(B557,SAP!$I$10:$K$560,3,0),0)</f>
        <v>26697153</v>
      </c>
    </row>
    <row r="558" spans="2:4">
      <c r="B558" s="1168">
        <v>9200100004</v>
      </c>
      <c r="C558" s="1168" t="s">
        <v>3368</v>
      </c>
      <c r="D558" s="1178">
        <f>+IFERROR(+VLOOKUP(B558,SAP!$I$10:$K$560,3,0),0)</f>
        <v>0</v>
      </c>
    </row>
    <row r="559" spans="2:4">
      <c r="B559" s="1168">
        <v>9200100011</v>
      </c>
      <c r="C559" s="1168" t="s">
        <v>3369</v>
      </c>
      <c r="D559" s="1178">
        <f>+IFERROR(+VLOOKUP(B559,SAP!$I$10:$K$560,3,0),0)</f>
        <v>0</v>
      </c>
    </row>
    <row r="560" spans="2:4">
      <c r="B560" s="1168">
        <v>9200100012</v>
      </c>
      <c r="C560" s="1168" t="s">
        <v>3370</v>
      </c>
      <c r="D560" s="1178">
        <f>+IFERROR(+VLOOKUP(B560,SAP!$I$10:$K$560,3,0),0)</f>
        <v>0</v>
      </c>
    </row>
    <row r="561" spans="2:4">
      <c r="B561" s="1168">
        <v>9200100019</v>
      </c>
      <c r="C561" s="1168" t="s">
        <v>3371</v>
      </c>
      <c r="D561" s="1178">
        <f>+IFERROR(+VLOOKUP(B561,SAP!$I$10:$K$560,3,0),0)</f>
        <v>0</v>
      </c>
    </row>
    <row r="562" spans="2:4">
      <c r="B562" s="1168">
        <v>9200100025</v>
      </c>
      <c r="C562" s="1168" t="s">
        <v>3372</v>
      </c>
      <c r="D562" s="1178">
        <f>+IFERROR(+VLOOKUP(B562,SAP!$I$10:$K$560,3,0),0)</f>
        <v>0</v>
      </c>
    </row>
    <row r="563" spans="2:4">
      <c r="B563" s="1168">
        <v>9200100039</v>
      </c>
      <c r="C563" s="1168" t="s">
        <v>3373</v>
      </c>
      <c r="D563" s="1178">
        <f>+IFERROR(+VLOOKUP(B563,SAP!$I$10:$K$560,3,0),0)</f>
        <v>0</v>
      </c>
    </row>
    <row r="564" spans="2:4">
      <c r="B564" s="1168">
        <v>9911000000</v>
      </c>
      <c r="C564" s="1168" t="s">
        <v>3374</v>
      </c>
      <c r="D564" s="1178">
        <f>+IFERROR(+VLOOKUP(B564,SAP!$I$10:$K$560,3,0),0)</f>
        <v>-30</v>
      </c>
    </row>
    <row r="565" spans="2:4">
      <c r="B565" s="1168"/>
      <c r="C565" s="1168"/>
      <c r="D565" s="1178"/>
    </row>
    <row r="566" spans="2:4">
      <c r="D566" s="831"/>
    </row>
    <row r="567" spans="2:4">
      <c r="B567" s="846"/>
      <c r="C567" s="847" t="s">
        <v>3378</v>
      </c>
      <c r="D567" s="848">
        <f>SUM(D8:D566)</f>
        <v>0</v>
      </c>
    </row>
    <row r="569" spans="2:4">
      <c r="C569" s="849" t="s">
        <v>3379</v>
      </c>
      <c r="D569" s="850">
        <f>+SUM(D253:D565)</f>
        <v>-3197726285</v>
      </c>
    </row>
  </sheetData>
  <autoFilter ref="B7:D546">
    <sortState ref="B8:D564">
      <sortCondition ref="B7:B546"/>
    </sortState>
  </autoFilter>
  <pageMargins left="0.7" right="0.7" top="0.75" bottom="0.75" header="0.3" footer="0.3"/>
  <pageSetup orientation="portrait" r:id="rId1"/>
  <drawing r:id="rId2"/>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92D050"/>
    <pageSetUpPr fitToPage="1"/>
  </sheetPr>
  <dimension ref="A1:J610"/>
  <sheetViews>
    <sheetView showGridLines="0" topLeftCell="A8" zoomScaleNormal="100" workbookViewId="0">
      <selection activeCell="D181" sqref="D181:D602"/>
    </sheetView>
  </sheetViews>
  <sheetFormatPr baseColWidth="10" defaultRowHeight="15" customHeight="1"/>
  <cols>
    <col min="1" max="1" width="3.28515625" style="866" customWidth="1"/>
    <col min="2" max="2" width="11.140625" style="866" bestFit="1" customWidth="1"/>
    <col min="3" max="3" width="47.42578125" style="866" bestFit="1" customWidth="1"/>
    <col min="4" max="4" width="19.42578125" style="871" bestFit="1" customWidth="1"/>
    <col min="5" max="5" width="14.42578125" style="871" customWidth="1"/>
    <col min="6" max="6" width="38.28515625" style="871" bestFit="1" customWidth="1"/>
    <col min="7" max="7" width="22" style="872" bestFit="1" customWidth="1"/>
    <col min="8" max="8" width="15.85546875" style="866" bestFit="1" customWidth="1"/>
    <col min="9" max="9" width="13.140625" style="868" bestFit="1" customWidth="1"/>
    <col min="10" max="10" width="17.5703125" style="868" bestFit="1" customWidth="1"/>
    <col min="11" max="16384" width="11.42578125" style="868"/>
  </cols>
  <sheetData>
    <row r="1" spans="1:10" s="852" customFormat="1" ht="15" customHeight="1">
      <c r="A1" s="851"/>
      <c r="B1" s="851"/>
      <c r="C1" s="851"/>
      <c r="D1" s="851"/>
      <c r="E1" s="851"/>
      <c r="F1" s="851"/>
      <c r="H1" s="851"/>
    </row>
    <row r="2" spans="1:10" s="852" customFormat="1" ht="15" customHeight="1">
      <c r="A2" s="851"/>
      <c r="B2" s="851"/>
      <c r="C2" s="851"/>
      <c r="D2" s="851"/>
      <c r="E2" s="851"/>
      <c r="F2" s="853"/>
      <c r="H2" s="851"/>
    </row>
    <row r="3" spans="1:10" s="852" customFormat="1" ht="15" customHeight="1">
      <c r="A3" s="851"/>
      <c r="B3" s="851"/>
      <c r="C3" s="851"/>
      <c r="D3" s="851"/>
      <c r="E3" s="851">
        <v>5214100</v>
      </c>
      <c r="F3" s="853"/>
      <c r="H3" s="851"/>
    </row>
    <row r="4" spans="1:10" s="852" customFormat="1" ht="15" customHeight="1">
      <c r="A4" s="851"/>
      <c r="B4" s="851"/>
      <c r="C4" s="851"/>
      <c r="D4" s="854"/>
      <c r="E4" s="854"/>
      <c r="F4" s="851"/>
      <c r="H4" s="851"/>
    </row>
    <row r="5" spans="1:10" s="852" customFormat="1" ht="15" customHeight="1">
      <c r="A5" s="851"/>
      <c r="B5" s="855" t="s">
        <v>2791</v>
      </c>
      <c r="C5" s="856"/>
      <c r="D5" s="856"/>
      <c r="E5" s="851">
        <v>5312100</v>
      </c>
      <c r="F5" s="852" t="s">
        <v>594</v>
      </c>
      <c r="H5" s="851"/>
    </row>
    <row r="6" spans="1:10" s="852" customFormat="1" ht="15" customHeight="1">
      <c r="A6" s="851"/>
      <c r="B6" s="855" t="s">
        <v>2792</v>
      </c>
      <c r="C6" s="856"/>
      <c r="D6" s="857"/>
      <c r="E6" s="851"/>
      <c r="F6" s="854"/>
      <c r="H6" s="851"/>
    </row>
    <row r="7" spans="1:10" s="852" customFormat="1" ht="15" customHeight="1">
      <c r="A7" s="851"/>
      <c r="B7" s="851"/>
      <c r="C7" s="851"/>
      <c r="D7" s="858"/>
      <c r="E7" s="859"/>
      <c r="F7" s="860"/>
      <c r="G7" s="861"/>
      <c r="H7" s="851"/>
    </row>
    <row r="8" spans="1:10" s="864" customFormat="1" ht="22.5" customHeight="1">
      <c r="A8" s="862"/>
      <c r="B8" s="863" t="s">
        <v>3380</v>
      </c>
      <c r="C8" s="863" t="s">
        <v>3381</v>
      </c>
      <c r="D8" s="863" t="s">
        <v>3382</v>
      </c>
      <c r="E8" s="863" t="s">
        <v>3383</v>
      </c>
      <c r="F8" s="863" t="s">
        <v>3384</v>
      </c>
      <c r="G8" s="863" t="s">
        <v>3385</v>
      </c>
      <c r="H8" s="898" t="s">
        <v>3378</v>
      </c>
      <c r="J8" s="805"/>
    </row>
    <row r="9" spans="1:10" s="865" customFormat="1" hidden="1">
      <c r="B9" s="1168">
        <v>1110500000</v>
      </c>
      <c r="C9" s="1168" t="s">
        <v>2849</v>
      </c>
      <c r="D9" s="1178">
        <f>+IFERROR(VLOOKUP(B9,'Balance Local'!$B$8:$D$564,3,0),0)</f>
        <v>19307680543</v>
      </c>
      <c r="E9" s="1168">
        <v>5113000</v>
      </c>
      <c r="F9" s="1168" t="s">
        <v>3386</v>
      </c>
      <c r="G9" s="1178">
        <f>+D9</f>
        <v>19307680543</v>
      </c>
      <c r="H9" s="865">
        <f>+VLOOKUP(B9,'Balance Local'!$B$8:$B$560,1,0)</f>
        <v>1110500000</v>
      </c>
      <c r="I9" s="839"/>
      <c r="J9" s="839"/>
    </row>
    <row r="10" spans="1:10" s="865" customFormat="1" hidden="1">
      <c r="B10" s="1168">
        <v>1115100000</v>
      </c>
      <c r="C10" s="1168" t="s">
        <v>3387</v>
      </c>
      <c r="D10" s="1178">
        <f>+IFERROR(VLOOKUP(B10,'Balance Local'!$B$8:$D$564,3,0),0)</f>
        <v>0</v>
      </c>
      <c r="E10" s="1168">
        <v>5111000</v>
      </c>
      <c r="F10" s="1168" t="s">
        <v>3388</v>
      </c>
      <c r="G10" s="1178">
        <f t="shared" ref="G10:G73" si="0">+D10</f>
        <v>0</v>
      </c>
      <c r="H10" s="865" t="e">
        <f>+VLOOKUP(B10,'Balance Local'!$B$8:$B$560,1,0)</f>
        <v>#N/A</v>
      </c>
      <c r="I10" s="839"/>
      <c r="J10" s="839"/>
    </row>
    <row r="11" spans="1:10" s="865" customFormat="1" hidden="1">
      <c r="B11" s="1168">
        <v>1115400100</v>
      </c>
      <c r="C11" s="1168" t="s">
        <v>2850</v>
      </c>
      <c r="D11" s="1178">
        <f>+IFERROR(VLOOKUP(B11,'Balance Local'!$B$8:$D$564,3,0),0)</f>
        <v>15005281</v>
      </c>
      <c r="E11" s="1168">
        <v>5111000</v>
      </c>
      <c r="F11" s="1168" t="s">
        <v>3388</v>
      </c>
      <c r="G11" s="1178">
        <f t="shared" si="0"/>
        <v>15005281</v>
      </c>
      <c r="H11" s="865">
        <f>+VLOOKUP(B11,'Balance Local'!$B$8:$B$560,1,0)</f>
        <v>1115400100</v>
      </c>
      <c r="I11" s="839"/>
      <c r="J11" s="839"/>
    </row>
    <row r="12" spans="1:10" s="865" customFormat="1" hidden="1">
      <c r="B12" s="1168">
        <v>1115501165</v>
      </c>
      <c r="C12" s="1168" t="s">
        <v>2852</v>
      </c>
      <c r="D12" s="1178">
        <f>+IFERROR(VLOOKUP(B12,'Balance Local'!$B$8:$D$564,3,0),0)</f>
        <v>72316172</v>
      </c>
      <c r="E12" s="1168">
        <v>5153100</v>
      </c>
      <c r="F12" s="1168" t="s">
        <v>3389</v>
      </c>
      <c r="G12" s="1178">
        <f t="shared" si="0"/>
        <v>72316172</v>
      </c>
      <c r="H12" s="865">
        <f>+VLOOKUP(B12,'Balance Local'!$B$8:$B$560,1,0)</f>
        <v>1115501165</v>
      </c>
      <c r="I12" s="839"/>
      <c r="J12" s="839"/>
    </row>
    <row r="13" spans="1:10" s="865" customFormat="1" hidden="1">
      <c r="B13" s="1168">
        <v>1115505707</v>
      </c>
      <c r="C13" s="1168" t="s">
        <v>2853</v>
      </c>
      <c r="D13" s="1178">
        <f>+IFERROR(VLOOKUP(B13,'Balance Local'!$B$8:$D$564,3,0),0)</f>
        <v>2338335737</v>
      </c>
      <c r="E13" s="1168">
        <v>5111000</v>
      </c>
      <c r="F13" s="1168" t="s">
        <v>3388</v>
      </c>
      <c r="G13" s="1178">
        <f t="shared" si="0"/>
        <v>2338335737</v>
      </c>
      <c r="H13" s="865">
        <f>+VLOOKUP(B13,'Balance Local'!$B$8:$B$560,1,0)</f>
        <v>1115505707</v>
      </c>
      <c r="I13" s="839"/>
      <c r="J13" s="839"/>
    </row>
    <row r="14" spans="1:10" s="865" customFormat="1" hidden="1">
      <c r="A14" s="866"/>
      <c r="B14" s="1168">
        <v>1115505708</v>
      </c>
      <c r="C14" s="902" t="s">
        <v>2854</v>
      </c>
      <c r="D14" s="1178">
        <f>+IFERROR(VLOOKUP(B14,'Balance Local'!$B$8:$D$564,3,0),0)</f>
        <v>633063800</v>
      </c>
      <c r="E14" s="1168">
        <v>5111000</v>
      </c>
      <c r="F14" s="1168" t="s">
        <v>3388</v>
      </c>
      <c r="G14" s="1178">
        <f t="shared" si="0"/>
        <v>633063800</v>
      </c>
      <c r="H14" s="865">
        <f>+VLOOKUP(B14,'Balance Local'!$B$8:$B$560,1,0)</f>
        <v>1115505708</v>
      </c>
      <c r="I14" s="839"/>
      <c r="J14" s="839"/>
    </row>
    <row r="15" spans="1:10" s="865" customFormat="1" hidden="1">
      <c r="B15" s="1168">
        <v>1115505709</v>
      </c>
      <c r="C15" s="1168" t="s">
        <v>2855</v>
      </c>
      <c r="D15" s="1178">
        <f>+IFERROR(VLOOKUP(B15,'Balance Local'!$B$8:$D$564,3,0),0)</f>
        <v>193714056</v>
      </c>
      <c r="E15" s="1168">
        <v>5111000</v>
      </c>
      <c r="F15" s="1168" t="s">
        <v>3388</v>
      </c>
      <c r="G15" s="1178">
        <f t="shared" si="0"/>
        <v>193714056</v>
      </c>
      <c r="H15" s="865">
        <f>+VLOOKUP(B15,'Balance Local'!$B$8:$B$560,1,0)</f>
        <v>1115505709</v>
      </c>
      <c r="I15" s="839"/>
      <c r="J15" s="839"/>
    </row>
    <row r="16" spans="1:10" s="865" customFormat="1" hidden="1">
      <c r="B16" s="1168">
        <v>1115505710</v>
      </c>
      <c r="C16" s="1168" t="s">
        <v>2856</v>
      </c>
      <c r="D16" s="1178">
        <f>+IFERROR(VLOOKUP(B16,'Balance Local'!$B$8:$D$564,3,0),0)</f>
        <v>13874203</v>
      </c>
      <c r="E16" s="1168">
        <v>5111000</v>
      </c>
      <c r="F16" s="1168" t="s">
        <v>3388</v>
      </c>
      <c r="G16" s="1178">
        <f t="shared" si="0"/>
        <v>13874203</v>
      </c>
      <c r="H16" s="865">
        <f>+VLOOKUP(B16,'Balance Local'!$B$8:$B$560,1,0)</f>
        <v>1115505710</v>
      </c>
      <c r="I16" s="839"/>
      <c r="J16" s="839"/>
    </row>
    <row r="17" spans="1:10" s="865" customFormat="1" hidden="1">
      <c r="B17" s="1168">
        <v>1115505716</v>
      </c>
      <c r="C17" s="1168" t="s">
        <v>2857</v>
      </c>
      <c r="D17" s="1178">
        <f>+IFERROR(VLOOKUP(B17,'Balance Local'!$B$8:$D$564,3,0),0)</f>
        <v>12446814</v>
      </c>
      <c r="E17" s="1168">
        <v>5111000</v>
      </c>
      <c r="F17" s="1168" t="s">
        <v>3388</v>
      </c>
      <c r="G17" s="1178">
        <f t="shared" si="0"/>
        <v>12446814</v>
      </c>
      <c r="H17" s="865">
        <f>+VLOOKUP(B17,'Balance Local'!$B$8:$B$560,1,0)</f>
        <v>1115505716</v>
      </c>
      <c r="I17" s="839"/>
      <c r="J17" s="839"/>
    </row>
    <row r="18" spans="1:10" s="865" customFormat="1" hidden="1">
      <c r="B18" s="1168">
        <v>1115505721</v>
      </c>
      <c r="C18" s="1168" t="s">
        <v>2858</v>
      </c>
      <c r="D18" s="1178">
        <f>+IFERROR(VLOOKUP(B18,'Balance Local'!$B$8:$D$564,3,0),0)</f>
        <v>357632415</v>
      </c>
      <c r="E18" s="1168">
        <v>5111000</v>
      </c>
      <c r="F18" s="1168" t="s">
        <v>3388</v>
      </c>
      <c r="G18" s="1178">
        <f t="shared" si="0"/>
        <v>357632415</v>
      </c>
      <c r="H18" s="865">
        <f>+VLOOKUP(B18,'Balance Local'!$B$8:$B$560,1,0)</f>
        <v>1115505721</v>
      </c>
      <c r="I18" s="839"/>
      <c r="J18" s="839"/>
    </row>
    <row r="19" spans="1:10" s="865" customFormat="1" hidden="1">
      <c r="B19" s="1168">
        <v>1115505735</v>
      </c>
      <c r="C19" s="1168" t="s">
        <v>2859</v>
      </c>
      <c r="D19" s="1178">
        <f>+IFERROR(VLOOKUP(B19,'Balance Local'!$B$8:$D$564,3,0),0)</f>
        <v>5227711231</v>
      </c>
      <c r="E19" s="1168">
        <v>5111000</v>
      </c>
      <c r="F19" s="1168" t="s">
        <v>3388</v>
      </c>
      <c r="G19" s="1178">
        <f t="shared" si="0"/>
        <v>5227711231</v>
      </c>
      <c r="H19" s="865">
        <f>+VLOOKUP(B19,'Balance Local'!$B$8:$B$560,1,0)</f>
        <v>1115505735</v>
      </c>
      <c r="I19" s="839"/>
      <c r="J19" s="839"/>
    </row>
    <row r="20" spans="1:10" s="865" customFormat="1" hidden="1">
      <c r="A20" s="866"/>
      <c r="B20" s="1168">
        <v>1115505736</v>
      </c>
      <c r="C20" s="902" t="s">
        <v>2860</v>
      </c>
      <c r="D20" s="1178">
        <f>+IFERROR(VLOOKUP(B20,'Balance Local'!$B$8:$D$564,3,0),0)</f>
        <v>38794</v>
      </c>
      <c r="E20" s="1168">
        <v>5111000</v>
      </c>
      <c r="F20" s="1168" t="s">
        <v>3388</v>
      </c>
      <c r="G20" s="1178">
        <f t="shared" si="0"/>
        <v>38794</v>
      </c>
      <c r="H20" s="865">
        <f>+VLOOKUP(B20,'Balance Local'!$B$8:$B$560,1,0)</f>
        <v>1115505736</v>
      </c>
      <c r="I20" s="839"/>
      <c r="J20" s="839"/>
    </row>
    <row r="21" spans="1:10" s="865" customFormat="1" hidden="1">
      <c r="B21" s="1168">
        <v>1115505742</v>
      </c>
      <c r="C21" s="1168" t="s">
        <v>2861</v>
      </c>
      <c r="D21" s="1178">
        <f>+IFERROR(VLOOKUP(B21,'Balance Local'!$B$8:$D$564,3,0),0)</f>
        <v>120838924</v>
      </c>
      <c r="E21" s="1168">
        <v>5111000</v>
      </c>
      <c r="F21" s="1168" t="s">
        <v>3388</v>
      </c>
      <c r="G21" s="1178">
        <f t="shared" si="0"/>
        <v>120838924</v>
      </c>
      <c r="H21" s="865">
        <f>+VLOOKUP(B21,'Balance Local'!$B$8:$B$560,1,0)</f>
        <v>1115505742</v>
      </c>
      <c r="I21" s="839"/>
      <c r="J21" s="839"/>
    </row>
    <row r="22" spans="1:10" s="865" customFormat="1" hidden="1">
      <c r="B22" s="1168">
        <v>1115505743</v>
      </c>
      <c r="C22" s="1168" t="s">
        <v>3390</v>
      </c>
      <c r="D22" s="1178">
        <f>+IFERROR(VLOOKUP(B22,'Balance Local'!$B$8:$D$564,3,0),0)</f>
        <v>0</v>
      </c>
      <c r="E22" s="1168">
        <v>5111000</v>
      </c>
      <c r="F22" s="1168" t="s">
        <v>3388</v>
      </c>
      <c r="G22" s="1178">
        <f t="shared" si="0"/>
        <v>0</v>
      </c>
      <c r="H22" s="865" t="e">
        <f>+VLOOKUP(B22,'Balance Local'!$B$8:$B$560,1,0)</f>
        <v>#N/A</v>
      </c>
      <c r="I22" s="839"/>
      <c r="J22" s="839"/>
    </row>
    <row r="23" spans="1:10" s="865" customFormat="1" hidden="1">
      <c r="B23" s="1168">
        <v>1115505750</v>
      </c>
      <c r="C23" s="1168" t="s">
        <v>2862</v>
      </c>
      <c r="D23" s="1178">
        <f>+IFERROR(VLOOKUP(B23,'Balance Local'!$B$8:$D$564,3,0),0)</f>
        <v>228093795</v>
      </c>
      <c r="E23" s="1168">
        <v>5111000</v>
      </c>
      <c r="F23" s="1168" t="s">
        <v>3388</v>
      </c>
      <c r="G23" s="1178">
        <f t="shared" si="0"/>
        <v>228093795</v>
      </c>
      <c r="H23" s="865">
        <f>+VLOOKUP(B23,'Balance Local'!$B$8:$B$560,1,0)</f>
        <v>1115505750</v>
      </c>
      <c r="I23" s="839"/>
      <c r="J23" s="839"/>
    </row>
    <row r="24" spans="1:10" s="865" customFormat="1" hidden="1">
      <c r="B24" s="1168">
        <v>1115505756</v>
      </c>
      <c r="C24" s="1168" t="s">
        <v>2863</v>
      </c>
      <c r="D24" s="1178">
        <f>+IFERROR(VLOOKUP(B24,'Balance Local'!$B$8:$D$564,3,0),0)</f>
        <v>57080134</v>
      </c>
      <c r="E24" s="1168">
        <v>5111000</v>
      </c>
      <c r="F24" s="1168" t="s">
        <v>3388</v>
      </c>
      <c r="G24" s="1178">
        <f t="shared" si="0"/>
        <v>57080134</v>
      </c>
      <c r="H24" s="865">
        <f>+VLOOKUP(B24,'Balance Local'!$B$8:$B$560,1,0)</f>
        <v>1115505756</v>
      </c>
      <c r="I24" s="839"/>
      <c r="J24" s="839"/>
    </row>
    <row r="25" spans="1:10" s="865" customFormat="1" hidden="1">
      <c r="B25" s="1168">
        <v>1115505758</v>
      </c>
      <c r="C25" s="1168" t="s">
        <v>2864</v>
      </c>
      <c r="D25" s="1178">
        <f>+IFERROR(VLOOKUP(B25,'Balance Local'!$B$8:$D$564,3,0),0)</f>
        <v>42623435</v>
      </c>
      <c r="E25" s="1168">
        <v>5111000</v>
      </c>
      <c r="F25" s="1168" t="s">
        <v>3388</v>
      </c>
      <c r="G25" s="1178">
        <f t="shared" si="0"/>
        <v>42623435</v>
      </c>
      <c r="H25" s="865">
        <f>+VLOOKUP(B25,'Balance Local'!$B$8:$B$560,1,0)</f>
        <v>1115505758</v>
      </c>
      <c r="I25" s="839"/>
      <c r="J25" s="839"/>
    </row>
    <row r="26" spans="1:10" s="865" customFormat="1" hidden="1">
      <c r="B26" s="1168">
        <v>1115505760</v>
      </c>
      <c r="C26" s="1168" t="s">
        <v>2865</v>
      </c>
      <c r="D26" s="1178">
        <f>+IFERROR(VLOOKUP(B26,'Balance Local'!$B$8:$D$564,3,0),0)</f>
        <v>129952660</v>
      </c>
      <c r="E26" s="1168">
        <v>5111000</v>
      </c>
      <c r="F26" s="1168" t="s">
        <v>3388</v>
      </c>
      <c r="G26" s="1178">
        <f t="shared" si="0"/>
        <v>129952660</v>
      </c>
      <c r="H26" s="865">
        <f>+VLOOKUP(B26,'Balance Local'!$B$8:$B$560,1,0)</f>
        <v>1115505760</v>
      </c>
      <c r="I26" s="839"/>
      <c r="J26" s="839"/>
    </row>
    <row r="27" spans="1:10" s="865" customFormat="1" hidden="1">
      <c r="B27" s="1168">
        <v>1115505764</v>
      </c>
      <c r="C27" s="1168" t="s">
        <v>2866</v>
      </c>
      <c r="D27" s="1178">
        <f>+IFERROR(VLOOKUP(B27,'Balance Local'!$B$8:$D$564,3,0),0)</f>
        <v>210000000</v>
      </c>
      <c r="E27" s="1168">
        <v>5111000</v>
      </c>
      <c r="F27" s="1168" t="s">
        <v>3388</v>
      </c>
      <c r="G27" s="1178">
        <f t="shared" si="0"/>
        <v>210000000</v>
      </c>
      <c r="H27" s="865">
        <f>+VLOOKUP(B27,'Balance Local'!$B$8:$B$560,1,0)</f>
        <v>1115505764</v>
      </c>
      <c r="I27" s="839"/>
      <c r="J27" s="839"/>
    </row>
    <row r="28" spans="1:10" s="865" customFormat="1" hidden="1">
      <c r="B28" s="1168">
        <v>1115505765</v>
      </c>
      <c r="C28" s="1168" t="s">
        <v>2867</v>
      </c>
      <c r="D28" s="1178">
        <f>+IFERROR(VLOOKUP(B28,'Balance Local'!$B$8:$D$564,3,0),0)</f>
        <v>543289</v>
      </c>
      <c r="E28" s="1168">
        <v>5111000</v>
      </c>
      <c r="F28" s="1168" t="s">
        <v>3388</v>
      </c>
      <c r="G28" s="1178">
        <f t="shared" si="0"/>
        <v>543289</v>
      </c>
      <c r="H28" s="865">
        <f>+VLOOKUP(B28,'Balance Local'!$B$8:$B$560,1,0)</f>
        <v>1115505765</v>
      </c>
      <c r="I28" s="839"/>
      <c r="J28" s="839"/>
    </row>
    <row r="29" spans="1:10" s="865" customFormat="1" hidden="1">
      <c r="B29" s="1168">
        <v>1115505766</v>
      </c>
      <c r="C29" s="1168" t="s">
        <v>2868</v>
      </c>
      <c r="D29" s="1178">
        <f>+IFERROR(VLOOKUP(B29,'Balance Local'!$B$8:$D$564,3,0),0)</f>
        <v>36357270</v>
      </c>
      <c r="E29" s="1168">
        <v>5111000</v>
      </c>
      <c r="F29" s="1168" t="s">
        <v>3388</v>
      </c>
      <c r="G29" s="1178">
        <f t="shared" si="0"/>
        <v>36357270</v>
      </c>
      <c r="H29" s="865">
        <f>+VLOOKUP(B29,'Balance Local'!$B$8:$B$560,1,0)</f>
        <v>1115505766</v>
      </c>
      <c r="I29" s="839"/>
      <c r="J29" s="839"/>
    </row>
    <row r="30" spans="1:10" s="865" customFormat="1" hidden="1">
      <c r="B30" s="1168">
        <v>1115505771</v>
      </c>
      <c r="C30" s="1168" t="s">
        <v>2869</v>
      </c>
      <c r="D30" s="1178">
        <f>+IFERROR(VLOOKUP(B30,'Balance Local'!$B$8:$D$564,3,0),0)</f>
        <v>66908554</v>
      </c>
      <c r="E30" s="1168">
        <v>5111000</v>
      </c>
      <c r="F30" s="1168" t="s">
        <v>3388</v>
      </c>
      <c r="G30" s="1178">
        <f t="shared" si="0"/>
        <v>66908554</v>
      </c>
      <c r="H30" s="865">
        <f>+VLOOKUP(B30,'Balance Local'!$B$8:$B$560,1,0)</f>
        <v>1115505771</v>
      </c>
      <c r="I30" s="839"/>
      <c r="J30" s="839"/>
    </row>
    <row r="31" spans="1:10" s="865" customFormat="1" hidden="1">
      <c r="B31" s="1168">
        <v>1115505773</v>
      </c>
      <c r="C31" s="1168" t="s">
        <v>2870</v>
      </c>
      <c r="D31" s="1178">
        <f>+IFERROR(VLOOKUP(B31,'Balance Local'!$B$8:$D$564,3,0),0)</f>
        <v>157175875</v>
      </c>
      <c r="E31" s="1168">
        <v>5111000</v>
      </c>
      <c r="F31" s="1168" t="s">
        <v>3388</v>
      </c>
      <c r="G31" s="1178">
        <f t="shared" si="0"/>
        <v>157175875</v>
      </c>
      <c r="H31" s="865">
        <f>+VLOOKUP(B31,'Balance Local'!$B$8:$B$560,1,0)</f>
        <v>1115505773</v>
      </c>
      <c r="I31" s="839"/>
      <c r="J31" s="839"/>
    </row>
    <row r="32" spans="1:10" s="865" customFormat="1" hidden="1">
      <c r="B32" s="1168">
        <v>1115505786</v>
      </c>
      <c r="C32" s="1168" t="s">
        <v>2871</v>
      </c>
      <c r="D32" s="1178">
        <f>+IFERROR(VLOOKUP(B32,'Balance Local'!$B$8:$D$564,3,0),0)</f>
        <v>31179003</v>
      </c>
      <c r="E32" s="1168">
        <v>5111000</v>
      </c>
      <c r="F32" s="1168" t="s">
        <v>3388</v>
      </c>
      <c r="G32" s="1178">
        <f t="shared" si="0"/>
        <v>31179003</v>
      </c>
      <c r="H32" s="865">
        <f>+VLOOKUP(B32,'Balance Local'!$B$8:$B$560,1,0)</f>
        <v>1115505786</v>
      </c>
      <c r="I32" s="839"/>
      <c r="J32" s="839"/>
    </row>
    <row r="33" spans="1:10" s="865" customFormat="1" hidden="1">
      <c r="A33" s="866"/>
      <c r="B33" s="844">
        <v>1115505812</v>
      </c>
      <c r="C33" s="867" t="s">
        <v>3740</v>
      </c>
      <c r="D33" s="1178">
        <f>+IFERROR(VLOOKUP(B33,'Balance Local'!$B$8:$D$564,3,0),0)</f>
        <v>77284</v>
      </c>
      <c r="E33" s="1168">
        <v>5111000</v>
      </c>
      <c r="F33" s="1168" t="s">
        <v>3388</v>
      </c>
      <c r="G33" s="1178">
        <f t="shared" si="0"/>
        <v>77284</v>
      </c>
      <c r="H33" s="865">
        <f>+VLOOKUP(B33,'Balance Local'!$B$8:$B$560,1,0)</f>
        <v>1115505812</v>
      </c>
      <c r="I33" s="839"/>
      <c r="J33" s="868"/>
    </row>
    <row r="34" spans="1:10" s="865" customFormat="1" hidden="1">
      <c r="B34" s="1168">
        <v>1121110000</v>
      </c>
      <c r="C34" s="1168" t="s">
        <v>2872</v>
      </c>
      <c r="D34" s="1178">
        <f>+IFERROR(VLOOKUP(B34,'Balance Local'!$B$8:$D$564,3,0),0)</f>
        <v>8375398550</v>
      </c>
      <c r="E34" s="1168">
        <v>5112000</v>
      </c>
      <c r="F34" s="1168" t="s">
        <v>3391</v>
      </c>
      <c r="G34" s="1178">
        <f t="shared" si="0"/>
        <v>8375398550</v>
      </c>
      <c r="H34" s="865">
        <f>+VLOOKUP(B34,'Balance Local'!$B$8:$B$560,1,0)</f>
        <v>1121110000</v>
      </c>
      <c r="I34" s="839"/>
      <c r="J34" s="839"/>
    </row>
    <row r="35" spans="1:10" s="865" customFormat="1" hidden="1">
      <c r="B35" s="1168">
        <v>1121120000</v>
      </c>
      <c r="C35" s="1168" t="s">
        <v>2873</v>
      </c>
      <c r="D35" s="1178">
        <f>+IFERROR(VLOOKUP(B35,'Balance Local'!$B$8:$D$564,3,0),0)</f>
        <v>8364191430</v>
      </c>
      <c r="E35" s="1168">
        <v>5112000</v>
      </c>
      <c r="F35" s="1168" t="s">
        <v>3391</v>
      </c>
      <c r="G35" s="1178">
        <f t="shared" si="0"/>
        <v>8364191430</v>
      </c>
      <c r="H35" s="865">
        <f>+VLOOKUP(B35,'Balance Local'!$B$8:$B$560,1,0)</f>
        <v>1121120000</v>
      </c>
      <c r="I35" s="839"/>
      <c r="J35" s="839"/>
    </row>
    <row r="36" spans="1:10" s="865" customFormat="1" hidden="1">
      <c r="B36" s="1168">
        <v>1121130000</v>
      </c>
      <c r="C36" s="1168" t="s">
        <v>2874</v>
      </c>
      <c r="D36" s="1178">
        <f>+IFERROR(VLOOKUP(B36,'Balance Local'!$B$8:$D$564,3,0),0)</f>
        <v>20307161527</v>
      </c>
      <c r="E36" s="1168">
        <v>5112000</v>
      </c>
      <c r="F36" s="1168" t="s">
        <v>3391</v>
      </c>
      <c r="G36" s="1178">
        <f t="shared" si="0"/>
        <v>20307161527</v>
      </c>
      <c r="H36" s="865">
        <f>+VLOOKUP(B36,'Balance Local'!$B$8:$B$560,1,0)</f>
        <v>1121130000</v>
      </c>
      <c r="I36" s="839"/>
      <c r="J36" s="839"/>
    </row>
    <row r="37" spans="1:10" s="865" customFormat="1" hidden="1">
      <c r="B37" s="1168">
        <v>1123100000</v>
      </c>
      <c r="C37" s="1168" t="s">
        <v>2875</v>
      </c>
      <c r="D37" s="1178">
        <f>+IFERROR(VLOOKUP(B37,'Balance Local'!$B$8:$D$564,3,0),0)</f>
        <v>5463590111</v>
      </c>
      <c r="E37" s="1168">
        <v>5116100</v>
      </c>
      <c r="F37" s="1168" t="s">
        <v>3392</v>
      </c>
      <c r="G37" s="1178">
        <f t="shared" si="0"/>
        <v>5463590111</v>
      </c>
      <c r="H37" s="865">
        <f>+VLOOKUP(B37,'Balance Local'!$B$8:$B$560,1,0)</f>
        <v>1123100000</v>
      </c>
      <c r="I37" s="839"/>
      <c r="J37" s="839"/>
    </row>
    <row r="38" spans="1:10" s="865" customFormat="1" hidden="1">
      <c r="B38" s="1168">
        <v>1125130000</v>
      </c>
      <c r="C38" s="1168" t="s">
        <v>2876</v>
      </c>
      <c r="D38" s="1178">
        <f>+IFERROR(VLOOKUP(B38,'Balance Local'!$B$8:$D$564,3,0),0)</f>
        <v>0</v>
      </c>
      <c r="E38" s="1168">
        <v>5112000</v>
      </c>
      <c r="F38" s="1168" t="s">
        <v>3391</v>
      </c>
      <c r="G38" s="1178">
        <f t="shared" si="0"/>
        <v>0</v>
      </c>
      <c r="H38" s="865">
        <f>+VLOOKUP(B38,'Balance Local'!$B$8:$B$560,1,0)</f>
        <v>1125130000</v>
      </c>
      <c r="I38" s="839"/>
      <c r="J38" s="839"/>
    </row>
    <row r="39" spans="1:10" s="865" customFormat="1" hidden="1">
      <c r="B39" s="1168">
        <v>1125140000</v>
      </c>
      <c r="C39" s="1168" t="s">
        <v>2877</v>
      </c>
      <c r="D39" s="1178">
        <f>+IFERROR(VLOOKUP(B39,'Balance Local'!$B$8:$D$564,3,0),0)</f>
        <v>81195062</v>
      </c>
      <c r="E39" s="1168">
        <v>5112000</v>
      </c>
      <c r="F39" s="1168" t="s">
        <v>3391</v>
      </c>
      <c r="G39" s="1178">
        <f t="shared" si="0"/>
        <v>81195062</v>
      </c>
      <c r="H39" s="865">
        <f>+VLOOKUP(B39,'Balance Local'!$B$8:$B$560,1,0)</f>
        <v>1125140000</v>
      </c>
      <c r="I39" s="839"/>
      <c r="J39" s="839"/>
    </row>
    <row r="40" spans="1:10" s="865" customFormat="1" hidden="1">
      <c r="B40" s="1168">
        <v>1125230000</v>
      </c>
      <c r="C40" s="1168" t="s">
        <v>3393</v>
      </c>
      <c r="D40" s="1178">
        <f>+IFERROR(VLOOKUP(B40,'Balance Local'!$B$8:$D$564,3,0),0)</f>
        <v>0</v>
      </c>
      <c r="E40" s="1168">
        <v>5112000</v>
      </c>
      <c r="F40" s="1168" t="s">
        <v>3391</v>
      </c>
      <c r="G40" s="1178">
        <f t="shared" si="0"/>
        <v>0</v>
      </c>
      <c r="H40" s="865" t="e">
        <f>+VLOOKUP(B40,'Balance Local'!$B$8:$B$560,1,0)</f>
        <v>#N/A</v>
      </c>
      <c r="I40" s="839"/>
      <c r="J40" s="839"/>
    </row>
    <row r="41" spans="1:10" s="865" customFormat="1" hidden="1">
      <c r="B41" s="1168">
        <v>1131130000</v>
      </c>
      <c r="C41" s="1168" t="s">
        <v>2878</v>
      </c>
      <c r="D41" s="1178">
        <f>+IFERROR(VLOOKUP(B41,'Balance Local'!$B$8:$D$564,3,0),0)</f>
        <v>200747135014</v>
      </c>
      <c r="E41" s="1168">
        <v>5113000</v>
      </c>
      <c r="F41" s="1168" t="s">
        <v>3394</v>
      </c>
      <c r="G41" s="1178">
        <f t="shared" si="0"/>
        <v>200747135014</v>
      </c>
      <c r="H41" s="865">
        <f>+VLOOKUP(B41,'Balance Local'!$B$8:$B$560,1,0)</f>
        <v>1131130000</v>
      </c>
      <c r="I41" s="839"/>
      <c r="J41" s="839"/>
    </row>
    <row r="42" spans="1:10" s="865" customFormat="1" hidden="1">
      <c r="B42" s="1168">
        <v>1131130100</v>
      </c>
      <c r="C42" s="1168" t="s">
        <v>2879</v>
      </c>
      <c r="D42" s="1178">
        <f>+IFERROR(VLOOKUP(B42,'Balance Local'!$B$8:$D$564,3,0),0)</f>
        <v>2665975323</v>
      </c>
      <c r="E42" s="1168">
        <v>5115000</v>
      </c>
      <c r="F42" s="1168" t="s">
        <v>3395</v>
      </c>
      <c r="G42" s="1178">
        <f t="shared" si="0"/>
        <v>2665975323</v>
      </c>
      <c r="H42" s="865">
        <f>+VLOOKUP(B42,'Balance Local'!$B$8:$B$560,1,0)</f>
        <v>1131130100</v>
      </c>
      <c r="I42" s="839"/>
      <c r="J42" s="839"/>
    </row>
    <row r="43" spans="1:10" s="865" customFormat="1" hidden="1">
      <c r="B43" s="1168">
        <v>1131160000</v>
      </c>
      <c r="C43" s="1168" t="s">
        <v>2880</v>
      </c>
      <c r="D43" s="1178">
        <f>+IFERROR(VLOOKUP(B43,'Balance Local'!$B$8:$D$564,3,0),0)</f>
        <v>1026231825390</v>
      </c>
      <c r="E43" s="1168">
        <v>5113000</v>
      </c>
      <c r="F43" s="1168" t="s">
        <v>3394</v>
      </c>
      <c r="G43" s="1178">
        <f t="shared" si="0"/>
        <v>1026231825390</v>
      </c>
      <c r="H43" s="865">
        <f>+VLOOKUP(B43,'Balance Local'!$B$8:$B$560,1,0)</f>
        <v>1131160000</v>
      </c>
      <c r="I43" s="839"/>
      <c r="J43" s="839"/>
    </row>
    <row r="44" spans="1:10" s="865" customFormat="1" hidden="1">
      <c r="B44" s="1168">
        <v>1131160100</v>
      </c>
      <c r="C44" s="1168" t="s">
        <v>2881</v>
      </c>
      <c r="D44" s="1178">
        <f>+IFERROR(VLOOKUP(B44,'Balance Local'!$B$8:$D$564,3,0),0)</f>
        <v>66719473306</v>
      </c>
      <c r="E44" s="1168">
        <v>5115000</v>
      </c>
      <c r="F44" s="1168" t="s">
        <v>3395</v>
      </c>
      <c r="G44" s="1178">
        <f t="shared" si="0"/>
        <v>66719473306</v>
      </c>
      <c r="H44" s="865">
        <f>+VLOOKUP(B44,'Balance Local'!$B$8:$B$560,1,0)</f>
        <v>1131160100</v>
      </c>
      <c r="I44" s="839"/>
      <c r="J44" s="839"/>
    </row>
    <row r="45" spans="1:10" s="865" customFormat="1" hidden="1">
      <c r="B45" s="1168">
        <v>1133100000</v>
      </c>
      <c r="C45" s="1168" t="s">
        <v>2882</v>
      </c>
      <c r="D45" s="1178">
        <f>+IFERROR(VLOOKUP(B45,'Balance Local'!$B$8:$D$564,3,0),0)</f>
        <v>615271459</v>
      </c>
      <c r="E45" s="1168">
        <v>5113000</v>
      </c>
      <c r="F45" s="1168" t="s">
        <v>3394</v>
      </c>
      <c r="G45" s="1178">
        <f t="shared" si="0"/>
        <v>615271459</v>
      </c>
      <c r="H45" s="865">
        <f>+VLOOKUP(B45,'Balance Local'!$B$8:$B$560,1,0)</f>
        <v>1133100000</v>
      </c>
      <c r="I45" s="839"/>
      <c r="J45" s="839"/>
    </row>
    <row r="46" spans="1:10" s="865" customFormat="1" hidden="1">
      <c r="B46" s="1168">
        <v>1141000000</v>
      </c>
      <c r="C46" s="1168" t="s">
        <v>2883</v>
      </c>
      <c r="D46" s="1178">
        <f>+IFERROR(VLOOKUP(B46,'Balance Local'!$B$8:$D$564,3,0),0)</f>
        <v>0</v>
      </c>
      <c r="E46" s="1168">
        <v>5113000</v>
      </c>
      <c r="F46" s="1168" t="s">
        <v>3394</v>
      </c>
      <c r="G46" s="1178">
        <f t="shared" si="0"/>
        <v>0</v>
      </c>
      <c r="H46" s="865" t="e">
        <f>+VLOOKUP(B46,'Balance Local'!$B$8:$B$560,1,0)</f>
        <v>#N/A</v>
      </c>
      <c r="I46" s="839"/>
      <c r="J46" s="839"/>
    </row>
    <row r="47" spans="1:10" s="865" customFormat="1" hidden="1">
      <c r="B47" s="1168">
        <v>1141000100</v>
      </c>
      <c r="C47" s="1168" t="s">
        <v>2883</v>
      </c>
      <c r="D47" s="1178">
        <f>+IFERROR(VLOOKUP(B47,'Balance Local'!$B$8:$D$564,3,0),0)</f>
        <v>40554120907</v>
      </c>
      <c r="E47" s="1168">
        <v>5121000</v>
      </c>
      <c r="F47" s="1168" t="s">
        <v>3396</v>
      </c>
      <c r="G47" s="1178">
        <f t="shared" si="0"/>
        <v>40554120907</v>
      </c>
      <c r="H47" s="865">
        <f>+VLOOKUP(B47,'Balance Local'!$B$8:$B$560,1,0)</f>
        <v>1141000100</v>
      </c>
      <c r="I47" s="839"/>
      <c r="J47" s="839"/>
    </row>
    <row r="48" spans="1:10" s="865" customFormat="1" hidden="1">
      <c r="B48" s="1168">
        <v>1142000000</v>
      </c>
      <c r="C48" s="1168" t="s">
        <v>2886</v>
      </c>
      <c r="D48" s="1178">
        <f>+IFERROR(VLOOKUP(B48,'Balance Local'!$B$8:$D$564,3,0),0)</f>
        <v>0</v>
      </c>
      <c r="E48" s="1168">
        <v>5121000</v>
      </c>
      <c r="F48" s="1168" t="s">
        <v>3396</v>
      </c>
      <c r="G48" s="1178">
        <f t="shared" si="0"/>
        <v>0</v>
      </c>
      <c r="H48" s="865" t="e">
        <f>+VLOOKUP(B48,'Balance Local'!$B$8:$B$560,1,0)</f>
        <v>#N/A</v>
      </c>
      <c r="I48" s="839"/>
      <c r="J48" s="839"/>
    </row>
    <row r="49" spans="1:10" s="865" customFormat="1" hidden="1">
      <c r="B49" s="1168">
        <v>1142000003</v>
      </c>
      <c r="C49" s="1168" t="s">
        <v>2884</v>
      </c>
      <c r="D49" s="1178">
        <f>+IFERROR(VLOOKUP(B49,'Balance Local'!$B$8:$D$564,3,0),0)</f>
        <v>-769896565</v>
      </c>
      <c r="E49" s="1168">
        <v>5121000</v>
      </c>
      <c r="F49" s="1168" t="s">
        <v>3396</v>
      </c>
      <c r="G49" s="1178">
        <f t="shared" si="0"/>
        <v>-769896565</v>
      </c>
      <c r="H49" s="865">
        <f>+VLOOKUP(B49,'Balance Local'!$B$8:$B$560,1,0)</f>
        <v>1142000003</v>
      </c>
      <c r="I49" s="839"/>
      <c r="J49" s="839"/>
    </row>
    <row r="50" spans="1:10" s="865" customFormat="1" hidden="1">
      <c r="B50" s="1168">
        <v>1142000004</v>
      </c>
      <c r="C50" s="1168" t="s">
        <v>2885</v>
      </c>
      <c r="D50" s="1178">
        <f>+IFERROR(VLOOKUP(B50,'Balance Local'!$B$8:$D$564,3,0),0)</f>
        <v>-10953355673</v>
      </c>
      <c r="E50" s="1168">
        <v>5121000</v>
      </c>
      <c r="F50" s="1168" t="s">
        <v>3396</v>
      </c>
      <c r="G50" s="1178">
        <f t="shared" si="0"/>
        <v>-10953355673</v>
      </c>
      <c r="H50" s="865">
        <f>+VLOOKUP(B50,'Balance Local'!$B$8:$B$560,1,0)</f>
        <v>1142000004</v>
      </c>
      <c r="I50" s="839"/>
      <c r="J50" s="839"/>
    </row>
    <row r="51" spans="1:10" s="865" customFormat="1" hidden="1">
      <c r="B51" s="1168">
        <v>1142000100</v>
      </c>
      <c r="C51" s="1168" t="s">
        <v>2886</v>
      </c>
      <c r="D51" s="1178">
        <f>+IFERROR(VLOOKUP(B51,'Balance Local'!$B$8:$D$564,3,0),0)</f>
        <v>124498975771</v>
      </c>
      <c r="E51" s="1168">
        <v>5121000</v>
      </c>
      <c r="F51" s="1168" t="s">
        <v>3396</v>
      </c>
      <c r="G51" s="1178">
        <f t="shared" si="0"/>
        <v>124498975771</v>
      </c>
      <c r="H51" s="865">
        <f>+VLOOKUP(B51,'Balance Local'!$B$8:$B$560,1,0)</f>
        <v>1142000100</v>
      </c>
      <c r="I51" s="839"/>
      <c r="J51" s="839"/>
    </row>
    <row r="52" spans="1:10" s="865" customFormat="1" hidden="1">
      <c r="B52" s="1168">
        <v>1151100000</v>
      </c>
      <c r="C52" s="1168" t="s">
        <v>2887</v>
      </c>
      <c r="D52" s="1178">
        <f>+IFERROR(VLOOKUP(B52,'Balance Local'!$B$8:$D$564,3,0),0)</f>
        <v>127750550226</v>
      </c>
      <c r="E52" s="1168">
        <v>5113000</v>
      </c>
      <c r="F52" s="1168" t="s">
        <v>3386</v>
      </c>
      <c r="G52" s="1178">
        <f t="shared" si="0"/>
        <v>127750550226</v>
      </c>
      <c r="H52" s="865">
        <f>+VLOOKUP(B52,'Balance Local'!$B$8:$B$560,1,0)</f>
        <v>1151100000</v>
      </c>
      <c r="I52" s="839"/>
      <c r="J52" s="839"/>
    </row>
    <row r="53" spans="1:10" s="865" customFormat="1" hidden="1">
      <c r="B53" s="1168">
        <v>1151100007</v>
      </c>
      <c r="C53" s="1168" t="s">
        <v>2888</v>
      </c>
      <c r="D53" s="1178">
        <f>+IFERROR(VLOOKUP(B53,'Balance Local'!$B$8:$D$564,3,0),0)</f>
        <v>5204991228</v>
      </c>
      <c r="E53" s="1168">
        <v>5115000</v>
      </c>
      <c r="F53" s="1168" t="s">
        <v>3395</v>
      </c>
      <c r="G53" s="1178">
        <f t="shared" si="0"/>
        <v>5204991228</v>
      </c>
      <c r="H53" s="865">
        <f>+VLOOKUP(B53,'Balance Local'!$B$8:$B$560,1,0)</f>
        <v>1151100007</v>
      </c>
      <c r="I53" s="839"/>
      <c r="J53" s="839"/>
    </row>
    <row r="54" spans="1:10" s="865" customFormat="1" hidden="1">
      <c r="A54" s="866"/>
      <c r="B54" s="1168">
        <v>1151300000</v>
      </c>
      <c r="C54" s="902" t="s">
        <v>2889</v>
      </c>
      <c r="D54" s="1178">
        <f>+IFERROR(VLOOKUP(B54,'Balance Local'!$B$8:$D$564,3,0),0)</f>
        <v>-273112485</v>
      </c>
      <c r="E54" s="1168">
        <v>5113000</v>
      </c>
      <c r="F54" s="1168" t="s">
        <v>3386</v>
      </c>
      <c r="G54" s="1178">
        <f t="shared" si="0"/>
        <v>-273112485</v>
      </c>
      <c r="H54" s="865">
        <f>+VLOOKUP(B54,'Balance Local'!$B$8:$B$560,1,0)</f>
        <v>1151300000</v>
      </c>
      <c r="I54" s="839"/>
      <c r="J54" s="839"/>
    </row>
    <row r="55" spans="1:10" s="865" customFormat="1" hidden="1">
      <c r="B55" s="1168">
        <v>1161000000</v>
      </c>
      <c r="C55" s="1168" t="s">
        <v>2890</v>
      </c>
      <c r="D55" s="1178">
        <f>+IFERROR(VLOOKUP(B55,'Balance Local'!$B$8:$D$564,3,0),0)</f>
        <v>2377051173</v>
      </c>
      <c r="E55" s="1168">
        <v>5114100</v>
      </c>
      <c r="F55" s="1168" t="s">
        <v>3397</v>
      </c>
      <c r="G55" s="1178">
        <f t="shared" si="0"/>
        <v>2377051173</v>
      </c>
      <c r="H55" s="865">
        <f>+VLOOKUP(B55,'Balance Local'!$B$8:$B$560,1,0)</f>
        <v>1161000000</v>
      </c>
      <c r="I55" s="839"/>
      <c r="J55" s="839"/>
    </row>
    <row r="56" spans="1:10" s="865" customFormat="1" hidden="1">
      <c r="B56" s="1168">
        <v>1161000001</v>
      </c>
      <c r="C56" s="1168" t="s">
        <v>2891</v>
      </c>
      <c r="D56" s="1178">
        <f>+IFERROR(VLOOKUP(B56,'Balance Local'!$B$8:$D$564,3,0),0)</f>
        <v>131848875</v>
      </c>
      <c r="E56" s="1168">
        <v>5114100</v>
      </c>
      <c r="F56" s="1168" t="s">
        <v>3397</v>
      </c>
      <c r="G56" s="1178">
        <f t="shared" si="0"/>
        <v>131848875</v>
      </c>
      <c r="H56" s="865">
        <f>+VLOOKUP(B56,'Balance Local'!$B$8:$B$560,1,0)</f>
        <v>1161000001</v>
      </c>
      <c r="I56" s="839"/>
      <c r="J56" s="839"/>
    </row>
    <row r="57" spans="1:10" s="865" customFormat="1" hidden="1">
      <c r="B57" s="1168">
        <v>1161000002</v>
      </c>
      <c r="C57" s="1168" t="s">
        <v>2892</v>
      </c>
      <c r="D57" s="1178">
        <f>+IFERROR(VLOOKUP(B57,'Balance Local'!$B$8:$D$564,3,0),0)</f>
        <v>412545405</v>
      </c>
      <c r="E57" s="1168">
        <v>5114200</v>
      </c>
      <c r="F57" s="1168" t="s">
        <v>3398</v>
      </c>
      <c r="G57" s="1178">
        <f t="shared" si="0"/>
        <v>412545405</v>
      </c>
      <c r="H57" s="865">
        <f>+VLOOKUP(B57,'Balance Local'!$B$8:$B$560,1,0)</f>
        <v>1161000002</v>
      </c>
      <c r="I57" s="839"/>
      <c r="J57" s="839"/>
    </row>
    <row r="58" spans="1:10" s="865" customFormat="1" hidden="1">
      <c r="B58" s="1168">
        <v>1161000003</v>
      </c>
      <c r="C58" s="1168" t="s">
        <v>2893</v>
      </c>
      <c r="D58" s="1178">
        <f>+IFERROR(VLOOKUP(B58,'Balance Local'!$B$8:$D$564,3,0),0)</f>
        <v>158258071</v>
      </c>
      <c r="E58" s="1168">
        <v>5114200</v>
      </c>
      <c r="F58" s="1168" t="s">
        <v>3398</v>
      </c>
      <c r="G58" s="1178">
        <f t="shared" si="0"/>
        <v>158258071</v>
      </c>
      <c r="H58" s="865">
        <f>+VLOOKUP(B58,'Balance Local'!$B$8:$B$560,1,0)</f>
        <v>1161000003</v>
      </c>
      <c r="I58" s="839"/>
      <c r="J58" s="839"/>
    </row>
    <row r="59" spans="1:10" s="865" customFormat="1" hidden="1">
      <c r="B59" s="1168">
        <v>1164100000</v>
      </c>
      <c r="C59" s="1168" t="s">
        <v>2894</v>
      </c>
      <c r="D59" s="1178">
        <f>+IFERROR(VLOOKUP(B59,'Balance Local'!$B$8:$D$564,3,0),0)</f>
        <v>-29798367</v>
      </c>
      <c r="E59" s="1168">
        <v>5122000</v>
      </c>
      <c r="F59" s="1168" t="s">
        <v>3399</v>
      </c>
      <c r="G59" s="1178">
        <f t="shared" si="0"/>
        <v>-29798367</v>
      </c>
      <c r="H59" s="865">
        <f>+VLOOKUP(B59,'Balance Local'!$B$8:$B$560,1,0)</f>
        <v>1164100000</v>
      </c>
      <c r="I59" s="839"/>
      <c r="J59" s="839"/>
    </row>
    <row r="60" spans="1:10" s="865" customFormat="1" hidden="1">
      <c r="B60" s="1168">
        <v>1164200000</v>
      </c>
      <c r="C60" s="1168" t="s">
        <v>2895</v>
      </c>
      <c r="D60" s="1178">
        <f>+IFERROR(VLOOKUP(B60,'Balance Local'!$B$8:$D$564,3,0),0)</f>
        <v>137842726275</v>
      </c>
      <c r="E60" s="1168">
        <v>5122000</v>
      </c>
      <c r="F60" s="1168" t="s">
        <v>3399</v>
      </c>
      <c r="G60" s="1178">
        <f t="shared" si="0"/>
        <v>137842726275</v>
      </c>
      <c r="H60" s="865">
        <f>+VLOOKUP(B60,'Balance Local'!$B$8:$B$560,1,0)</f>
        <v>1164200000</v>
      </c>
      <c r="I60" s="839"/>
      <c r="J60" s="839"/>
    </row>
    <row r="61" spans="1:10" s="865" customFormat="1" hidden="1">
      <c r="B61" s="1168">
        <v>1164200001</v>
      </c>
      <c r="C61" s="1168" t="s">
        <v>2896</v>
      </c>
      <c r="D61" s="1178">
        <f>+IFERROR(VLOOKUP(B61,'Balance Local'!$B$8:$D$564,3,0),0)</f>
        <v>8026550802</v>
      </c>
      <c r="E61" s="1168">
        <v>5115000</v>
      </c>
      <c r="F61" s="1168" t="s">
        <v>3400</v>
      </c>
      <c r="G61" s="1178">
        <f t="shared" si="0"/>
        <v>8026550802</v>
      </c>
      <c r="H61" s="865">
        <f>+VLOOKUP(B61,'Balance Local'!$B$8:$B$560,1,0)</f>
        <v>1164200001</v>
      </c>
      <c r="I61" s="839"/>
      <c r="J61" s="839"/>
    </row>
    <row r="62" spans="1:10" s="865" customFormat="1" hidden="1">
      <c r="B62" s="1168">
        <v>1172110000</v>
      </c>
      <c r="C62" s="1168" t="s">
        <v>2897</v>
      </c>
      <c r="D62" s="1178">
        <f>+IFERROR(VLOOKUP(B62,'Balance Local'!$B$8:$D$564,3,0),0)</f>
        <v>0</v>
      </c>
      <c r="E62" s="1168">
        <v>5211000</v>
      </c>
      <c r="F62" s="1168" t="s">
        <v>3401</v>
      </c>
      <c r="G62" s="1178">
        <f t="shared" si="0"/>
        <v>0</v>
      </c>
      <c r="H62" s="865">
        <f>+VLOOKUP(B62,'Balance Local'!$B$8:$B$560,1,0)</f>
        <v>1172110000</v>
      </c>
      <c r="I62" s="839"/>
      <c r="J62" s="839"/>
    </row>
    <row r="63" spans="1:10" s="865" customFormat="1" hidden="1">
      <c r="B63" s="1168">
        <v>1176310000</v>
      </c>
      <c r="C63" s="1168" t="s">
        <v>2898</v>
      </c>
      <c r="D63" s="1178">
        <f>+IFERROR(VLOOKUP(B63,'Balance Local'!$B$8:$D$564,3,0),0)</f>
        <v>81839744752</v>
      </c>
      <c r="E63" s="1168">
        <v>5113000</v>
      </c>
      <c r="F63" s="1168" t="s">
        <v>3394</v>
      </c>
      <c r="G63" s="1178">
        <f t="shared" si="0"/>
        <v>81839744752</v>
      </c>
      <c r="H63" s="865">
        <f>+VLOOKUP(B63,'Balance Local'!$B$8:$B$560,1,0)</f>
        <v>1176310000</v>
      </c>
      <c r="I63" s="839"/>
      <c r="J63" s="839"/>
    </row>
    <row r="64" spans="1:10" s="865" customFormat="1" hidden="1">
      <c r="B64" s="1168">
        <v>1182320400</v>
      </c>
      <c r="C64" s="1168" t="s">
        <v>2899</v>
      </c>
      <c r="D64" s="1178">
        <f>+IFERROR(VLOOKUP(B64,'Balance Local'!$B$8:$D$564,3,0),0)</f>
        <v>78870570203</v>
      </c>
      <c r="E64" s="1168">
        <v>5115000</v>
      </c>
      <c r="F64" s="1168" t="s">
        <v>3400</v>
      </c>
      <c r="G64" s="1178">
        <f t="shared" si="0"/>
        <v>78870570203</v>
      </c>
      <c r="H64" s="865">
        <f>+VLOOKUP(B64,'Balance Local'!$B$8:$B$560,1,0)</f>
        <v>1182320400</v>
      </c>
      <c r="I64" s="839"/>
      <c r="J64" s="839"/>
    </row>
    <row r="65" spans="1:10" s="865" customFormat="1" hidden="1">
      <c r="B65" s="1168">
        <v>1182330000</v>
      </c>
      <c r="C65" s="1168" t="s">
        <v>2900</v>
      </c>
      <c r="D65" s="1178">
        <f>+IFERROR(VLOOKUP(B65,'Balance Local'!$B$8:$D$564,3,0),0)</f>
        <v>79031059464</v>
      </c>
      <c r="E65" s="1168">
        <v>5115000</v>
      </c>
      <c r="F65" s="1168" t="s">
        <v>3400</v>
      </c>
      <c r="G65" s="1178">
        <f t="shared" si="0"/>
        <v>79031059464</v>
      </c>
      <c r="H65" s="865">
        <f>+VLOOKUP(B65,'Balance Local'!$B$8:$B$560,1,0)</f>
        <v>1182330000</v>
      </c>
      <c r="I65" s="839"/>
      <c r="J65" s="839"/>
    </row>
    <row r="66" spans="1:10" s="865" customFormat="1" hidden="1">
      <c r="B66" s="1168">
        <v>1193105707</v>
      </c>
      <c r="C66" s="1168" t="s">
        <v>2901</v>
      </c>
      <c r="D66" s="1178">
        <f>+IFERROR(VLOOKUP(B66,'Balance Local'!$B$8:$D$564,3,0),0)</f>
        <v>-207384888</v>
      </c>
      <c r="E66" s="1168">
        <v>5111000</v>
      </c>
      <c r="F66" s="1168" t="s">
        <v>3388</v>
      </c>
      <c r="G66" s="1178">
        <f t="shared" si="0"/>
        <v>-207384888</v>
      </c>
      <c r="H66" s="865">
        <f>+VLOOKUP(B66,'Balance Local'!$B$8:$B$560,1,0)</f>
        <v>1193105707</v>
      </c>
      <c r="I66" s="839"/>
      <c r="J66" s="839"/>
    </row>
    <row r="67" spans="1:10" s="865" customFormat="1" hidden="1">
      <c r="A67" s="866"/>
      <c r="B67" s="1168">
        <v>1193105708</v>
      </c>
      <c r="C67" s="902" t="s">
        <v>2902</v>
      </c>
      <c r="D67" s="1178">
        <f>+IFERROR(VLOOKUP(B67,'Balance Local'!$B$8:$D$564,3,0),0)</f>
        <v>-6122826</v>
      </c>
      <c r="E67" s="1168">
        <v>5111000</v>
      </c>
      <c r="F67" s="1168" t="s">
        <v>3388</v>
      </c>
      <c r="G67" s="1178">
        <f t="shared" si="0"/>
        <v>-6122826</v>
      </c>
      <c r="H67" s="865">
        <f>+VLOOKUP(B67,'Balance Local'!$B$8:$B$560,1,0)</f>
        <v>1193105708</v>
      </c>
      <c r="I67" s="839"/>
      <c r="J67" s="839"/>
    </row>
    <row r="68" spans="1:10" s="865" customFormat="1" hidden="1">
      <c r="B68" s="1168">
        <v>1193105709</v>
      </c>
      <c r="C68" s="1168" t="s">
        <v>2903</v>
      </c>
      <c r="D68" s="1178">
        <f>+IFERROR(VLOOKUP(B68,'Balance Local'!$B$8:$D$564,3,0),0)</f>
        <v>-14815928</v>
      </c>
      <c r="E68" s="1168">
        <v>5111000</v>
      </c>
      <c r="F68" s="1168" t="s">
        <v>3388</v>
      </c>
      <c r="G68" s="1178">
        <f t="shared" si="0"/>
        <v>-14815928</v>
      </c>
      <c r="H68" s="865">
        <f>+VLOOKUP(B68,'Balance Local'!$B$8:$B$560,1,0)</f>
        <v>1193105709</v>
      </c>
      <c r="I68" s="839"/>
      <c r="J68" s="839"/>
    </row>
    <row r="69" spans="1:10" s="865" customFormat="1" hidden="1">
      <c r="B69" s="1168">
        <v>1193105716</v>
      </c>
      <c r="C69" s="1168" t="s">
        <v>2904</v>
      </c>
      <c r="D69" s="1178">
        <f>+IFERROR(VLOOKUP(B69,'Balance Local'!$B$8:$D$564,3,0),0)</f>
        <v>293998</v>
      </c>
      <c r="E69" s="1168">
        <v>5111000</v>
      </c>
      <c r="F69" s="1168" t="s">
        <v>3388</v>
      </c>
      <c r="G69" s="1178">
        <f t="shared" si="0"/>
        <v>293998</v>
      </c>
      <c r="H69" s="865">
        <f>+VLOOKUP(B69,'Balance Local'!$B$8:$B$560,1,0)</f>
        <v>1193105716</v>
      </c>
      <c r="I69" s="839"/>
      <c r="J69" s="839"/>
    </row>
    <row r="70" spans="1:10" s="865" customFormat="1" hidden="1">
      <c r="B70" s="1168">
        <v>1193105721</v>
      </c>
      <c r="C70" s="1168" t="s">
        <v>2858</v>
      </c>
      <c r="D70" s="1178">
        <f>+IFERROR(VLOOKUP(B70,'Balance Local'!$B$8:$D$564,3,0),0)</f>
        <v>-108832512</v>
      </c>
      <c r="E70" s="1168">
        <v>5111000</v>
      </c>
      <c r="F70" s="1168" t="s">
        <v>3388</v>
      </c>
      <c r="G70" s="1178">
        <f t="shared" si="0"/>
        <v>-108832512</v>
      </c>
      <c r="H70" s="865">
        <f>+VLOOKUP(B70,'Balance Local'!$B$8:$B$560,1,0)</f>
        <v>1193105721</v>
      </c>
      <c r="I70" s="839"/>
      <c r="J70" s="839"/>
    </row>
    <row r="71" spans="1:10" s="865" customFormat="1" hidden="1">
      <c r="B71" s="1168">
        <v>1193105735</v>
      </c>
      <c r="C71" s="1168" t="s">
        <v>2905</v>
      </c>
      <c r="D71" s="1178">
        <f>+IFERROR(VLOOKUP(B71,'Balance Local'!$B$8:$D$564,3,0),0)</f>
        <v>-646104994</v>
      </c>
      <c r="E71" s="1168">
        <v>5111000</v>
      </c>
      <c r="F71" s="1168" t="s">
        <v>3388</v>
      </c>
      <c r="G71" s="1178">
        <f t="shared" si="0"/>
        <v>-646104994</v>
      </c>
      <c r="H71" s="865">
        <f>+VLOOKUP(B71,'Balance Local'!$B$8:$B$560,1,0)</f>
        <v>1193105735</v>
      </c>
      <c r="I71" s="839"/>
      <c r="J71" s="839"/>
    </row>
    <row r="72" spans="1:10" s="865" customFormat="1" hidden="1">
      <c r="B72" s="1168">
        <v>1193105742</v>
      </c>
      <c r="C72" s="1168" t="s">
        <v>2906</v>
      </c>
      <c r="D72" s="1178">
        <f>+IFERROR(VLOOKUP(B72,'Balance Local'!$B$8:$D$564,3,0),0)</f>
        <v>284003353</v>
      </c>
      <c r="E72" s="1168">
        <v>5111000</v>
      </c>
      <c r="F72" s="1168" t="s">
        <v>3388</v>
      </c>
      <c r="G72" s="1178">
        <f t="shared" si="0"/>
        <v>284003353</v>
      </c>
      <c r="H72" s="865">
        <f>+VLOOKUP(B72,'Balance Local'!$B$8:$B$560,1,0)</f>
        <v>1193105742</v>
      </c>
      <c r="I72" s="839"/>
      <c r="J72" s="839"/>
    </row>
    <row r="73" spans="1:10" s="865" customFormat="1" hidden="1">
      <c r="B73" s="1168">
        <v>1193105743</v>
      </c>
      <c r="C73" s="1168" t="s">
        <v>3402</v>
      </c>
      <c r="D73" s="1178">
        <f>+IFERROR(VLOOKUP(B73,'Balance Local'!$B$8:$D$564,3,0),0)</f>
        <v>-2106253</v>
      </c>
      <c r="E73" s="1168">
        <v>5111000</v>
      </c>
      <c r="F73" s="1168" t="s">
        <v>3388</v>
      </c>
      <c r="G73" s="1178">
        <f t="shared" si="0"/>
        <v>-2106253</v>
      </c>
      <c r="H73" s="865">
        <f>+VLOOKUP(B73,'Balance Local'!$B$8:$B$560,1,0)</f>
        <v>1193105743</v>
      </c>
      <c r="I73" s="839"/>
      <c r="J73" s="839"/>
    </row>
    <row r="74" spans="1:10" s="865" customFormat="1" hidden="1">
      <c r="B74" s="1168">
        <v>1193105750</v>
      </c>
      <c r="C74" s="1168" t="s">
        <v>2907</v>
      </c>
      <c r="D74" s="1178">
        <f>+IFERROR(VLOOKUP(B74,'Balance Local'!$B$8:$D$564,3,0),0)</f>
        <v>-179810852</v>
      </c>
      <c r="E74" s="1168">
        <v>5111000</v>
      </c>
      <c r="F74" s="1168" t="s">
        <v>3388</v>
      </c>
      <c r="G74" s="1178">
        <f t="shared" ref="G74:G137" si="1">+D74</f>
        <v>-179810852</v>
      </c>
      <c r="H74" s="865">
        <f>+VLOOKUP(B74,'Balance Local'!$B$8:$B$560,1,0)</f>
        <v>1193105750</v>
      </c>
      <c r="I74" s="839"/>
      <c r="J74" s="839"/>
    </row>
    <row r="75" spans="1:10" s="865" customFormat="1" hidden="1">
      <c r="B75" s="1168">
        <v>1193105756</v>
      </c>
      <c r="C75" s="1168" t="s">
        <v>2908</v>
      </c>
      <c r="D75" s="1178">
        <f>+IFERROR(VLOOKUP(B75,'Balance Local'!$B$8:$D$564,3,0),0)</f>
        <v>-16046581</v>
      </c>
      <c r="E75" s="1168">
        <v>5111000</v>
      </c>
      <c r="F75" s="1168" t="s">
        <v>3388</v>
      </c>
      <c r="G75" s="1178">
        <f t="shared" si="1"/>
        <v>-16046581</v>
      </c>
      <c r="H75" s="865">
        <f>+VLOOKUP(B75,'Balance Local'!$B$8:$B$560,1,0)</f>
        <v>1193105756</v>
      </c>
      <c r="I75" s="839"/>
      <c r="J75" s="839"/>
    </row>
    <row r="76" spans="1:10" s="865" customFormat="1" hidden="1">
      <c r="B76" s="1168">
        <v>1193105760</v>
      </c>
      <c r="C76" s="1168" t="s">
        <v>2909</v>
      </c>
      <c r="D76" s="1178">
        <f>+IFERROR(VLOOKUP(B76,'Balance Local'!$B$8:$D$564,3,0),0)</f>
        <v>0</v>
      </c>
      <c r="E76" s="1168">
        <v>5111000</v>
      </c>
      <c r="F76" s="1168" t="s">
        <v>3388</v>
      </c>
      <c r="G76" s="1178">
        <f t="shared" si="1"/>
        <v>0</v>
      </c>
      <c r="H76" s="865">
        <f>+VLOOKUP(B76,'Balance Local'!$B$8:$B$560,1,0)</f>
        <v>1193105760</v>
      </c>
      <c r="I76" s="839"/>
      <c r="J76" s="839"/>
    </row>
    <row r="77" spans="1:10" s="865" customFormat="1" hidden="1">
      <c r="B77" s="1168">
        <v>1193105764</v>
      </c>
      <c r="C77" s="1168" t="s">
        <v>3403</v>
      </c>
      <c r="D77" s="1178">
        <f>+IFERROR(VLOOKUP(B77,'Balance Local'!$B$8:$D$564,3,0),0)</f>
        <v>0</v>
      </c>
      <c r="E77" s="1168">
        <v>5111000</v>
      </c>
      <c r="F77" s="1168" t="s">
        <v>3388</v>
      </c>
      <c r="G77" s="1178">
        <f t="shared" si="1"/>
        <v>0</v>
      </c>
      <c r="H77" s="865" t="e">
        <f>+VLOOKUP(B77,'Balance Local'!$B$8:$B$560,1,0)</f>
        <v>#N/A</v>
      </c>
      <c r="I77" s="839"/>
      <c r="J77" s="839"/>
    </row>
    <row r="78" spans="1:10" s="865" customFormat="1" hidden="1">
      <c r="B78" s="1168">
        <v>1193105765</v>
      </c>
      <c r="C78" s="1168" t="s">
        <v>2867</v>
      </c>
      <c r="D78" s="1178">
        <f>+IFERROR(VLOOKUP(B78,'Balance Local'!$B$8:$D$564,3,0),0)</f>
        <v>2442570</v>
      </c>
      <c r="E78" s="1168">
        <v>5111000</v>
      </c>
      <c r="F78" s="1168" t="s">
        <v>3388</v>
      </c>
      <c r="G78" s="1178">
        <f t="shared" si="1"/>
        <v>2442570</v>
      </c>
      <c r="H78" s="865">
        <f>+VLOOKUP(B78,'Balance Local'!$B$8:$B$560,1,0)</f>
        <v>1193105765</v>
      </c>
      <c r="I78" s="839"/>
      <c r="J78" s="839"/>
    </row>
    <row r="79" spans="1:10" s="865" customFormat="1" hidden="1">
      <c r="B79" s="1168">
        <v>1193105766</v>
      </c>
      <c r="C79" s="1168" t="s">
        <v>2868</v>
      </c>
      <c r="D79" s="1178">
        <f>+IFERROR(VLOOKUP(B79,'Balance Local'!$B$8:$D$564,3,0),0)</f>
        <v>-4859379</v>
      </c>
      <c r="E79" s="1168">
        <v>5111000</v>
      </c>
      <c r="F79" s="1168" t="s">
        <v>3388</v>
      </c>
      <c r="G79" s="1178">
        <f t="shared" si="1"/>
        <v>-4859379</v>
      </c>
      <c r="H79" s="865">
        <f>+VLOOKUP(B79,'Balance Local'!$B$8:$B$560,1,0)</f>
        <v>1193105766</v>
      </c>
      <c r="I79" s="839"/>
      <c r="J79" s="839"/>
    </row>
    <row r="80" spans="1:10" s="865" customFormat="1" hidden="1">
      <c r="B80" s="1168">
        <v>1193105771</v>
      </c>
      <c r="C80" s="1168" t="s">
        <v>3404</v>
      </c>
      <c r="D80" s="1178">
        <f>+IFERROR(VLOOKUP(B80,'Balance Local'!$B$8:$D$564,3,0),0)</f>
        <v>0</v>
      </c>
      <c r="E80" s="1168">
        <v>5111000</v>
      </c>
      <c r="F80" s="1168" t="s">
        <v>3388</v>
      </c>
      <c r="G80" s="1178">
        <f t="shared" si="1"/>
        <v>0</v>
      </c>
      <c r="H80" s="865" t="e">
        <f>+VLOOKUP(B80,'Balance Local'!$B$8:$B$560,1,0)</f>
        <v>#N/A</v>
      </c>
      <c r="I80" s="839"/>
      <c r="J80" s="839"/>
    </row>
    <row r="81" spans="1:10" s="865" customFormat="1" hidden="1">
      <c r="B81" s="1168">
        <v>1193105773</v>
      </c>
      <c r="C81" s="1168" t="s">
        <v>3405</v>
      </c>
      <c r="D81" s="1178">
        <f>+IFERROR(VLOOKUP(B81,'Balance Local'!$B$8:$D$564,3,0),0)</f>
        <v>-45778011</v>
      </c>
      <c r="E81" s="1168">
        <v>5111000</v>
      </c>
      <c r="F81" s="1168" t="s">
        <v>3388</v>
      </c>
      <c r="G81" s="1178">
        <f t="shared" si="1"/>
        <v>-45778011</v>
      </c>
      <c r="H81" s="865">
        <f>+VLOOKUP(B81,'Balance Local'!$B$8:$B$560,1,0)</f>
        <v>1193105773</v>
      </c>
      <c r="I81" s="839"/>
      <c r="J81" s="839"/>
    </row>
    <row r="82" spans="1:10" s="865" customFormat="1" hidden="1">
      <c r="A82" s="866"/>
      <c r="B82" s="844">
        <v>1193105812</v>
      </c>
      <c r="C82" s="867" t="s">
        <v>3741</v>
      </c>
      <c r="D82" s="1178">
        <f>+IFERROR(VLOOKUP(B82,'Balance Local'!$B$8:$D$564,3,0),0)</f>
        <v>-64713449</v>
      </c>
      <c r="E82" s="1168">
        <v>5111000</v>
      </c>
      <c r="F82" s="1168" t="s">
        <v>3388</v>
      </c>
      <c r="G82" s="1178">
        <f t="shared" si="1"/>
        <v>-64713449</v>
      </c>
      <c r="H82" s="865">
        <f>+VLOOKUP(B82,'Balance Local'!$B$8:$B$560,1,0)</f>
        <v>1193105812</v>
      </c>
      <c r="I82" s="839"/>
      <c r="J82" s="868"/>
    </row>
    <row r="83" spans="1:10" s="865" customFormat="1" hidden="1">
      <c r="B83" s="1168">
        <v>1193205707</v>
      </c>
      <c r="C83" s="1168" t="s">
        <v>2910</v>
      </c>
      <c r="D83" s="1178">
        <f>+IFERROR(VLOOKUP(B83,'Balance Local'!$B$8:$D$564,3,0),0)</f>
        <v>-2064006581</v>
      </c>
      <c r="E83" s="1168">
        <v>5111000</v>
      </c>
      <c r="F83" s="1168" t="s">
        <v>3388</v>
      </c>
      <c r="G83" s="1178">
        <f t="shared" si="1"/>
        <v>-2064006581</v>
      </c>
      <c r="H83" s="865">
        <f>+VLOOKUP(B83,'Balance Local'!$B$8:$B$560,1,0)</f>
        <v>1193205707</v>
      </c>
      <c r="I83" s="839"/>
      <c r="J83" s="839"/>
    </row>
    <row r="84" spans="1:10" s="865" customFormat="1" hidden="1">
      <c r="B84" s="1168">
        <v>1193205708</v>
      </c>
      <c r="C84" s="1168" t="s">
        <v>2911</v>
      </c>
      <c r="D84" s="1178">
        <f>+IFERROR(VLOOKUP(B84,'Balance Local'!$B$8:$D$564,3,0),0)</f>
        <v>-115358722</v>
      </c>
      <c r="E84" s="1168">
        <v>5111000</v>
      </c>
      <c r="F84" s="1168" t="s">
        <v>3388</v>
      </c>
      <c r="G84" s="1178">
        <f t="shared" si="1"/>
        <v>-115358722</v>
      </c>
      <c r="H84" s="865">
        <f>+VLOOKUP(B84,'Balance Local'!$B$8:$B$560,1,0)</f>
        <v>1193205708</v>
      </c>
      <c r="I84" s="839"/>
      <c r="J84" s="839"/>
    </row>
    <row r="85" spans="1:10" s="865" customFormat="1" hidden="1">
      <c r="B85" s="1168">
        <v>1193205709</v>
      </c>
      <c r="C85" s="1168" t="s">
        <v>3406</v>
      </c>
      <c r="D85" s="1178">
        <f>+IFERROR(VLOOKUP(B85,'Balance Local'!$B$8:$D$564,3,0),0)</f>
        <v>10001596</v>
      </c>
      <c r="E85" s="1168">
        <v>5111000</v>
      </c>
      <c r="F85" s="1168" t="s">
        <v>3388</v>
      </c>
      <c r="G85" s="1178">
        <f t="shared" si="1"/>
        <v>10001596</v>
      </c>
      <c r="H85" s="865">
        <f>+VLOOKUP(B85,'Balance Local'!$B$8:$B$560,1,0)</f>
        <v>1193205709</v>
      </c>
      <c r="I85" s="839"/>
      <c r="J85" s="839"/>
    </row>
    <row r="86" spans="1:10" s="865" customFormat="1" hidden="1">
      <c r="B86" s="1168">
        <v>1193205710</v>
      </c>
      <c r="C86" s="1168" t="s">
        <v>3407</v>
      </c>
      <c r="D86" s="1178">
        <f>+IFERROR(VLOOKUP(B86,'Balance Local'!$B$8:$D$564,3,0),0)</f>
        <v>0</v>
      </c>
      <c r="E86" s="1168">
        <v>5111000</v>
      </c>
      <c r="F86" s="1168" t="s">
        <v>3388</v>
      </c>
      <c r="G86" s="1178">
        <f t="shared" si="1"/>
        <v>0</v>
      </c>
      <c r="H86" s="865" t="e">
        <f>+VLOOKUP(B86,'Balance Local'!$B$8:$B$560,1,0)</f>
        <v>#N/A</v>
      </c>
      <c r="I86" s="839"/>
      <c r="J86" s="839"/>
    </row>
    <row r="87" spans="1:10" s="865" customFormat="1" hidden="1">
      <c r="B87" s="1168">
        <v>1193205716</v>
      </c>
      <c r="C87" s="1168" t="s">
        <v>2912</v>
      </c>
      <c r="D87" s="1178">
        <f>+IFERROR(VLOOKUP(B87,'Balance Local'!$B$8:$D$564,3,0),0)</f>
        <v>79842</v>
      </c>
      <c r="E87" s="1168">
        <v>5111000</v>
      </c>
      <c r="F87" s="1168" t="s">
        <v>3388</v>
      </c>
      <c r="G87" s="1178">
        <f t="shared" si="1"/>
        <v>79842</v>
      </c>
      <c r="H87" s="865">
        <f>+VLOOKUP(B87,'Balance Local'!$B$8:$B$560,1,0)</f>
        <v>1193205716</v>
      </c>
      <c r="I87" s="839"/>
      <c r="J87" s="839"/>
    </row>
    <row r="88" spans="1:10" s="865" customFormat="1" hidden="1">
      <c r="B88" s="1168">
        <v>1193205721</v>
      </c>
      <c r="C88" s="1168" t="s">
        <v>2858</v>
      </c>
      <c r="D88" s="1178">
        <f>+IFERROR(VLOOKUP(B88,'Balance Local'!$B$8:$D$564,3,0),0)</f>
        <v>7643690</v>
      </c>
      <c r="E88" s="1168">
        <v>5111000</v>
      </c>
      <c r="F88" s="1168" t="s">
        <v>3388</v>
      </c>
      <c r="G88" s="1178">
        <f t="shared" si="1"/>
        <v>7643690</v>
      </c>
      <c r="H88" s="865">
        <f>+VLOOKUP(B88,'Balance Local'!$B$8:$B$560,1,0)</f>
        <v>1193205721</v>
      </c>
      <c r="I88" s="839"/>
      <c r="J88" s="839"/>
    </row>
    <row r="89" spans="1:10" s="865" customFormat="1" hidden="1">
      <c r="B89" s="1168">
        <v>1193205735</v>
      </c>
      <c r="C89" s="1168" t="s">
        <v>2913</v>
      </c>
      <c r="D89" s="1178">
        <f>+IFERROR(VLOOKUP(B89,'Balance Local'!$B$8:$D$564,3,0),0)</f>
        <v>108440482</v>
      </c>
      <c r="E89" s="1168">
        <v>5111000</v>
      </c>
      <c r="F89" s="1168" t="s">
        <v>3388</v>
      </c>
      <c r="G89" s="1178">
        <f t="shared" si="1"/>
        <v>108440482</v>
      </c>
      <c r="H89" s="865">
        <f>+VLOOKUP(B89,'Balance Local'!$B$8:$B$560,1,0)</f>
        <v>1193205735</v>
      </c>
      <c r="I89" s="839"/>
      <c r="J89" s="839"/>
    </row>
    <row r="90" spans="1:10" s="865" customFormat="1" hidden="1">
      <c r="B90" s="1168">
        <v>1193205736</v>
      </c>
      <c r="C90" s="1168" t="s">
        <v>2914</v>
      </c>
      <c r="D90" s="1178">
        <f>+IFERROR(VLOOKUP(B90,'Balance Local'!$B$8:$D$564,3,0),0)</f>
        <v>451706</v>
      </c>
      <c r="E90" s="1168">
        <v>5111000</v>
      </c>
      <c r="F90" s="1168" t="s">
        <v>3388</v>
      </c>
      <c r="G90" s="1178">
        <f t="shared" si="1"/>
        <v>451706</v>
      </c>
      <c r="H90" s="865">
        <f>+VLOOKUP(B90,'Balance Local'!$B$8:$B$560,1,0)</f>
        <v>1193205736</v>
      </c>
      <c r="I90" s="839"/>
      <c r="J90" s="839"/>
    </row>
    <row r="91" spans="1:10" s="865" customFormat="1" hidden="1">
      <c r="B91" s="1168">
        <v>1193205742</v>
      </c>
      <c r="C91" s="1168" t="s">
        <v>2915</v>
      </c>
      <c r="D91" s="1178">
        <f>+IFERROR(VLOOKUP(B91,'Balance Local'!$B$8:$D$564,3,0),0)</f>
        <v>11337556</v>
      </c>
      <c r="E91" s="1168">
        <v>5111000</v>
      </c>
      <c r="F91" s="1168" t="s">
        <v>3388</v>
      </c>
      <c r="G91" s="1178">
        <f t="shared" si="1"/>
        <v>11337556</v>
      </c>
      <c r="H91" s="865">
        <f>+VLOOKUP(B91,'Balance Local'!$B$8:$B$560,1,0)</f>
        <v>1193205742</v>
      </c>
      <c r="I91" s="839"/>
      <c r="J91" s="839"/>
    </row>
    <row r="92" spans="1:10" s="865" customFormat="1" hidden="1">
      <c r="B92" s="1168">
        <v>1193205743</v>
      </c>
      <c r="C92" s="1168" t="s">
        <v>3402</v>
      </c>
      <c r="D92" s="1178">
        <f>+IFERROR(VLOOKUP(B92,'Balance Local'!$B$8:$D$564,3,0),0)</f>
        <v>2106253</v>
      </c>
      <c r="E92" s="1168">
        <v>5111000</v>
      </c>
      <c r="F92" s="1168" t="s">
        <v>3388</v>
      </c>
      <c r="G92" s="1178">
        <f t="shared" si="1"/>
        <v>2106253</v>
      </c>
      <c r="H92" s="865">
        <f>+VLOOKUP(B92,'Balance Local'!$B$8:$B$560,1,0)</f>
        <v>1193205743</v>
      </c>
      <c r="I92" s="839"/>
      <c r="J92" s="839"/>
    </row>
    <row r="93" spans="1:10" s="865" customFormat="1" hidden="1">
      <c r="B93" s="1168">
        <v>1193205750</v>
      </c>
      <c r="C93" s="1168" t="s">
        <v>2916</v>
      </c>
      <c r="D93" s="1178">
        <f>+IFERROR(VLOOKUP(B93,'Balance Local'!$B$8:$D$564,3,0),0)</f>
        <v>68726089</v>
      </c>
      <c r="E93" s="1168">
        <v>5111000</v>
      </c>
      <c r="F93" s="1168" t="s">
        <v>3388</v>
      </c>
      <c r="G93" s="1178">
        <f t="shared" si="1"/>
        <v>68726089</v>
      </c>
      <c r="H93" s="865">
        <f>+VLOOKUP(B93,'Balance Local'!$B$8:$B$560,1,0)</f>
        <v>1193205750</v>
      </c>
      <c r="I93" s="839"/>
      <c r="J93" s="839"/>
    </row>
    <row r="94" spans="1:10" s="865" customFormat="1" hidden="1">
      <c r="B94" s="1168">
        <v>1193205756</v>
      </c>
      <c r="C94" s="1168" t="s">
        <v>2908</v>
      </c>
      <c r="D94" s="1178">
        <f>+IFERROR(VLOOKUP(B94,'Balance Local'!$B$8:$D$564,3,0),0)</f>
        <v>1986798</v>
      </c>
      <c r="E94" s="1168">
        <v>5111000</v>
      </c>
      <c r="F94" s="1168" t="s">
        <v>3388</v>
      </c>
      <c r="G94" s="1178">
        <f t="shared" si="1"/>
        <v>1986798</v>
      </c>
      <c r="H94" s="865">
        <f>+VLOOKUP(B94,'Balance Local'!$B$8:$B$560,1,0)</f>
        <v>1193205756</v>
      </c>
      <c r="I94" s="839"/>
      <c r="J94" s="839"/>
    </row>
    <row r="95" spans="1:10" s="865" customFormat="1" hidden="1">
      <c r="B95" s="1168">
        <v>1193205764</v>
      </c>
      <c r="C95" s="1168" t="s">
        <v>2917</v>
      </c>
      <c r="D95" s="1178">
        <f>+IFERROR(VLOOKUP(B95,'Balance Local'!$B$8:$D$564,3,0),0)</f>
        <v>37538</v>
      </c>
      <c r="E95" s="1168">
        <v>5111000</v>
      </c>
      <c r="F95" s="1168" t="s">
        <v>3388</v>
      </c>
      <c r="G95" s="1178">
        <f t="shared" si="1"/>
        <v>37538</v>
      </c>
      <c r="H95" s="865">
        <f>+VLOOKUP(B95,'Balance Local'!$B$8:$B$560,1,0)</f>
        <v>1193205764</v>
      </c>
      <c r="I95" s="839"/>
      <c r="J95" s="839"/>
    </row>
    <row r="96" spans="1:10" s="865" customFormat="1" hidden="1">
      <c r="B96" s="1168">
        <v>1193205765</v>
      </c>
      <c r="C96" s="1168" t="s">
        <v>2918</v>
      </c>
      <c r="D96" s="1178">
        <f>+IFERROR(VLOOKUP(B96,'Balance Local'!$B$8:$D$564,3,0),0)</f>
        <v>0</v>
      </c>
      <c r="E96" s="1168">
        <v>5111000</v>
      </c>
      <c r="F96" s="1168" t="s">
        <v>3388</v>
      </c>
      <c r="G96" s="1178">
        <f t="shared" si="1"/>
        <v>0</v>
      </c>
      <c r="H96" s="865">
        <f>+VLOOKUP(B96,'Balance Local'!$B$8:$B$560,1,0)</f>
        <v>1193205765</v>
      </c>
      <c r="I96" s="839"/>
      <c r="J96" s="839"/>
    </row>
    <row r="97" spans="1:10" s="865" customFormat="1" hidden="1">
      <c r="B97" s="1168">
        <v>1193205766</v>
      </c>
      <c r="C97" s="1168" t="s">
        <v>2868</v>
      </c>
      <c r="D97" s="1178">
        <f>+IFERROR(VLOOKUP(B97,'Balance Local'!$B$8:$D$564,3,0),0)</f>
        <v>45129</v>
      </c>
      <c r="E97" s="1168">
        <v>5111000</v>
      </c>
      <c r="F97" s="1168" t="s">
        <v>3388</v>
      </c>
      <c r="G97" s="1178">
        <f t="shared" si="1"/>
        <v>45129</v>
      </c>
      <c r="H97" s="865">
        <f>+VLOOKUP(B97,'Balance Local'!$B$8:$B$560,1,0)</f>
        <v>1193205766</v>
      </c>
      <c r="I97" s="839"/>
      <c r="J97" s="839"/>
    </row>
    <row r="98" spans="1:10" s="865" customFormat="1" hidden="1">
      <c r="B98" s="1168">
        <v>1193205773</v>
      </c>
      <c r="C98" s="1168" t="s">
        <v>3405</v>
      </c>
      <c r="D98" s="1178">
        <f>+IFERROR(VLOOKUP(B98,'Balance Local'!$B$8:$D$564,3,0),0)</f>
        <v>44600000</v>
      </c>
      <c r="E98" s="1168">
        <v>5111000</v>
      </c>
      <c r="F98" s="1168" t="s">
        <v>3388</v>
      </c>
      <c r="G98" s="1178">
        <f t="shared" si="1"/>
        <v>44600000</v>
      </c>
      <c r="H98" s="865">
        <f>+VLOOKUP(B98,'Balance Local'!$B$8:$B$560,1,0)</f>
        <v>1193205773</v>
      </c>
      <c r="I98" s="839"/>
      <c r="J98" s="839"/>
    </row>
    <row r="99" spans="1:10" s="865" customFormat="1" hidden="1">
      <c r="B99" s="1168">
        <v>1193205775</v>
      </c>
      <c r="C99" s="1168" t="s">
        <v>3408</v>
      </c>
      <c r="D99" s="1178">
        <f>+IFERROR(VLOOKUP(B99,'Balance Local'!$B$8:$D$564,3,0),0)</f>
        <v>0</v>
      </c>
      <c r="E99" s="1168">
        <v>5111000</v>
      </c>
      <c r="F99" s="1168" t="s">
        <v>3388</v>
      </c>
      <c r="G99" s="1178">
        <f t="shared" si="1"/>
        <v>0</v>
      </c>
      <c r="H99" s="865" t="e">
        <f>+VLOOKUP(B99,'Balance Local'!$B$8:$B$560,1,0)</f>
        <v>#N/A</v>
      </c>
      <c r="I99" s="839"/>
      <c r="J99" s="839"/>
    </row>
    <row r="100" spans="1:10" s="865" customFormat="1" hidden="1">
      <c r="A100" s="866"/>
      <c r="B100" s="844">
        <v>1193205812</v>
      </c>
      <c r="C100" s="867" t="s">
        <v>3742</v>
      </c>
      <c r="D100" s="1178">
        <f>+IFERROR(VLOOKUP(B100,'Balance Local'!$B$8:$D$564,3,0),0)</f>
        <v>64711954</v>
      </c>
      <c r="E100" s="1168">
        <v>5111000</v>
      </c>
      <c r="F100" s="1168" t="s">
        <v>3388</v>
      </c>
      <c r="G100" s="1178">
        <f t="shared" si="1"/>
        <v>64711954</v>
      </c>
      <c r="H100" s="865">
        <f>+VLOOKUP(B100,'Balance Local'!$B$8:$B$560,1,0)</f>
        <v>1193205812</v>
      </c>
      <c r="I100" s="839"/>
      <c r="J100" s="868"/>
    </row>
    <row r="101" spans="1:10" s="865" customFormat="1" hidden="1">
      <c r="B101" s="1168">
        <v>1199999000</v>
      </c>
      <c r="C101" s="1168" t="s">
        <v>2919</v>
      </c>
      <c r="D101" s="1178">
        <f>+IFERROR(VLOOKUP(B101,'Balance Local'!$B$8:$D$564,3,0),0)</f>
        <v>-7450463</v>
      </c>
      <c r="E101" s="1168">
        <v>5111000</v>
      </c>
      <c r="F101" s="1168" t="s">
        <v>3388</v>
      </c>
      <c r="G101" s="1178">
        <f t="shared" si="1"/>
        <v>-7450463</v>
      </c>
      <c r="H101" s="865">
        <f>+VLOOKUP(B101,'Balance Local'!$B$8:$B$560,1,0)</f>
        <v>1199999000</v>
      </c>
      <c r="I101" s="839"/>
      <c r="J101" s="839"/>
    </row>
    <row r="102" spans="1:10" s="865" customFormat="1" hidden="1">
      <c r="B102" s="1168">
        <v>1211010000</v>
      </c>
      <c r="C102" s="1168" t="s">
        <v>2920</v>
      </c>
      <c r="D102" s="1178">
        <f>+IFERROR(VLOOKUP(B102,'Balance Local'!$B$8:$D$564,3,0),0)</f>
        <v>46808600502</v>
      </c>
      <c r="E102" s="1168">
        <v>5141100</v>
      </c>
      <c r="F102" s="1168" t="s">
        <v>3409</v>
      </c>
      <c r="G102" s="1178">
        <f t="shared" si="1"/>
        <v>46808600502</v>
      </c>
      <c r="H102" s="865">
        <f>+VLOOKUP(B102,'Balance Local'!$B$8:$B$560,1,0)</f>
        <v>1211010000</v>
      </c>
      <c r="I102" s="839"/>
      <c r="J102" s="839"/>
    </row>
    <row r="103" spans="1:10" s="865" customFormat="1" hidden="1">
      <c r="B103" s="1168">
        <v>1211010002</v>
      </c>
      <c r="C103" s="1168" t="s">
        <v>3410</v>
      </c>
      <c r="D103" s="1178">
        <f>+IFERROR(VLOOKUP(B103,'Balance Local'!$B$8:$D$564,3,0),0)</f>
        <v>0</v>
      </c>
      <c r="E103" s="1168">
        <v>5141100</v>
      </c>
      <c r="F103" s="1168" t="s">
        <v>3409</v>
      </c>
      <c r="G103" s="1178">
        <f t="shared" si="1"/>
        <v>0</v>
      </c>
      <c r="H103" s="865" t="e">
        <f>+VLOOKUP(B103,'Balance Local'!$B$8:$B$560,1,0)</f>
        <v>#N/A</v>
      </c>
      <c r="I103" s="839"/>
      <c r="J103" s="839"/>
    </row>
    <row r="104" spans="1:10" s="865" customFormat="1" hidden="1">
      <c r="B104" s="1168">
        <v>1211010036</v>
      </c>
      <c r="C104" s="1168" t="s">
        <v>2921</v>
      </c>
      <c r="D104" s="1178">
        <f>+IFERROR(VLOOKUP(B104,'Balance Local'!$B$8:$D$564,3,0),0)</f>
        <v>4672130398</v>
      </c>
      <c r="E104" s="1168">
        <v>5141100</v>
      </c>
      <c r="F104" s="1168" t="s">
        <v>3409</v>
      </c>
      <c r="G104" s="1178">
        <f t="shared" si="1"/>
        <v>4672130398</v>
      </c>
      <c r="H104" s="865">
        <f>+VLOOKUP(B104,'Balance Local'!$B$8:$B$560,1,0)</f>
        <v>1211010036</v>
      </c>
      <c r="I104" s="839"/>
      <c r="J104" s="839"/>
    </row>
    <row r="105" spans="1:10" s="865" customFormat="1" hidden="1">
      <c r="B105" s="1168">
        <v>1211010043</v>
      </c>
      <c r="C105" s="1168" t="s">
        <v>2922</v>
      </c>
      <c r="D105" s="1178">
        <f>+IFERROR(VLOOKUP(B105,'Balance Local'!$B$8:$D$564,3,0),0)</f>
        <v>79293110</v>
      </c>
      <c r="E105" s="1168">
        <v>5141100</v>
      </c>
      <c r="F105" s="1168" t="s">
        <v>3409</v>
      </c>
      <c r="G105" s="1178">
        <f t="shared" si="1"/>
        <v>79293110</v>
      </c>
      <c r="H105" s="865">
        <f>+VLOOKUP(B105,'Balance Local'!$B$8:$B$560,1,0)</f>
        <v>1211010043</v>
      </c>
      <c r="I105" s="839"/>
      <c r="J105" s="839"/>
    </row>
    <row r="106" spans="1:10" s="865" customFormat="1" hidden="1">
      <c r="A106" s="866"/>
      <c r="B106" s="844">
        <v>1211510001</v>
      </c>
      <c r="C106" s="867" t="s">
        <v>3743</v>
      </c>
      <c r="D106" s="1178">
        <f>+IFERROR(VLOOKUP(B106,'Balance Local'!$B$8:$D$564,3,0),0)</f>
        <v>681803</v>
      </c>
      <c r="E106" s="1168">
        <v>5141100</v>
      </c>
      <c r="F106" s="1168" t="s">
        <v>3409</v>
      </c>
      <c r="G106" s="1178">
        <f t="shared" si="1"/>
        <v>681803</v>
      </c>
      <c r="H106" s="865">
        <f>+VLOOKUP(B106,'Balance Local'!$B$8:$B$560,1,0)</f>
        <v>1211510001</v>
      </c>
      <c r="I106" s="839"/>
      <c r="J106" s="868"/>
    </row>
    <row r="107" spans="1:10" s="865" customFormat="1" hidden="1">
      <c r="B107" s="1168">
        <v>1221020000</v>
      </c>
      <c r="C107" s="1168" t="s">
        <v>2923</v>
      </c>
      <c r="D107" s="1178">
        <f>+IFERROR(VLOOKUP(B107,'Balance Local'!$B$8:$D$564,3,0),0)</f>
        <v>76723117</v>
      </c>
      <c r="E107" s="1168">
        <v>5153200</v>
      </c>
      <c r="F107" s="1168" t="s">
        <v>3411</v>
      </c>
      <c r="G107" s="1178">
        <f t="shared" si="1"/>
        <v>76723117</v>
      </c>
      <c r="H107" s="865">
        <f>+VLOOKUP(B107,'Balance Local'!$B$8:$B$560,1,0)</f>
        <v>1221020000</v>
      </c>
      <c r="I107" s="839"/>
      <c r="J107" s="839"/>
    </row>
    <row r="108" spans="1:10" s="865" customFormat="1" hidden="1">
      <c r="B108" s="1168">
        <v>1231012000</v>
      </c>
      <c r="C108" s="1168" t="s">
        <v>2924</v>
      </c>
      <c r="D108" s="1178">
        <f>+IFERROR(VLOOKUP(B108,'Balance Local'!$B$8:$D$564,3,0),0)</f>
        <v>27387</v>
      </c>
      <c r="E108" s="1168">
        <v>5141310</v>
      </c>
      <c r="F108" s="1168" t="s">
        <v>3515</v>
      </c>
      <c r="G108" s="1178">
        <f t="shared" si="1"/>
        <v>27387</v>
      </c>
      <c r="H108" s="865">
        <f>+VLOOKUP(B108,'Balance Local'!$B$8:$B$560,1,0)</f>
        <v>1231012000</v>
      </c>
      <c r="I108" s="839"/>
      <c r="J108" s="839"/>
    </row>
    <row r="109" spans="1:10" s="865" customFormat="1" hidden="1">
      <c r="B109" s="1168">
        <v>1231700500</v>
      </c>
      <c r="C109" s="1168" t="s">
        <v>2925</v>
      </c>
      <c r="D109" s="1178">
        <f>+IFERROR(VLOOKUP(B109,'Balance Local'!$B$8:$D$564,3,0),0)</f>
        <v>15793169</v>
      </c>
      <c r="E109" s="1168">
        <v>5141320</v>
      </c>
      <c r="F109" s="1168" t="s">
        <v>3413</v>
      </c>
      <c r="G109" s="1178">
        <f t="shared" si="1"/>
        <v>15793169</v>
      </c>
      <c r="H109" s="865">
        <f>+VLOOKUP(B109,'Balance Local'!$B$8:$B$560,1,0)</f>
        <v>1231700500</v>
      </c>
      <c r="I109" s="839"/>
      <c r="J109" s="839"/>
    </row>
    <row r="110" spans="1:10" s="865" customFormat="1" hidden="1">
      <c r="B110" s="1168">
        <v>1231700501</v>
      </c>
      <c r="C110" s="1168" t="s">
        <v>2926</v>
      </c>
      <c r="D110" s="1178">
        <f>+IFERROR(VLOOKUP(B110,'Balance Local'!$B$8:$D$564,3,0),0)</f>
        <v>5918051</v>
      </c>
      <c r="E110" s="1168">
        <v>5213231</v>
      </c>
      <c r="F110" s="1245" t="s">
        <v>3412</v>
      </c>
      <c r="G110" s="1178">
        <f t="shared" si="1"/>
        <v>5918051</v>
      </c>
      <c r="H110" s="865">
        <f>+VLOOKUP(B110,'Balance Local'!$B$8:$B$560,1,0)</f>
        <v>1231700501</v>
      </c>
      <c r="I110" s="839"/>
      <c r="J110" s="839"/>
    </row>
    <row r="111" spans="1:10" s="865" customFormat="1" hidden="1">
      <c r="B111" s="1168">
        <v>1250200000</v>
      </c>
      <c r="C111" s="1168" t="s">
        <v>2927</v>
      </c>
      <c r="D111" s="1178">
        <f>+IFERROR(VLOOKUP(B111,'Balance Local'!$B$8:$D$564,3,0),0)</f>
        <v>-9509325393</v>
      </c>
      <c r="E111" s="1168">
        <v>5141100</v>
      </c>
      <c r="F111" s="1168" t="s">
        <v>3409</v>
      </c>
      <c r="G111" s="1178">
        <f t="shared" si="1"/>
        <v>-9509325393</v>
      </c>
      <c r="H111" s="865">
        <f>+VLOOKUP(B111,'Balance Local'!$B$8:$B$560,1,0)</f>
        <v>1250200000</v>
      </c>
      <c r="I111" s="839"/>
      <c r="J111" s="839"/>
    </row>
    <row r="112" spans="1:10" s="865" customFormat="1" hidden="1">
      <c r="B112" s="1168">
        <v>1311010000</v>
      </c>
      <c r="C112" s="1168" t="s">
        <v>2928</v>
      </c>
      <c r="D112" s="1178">
        <f>+IFERROR(VLOOKUP(B112,'Balance Local'!$B$8:$D$564,3,0),0)</f>
        <v>16170019706</v>
      </c>
      <c r="E112" s="1168">
        <v>5141210</v>
      </c>
      <c r="F112" s="1168" t="s">
        <v>3414</v>
      </c>
      <c r="G112" s="1178">
        <f t="shared" si="1"/>
        <v>16170019706</v>
      </c>
      <c r="H112" s="865">
        <f>+VLOOKUP(B112,'Balance Local'!$B$8:$B$560,1,0)</f>
        <v>1311010000</v>
      </c>
      <c r="I112" s="839"/>
      <c r="J112" s="839"/>
    </row>
    <row r="113" spans="2:10" s="865" customFormat="1" hidden="1">
      <c r="B113" s="1168">
        <v>1311010002</v>
      </c>
      <c r="C113" s="1168" t="s">
        <v>2929</v>
      </c>
      <c r="D113" s="1178">
        <f>+IFERROR(VLOOKUP(B113,'Balance Local'!$B$8:$D$564,3,0),0)</f>
        <v>682774</v>
      </c>
      <c r="E113" s="1168">
        <v>5141210</v>
      </c>
      <c r="F113" s="1168" t="s">
        <v>3414</v>
      </c>
      <c r="G113" s="1178">
        <f t="shared" si="1"/>
        <v>682774</v>
      </c>
      <c r="H113" s="865">
        <f>+VLOOKUP(B113,'Balance Local'!$B$8:$B$560,1,0)</f>
        <v>1311010002</v>
      </c>
      <c r="I113" s="839"/>
      <c r="J113" s="839"/>
    </row>
    <row r="114" spans="2:10" s="865" customFormat="1" hidden="1">
      <c r="B114" s="1168">
        <v>1411400000</v>
      </c>
      <c r="C114" s="1168" t="s">
        <v>2930</v>
      </c>
      <c r="D114" s="1178">
        <f>+IFERROR(VLOOKUP(B114,'Balance Local'!$B$8:$D$564,3,0),0)</f>
        <v>-2431384783</v>
      </c>
      <c r="E114" s="1168">
        <v>5114200</v>
      </c>
      <c r="F114" s="1168" t="s">
        <v>3398</v>
      </c>
      <c r="G114" s="1178">
        <f t="shared" si="1"/>
        <v>-2431384783</v>
      </c>
      <c r="H114" s="865">
        <f>+VLOOKUP(B114,'Balance Local'!$B$8:$B$560,1,0)</f>
        <v>1411400000</v>
      </c>
      <c r="I114" s="839"/>
      <c r="J114" s="839"/>
    </row>
    <row r="115" spans="2:10" s="865" customFormat="1" hidden="1">
      <c r="B115" s="1168">
        <v>1429310003</v>
      </c>
      <c r="C115" s="1168" t="s">
        <v>2931</v>
      </c>
      <c r="D115" s="1178">
        <f>+IFERROR(VLOOKUP(B115,'Balance Local'!$B$8:$D$564,3,0),0)</f>
        <v>117694546</v>
      </c>
      <c r="E115" s="1168">
        <v>5113000</v>
      </c>
      <c r="F115" s="1168" t="s">
        <v>3394</v>
      </c>
      <c r="G115" s="1178">
        <f t="shared" si="1"/>
        <v>117694546</v>
      </c>
      <c r="H115" s="865">
        <f>+VLOOKUP(B115,'Balance Local'!$B$8:$B$560,1,0)</f>
        <v>1429310003</v>
      </c>
      <c r="I115" s="839"/>
      <c r="J115" s="839"/>
    </row>
    <row r="116" spans="2:10" s="865" customFormat="1" hidden="1">
      <c r="B116" s="1168">
        <v>1441100012</v>
      </c>
      <c r="C116" s="1168" t="s">
        <v>2932</v>
      </c>
      <c r="D116" s="1178">
        <f>+IFERROR(VLOOKUP(B116,'Balance Local'!$B$8:$D$564,3,0),0)</f>
        <v>60821</v>
      </c>
      <c r="E116" s="1168">
        <v>5153500</v>
      </c>
      <c r="F116" s="1168" t="s">
        <v>3415</v>
      </c>
      <c r="G116" s="1178">
        <f t="shared" si="1"/>
        <v>60821</v>
      </c>
      <c r="H116" s="865">
        <f>+VLOOKUP(B116,'Balance Local'!$B$8:$B$560,1,0)</f>
        <v>1441100012</v>
      </c>
      <c r="I116" s="839"/>
      <c r="J116" s="839"/>
    </row>
    <row r="117" spans="2:10" s="865" customFormat="1" hidden="1">
      <c r="B117" s="1168">
        <v>1441100021</v>
      </c>
      <c r="C117" s="1168" t="s">
        <v>2933</v>
      </c>
      <c r="D117" s="1178">
        <f>+IFERROR(VLOOKUP(B117,'Balance Local'!$B$8:$D$564,3,0),0)</f>
        <v>327895699</v>
      </c>
      <c r="E117" s="1168">
        <v>5153100</v>
      </c>
      <c r="F117" s="1168" t="s">
        <v>3389</v>
      </c>
      <c r="G117" s="1178">
        <f t="shared" si="1"/>
        <v>327895699</v>
      </c>
      <c r="H117" s="865">
        <f>+VLOOKUP(B117,'Balance Local'!$B$8:$B$560,1,0)</f>
        <v>1441100021</v>
      </c>
      <c r="I117" s="839"/>
      <c r="J117" s="839"/>
    </row>
    <row r="118" spans="2:10" s="865" customFormat="1" hidden="1">
      <c r="B118" s="1168">
        <v>1441100028</v>
      </c>
      <c r="C118" s="1168" t="s">
        <v>2934</v>
      </c>
      <c r="D118" s="1178">
        <f>+IFERROR(VLOOKUP(B118,'Balance Local'!$B$8:$D$564,3,0),0)</f>
        <v>53757770</v>
      </c>
      <c r="E118" s="1168">
        <v>5153100</v>
      </c>
      <c r="F118" s="1168" t="s">
        <v>3389</v>
      </c>
      <c r="G118" s="1178">
        <f t="shared" si="1"/>
        <v>53757770</v>
      </c>
      <c r="H118" s="865">
        <f>+VLOOKUP(B118,'Balance Local'!$B$8:$B$560,1,0)</f>
        <v>1441100028</v>
      </c>
      <c r="I118" s="839"/>
      <c r="J118" s="839"/>
    </row>
    <row r="119" spans="2:10" s="865" customFormat="1" hidden="1">
      <c r="B119" s="1168">
        <v>1441100111</v>
      </c>
      <c r="C119" s="1168" t="s">
        <v>3416</v>
      </c>
      <c r="D119" s="1178">
        <f>+IFERROR(VLOOKUP(B119,'Balance Local'!$B$8:$D$564,3,0),0)</f>
        <v>0</v>
      </c>
      <c r="E119" s="1168">
        <v>5153100</v>
      </c>
      <c r="F119" s="1168" t="s">
        <v>3389</v>
      </c>
      <c r="G119" s="1178">
        <f t="shared" si="1"/>
        <v>0</v>
      </c>
      <c r="H119" s="865" t="e">
        <f>+VLOOKUP(B119,'Balance Local'!$B$8:$B$560,1,0)</f>
        <v>#N/A</v>
      </c>
      <c r="I119" s="839"/>
      <c r="J119" s="839"/>
    </row>
    <row r="120" spans="2:10" s="865" customFormat="1" hidden="1">
      <c r="B120" s="1168">
        <v>1441100115</v>
      </c>
      <c r="C120" s="1168" t="s">
        <v>3417</v>
      </c>
      <c r="D120" s="1178">
        <f>+IFERROR(VLOOKUP(B120,'Balance Local'!$B$8:$D$564,3,0),0)</f>
        <v>0</v>
      </c>
      <c r="E120" s="1168">
        <v>5153100</v>
      </c>
      <c r="F120" s="1168" t="s">
        <v>3389</v>
      </c>
      <c r="G120" s="1178">
        <f t="shared" si="1"/>
        <v>0</v>
      </c>
      <c r="H120" s="865" t="e">
        <f>+VLOOKUP(B120,'Balance Local'!$B$8:$B$560,1,0)</f>
        <v>#N/A</v>
      </c>
      <c r="I120" s="839"/>
      <c r="J120" s="839"/>
    </row>
    <row r="121" spans="2:10" s="865" customFormat="1" hidden="1">
      <c r="B121" s="1168">
        <v>1441100118</v>
      </c>
      <c r="C121" s="1168" t="s">
        <v>2935</v>
      </c>
      <c r="D121" s="1178">
        <f>+IFERROR(VLOOKUP(B121,'Balance Local'!$B$8:$D$564,3,0),0)</f>
        <v>23892085</v>
      </c>
      <c r="E121" s="1168">
        <v>5153100</v>
      </c>
      <c r="F121" s="1168" t="s">
        <v>3389</v>
      </c>
      <c r="G121" s="1178">
        <f t="shared" si="1"/>
        <v>23892085</v>
      </c>
      <c r="H121" s="865">
        <f>+VLOOKUP(B121,'Balance Local'!$B$8:$B$560,1,0)</f>
        <v>1441100118</v>
      </c>
      <c r="I121" s="839"/>
      <c r="J121" s="839"/>
    </row>
    <row r="122" spans="2:10" s="865" customFormat="1" hidden="1">
      <c r="B122" s="1168">
        <v>1441110034</v>
      </c>
      <c r="C122" s="1168" t="s">
        <v>2936</v>
      </c>
      <c r="D122" s="1178">
        <f>+IFERROR(VLOOKUP(B122,'Balance Local'!$B$8:$D$564,3,0),0)</f>
        <v>-269435857</v>
      </c>
      <c r="E122" s="1168">
        <v>5153500</v>
      </c>
      <c r="F122" s="1168" t="s">
        <v>3415</v>
      </c>
      <c r="G122" s="1178">
        <f t="shared" si="1"/>
        <v>-269435857</v>
      </c>
      <c r="H122" s="865">
        <f>+VLOOKUP(B122,'Balance Local'!$B$8:$B$560,1,0)</f>
        <v>1441110034</v>
      </c>
      <c r="I122" s="839"/>
      <c r="J122" s="839"/>
    </row>
    <row r="123" spans="2:10" s="865" customFormat="1" hidden="1">
      <c r="B123" s="1168">
        <v>1441110035</v>
      </c>
      <c r="C123" s="1168" t="s">
        <v>2937</v>
      </c>
      <c r="D123" s="1178">
        <f>+IFERROR(VLOOKUP(B123,'Balance Local'!$B$8:$D$564,3,0),0)</f>
        <v>142403544</v>
      </c>
      <c r="E123" s="1168">
        <v>5153500</v>
      </c>
      <c r="F123" s="1168" t="s">
        <v>3415</v>
      </c>
      <c r="G123" s="1178">
        <f t="shared" si="1"/>
        <v>142403544</v>
      </c>
      <c r="H123" s="865">
        <f>+VLOOKUP(B123,'Balance Local'!$B$8:$B$560,1,0)</f>
        <v>1441110035</v>
      </c>
      <c r="I123" s="839"/>
      <c r="J123" s="839"/>
    </row>
    <row r="124" spans="2:10" s="865" customFormat="1" hidden="1">
      <c r="B124" s="1168">
        <v>1441110036</v>
      </c>
      <c r="C124" s="1168" t="s">
        <v>2938</v>
      </c>
      <c r="D124" s="1178">
        <f>+IFERROR(VLOOKUP(B124,'Balance Local'!$B$8:$D$564,3,0),0)</f>
        <v>300862022</v>
      </c>
      <c r="E124" s="1168">
        <v>5153500</v>
      </c>
      <c r="F124" s="1168" t="s">
        <v>3415</v>
      </c>
      <c r="G124" s="1178">
        <f t="shared" si="1"/>
        <v>300862022</v>
      </c>
      <c r="H124" s="865">
        <f>+VLOOKUP(B124,'Balance Local'!$B$8:$B$560,1,0)</f>
        <v>1441110036</v>
      </c>
      <c r="I124" s="839"/>
      <c r="J124" s="839"/>
    </row>
    <row r="125" spans="2:10" s="865" customFormat="1" hidden="1">
      <c r="B125" s="1168">
        <v>1441113000</v>
      </c>
      <c r="C125" s="1168" t="s">
        <v>2939</v>
      </c>
      <c r="D125" s="1178">
        <f>+IFERROR(VLOOKUP(B125,'Balance Local'!$B$8:$D$564,3,0),0)</f>
        <v>404170843</v>
      </c>
      <c r="E125" s="1168">
        <v>5153500</v>
      </c>
      <c r="F125" s="1168" t="s">
        <v>3415</v>
      </c>
      <c r="G125" s="1178">
        <f t="shared" si="1"/>
        <v>404170843</v>
      </c>
      <c r="H125" s="865">
        <f>+VLOOKUP(B125,'Balance Local'!$B$8:$B$560,1,0)</f>
        <v>1441113000</v>
      </c>
      <c r="I125" s="839"/>
      <c r="J125" s="839"/>
    </row>
    <row r="126" spans="2:10" s="865" customFormat="1" hidden="1">
      <c r="B126" s="1168">
        <v>1442100000</v>
      </c>
      <c r="C126" s="1168" t="s">
        <v>2940</v>
      </c>
      <c r="D126" s="1178">
        <f>+IFERROR(VLOOKUP(B126,'Balance Local'!$B$8:$D$564,3,0),0)</f>
        <v>837013130</v>
      </c>
      <c r="E126" s="1168">
        <v>5153300</v>
      </c>
      <c r="F126" s="1168" t="s">
        <v>3418</v>
      </c>
      <c r="G126" s="1178">
        <f t="shared" si="1"/>
        <v>837013130</v>
      </c>
      <c r="H126" s="865">
        <f>+VLOOKUP(B126,'Balance Local'!$B$8:$B$560,1,0)</f>
        <v>1442100000</v>
      </c>
      <c r="I126" s="839"/>
      <c r="J126" s="839"/>
    </row>
    <row r="127" spans="2:10" s="865" customFormat="1" hidden="1">
      <c r="B127" s="1168">
        <v>1442100003</v>
      </c>
      <c r="C127" s="1168" t="s">
        <v>2941</v>
      </c>
      <c r="D127" s="1178">
        <f>+IFERROR(VLOOKUP(B127,'Balance Local'!$B$8:$D$564,3,0),0)</f>
        <v>-17228725</v>
      </c>
      <c r="E127" s="1168">
        <v>5153300</v>
      </c>
      <c r="F127" s="1168" t="s">
        <v>3418</v>
      </c>
      <c r="G127" s="1178">
        <f t="shared" si="1"/>
        <v>-17228725</v>
      </c>
      <c r="H127" s="865">
        <f>+VLOOKUP(B127,'Balance Local'!$B$8:$B$560,1,0)</f>
        <v>1442100003</v>
      </c>
      <c r="I127" s="839"/>
      <c r="J127" s="839"/>
    </row>
    <row r="128" spans="2:10" s="865" customFormat="1" hidden="1">
      <c r="B128" s="1168">
        <v>1442300000</v>
      </c>
      <c r="C128" s="1168" t="s">
        <v>2942</v>
      </c>
      <c r="D128" s="1178">
        <f>+IFERROR(VLOOKUP(B128,'Balance Local'!$B$8:$D$564,3,0),0)</f>
        <v>637826543</v>
      </c>
      <c r="E128" s="1168">
        <v>5153500</v>
      </c>
      <c r="F128" s="1168" t="s">
        <v>3415</v>
      </c>
      <c r="G128" s="1178">
        <f t="shared" si="1"/>
        <v>637826543</v>
      </c>
      <c r="H128" s="865">
        <f>+VLOOKUP(B128,'Balance Local'!$B$8:$B$560,1,0)</f>
        <v>1442300000</v>
      </c>
      <c r="I128" s="839"/>
      <c r="J128" s="839"/>
    </row>
    <row r="129" spans="1:10" s="865" customFormat="1" hidden="1">
      <c r="B129" s="1168">
        <v>1442370000</v>
      </c>
      <c r="C129" s="1168" t="s">
        <v>2943</v>
      </c>
      <c r="D129" s="1178">
        <f>+IFERROR(VLOOKUP(B129,'Balance Local'!$B$8:$D$564,3,0),0)</f>
        <v>632644</v>
      </c>
      <c r="E129" s="1168">
        <v>5153100</v>
      </c>
      <c r="F129" s="1168" t="s">
        <v>3389</v>
      </c>
      <c r="G129" s="1178">
        <f t="shared" si="1"/>
        <v>632644</v>
      </c>
      <c r="H129" s="865">
        <f>+VLOOKUP(B129,'Balance Local'!$B$8:$B$560,1,0)</f>
        <v>1442370000</v>
      </c>
      <c r="I129" s="839"/>
      <c r="J129" s="839"/>
    </row>
    <row r="130" spans="1:10" s="865" customFormat="1" hidden="1">
      <c r="A130" s="866"/>
      <c r="B130" s="1168">
        <v>1442500000</v>
      </c>
      <c r="C130" s="902" t="s">
        <v>3419</v>
      </c>
      <c r="D130" s="1178">
        <f>+IFERROR(VLOOKUP(B130,'Balance Local'!$B$8:$D$564,3,0),0)</f>
        <v>0</v>
      </c>
      <c r="E130" s="1168">
        <v>5153500</v>
      </c>
      <c r="F130" s="1168" t="s">
        <v>3415</v>
      </c>
      <c r="G130" s="1178">
        <f t="shared" si="1"/>
        <v>0</v>
      </c>
      <c r="H130" s="865" t="e">
        <f>+VLOOKUP(B130,'Balance Local'!$B$8:$B$560,1,0)</f>
        <v>#N/A</v>
      </c>
      <c r="I130" s="839"/>
      <c r="J130" s="839"/>
    </row>
    <row r="131" spans="1:10" s="865" customFormat="1" hidden="1">
      <c r="B131" s="1168">
        <v>1442801000</v>
      </c>
      <c r="C131" s="1168" t="s">
        <v>2944</v>
      </c>
      <c r="D131" s="1178">
        <f>+IFERROR(VLOOKUP(B131,'Balance Local'!$B$8:$D$564,3,0),0)</f>
        <v>120810206</v>
      </c>
      <c r="E131" s="1168">
        <v>5153300</v>
      </c>
      <c r="F131" s="1168" t="s">
        <v>3418</v>
      </c>
      <c r="G131" s="1178">
        <f t="shared" si="1"/>
        <v>120810206</v>
      </c>
      <c r="H131" s="865">
        <f>+VLOOKUP(B131,'Balance Local'!$B$8:$B$560,1,0)</f>
        <v>1442801000</v>
      </c>
      <c r="I131" s="839"/>
      <c r="J131" s="839"/>
    </row>
    <row r="132" spans="1:10" s="865" customFormat="1" hidden="1">
      <c r="B132" s="1168">
        <v>1442999900</v>
      </c>
      <c r="C132" s="1168" t="s">
        <v>2945</v>
      </c>
      <c r="D132" s="1178">
        <f>+IFERROR(VLOOKUP(B132,'Balance Local'!$B$8:$D$564,3,0),0)</f>
        <v>70088</v>
      </c>
      <c r="E132" s="1168">
        <v>5153500</v>
      </c>
      <c r="F132" s="1168" t="s">
        <v>3415</v>
      </c>
      <c r="G132" s="1178">
        <f t="shared" si="1"/>
        <v>70088</v>
      </c>
      <c r="H132" s="865">
        <f>+VLOOKUP(B132,'Balance Local'!$B$8:$B$560,1,0)</f>
        <v>1442999900</v>
      </c>
      <c r="I132" s="839"/>
      <c r="J132" s="839"/>
    </row>
    <row r="133" spans="1:10" s="865" customFormat="1" hidden="1">
      <c r="B133" s="1168">
        <v>1443020000</v>
      </c>
      <c r="C133" s="1168" t="s">
        <v>2946</v>
      </c>
      <c r="D133" s="1178">
        <f>+IFERROR(VLOOKUP(B133,'Balance Local'!$B$8:$D$564,3,0),0)</f>
        <v>34200000</v>
      </c>
      <c r="E133" s="1168">
        <v>5153100</v>
      </c>
      <c r="F133" s="1168" t="s">
        <v>3389</v>
      </c>
      <c r="G133" s="1178">
        <f t="shared" si="1"/>
        <v>34200000</v>
      </c>
      <c r="H133" s="865">
        <f>+VLOOKUP(B133,'Balance Local'!$B$8:$B$560,1,0)</f>
        <v>1443020000</v>
      </c>
      <c r="I133" s="839"/>
      <c r="J133" s="839"/>
    </row>
    <row r="134" spans="1:10" s="865" customFormat="1" hidden="1">
      <c r="B134" s="1168">
        <v>1449500003</v>
      </c>
      <c r="C134" s="1168" t="s">
        <v>2947</v>
      </c>
      <c r="D134" s="1178">
        <f>+IFERROR(VLOOKUP(B134,'Balance Local'!$B$8:$D$564,3,0),0)</f>
        <v>405213296</v>
      </c>
      <c r="E134" s="1168">
        <v>5113000</v>
      </c>
      <c r="F134" s="1168" t="s">
        <v>3394</v>
      </c>
      <c r="G134" s="1178">
        <f t="shared" si="1"/>
        <v>405213296</v>
      </c>
      <c r="H134" s="865">
        <f>+VLOOKUP(B134,'Balance Local'!$B$8:$B$560,1,0)</f>
        <v>1449500003</v>
      </c>
      <c r="I134" s="839"/>
      <c r="J134" s="839"/>
    </row>
    <row r="135" spans="1:10" s="865" customFormat="1" hidden="1">
      <c r="B135" s="1168">
        <v>1450004022</v>
      </c>
      <c r="C135" s="1168" t="s">
        <v>2948</v>
      </c>
      <c r="D135" s="1178">
        <f>+IFERROR(VLOOKUP(B135,'Balance Local'!$B$8:$D$564,3,0),0)</f>
        <v>588714373</v>
      </c>
      <c r="E135" s="1168">
        <v>5153500</v>
      </c>
      <c r="F135" s="1168" t="s">
        <v>3415</v>
      </c>
      <c r="G135" s="1178">
        <f t="shared" si="1"/>
        <v>588714373</v>
      </c>
      <c r="H135" s="865">
        <f>+VLOOKUP(B135,'Balance Local'!$B$8:$B$560,1,0)</f>
        <v>1450004022</v>
      </c>
      <c r="I135" s="839"/>
      <c r="J135" s="839"/>
    </row>
    <row r="136" spans="1:10" s="865" customFormat="1" hidden="1">
      <c r="B136" s="1168">
        <v>1455200024</v>
      </c>
      <c r="C136" s="1168" t="s">
        <v>2949</v>
      </c>
      <c r="D136" s="1178">
        <f>+IFERROR(VLOOKUP(B136,'Balance Local'!$B$8:$D$564,3,0),0)</f>
        <v>897964522</v>
      </c>
      <c r="E136" s="1168">
        <v>5141100</v>
      </c>
      <c r="F136" s="1168" t="s">
        <v>3409</v>
      </c>
      <c r="G136" s="1178">
        <f t="shared" si="1"/>
        <v>897964522</v>
      </c>
      <c r="H136" s="865">
        <f>+VLOOKUP(B136,'Balance Local'!$B$8:$B$560,1,0)</f>
        <v>1455200024</v>
      </c>
      <c r="I136" s="839"/>
      <c r="J136" s="839"/>
    </row>
    <row r="137" spans="1:10" s="865" customFormat="1" hidden="1">
      <c r="B137" s="1168">
        <v>1455200071</v>
      </c>
      <c r="C137" s="1168" t="s">
        <v>2950</v>
      </c>
      <c r="D137" s="1178">
        <f>+IFERROR(VLOOKUP(B137,'Balance Local'!$B$8:$D$564,3,0),0)</f>
        <v>4923019052</v>
      </c>
      <c r="E137" s="1168">
        <v>5141100</v>
      </c>
      <c r="F137" s="1168" t="s">
        <v>3409</v>
      </c>
      <c r="G137" s="1178">
        <f t="shared" si="1"/>
        <v>4923019052</v>
      </c>
      <c r="H137" s="865">
        <f>+VLOOKUP(B137,'Balance Local'!$B$8:$B$560,1,0)</f>
        <v>1455200071</v>
      </c>
      <c r="I137" s="839"/>
      <c r="J137" s="839"/>
    </row>
    <row r="138" spans="1:10" s="865" customFormat="1" hidden="1">
      <c r="B138" s="1168">
        <v>1456100008</v>
      </c>
      <c r="C138" s="1168" t="s">
        <v>3420</v>
      </c>
      <c r="D138" s="1178">
        <f>+IFERROR(VLOOKUP(B138,'Balance Local'!$B$8:$D$564,3,0),0)</f>
        <v>0</v>
      </c>
      <c r="E138" s="1168">
        <v>5153500</v>
      </c>
      <c r="F138" s="1168" t="s">
        <v>3415</v>
      </c>
      <c r="G138" s="1178">
        <f t="shared" ref="G138:G201" si="2">+D138</f>
        <v>0</v>
      </c>
      <c r="H138" s="865" t="e">
        <f>+VLOOKUP(B138,'Balance Local'!$B$8:$B$560,1,0)</f>
        <v>#N/A</v>
      </c>
      <c r="I138" s="839"/>
      <c r="J138" s="839"/>
    </row>
    <row r="139" spans="1:10" s="865" customFormat="1" hidden="1">
      <c r="B139" s="1168">
        <v>1456100026</v>
      </c>
      <c r="C139" s="1168" t="s">
        <v>2951</v>
      </c>
      <c r="D139" s="1178">
        <f>+IFERROR(VLOOKUP(B139,'Balance Local'!$B$8:$D$564,3,0),0)</f>
        <v>3610169</v>
      </c>
      <c r="E139" s="1168">
        <v>5153500</v>
      </c>
      <c r="F139" s="1168" t="s">
        <v>3415</v>
      </c>
      <c r="G139" s="1178">
        <f t="shared" si="2"/>
        <v>3610169</v>
      </c>
      <c r="H139" s="865">
        <f>+VLOOKUP(B139,'Balance Local'!$B$8:$B$560,1,0)</f>
        <v>1456100026</v>
      </c>
      <c r="I139" s="839"/>
      <c r="J139" s="839"/>
    </row>
    <row r="140" spans="1:10" s="865" customFormat="1" hidden="1">
      <c r="B140" s="1168">
        <v>1456200020</v>
      </c>
      <c r="C140" s="1168" t="s">
        <v>2952</v>
      </c>
      <c r="D140" s="1178">
        <f>+IFERROR(VLOOKUP(B140,'Balance Local'!$B$8:$D$564,3,0),0)</f>
        <v>-724305450</v>
      </c>
      <c r="E140" s="1168">
        <v>5141100</v>
      </c>
      <c r="F140" s="1168" t="s">
        <v>3409</v>
      </c>
      <c r="G140" s="1178">
        <f t="shared" si="2"/>
        <v>-724305450</v>
      </c>
      <c r="H140" s="865">
        <f>+VLOOKUP(B140,'Balance Local'!$B$8:$B$560,1,0)</f>
        <v>1456200020</v>
      </c>
      <c r="I140" s="839"/>
      <c r="J140" s="839"/>
    </row>
    <row r="141" spans="1:10" s="865" customFormat="1" hidden="1">
      <c r="B141" s="1168">
        <v>1456300026</v>
      </c>
      <c r="C141" s="1168" t="s">
        <v>2953</v>
      </c>
      <c r="D141" s="1178">
        <f>+IFERROR(VLOOKUP(B141,'Balance Local'!$B$8:$D$564,3,0),0)</f>
        <v>26840</v>
      </c>
      <c r="E141" s="1168">
        <v>5153100</v>
      </c>
      <c r="F141" s="1168" t="s">
        <v>3389</v>
      </c>
      <c r="G141" s="1178">
        <f t="shared" si="2"/>
        <v>26840</v>
      </c>
      <c r="H141" s="865">
        <f>+VLOOKUP(B141,'Balance Local'!$B$8:$B$560,1,0)</f>
        <v>1456300026</v>
      </c>
      <c r="I141" s="839"/>
      <c r="J141" s="839"/>
    </row>
    <row r="142" spans="1:10" s="865" customFormat="1" hidden="1">
      <c r="B142" s="1168">
        <v>1456810001</v>
      </c>
      <c r="C142" s="1168" t="s">
        <v>2954</v>
      </c>
      <c r="D142" s="1178">
        <f>+IFERROR(VLOOKUP(B142,'Balance Local'!$B$8:$D$564,3,0),0)</f>
        <v>10416332511</v>
      </c>
      <c r="E142" s="1168">
        <v>5114200</v>
      </c>
      <c r="F142" s="1168" t="s">
        <v>3398</v>
      </c>
      <c r="G142" s="1178">
        <f t="shared" si="2"/>
        <v>10416332511</v>
      </c>
      <c r="H142" s="865">
        <f>+VLOOKUP(B142,'Balance Local'!$B$8:$B$560,1,0)</f>
        <v>1456810001</v>
      </c>
      <c r="I142" s="839"/>
      <c r="J142" s="839"/>
    </row>
    <row r="143" spans="1:10" s="865" customFormat="1" hidden="1">
      <c r="B143" s="1168">
        <v>1481210000</v>
      </c>
      <c r="C143" s="1168" t="s">
        <v>2955</v>
      </c>
      <c r="D143" s="1178">
        <f>+IFERROR(VLOOKUP(B143,'Balance Local'!$B$8:$D$564,3,0),0)</f>
        <v>-230482086</v>
      </c>
      <c r="E143" s="1168">
        <v>5153500</v>
      </c>
      <c r="F143" s="1168" t="s">
        <v>3415</v>
      </c>
      <c r="G143" s="1178">
        <f t="shared" si="2"/>
        <v>-230482086</v>
      </c>
      <c r="H143" s="865">
        <f>+VLOOKUP(B143,'Balance Local'!$B$8:$B$560,1,0)</f>
        <v>1481210000</v>
      </c>
      <c r="I143" s="839"/>
      <c r="J143" s="839"/>
    </row>
    <row r="144" spans="1:10" s="865" customFormat="1" hidden="1">
      <c r="B144" s="1168">
        <v>1481220000</v>
      </c>
      <c r="C144" s="1168" t="s">
        <v>2956</v>
      </c>
      <c r="D144" s="1178">
        <f>+IFERROR(VLOOKUP(B144,'Balance Local'!$B$8:$D$564,3,0),0)</f>
        <v>-464407153</v>
      </c>
      <c r="E144" s="1168">
        <v>5114200</v>
      </c>
      <c r="F144" s="1168" t="s">
        <v>3398</v>
      </c>
      <c r="G144" s="1178">
        <f t="shared" si="2"/>
        <v>-464407153</v>
      </c>
      <c r="H144" s="865">
        <f>+VLOOKUP(B144,'Balance Local'!$B$8:$B$560,1,0)</f>
        <v>1481220000</v>
      </c>
      <c r="I144" s="839"/>
      <c r="J144" s="839"/>
    </row>
    <row r="145" spans="1:10" s="865" customFormat="1" hidden="1">
      <c r="B145" s="1168">
        <v>1490210000</v>
      </c>
      <c r="C145" s="1168" t="s">
        <v>2957</v>
      </c>
      <c r="D145" s="1178">
        <f>+IFERROR(VLOOKUP(B145,'Balance Local'!$B$8:$D$564,3,0),0)</f>
        <v>-22699615</v>
      </c>
      <c r="E145" s="1168">
        <v>5152100</v>
      </c>
      <c r="F145" s="1168" t="s">
        <v>3421</v>
      </c>
      <c r="G145" s="1178">
        <f t="shared" si="2"/>
        <v>-22699615</v>
      </c>
      <c r="H145" s="865">
        <f>+VLOOKUP(B145,'Balance Local'!$B$8:$B$560,1,0)</f>
        <v>1490210000</v>
      </c>
      <c r="I145" s="839"/>
      <c r="J145" s="839"/>
    </row>
    <row r="146" spans="1:10" s="865" customFormat="1" hidden="1">
      <c r="B146" s="1168">
        <v>1490210001</v>
      </c>
      <c r="C146" s="1168" t="s">
        <v>2958</v>
      </c>
      <c r="D146" s="1178">
        <f>+IFERROR(VLOOKUP(B146,'Balance Local'!$B$8:$D$564,3,0),0)</f>
        <v>32341063</v>
      </c>
      <c r="E146" s="1168">
        <v>5152100</v>
      </c>
      <c r="F146" s="1168" t="s">
        <v>3421</v>
      </c>
      <c r="G146" s="1178">
        <f t="shared" si="2"/>
        <v>32341063</v>
      </c>
      <c r="H146" s="865">
        <f>+VLOOKUP(B146,'Balance Local'!$B$8:$B$560,1,0)</f>
        <v>1490210001</v>
      </c>
      <c r="I146" s="839"/>
      <c r="J146" s="839"/>
    </row>
    <row r="147" spans="1:10" s="865" customFormat="1" hidden="1">
      <c r="A147" s="866"/>
      <c r="B147" s="1168">
        <v>1490210004</v>
      </c>
      <c r="C147" s="902" t="s">
        <v>2959</v>
      </c>
      <c r="D147" s="1178">
        <f>+IFERROR(VLOOKUP(B147,'Balance Local'!$B$8:$D$564,3,0),0)</f>
        <v>-194163627</v>
      </c>
      <c r="E147" s="1168">
        <v>5152100</v>
      </c>
      <c r="F147" s="1168" t="s">
        <v>3421</v>
      </c>
      <c r="G147" s="1178">
        <f t="shared" si="2"/>
        <v>-194163627</v>
      </c>
      <c r="H147" s="865">
        <f>+VLOOKUP(B147,'Balance Local'!$B$8:$B$560,1,0)</f>
        <v>1490210004</v>
      </c>
      <c r="I147" s="839"/>
      <c r="J147" s="839"/>
    </row>
    <row r="148" spans="1:10" s="865" customFormat="1" hidden="1">
      <c r="B148" s="1168">
        <v>1490920000</v>
      </c>
      <c r="C148" s="1168" t="s">
        <v>2960</v>
      </c>
      <c r="D148" s="1178">
        <f>+IFERROR(VLOOKUP(B148,'Balance Local'!$B$8:$D$564,3,0),0)</f>
        <v>4520699212</v>
      </c>
      <c r="E148" s="1168">
        <v>5152100</v>
      </c>
      <c r="F148" s="1168" t="s">
        <v>3421</v>
      </c>
      <c r="G148" s="1178">
        <f t="shared" si="2"/>
        <v>4520699212</v>
      </c>
      <c r="H148" s="865">
        <f>+VLOOKUP(B148,'Balance Local'!$B$8:$B$560,1,0)</f>
        <v>1490920000</v>
      </c>
      <c r="I148" s="839"/>
      <c r="J148" s="839"/>
    </row>
    <row r="149" spans="1:10" s="865" customFormat="1" hidden="1">
      <c r="B149" s="1168">
        <v>1491110000</v>
      </c>
      <c r="C149" s="1168" t="s">
        <v>2961</v>
      </c>
      <c r="D149" s="1178">
        <f>+IFERROR(VLOOKUP(B149,'Balance Local'!$B$8:$D$564,3,0),0)</f>
        <v>1557525063</v>
      </c>
      <c r="E149" s="1168">
        <v>5152100</v>
      </c>
      <c r="F149" s="1168" t="s">
        <v>3421</v>
      </c>
      <c r="G149" s="1178">
        <f t="shared" si="2"/>
        <v>1557525063</v>
      </c>
      <c r="H149" s="865">
        <f>+VLOOKUP(B149,'Balance Local'!$B$8:$B$560,1,0)</f>
        <v>1491110000</v>
      </c>
      <c r="I149" s="839"/>
      <c r="J149" s="839"/>
    </row>
    <row r="150" spans="1:10" s="865" customFormat="1" hidden="1">
      <c r="B150" s="1168">
        <v>1491110013</v>
      </c>
      <c r="C150" s="1168" t="s">
        <v>2962</v>
      </c>
      <c r="D150" s="1178">
        <f>+IFERROR(VLOOKUP(B150,'Balance Local'!$B$8:$D$564,3,0),0)</f>
        <v>204867552</v>
      </c>
      <c r="E150" s="1168">
        <v>5152100</v>
      </c>
      <c r="F150" s="1168" t="s">
        <v>3421</v>
      </c>
      <c r="G150" s="1178">
        <f t="shared" si="2"/>
        <v>204867552</v>
      </c>
      <c r="H150" s="865">
        <f>+VLOOKUP(B150,'Balance Local'!$B$8:$B$560,1,0)</f>
        <v>1491110013</v>
      </c>
      <c r="I150" s="839"/>
      <c r="J150" s="839"/>
    </row>
    <row r="151" spans="1:10" s="865" customFormat="1" hidden="1">
      <c r="B151" s="1168">
        <v>1491110014</v>
      </c>
      <c r="C151" s="1168" t="s">
        <v>2963</v>
      </c>
      <c r="D151" s="1178">
        <f>+IFERROR(VLOOKUP(B151,'Balance Local'!$B$8:$D$564,3,0),0)</f>
        <v>6041283</v>
      </c>
      <c r="E151" s="1168">
        <v>5152100</v>
      </c>
      <c r="F151" s="1168" t="s">
        <v>3421</v>
      </c>
      <c r="G151" s="1178">
        <f t="shared" si="2"/>
        <v>6041283</v>
      </c>
      <c r="H151" s="865">
        <f>+VLOOKUP(B151,'Balance Local'!$B$8:$B$560,1,0)</f>
        <v>1491110014</v>
      </c>
      <c r="I151" s="839"/>
      <c r="J151" s="839"/>
    </row>
    <row r="152" spans="1:10" s="865" customFormat="1" hidden="1">
      <c r="B152" s="1168">
        <v>1491110015</v>
      </c>
      <c r="C152" s="1168" t="s">
        <v>2964</v>
      </c>
      <c r="D152" s="1178">
        <f>+IFERROR(VLOOKUP(B152,'Balance Local'!$B$8:$D$564,3,0),0)</f>
        <v>175607097</v>
      </c>
      <c r="E152" s="1168">
        <v>5153500</v>
      </c>
      <c r="F152" s="1168" t="s">
        <v>3415</v>
      </c>
      <c r="G152" s="1178">
        <f t="shared" si="2"/>
        <v>175607097</v>
      </c>
      <c r="H152" s="865">
        <f>+VLOOKUP(B152,'Balance Local'!$B$8:$B$560,1,0)</f>
        <v>1491110015</v>
      </c>
      <c r="I152" s="839"/>
      <c r="J152" s="839"/>
    </row>
    <row r="153" spans="1:10" s="865" customFormat="1" hidden="1">
      <c r="B153" s="1168">
        <v>1491110100</v>
      </c>
      <c r="C153" s="1168" t="s">
        <v>2965</v>
      </c>
      <c r="D153" s="1178">
        <f>+IFERROR(VLOOKUP(B153,'Balance Local'!$B$8:$D$564,3,0),0)</f>
        <v>322386946</v>
      </c>
      <c r="E153" s="1168">
        <v>5152100</v>
      </c>
      <c r="F153" s="1168" t="s">
        <v>3421</v>
      </c>
      <c r="G153" s="1178">
        <f t="shared" si="2"/>
        <v>322386946</v>
      </c>
      <c r="H153" s="865">
        <f>+VLOOKUP(B153,'Balance Local'!$B$8:$B$560,1,0)</f>
        <v>1491110100</v>
      </c>
      <c r="I153" s="839"/>
      <c r="J153" s="839"/>
    </row>
    <row r="154" spans="1:10" s="865" customFormat="1" hidden="1">
      <c r="B154" s="1168">
        <v>1541110000</v>
      </c>
      <c r="C154" s="1168" t="s">
        <v>2821</v>
      </c>
      <c r="D154" s="1178">
        <f>+IFERROR(VLOOKUP(B154,'Balance Local'!$B$8:$D$564,3,0),0)</f>
        <v>565018613</v>
      </c>
      <c r="E154" s="1168">
        <v>5153500</v>
      </c>
      <c r="F154" s="1168" t="s">
        <v>3415</v>
      </c>
      <c r="G154" s="1178">
        <f t="shared" si="2"/>
        <v>565018613</v>
      </c>
      <c r="H154" s="865">
        <f>+VLOOKUP(B154,'Balance Local'!$B$8:$B$560,1,0)</f>
        <v>1541110000</v>
      </c>
      <c r="I154" s="839"/>
      <c r="J154" s="839"/>
    </row>
    <row r="155" spans="1:10" s="865" customFormat="1" hidden="1">
      <c r="B155" s="1168">
        <v>1541180000</v>
      </c>
      <c r="C155" s="1168" t="s">
        <v>2966</v>
      </c>
      <c r="D155" s="1178">
        <f>+IFERROR(VLOOKUP(B155,'Balance Local'!$B$8:$D$564,3,0),0)</f>
        <v>-349126788</v>
      </c>
      <c r="E155" s="1168">
        <v>5153500</v>
      </c>
      <c r="F155" s="1168" t="s">
        <v>3415</v>
      </c>
      <c r="G155" s="1178">
        <f t="shared" si="2"/>
        <v>-349126788</v>
      </c>
      <c r="H155" s="865">
        <f>+VLOOKUP(B155,'Balance Local'!$B$8:$B$560,1,0)</f>
        <v>1541180000</v>
      </c>
      <c r="I155" s="839"/>
      <c r="J155" s="839"/>
    </row>
    <row r="156" spans="1:10" s="865" customFormat="1" hidden="1">
      <c r="B156" s="1168">
        <v>1551110000</v>
      </c>
      <c r="C156" s="1168" t="s">
        <v>2967</v>
      </c>
      <c r="D156" s="1178">
        <f>+IFERROR(VLOOKUP(B156,'Balance Local'!$B$8:$D$564,3,0),0)</f>
        <v>4074946970</v>
      </c>
      <c r="E156" s="1168">
        <v>5123200</v>
      </c>
      <c r="F156" s="1168" t="s">
        <v>3422</v>
      </c>
      <c r="G156" s="1178">
        <f t="shared" si="2"/>
        <v>4074946970</v>
      </c>
      <c r="H156" s="865">
        <f>+VLOOKUP(B156,'Balance Local'!$B$8:$B$560,1,0)</f>
        <v>1551110000</v>
      </c>
      <c r="I156" s="839"/>
      <c r="J156" s="839"/>
    </row>
    <row r="157" spans="1:10" s="865" customFormat="1" hidden="1">
      <c r="B157" s="1168">
        <v>1551110002</v>
      </c>
      <c r="C157" s="1168" t="s">
        <v>3423</v>
      </c>
      <c r="D157" s="1178">
        <f>+IFERROR(VLOOKUP(B157,'Balance Local'!$B$8:$D$564,3,0),0)</f>
        <v>0</v>
      </c>
      <c r="E157" s="1168">
        <v>5123200</v>
      </c>
      <c r="F157" s="1168" t="s">
        <v>3422</v>
      </c>
      <c r="G157" s="1178">
        <f t="shared" si="2"/>
        <v>0</v>
      </c>
      <c r="H157" s="865" t="e">
        <f>+VLOOKUP(B157,'Balance Local'!$B$8:$B$560,1,0)</f>
        <v>#N/A</v>
      </c>
      <c r="I157" s="839"/>
      <c r="J157" s="839"/>
    </row>
    <row r="158" spans="1:10" s="865" customFormat="1" hidden="1">
      <c r="B158" s="1168">
        <v>1551180000</v>
      </c>
      <c r="C158" s="1168" t="s">
        <v>2968</v>
      </c>
      <c r="D158" s="1178">
        <f>+IFERROR(VLOOKUP(B158,'Balance Local'!$B$8:$D$564,3,0),0)</f>
        <v>-2633423524</v>
      </c>
      <c r="E158" s="1168">
        <v>5123200</v>
      </c>
      <c r="F158" s="1168" t="s">
        <v>3422</v>
      </c>
      <c r="G158" s="1178">
        <f t="shared" si="2"/>
        <v>-2633423524</v>
      </c>
      <c r="H158" s="865">
        <f>+VLOOKUP(B158,'Balance Local'!$B$8:$B$560,1,0)</f>
        <v>1551180000</v>
      </c>
      <c r="I158" s="839"/>
      <c r="J158" s="839"/>
    </row>
    <row r="159" spans="1:10" s="865" customFormat="1" hidden="1">
      <c r="B159" s="1168">
        <v>1551180001</v>
      </c>
      <c r="C159" s="1168" t="s">
        <v>2969</v>
      </c>
      <c r="D159" s="1178">
        <f>+IFERROR(VLOOKUP(B159,'Balance Local'!$B$8:$D$564,3,0),0)</f>
        <v>-182026222</v>
      </c>
      <c r="E159" s="1168">
        <v>5123200</v>
      </c>
      <c r="F159" s="1168" t="s">
        <v>3422</v>
      </c>
      <c r="G159" s="1178">
        <f t="shared" si="2"/>
        <v>-182026222</v>
      </c>
      <c r="H159" s="865">
        <f>+VLOOKUP(B159,'Balance Local'!$B$8:$B$560,1,0)</f>
        <v>1551180001</v>
      </c>
      <c r="I159" s="839"/>
      <c r="J159" s="839"/>
    </row>
    <row r="160" spans="1:10" s="865" customFormat="1" hidden="1">
      <c r="B160" s="1168">
        <v>1552110000</v>
      </c>
      <c r="C160" s="1168" t="s">
        <v>2970</v>
      </c>
      <c r="D160" s="1178">
        <f>+IFERROR(VLOOKUP(B160,'Balance Local'!$B$8:$D$564,3,0),0)</f>
        <v>20936728</v>
      </c>
      <c r="E160" s="1168">
        <v>5123200</v>
      </c>
      <c r="F160" s="1168" t="s">
        <v>3422</v>
      </c>
      <c r="G160" s="1178">
        <f t="shared" si="2"/>
        <v>20936728</v>
      </c>
      <c r="H160" s="865">
        <f>+VLOOKUP(B160,'Balance Local'!$B$8:$B$560,1,0)</f>
        <v>1552110000</v>
      </c>
      <c r="I160" s="839"/>
      <c r="J160" s="839"/>
    </row>
    <row r="161" spans="2:10" s="865" customFormat="1" hidden="1">
      <c r="B161" s="1168">
        <v>1552180000</v>
      </c>
      <c r="C161" s="1168" t="s">
        <v>2971</v>
      </c>
      <c r="D161" s="1178">
        <f>+IFERROR(VLOOKUP(B161,'Balance Local'!$B$8:$D$564,3,0),0)</f>
        <v>-14832362</v>
      </c>
      <c r="E161" s="1168">
        <v>5123200</v>
      </c>
      <c r="F161" s="1168" t="s">
        <v>3422</v>
      </c>
      <c r="G161" s="1178">
        <f t="shared" si="2"/>
        <v>-14832362</v>
      </c>
      <c r="H161" s="865">
        <f>+VLOOKUP(B161,'Balance Local'!$B$8:$B$560,1,0)</f>
        <v>1552180000</v>
      </c>
      <c r="I161" s="839"/>
      <c r="J161" s="839"/>
    </row>
    <row r="162" spans="2:10" s="865" customFormat="1" hidden="1">
      <c r="B162" s="1168">
        <v>1552180010</v>
      </c>
      <c r="C162" s="1168" t="s">
        <v>2971</v>
      </c>
      <c r="D162" s="1178">
        <f>+IFERROR(VLOOKUP(B162,'Balance Local'!$B$8:$D$564,3,0),0)</f>
        <v>0</v>
      </c>
      <c r="E162" s="1168">
        <v>5123200</v>
      </c>
      <c r="F162" s="1168" t="s">
        <v>3422</v>
      </c>
      <c r="G162" s="1178">
        <f t="shared" si="2"/>
        <v>0</v>
      </c>
      <c r="H162" s="865" t="e">
        <f>+VLOOKUP(B162,'Balance Local'!$B$8:$B$560,1,0)</f>
        <v>#N/A</v>
      </c>
      <c r="I162" s="839"/>
      <c r="J162" s="839"/>
    </row>
    <row r="163" spans="2:10" s="865" customFormat="1" hidden="1">
      <c r="B163" s="1168">
        <v>1553110000</v>
      </c>
      <c r="C163" s="1168" t="s">
        <v>2972</v>
      </c>
      <c r="D163" s="1178">
        <f>+IFERROR(VLOOKUP(B163,'Balance Local'!$B$8:$D$564,3,0),0)</f>
        <v>909595578</v>
      </c>
      <c r="E163" s="1168">
        <v>5123200</v>
      </c>
      <c r="F163" s="1168" t="s">
        <v>3422</v>
      </c>
      <c r="G163" s="1178">
        <f t="shared" si="2"/>
        <v>909595578</v>
      </c>
      <c r="H163" s="865">
        <f>+VLOOKUP(B163,'Balance Local'!$B$8:$B$560,1,0)</f>
        <v>1553110000</v>
      </c>
      <c r="I163" s="839"/>
      <c r="J163" s="839"/>
    </row>
    <row r="164" spans="2:10" s="865" customFormat="1" hidden="1">
      <c r="B164" s="1168">
        <v>1553180000</v>
      </c>
      <c r="C164" s="1168" t="s">
        <v>2973</v>
      </c>
      <c r="D164" s="1178">
        <f>+IFERROR(VLOOKUP(B164,'Balance Local'!$B$8:$D$564,3,0),0)</f>
        <v>-836942194</v>
      </c>
      <c r="E164" s="1168">
        <v>5123200</v>
      </c>
      <c r="F164" s="1168" t="s">
        <v>3422</v>
      </c>
      <c r="G164" s="1178">
        <f t="shared" si="2"/>
        <v>-836942194</v>
      </c>
      <c r="H164" s="865">
        <f>+VLOOKUP(B164,'Balance Local'!$B$8:$B$560,1,0)</f>
        <v>1553180000</v>
      </c>
      <c r="I164" s="839"/>
      <c r="J164" s="839"/>
    </row>
    <row r="165" spans="2:10" s="865" customFormat="1" hidden="1">
      <c r="B165" s="1168">
        <v>1554110000</v>
      </c>
      <c r="C165" s="1168" t="s">
        <v>2974</v>
      </c>
      <c r="D165" s="1178">
        <f>+IFERROR(VLOOKUP(B165,'Balance Local'!$B$8:$D$564,3,0),0)</f>
        <v>4051163792</v>
      </c>
      <c r="E165" s="1168">
        <v>5123200</v>
      </c>
      <c r="F165" s="1168" t="s">
        <v>3422</v>
      </c>
      <c r="G165" s="1178">
        <f t="shared" si="2"/>
        <v>4051163792</v>
      </c>
      <c r="H165" s="865">
        <f>+VLOOKUP(B165,'Balance Local'!$B$8:$B$560,1,0)</f>
        <v>1554110000</v>
      </c>
      <c r="I165" s="839"/>
      <c r="J165" s="839"/>
    </row>
    <row r="166" spans="2:10" s="865" customFormat="1" hidden="1">
      <c r="B166" s="1168">
        <v>1554110001</v>
      </c>
      <c r="C166" s="1168" t="s">
        <v>3424</v>
      </c>
      <c r="D166" s="1178">
        <f>+IFERROR(VLOOKUP(B166,'Balance Local'!$B$8:$D$564,3,0),0)</f>
        <v>0</v>
      </c>
      <c r="E166" s="1168">
        <v>5123200</v>
      </c>
      <c r="F166" s="1168" t="s">
        <v>3422</v>
      </c>
      <c r="G166" s="1178">
        <f t="shared" si="2"/>
        <v>0</v>
      </c>
      <c r="H166" s="865" t="e">
        <f>+VLOOKUP(B166,'Balance Local'!$B$8:$B$560,1,0)</f>
        <v>#N/A</v>
      </c>
      <c r="I166" s="839"/>
      <c r="J166" s="839"/>
    </row>
    <row r="167" spans="2:10" s="865" customFormat="1" hidden="1">
      <c r="B167" s="1168">
        <v>1554180000</v>
      </c>
      <c r="C167" s="1168" t="s">
        <v>2975</v>
      </c>
      <c r="D167" s="1178">
        <f>+IFERROR(VLOOKUP(B167,'Balance Local'!$B$8:$D$564,3,0),0)</f>
        <v>-3864308754</v>
      </c>
      <c r="E167" s="1168">
        <v>5123200</v>
      </c>
      <c r="F167" s="1168" t="s">
        <v>3422</v>
      </c>
      <c r="G167" s="1178">
        <f t="shared" si="2"/>
        <v>-3864308754</v>
      </c>
      <c r="H167" s="865">
        <f>+VLOOKUP(B167,'Balance Local'!$B$8:$B$560,1,0)</f>
        <v>1554180000</v>
      </c>
      <c r="I167" s="839"/>
      <c r="J167" s="839"/>
    </row>
    <row r="168" spans="2:10" s="865" customFormat="1" hidden="1">
      <c r="B168" s="1168">
        <v>1554180001</v>
      </c>
      <c r="C168" s="1168" t="s">
        <v>3425</v>
      </c>
      <c r="D168" s="1178">
        <f>+IFERROR(VLOOKUP(B168,'Balance Local'!$B$8:$D$564,3,0),0)</f>
        <v>0</v>
      </c>
      <c r="E168" s="1168">
        <v>5123200</v>
      </c>
      <c r="F168" s="1168" t="s">
        <v>3422</v>
      </c>
      <c r="G168" s="1178">
        <f t="shared" si="2"/>
        <v>0</v>
      </c>
      <c r="H168" s="865" t="e">
        <f>+VLOOKUP(B168,'Balance Local'!$B$8:$B$560,1,0)</f>
        <v>#N/A</v>
      </c>
      <c r="I168" s="839"/>
      <c r="J168" s="839"/>
    </row>
    <row r="169" spans="2:10" s="865" customFormat="1" hidden="1">
      <c r="B169" s="1168">
        <v>1558100000</v>
      </c>
      <c r="C169" s="1168" t="s">
        <v>2976</v>
      </c>
      <c r="D169" s="1178">
        <f>+IFERROR(VLOOKUP(B169,'Balance Local'!$B$8:$D$564,3,0),0)</f>
        <v>5842040330</v>
      </c>
      <c r="E169" s="1168">
        <v>5153500</v>
      </c>
      <c r="F169" s="1168" t="s">
        <v>3415</v>
      </c>
      <c r="G169" s="1178">
        <f t="shared" si="2"/>
        <v>5842040330</v>
      </c>
      <c r="H169" s="865">
        <f>+VLOOKUP(B169,'Balance Local'!$B$8:$B$560,1,0)</f>
        <v>1558100000</v>
      </c>
      <c r="I169" s="839"/>
      <c r="J169" s="839"/>
    </row>
    <row r="170" spans="2:10" s="865" customFormat="1" hidden="1">
      <c r="B170" s="1168">
        <v>1558100001</v>
      </c>
      <c r="C170" s="1168" t="s">
        <v>2976</v>
      </c>
      <c r="D170" s="1178">
        <f>+IFERROR(VLOOKUP(B170,'Balance Local'!$B$8:$D$564,3,0),0)</f>
        <v>0</v>
      </c>
      <c r="E170" s="1168">
        <v>5153500</v>
      </c>
      <c r="F170" s="1168" t="s">
        <v>3415</v>
      </c>
      <c r="G170" s="1178">
        <f t="shared" si="2"/>
        <v>0</v>
      </c>
      <c r="H170" s="865" t="e">
        <f>+VLOOKUP(B170,'Balance Local'!$B$8:$B$560,1,0)</f>
        <v>#N/A</v>
      </c>
      <c r="I170" s="839"/>
      <c r="J170" s="839"/>
    </row>
    <row r="171" spans="2:10" s="865" customFormat="1" hidden="1">
      <c r="B171" s="1168">
        <v>1558300000</v>
      </c>
      <c r="C171" s="1168" t="s">
        <v>2977</v>
      </c>
      <c r="D171" s="1178">
        <f>+IFERROR(VLOOKUP(B171,'Balance Local'!$B$8:$D$564,3,0),0)</f>
        <v>-848771120</v>
      </c>
      <c r="E171" s="1168">
        <v>5153500</v>
      </c>
      <c r="F171" s="1168" t="s">
        <v>3415</v>
      </c>
      <c r="G171" s="1178">
        <f t="shared" si="2"/>
        <v>-848771120</v>
      </c>
      <c r="H171" s="865">
        <f>+VLOOKUP(B171,'Balance Local'!$B$8:$B$560,1,0)</f>
        <v>1558300000</v>
      </c>
      <c r="I171" s="839"/>
      <c r="J171" s="839"/>
    </row>
    <row r="172" spans="2:10" s="865" customFormat="1" hidden="1">
      <c r="B172" s="1168">
        <v>1558300001</v>
      </c>
      <c r="C172" s="1168" t="s">
        <v>2977</v>
      </c>
      <c r="D172" s="1178">
        <f>+IFERROR(VLOOKUP(B172,'Balance Local'!$B$8:$D$564,3,0),0)</f>
        <v>-511335170</v>
      </c>
      <c r="E172" s="1168">
        <v>5153500</v>
      </c>
      <c r="F172" s="1168" t="s">
        <v>3415</v>
      </c>
      <c r="G172" s="1178">
        <f t="shared" si="2"/>
        <v>-511335170</v>
      </c>
      <c r="H172" s="865">
        <f>+VLOOKUP(B172,'Balance Local'!$B$8:$B$560,1,0)</f>
        <v>1558300001</v>
      </c>
      <c r="I172" s="839"/>
      <c r="J172" s="839"/>
    </row>
    <row r="173" spans="2:10" s="865" customFormat="1" hidden="1">
      <c r="B173" s="1168">
        <v>1559110001</v>
      </c>
      <c r="C173" s="1168" t="s">
        <v>2978</v>
      </c>
      <c r="D173" s="1178">
        <f>+IFERROR(VLOOKUP(B173,'Balance Local'!$B$8:$D$564,3,0),0)</f>
        <v>-170086001</v>
      </c>
      <c r="E173" s="1168">
        <v>5123200</v>
      </c>
      <c r="F173" s="1168" t="s">
        <v>3422</v>
      </c>
      <c r="G173" s="1178">
        <f t="shared" si="2"/>
        <v>-170086001</v>
      </c>
      <c r="H173" s="865">
        <f>+VLOOKUP(B173,'Balance Local'!$B$8:$B$560,1,0)</f>
        <v>1559110001</v>
      </c>
      <c r="I173" s="839"/>
      <c r="J173" s="839"/>
    </row>
    <row r="174" spans="2:10" s="865" customFormat="1" hidden="1">
      <c r="B174" s="1168">
        <v>1559210000</v>
      </c>
      <c r="C174" s="1168" t="s">
        <v>2979</v>
      </c>
      <c r="D174" s="1178">
        <f>+IFERROR(VLOOKUP(B174,'Balance Local'!$B$8:$D$564,3,0),0)</f>
        <v>403410330</v>
      </c>
      <c r="E174" s="1168">
        <v>5123200</v>
      </c>
      <c r="F174" s="1168" t="s">
        <v>3422</v>
      </c>
      <c r="G174" s="1178">
        <f t="shared" si="2"/>
        <v>403410330</v>
      </c>
      <c r="H174" s="865">
        <f>+VLOOKUP(B174,'Balance Local'!$B$8:$B$560,1,0)</f>
        <v>1559210000</v>
      </c>
      <c r="I174" s="839"/>
      <c r="J174" s="839"/>
    </row>
    <row r="175" spans="2:10" s="865" customFormat="1" hidden="1">
      <c r="B175" s="1168">
        <v>1581400000</v>
      </c>
      <c r="C175" s="1168" t="s">
        <v>2835</v>
      </c>
      <c r="D175" s="1178">
        <f>+IFERROR(VLOOKUP(B175,'Balance Local'!$B$8:$D$564,3,0),0)</f>
        <v>1349764990</v>
      </c>
      <c r="E175" s="1168">
        <v>5153500</v>
      </c>
      <c r="F175" s="1168" t="s">
        <v>3415</v>
      </c>
      <c r="G175" s="1178">
        <f t="shared" si="2"/>
        <v>1349764990</v>
      </c>
      <c r="H175" s="865">
        <f>+VLOOKUP(B175,'Balance Local'!$B$8:$B$560,1,0)</f>
        <v>1581400000</v>
      </c>
      <c r="I175" s="839"/>
      <c r="J175" s="839"/>
    </row>
    <row r="176" spans="2:10" s="865" customFormat="1" hidden="1">
      <c r="B176" s="1168">
        <v>1591000000</v>
      </c>
      <c r="C176" s="1168" t="s">
        <v>2980</v>
      </c>
      <c r="D176" s="1178">
        <f>+IFERROR(VLOOKUP(B176,'Balance Local'!$B$8:$D$564,3,0),0)</f>
        <v>12750062181</v>
      </c>
      <c r="E176" s="1168">
        <v>5152200</v>
      </c>
      <c r="F176" s="1168" t="s">
        <v>3426</v>
      </c>
      <c r="G176" s="1178">
        <f t="shared" si="2"/>
        <v>12750062181</v>
      </c>
      <c r="H176" s="865">
        <f>+VLOOKUP(B176,'Balance Local'!$B$8:$B$560,1,0)</f>
        <v>1591000000</v>
      </c>
      <c r="I176" s="839"/>
      <c r="J176" s="839"/>
    </row>
    <row r="177" spans="2:10" s="865" customFormat="1" hidden="1">
      <c r="B177" s="1168">
        <v>1722300000</v>
      </c>
      <c r="C177" s="1168" t="s">
        <v>2981</v>
      </c>
      <c r="D177" s="1178">
        <f>+IFERROR(VLOOKUP(B177,'Balance Local'!$B$8:$D$564,3,0),0)</f>
        <v>-660104493</v>
      </c>
      <c r="E177" s="1168">
        <v>5213220</v>
      </c>
      <c r="F177" s="1168" t="s">
        <v>3427</v>
      </c>
      <c r="G177" s="1178">
        <f t="shared" si="2"/>
        <v>-660104493</v>
      </c>
      <c r="H177" s="865">
        <f>+VLOOKUP(B177,'Balance Local'!$B$8:$B$560,1,0)</f>
        <v>1722300000</v>
      </c>
      <c r="I177" s="839"/>
      <c r="J177" s="839"/>
    </row>
    <row r="178" spans="2:10" s="865" customFormat="1" hidden="1">
      <c r="B178" s="1168">
        <v>1771110000</v>
      </c>
      <c r="C178" s="1168" t="s">
        <v>2833</v>
      </c>
      <c r="D178" s="1178">
        <f>+IFERROR(VLOOKUP(B178,'Balance Local'!$B$8:$D$564,3,0),0)</f>
        <v>0</v>
      </c>
      <c r="E178" s="1168">
        <v>5153500</v>
      </c>
      <c r="F178" s="1168" t="s">
        <v>3415</v>
      </c>
      <c r="G178" s="1178">
        <f t="shared" si="2"/>
        <v>0</v>
      </c>
      <c r="H178" s="865" t="e">
        <f>+VLOOKUP(B178,'Balance Local'!$B$8:$B$560,1,0)</f>
        <v>#N/A</v>
      </c>
      <c r="I178" s="839"/>
      <c r="J178" s="839"/>
    </row>
    <row r="179" spans="2:10" s="865" customFormat="1" hidden="1">
      <c r="B179" s="1168">
        <v>2020110000</v>
      </c>
      <c r="C179" s="1168" t="s">
        <v>2982</v>
      </c>
      <c r="D179" s="1178">
        <f>+IFERROR(VLOOKUP(B179,'Balance Local'!$B$8:$D$564,3,0),0)</f>
        <v>-1495813864013</v>
      </c>
      <c r="E179" s="1168">
        <v>5213121</v>
      </c>
      <c r="F179" s="1168" t="s">
        <v>3428</v>
      </c>
      <c r="G179" s="1178">
        <f t="shared" si="2"/>
        <v>-1495813864013</v>
      </c>
      <c r="H179" s="865">
        <f>+VLOOKUP(B179,'Balance Local'!$B$8:$B$560,1,0)</f>
        <v>2020110000</v>
      </c>
      <c r="I179" s="839"/>
      <c r="J179" s="839"/>
    </row>
    <row r="180" spans="2:10" s="865" customFormat="1" hidden="1">
      <c r="B180" s="1168">
        <v>2020110005</v>
      </c>
      <c r="C180" s="1168" t="s">
        <v>2983</v>
      </c>
      <c r="D180" s="1178">
        <f>+IFERROR(VLOOKUP(B180,'Balance Local'!$B$8:$D$564,3,0),0)</f>
        <v>-34625495611</v>
      </c>
      <c r="E180" s="1168">
        <v>5213130</v>
      </c>
      <c r="F180" s="1168" t="s">
        <v>645</v>
      </c>
      <c r="G180" s="1178">
        <f t="shared" si="2"/>
        <v>-34625495611</v>
      </c>
      <c r="H180" s="865">
        <f>+VLOOKUP(B180,'Balance Local'!$B$8:$B$560,1,0)</f>
        <v>2020110005</v>
      </c>
      <c r="I180" s="839"/>
      <c r="J180" s="839"/>
    </row>
    <row r="181" spans="2:10" s="865" customFormat="1">
      <c r="B181" s="1168">
        <v>2020110039</v>
      </c>
      <c r="C181" s="1168" t="s">
        <v>2984</v>
      </c>
      <c r="D181" s="1178">
        <f>+IFERROR(VLOOKUP(B181,'Balance Local'!$B$8:$D$564,3,0),0)</f>
        <v>-495497091</v>
      </c>
      <c r="E181" s="1168">
        <v>5213140</v>
      </c>
      <c r="F181" s="1168" t="s">
        <v>3429</v>
      </c>
      <c r="G181" s="1178">
        <f t="shared" si="2"/>
        <v>-495497091</v>
      </c>
      <c r="H181" s="865">
        <f>+VLOOKUP(B181,'Balance Local'!$B$8:$B$560,1,0)</f>
        <v>2020110039</v>
      </c>
      <c r="I181" s="839"/>
      <c r="J181" s="839"/>
    </row>
    <row r="182" spans="2:10" s="865" customFormat="1" hidden="1">
      <c r="B182" s="1168">
        <v>2020110050</v>
      </c>
      <c r="C182" s="1168" t="s">
        <v>2985</v>
      </c>
      <c r="D182" s="1178">
        <f>+IFERROR(VLOOKUP(B182,'Balance Local'!$B$8:$D$564,3,0),0)</f>
        <v>-14009815502</v>
      </c>
      <c r="E182" s="1168">
        <v>5213121</v>
      </c>
      <c r="F182" s="1168" t="s">
        <v>3428</v>
      </c>
      <c r="G182" s="1178">
        <f t="shared" si="2"/>
        <v>-14009815502</v>
      </c>
      <c r="H182" s="865">
        <f>+VLOOKUP(B182,'Balance Local'!$B$8:$B$560,1,0)</f>
        <v>2020110050</v>
      </c>
      <c r="I182" s="839"/>
      <c r="J182" s="839"/>
    </row>
    <row r="183" spans="2:10" s="865" customFormat="1" hidden="1">
      <c r="B183" s="1168">
        <v>2020130000</v>
      </c>
      <c r="C183" s="1168" t="s">
        <v>3430</v>
      </c>
      <c r="D183" s="1178">
        <f>+IFERROR(VLOOKUP(B183,'Balance Local'!$B$8:$D$564,3,0),0)</f>
        <v>0</v>
      </c>
      <c r="E183" s="1168">
        <v>5213160</v>
      </c>
      <c r="F183" s="1168" t="s">
        <v>1864</v>
      </c>
      <c r="G183" s="1178">
        <f t="shared" si="2"/>
        <v>0</v>
      </c>
      <c r="H183" s="865" t="e">
        <f>+VLOOKUP(B183,'Balance Local'!$B$8:$B$560,1,0)</f>
        <v>#N/A</v>
      </c>
      <c r="I183" s="839"/>
      <c r="J183" s="839"/>
    </row>
    <row r="184" spans="2:10" s="865" customFormat="1" hidden="1">
      <c r="B184" s="1168">
        <v>2020170000</v>
      </c>
      <c r="C184" s="1168" t="s">
        <v>2986</v>
      </c>
      <c r="D184" s="1178">
        <f>+IFERROR(VLOOKUP(B184,'Balance Local'!$B$8:$D$564,3,0),0)</f>
        <v>-15621001909</v>
      </c>
      <c r="E184" s="1168">
        <v>5213110</v>
      </c>
      <c r="F184" s="1168" t="s">
        <v>644</v>
      </c>
      <c r="G184" s="1178">
        <f t="shared" si="2"/>
        <v>-15621001909</v>
      </c>
      <c r="H184" s="865">
        <f>+VLOOKUP(B184,'Balance Local'!$B$8:$B$560,1,0)</f>
        <v>2020170000</v>
      </c>
      <c r="I184" s="839"/>
      <c r="J184" s="839"/>
    </row>
    <row r="185" spans="2:10" s="865" customFormat="1" hidden="1">
      <c r="B185" s="1168">
        <v>2020310000</v>
      </c>
      <c r="C185" s="1168" t="s">
        <v>2987</v>
      </c>
      <c r="D185" s="1178">
        <f>+IFERROR(VLOOKUP(B185,'Balance Local'!$B$8:$D$564,3,0),0)</f>
        <v>20502789206</v>
      </c>
      <c r="E185" s="1168">
        <v>5142210</v>
      </c>
      <c r="F185" s="1168" t="s">
        <v>3431</v>
      </c>
      <c r="G185" s="1178">
        <f t="shared" si="2"/>
        <v>20502789206</v>
      </c>
      <c r="H185" s="865">
        <f>+VLOOKUP(B185,'Balance Local'!$B$8:$B$560,1,0)</f>
        <v>2020310000</v>
      </c>
      <c r="I185" s="839"/>
      <c r="J185" s="839"/>
    </row>
    <row r="186" spans="2:10" s="865" customFormat="1" hidden="1">
      <c r="B186" s="1168">
        <v>2020380000</v>
      </c>
      <c r="C186" s="1168" t="s">
        <v>3432</v>
      </c>
      <c r="D186" s="1178">
        <f>+IFERROR(VLOOKUP(B186,'Balance Local'!$B$8:$D$564,3,0),0)</f>
        <v>367717007</v>
      </c>
      <c r="E186" s="1168">
        <v>5142100</v>
      </c>
      <c r="F186" s="1168" t="s">
        <v>3433</v>
      </c>
      <c r="G186" s="1178">
        <f t="shared" si="2"/>
        <v>367717007</v>
      </c>
      <c r="H186" s="865">
        <f>+VLOOKUP(B186,'Balance Local'!$B$8:$B$560,1,0)</f>
        <v>2020380000</v>
      </c>
      <c r="I186" s="839"/>
      <c r="J186" s="839"/>
    </row>
    <row r="187" spans="2:10" s="865" customFormat="1">
      <c r="B187" s="1168">
        <v>2030100000</v>
      </c>
      <c r="C187" s="1168" t="s">
        <v>2989</v>
      </c>
      <c r="D187" s="1178">
        <f>+IFERROR(VLOOKUP(B187,'Balance Local'!$B$8:$D$564,3,0),0)</f>
        <v>-82465329027</v>
      </c>
      <c r="E187" s="1168">
        <v>5213140</v>
      </c>
      <c r="F187" s="1168" t="s">
        <v>3429</v>
      </c>
      <c r="G187" s="1178">
        <f t="shared" si="2"/>
        <v>-82465329027</v>
      </c>
      <c r="H187" s="865">
        <f>+VLOOKUP(B187,'Balance Local'!$B$8:$B$560,1,0)</f>
        <v>2030100000</v>
      </c>
      <c r="I187" s="839"/>
      <c r="J187" s="839"/>
    </row>
    <row r="188" spans="2:10" s="865" customFormat="1" hidden="1">
      <c r="B188" s="1168">
        <v>2042100000</v>
      </c>
      <c r="C188" s="1168" t="s">
        <v>2990</v>
      </c>
      <c r="D188" s="1178">
        <f>+IFERROR(VLOOKUP(B188,'Balance Local'!$B$8:$D$564,3,0),0)</f>
        <v>-293357523</v>
      </c>
      <c r="E188" s="1168">
        <v>5213210</v>
      </c>
      <c r="F188" s="1168" t="s">
        <v>3434</v>
      </c>
      <c r="G188" s="1178">
        <f t="shared" si="2"/>
        <v>-293357523</v>
      </c>
      <c r="H188" s="865">
        <f>+VLOOKUP(B188,'Balance Local'!$B$8:$B$560,1,0)</f>
        <v>2042100000</v>
      </c>
      <c r="I188" s="839"/>
      <c r="J188" s="839"/>
    </row>
    <row r="189" spans="2:10" s="865" customFormat="1" hidden="1">
      <c r="B189" s="1168">
        <v>2042100002</v>
      </c>
      <c r="C189" s="1168" t="s">
        <v>2991</v>
      </c>
      <c r="D189" s="1178">
        <f>+IFERROR(VLOOKUP(B189,'Balance Local'!$B$8:$D$564,3,0),0)</f>
        <v>-197323769</v>
      </c>
      <c r="E189" s="1168">
        <v>5213210</v>
      </c>
      <c r="F189" s="1168" t="s">
        <v>3434</v>
      </c>
      <c r="G189" s="1178">
        <f t="shared" si="2"/>
        <v>-197323769</v>
      </c>
      <c r="H189" s="865">
        <f>+VLOOKUP(B189,'Balance Local'!$B$8:$B$560,1,0)</f>
        <v>2042100002</v>
      </c>
      <c r="I189" s="839"/>
      <c r="J189" s="839"/>
    </row>
    <row r="190" spans="2:10" s="865" customFormat="1" hidden="1">
      <c r="B190" s="1168">
        <v>2071120000</v>
      </c>
      <c r="C190" s="1168" t="s">
        <v>2992</v>
      </c>
      <c r="D190" s="1178">
        <f>+IFERROR(VLOOKUP(B190,'Balance Local'!$B$8:$D$564,3,0),0)</f>
        <v>-1149848504</v>
      </c>
      <c r="E190" s="1168">
        <v>5213180</v>
      </c>
      <c r="F190" s="1168" t="s">
        <v>3435</v>
      </c>
      <c r="G190" s="1178">
        <f t="shared" si="2"/>
        <v>-1149848504</v>
      </c>
      <c r="H190" s="865">
        <f>+VLOOKUP(B190,'Balance Local'!$B$8:$B$560,1,0)</f>
        <v>2071120000</v>
      </c>
      <c r="I190" s="839"/>
      <c r="J190" s="839"/>
    </row>
    <row r="191" spans="2:10" s="865" customFormat="1" hidden="1">
      <c r="B191" s="1168">
        <v>2071320000</v>
      </c>
      <c r="C191" s="1168" t="s">
        <v>2993</v>
      </c>
      <c r="D191" s="1178">
        <f>+IFERROR(VLOOKUP(B191,'Balance Local'!$B$8:$D$564,3,0),0)</f>
        <v>711466380</v>
      </c>
      <c r="E191" s="1168">
        <v>5142700</v>
      </c>
      <c r="F191" s="1168" t="s">
        <v>3436</v>
      </c>
      <c r="G191" s="1178">
        <f t="shared" si="2"/>
        <v>711466380</v>
      </c>
      <c r="H191" s="865">
        <f>+VLOOKUP(B191,'Balance Local'!$B$8:$B$560,1,0)</f>
        <v>2071320000</v>
      </c>
      <c r="I191" s="839"/>
      <c r="J191" s="839"/>
    </row>
    <row r="192" spans="2:10" s="865" customFormat="1" hidden="1">
      <c r="B192" s="1168">
        <v>2071331000</v>
      </c>
      <c r="C192" s="1168" t="s">
        <v>2994</v>
      </c>
      <c r="D192" s="1178">
        <f>+IFERROR(VLOOKUP(B192,'Balance Local'!$B$8:$D$564,3,0),0)</f>
        <v>-101934877397</v>
      </c>
      <c r="E192" s="1168">
        <v>5213160</v>
      </c>
      <c r="F192" s="1168" t="s">
        <v>1864</v>
      </c>
      <c r="G192" s="1178">
        <f t="shared" si="2"/>
        <v>-101934877397</v>
      </c>
      <c r="H192" s="865">
        <f>+VLOOKUP(B192,'Balance Local'!$B$8:$B$560,1,0)</f>
        <v>2071331000</v>
      </c>
      <c r="I192" s="839"/>
      <c r="J192" s="839"/>
    </row>
    <row r="193" spans="2:10" s="865" customFormat="1" hidden="1">
      <c r="B193" s="1168">
        <v>2071331029</v>
      </c>
      <c r="C193" s="1168" t="s">
        <v>2995</v>
      </c>
      <c r="D193" s="1178">
        <f>+IFERROR(VLOOKUP(B193,'Balance Local'!$B$8:$D$564,3,0),0)</f>
        <v>-30157397561</v>
      </c>
      <c r="E193" s="1168">
        <v>5213160</v>
      </c>
      <c r="F193" s="1168" t="s">
        <v>1864</v>
      </c>
      <c r="G193" s="1178">
        <f t="shared" si="2"/>
        <v>-30157397561</v>
      </c>
      <c r="H193" s="865">
        <f>+VLOOKUP(B193,'Balance Local'!$B$8:$B$560,1,0)</f>
        <v>2071331029</v>
      </c>
      <c r="I193" s="839"/>
      <c r="J193" s="839"/>
    </row>
    <row r="194" spans="2:10" s="865" customFormat="1" hidden="1">
      <c r="B194" s="1168">
        <v>2071333000</v>
      </c>
      <c r="C194" s="1168" t="s">
        <v>2996</v>
      </c>
      <c r="D194" s="1178">
        <f>+IFERROR(VLOOKUP(B194,'Balance Local'!$B$8:$D$564,3,0),0)</f>
        <v>37725919595</v>
      </c>
      <c r="E194" s="1168">
        <v>5142500</v>
      </c>
      <c r="F194" s="1168" t="s">
        <v>3437</v>
      </c>
      <c r="G194" s="1178">
        <f t="shared" si="2"/>
        <v>37725919595</v>
      </c>
      <c r="H194" s="865">
        <f>+VLOOKUP(B194,'Balance Local'!$B$8:$B$560,1,0)</f>
        <v>2071333000</v>
      </c>
      <c r="I194" s="839"/>
      <c r="J194" s="839"/>
    </row>
    <row r="195" spans="2:10" s="865" customFormat="1" hidden="1">
      <c r="B195" s="1168">
        <v>2071333001</v>
      </c>
      <c r="C195" s="1168" t="s">
        <v>2997</v>
      </c>
      <c r="D195" s="1178">
        <f>+IFERROR(VLOOKUP(B195,'Balance Local'!$B$8:$D$564,3,0),0)</f>
        <v>9212932336</v>
      </c>
      <c r="E195" s="1168">
        <v>5142500</v>
      </c>
      <c r="F195" s="1168" t="s">
        <v>3437</v>
      </c>
      <c r="G195" s="1178">
        <f t="shared" si="2"/>
        <v>9212932336</v>
      </c>
      <c r="H195" s="865">
        <f>+VLOOKUP(B195,'Balance Local'!$B$8:$B$560,1,0)</f>
        <v>2071333001</v>
      </c>
      <c r="I195" s="839"/>
      <c r="J195" s="839"/>
    </row>
    <row r="196" spans="2:10" s="865" customFormat="1">
      <c r="B196" s="1168">
        <v>2080100001</v>
      </c>
      <c r="C196" s="1168" t="s">
        <v>2998</v>
      </c>
      <c r="D196" s="1178">
        <f>+IFERROR(VLOOKUP(B196,'Balance Local'!$B$8:$D$564,3,0),0)</f>
        <v>-5564253353</v>
      </c>
      <c r="E196" s="1168">
        <v>5213140</v>
      </c>
      <c r="F196" s="1168" t="s">
        <v>3429</v>
      </c>
      <c r="G196" s="1178">
        <f t="shared" si="2"/>
        <v>-5564253353</v>
      </c>
      <c r="H196" s="865">
        <f>+VLOOKUP(B196,'Balance Local'!$B$8:$B$560,1,0)</f>
        <v>2080100001</v>
      </c>
      <c r="I196" s="839"/>
      <c r="J196" s="839"/>
    </row>
    <row r="197" spans="2:10" s="865" customFormat="1">
      <c r="B197" s="1168">
        <v>2080100002</v>
      </c>
      <c r="C197" s="1168" t="s">
        <v>2999</v>
      </c>
      <c r="D197" s="1178">
        <f>+IFERROR(VLOOKUP(B197,'Balance Local'!$B$8:$D$564,3,0),0)</f>
        <v>-275946923</v>
      </c>
      <c r="E197" s="1168">
        <v>5213140</v>
      </c>
      <c r="F197" s="1168" t="s">
        <v>3429</v>
      </c>
      <c r="G197" s="1178">
        <f t="shared" si="2"/>
        <v>-275946923</v>
      </c>
      <c r="H197" s="865">
        <f>+VLOOKUP(B197,'Balance Local'!$B$8:$B$560,1,0)</f>
        <v>2080100002</v>
      </c>
      <c r="I197" s="839"/>
      <c r="J197" s="839"/>
    </row>
    <row r="198" spans="2:10" s="865" customFormat="1">
      <c r="B198" s="1168">
        <v>2080100010</v>
      </c>
      <c r="C198" s="1168" t="s">
        <v>3000</v>
      </c>
      <c r="D198" s="1178">
        <f>+IFERROR(VLOOKUP(B198,'Balance Local'!$B$8:$D$564,3,0),0)</f>
        <v>-148713568110</v>
      </c>
      <c r="E198" s="1168">
        <v>5213140</v>
      </c>
      <c r="F198" s="1168" t="s">
        <v>3429</v>
      </c>
      <c r="G198" s="1178">
        <f t="shared" si="2"/>
        <v>-148713568110</v>
      </c>
      <c r="H198" s="865">
        <f>+VLOOKUP(B198,'Balance Local'!$B$8:$B$560,1,0)</f>
        <v>2080100010</v>
      </c>
      <c r="I198" s="839"/>
      <c r="J198" s="839"/>
    </row>
    <row r="199" spans="2:10" s="865" customFormat="1">
      <c r="B199" s="1168">
        <v>2080100019</v>
      </c>
      <c r="C199" s="1168" t="s">
        <v>3001</v>
      </c>
      <c r="D199" s="1178">
        <f>+IFERROR(VLOOKUP(B199,'Balance Local'!$B$8:$D$564,3,0),0)</f>
        <v>-123940960</v>
      </c>
      <c r="E199" s="1168">
        <v>5213140</v>
      </c>
      <c r="F199" s="1168" t="s">
        <v>3429</v>
      </c>
      <c r="G199" s="1178">
        <f t="shared" si="2"/>
        <v>-123940960</v>
      </c>
      <c r="H199" s="865">
        <f>+VLOOKUP(B199,'Balance Local'!$B$8:$B$560,1,0)</f>
        <v>2080100019</v>
      </c>
      <c r="I199" s="839"/>
      <c r="J199" s="839"/>
    </row>
    <row r="200" spans="2:10" s="865" customFormat="1" hidden="1">
      <c r="B200" s="1168">
        <v>2211000000</v>
      </c>
      <c r="C200" s="1168" t="s">
        <v>3002</v>
      </c>
      <c r="D200" s="1178">
        <f>+IFERROR(VLOOKUP(B200,'Balance Local'!$B$8:$D$564,3,0),0)</f>
        <v>-660903380</v>
      </c>
      <c r="E200" s="1168">
        <v>5213210</v>
      </c>
      <c r="F200" s="1168" t="s">
        <v>3434</v>
      </c>
      <c r="G200" s="1178">
        <f t="shared" si="2"/>
        <v>-660903380</v>
      </c>
      <c r="H200" s="865">
        <f>+VLOOKUP(B200,'Balance Local'!$B$8:$B$560,1,0)</f>
        <v>2211000000</v>
      </c>
      <c r="I200" s="839"/>
      <c r="J200" s="839"/>
    </row>
    <row r="201" spans="2:10" s="865" customFormat="1" hidden="1">
      <c r="B201" s="1168">
        <v>2211040003</v>
      </c>
      <c r="C201" s="1168" t="s">
        <v>3003</v>
      </c>
      <c r="D201" s="1178">
        <f>+IFERROR(VLOOKUP(B201,'Balance Local'!$B$8:$D$564,3,0),0)</f>
        <v>-11854372</v>
      </c>
      <c r="E201" s="1168">
        <v>5214260</v>
      </c>
      <c r="F201" s="1168" t="s">
        <v>3438</v>
      </c>
      <c r="G201" s="1178">
        <f t="shared" si="2"/>
        <v>-11854372</v>
      </c>
      <c r="H201" s="865">
        <f>+VLOOKUP(B201,'Balance Local'!$B$8:$B$560,1,0)</f>
        <v>2211040003</v>
      </c>
      <c r="I201" s="839"/>
      <c r="J201" s="839"/>
    </row>
    <row r="202" spans="2:10" s="865" customFormat="1" hidden="1">
      <c r="B202" s="1168">
        <v>2221020002</v>
      </c>
      <c r="C202" s="1168" t="s">
        <v>3004</v>
      </c>
      <c r="D202" s="1178">
        <f>+IFERROR(VLOOKUP(B202,'Balance Local'!$B$8:$D$564,3,0),0)</f>
        <v>-985088058</v>
      </c>
      <c r="E202" s="1168">
        <v>5214230</v>
      </c>
      <c r="F202" s="1168" t="s">
        <v>3439</v>
      </c>
      <c r="G202" s="1178">
        <f t="shared" ref="G202:G265" si="3">+D202</f>
        <v>-985088058</v>
      </c>
      <c r="H202" s="865">
        <f>+VLOOKUP(B202,'Balance Local'!$B$8:$B$560,1,0)</f>
        <v>2221020002</v>
      </c>
      <c r="I202" s="839"/>
      <c r="J202" s="839"/>
    </row>
    <row r="203" spans="2:10" s="865" customFormat="1" hidden="1">
      <c r="B203" s="1168">
        <v>2221030006</v>
      </c>
      <c r="C203" s="1168" t="s">
        <v>3005</v>
      </c>
      <c r="D203" s="1178">
        <f>+IFERROR(VLOOKUP(B203,'Balance Local'!$B$8:$D$564,3,0),0)</f>
        <v>-1110180802</v>
      </c>
      <c r="E203" s="1168">
        <v>5214230</v>
      </c>
      <c r="F203" s="1168" t="s">
        <v>3439</v>
      </c>
      <c r="G203" s="1178">
        <f t="shared" si="3"/>
        <v>-1110180802</v>
      </c>
      <c r="H203" s="865">
        <f>+VLOOKUP(B203,'Balance Local'!$B$8:$B$560,1,0)</f>
        <v>2221030006</v>
      </c>
      <c r="I203" s="839"/>
      <c r="J203" s="839"/>
    </row>
    <row r="204" spans="2:10" s="865" customFormat="1" hidden="1">
      <c r="B204" s="1168">
        <v>2221700101</v>
      </c>
      <c r="C204" s="1168" t="s">
        <v>3006</v>
      </c>
      <c r="D204" s="1178">
        <f>+IFERROR(VLOOKUP(B204,'Balance Local'!$B$8:$D$564,3,0),0)</f>
        <v>516915324</v>
      </c>
      <c r="E204" s="1168">
        <v>5214230</v>
      </c>
      <c r="F204" s="1168" t="s">
        <v>3439</v>
      </c>
      <c r="G204" s="1178">
        <f t="shared" si="3"/>
        <v>516915324</v>
      </c>
      <c r="H204" s="865">
        <f>+VLOOKUP(B204,'Balance Local'!$B$8:$B$560,1,0)</f>
        <v>2221700101</v>
      </c>
      <c r="I204" s="839"/>
      <c r="J204" s="839"/>
    </row>
    <row r="205" spans="2:10" s="865" customFormat="1" hidden="1">
      <c r="B205" s="1168">
        <v>2231700012</v>
      </c>
      <c r="C205" s="1168" t="s">
        <v>3007</v>
      </c>
      <c r="D205" s="1178">
        <f>+IFERROR(VLOOKUP(B205,'Balance Local'!$B$8:$D$564,3,0),0)</f>
        <v>-52247769</v>
      </c>
      <c r="E205" s="1168">
        <v>5213231</v>
      </c>
      <c r="F205" s="1168" t="s">
        <v>3412</v>
      </c>
      <c r="G205" s="1178">
        <f t="shared" si="3"/>
        <v>-52247769</v>
      </c>
      <c r="H205" s="865">
        <f>+VLOOKUP(B205,'Balance Local'!$B$8:$B$560,1,0)</f>
        <v>2231700012</v>
      </c>
      <c r="I205" s="839"/>
      <c r="J205" s="839"/>
    </row>
    <row r="206" spans="2:10" s="865" customFormat="1" hidden="1">
      <c r="B206" s="1168">
        <v>2231700014</v>
      </c>
      <c r="C206" s="1168" t="s">
        <v>3008</v>
      </c>
      <c r="D206" s="1178">
        <f>+IFERROR(VLOOKUP(B206,'Balance Local'!$B$8:$D$564,3,0),0)</f>
        <v>-228368</v>
      </c>
      <c r="E206" s="1168">
        <v>5213231</v>
      </c>
      <c r="F206" s="1168" t="s">
        <v>3412</v>
      </c>
      <c r="G206" s="1178">
        <f t="shared" si="3"/>
        <v>-228368</v>
      </c>
      <c r="H206" s="865">
        <f>+VLOOKUP(B206,'Balance Local'!$B$8:$B$560,1,0)</f>
        <v>2231700014</v>
      </c>
      <c r="I206" s="839"/>
      <c r="J206" s="839"/>
    </row>
    <row r="207" spans="2:10" s="865" customFormat="1" hidden="1">
      <c r="B207" s="1168">
        <v>2311010000</v>
      </c>
      <c r="C207" s="1168" t="s">
        <v>3009</v>
      </c>
      <c r="D207" s="1178">
        <f>+IFERROR(VLOOKUP(B207,'Balance Local'!$B$8:$D$564,3,0),0)</f>
        <v>-20345053882</v>
      </c>
      <c r="E207" s="1168">
        <v>5213220</v>
      </c>
      <c r="F207" s="1168" t="s">
        <v>3427</v>
      </c>
      <c r="G207" s="1178">
        <f t="shared" si="3"/>
        <v>-20345053882</v>
      </c>
      <c r="H207" s="865">
        <f>+VLOOKUP(B207,'Balance Local'!$B$8:$B$560,1,0)</f>
        <v>2311010000</v>
      </c>
      <c r="I207" s="839"/>
      <c r="J207" s="839"/>
    </row>
    <row r="208" spans="2:10" s="865" customFormat="1" hidden="1">
      <c r="B208" s="1168">
        <v>2311011100</v>
      </c>
      <c r="C208" s="1168" t="s">
        <v>3010</v>
      </c>
      <c r="D208" s="1178">
        <f>+IFERROR(VLOOKUP(B208,'Balance Local'!$B$8:$D$564,3,0),0)</f>
        <v>-12470912735</v>
      </c>
      <c r="E208" s="1168">
        <v>5213220</v>
      </c>
      <c r="F208" s="1168" t="s">
        <v>3427</v>
      </c>
      <c r="G208" s="1178">
        <f t="shared" si="3"/>
        <v>-12470912735</v>
      </c>
      <c r="H208" s="865">
        <f>+VLOOKUP(B208,'Balance Local'!$B$8:$B$560,1,0)</f>
        <v>2311011100</v>
      </c>
      <c r="I208" s="839"/>
      <c r="J208" s="839"/>
    </row>
    <row r="209" spans="2:10" s="865" customFormat="1" hidden="1">
      <c r="B209" s="1168">
        <v>2413100000</v>
      </c>
      <c r="C209" s="1168" t="s">
        <v>3011</v>
      </c>
      <c r="D209" s="1178">
        <f>+IFERROR(VLOOKUP(B209,'Balance Local'!$B$8:$D$564,3,0),0)</f>
        <v>-4257681675</v>
      </c>
      <c r="E209" s="1168">
        <v>5214260</v>
      </c>
      <c r="F209" s="1168" t="s">
        <v>3438</v>
      </c>
      <c r="G209" s="1178">
        <f t="shared" si="3"/>
        <v>-4257681675</v>
      </c>
      <c r="H209" s="865">
        <f>+VLOOKUP(B209,'Balance Local'!$B$8:$B$560,1,0)</f>
        <v>2413100000</v>
      </c>
      <c r="I209" s="839"/>
      <c r="J209" s="839"/>
    </row>
    <row r="210" spans="2:10" s="865" customFormat="1" hidden="1">
      <c r="B210" s="1168">
        <v>2441111000</v>
      </c>
      <c r="C210" s="1168" t="s">
        <v>3012</v>
      </c>
      <c r="D210" s="1178">
        <f>+IFERROR(VLOOKUP(B210,'Balance Local'!$B$8:$D$564,3,0),0)</f>
        <v>-1763162</v>
      </c>
      <c r="E210" s="1168">
        <v>5214211</v>
      </c>
      <c r="F210" s="1168" t="s">
        <v>3440</v>
      </c>
      <c r="G210" s="1178">
        <f t="shared" si="3"/>
        <v>-1763162</v>
      </c>
      <c r="H210" s="865">
        <f>+VLOOKUP(B210,'Balance Local'!$B$8:$B$560,1,0)</f>
        <v>2441111000</v>
      </c>
      <c r="I210" s="839"/>
      <c r="J210" s="839"/>
    </row>
    <row r="211" spans="2:10" s="865" customFormat="1" hidden="1">
      <c r="B211" s="1168">
        <v>2441112000</v>
      </c>
      <c r="C211" s="1168" t="s">
        <v>3026</v>
      </c>
      <c r="D211" s="1178">
        <f>+IFERROR(VLOOKUP(B211,'Balance Local'!$B$8:$D$564,3,0),0)</f>
        <v>-241188946</v>
      </c>
      <c r="E211" s="1168">
        <v>5214260</v>
      </c>
      <c r="F211" s="1168" t="s">
        <v>3438</v>
      </c>
      <c r="G211" s="1178">
        <f t="shared" si="3"/>
        <v>-241188946</v>
      </c>
      <c r="H211" s="865">
        <f>+VLOOKUP(B211,'Balance Local'!$B$8:$B$560,1,0)</f>
        <v>2441112000</v>
      </c>
      <c r="I211" s="839"/>
      <c r="J211" s="839"/>
    </row>
    <row r="212" spans="2:10" s="865" customFormat="1" hidden="1">
      <c r="B212" s="1168">
        <v>2441112012</v>
      </c>
      <c r="C212" s="1168" t="s">
        <v>3014</v>
      </c>
      <c r="D212" s="1178">
        <f>+IFERROR(VLOOKUP(B212,'Balance Local'!$B$8:$D$564,3,0),0)</f>
        <v>0</v>
      </c>
      <c r="E212" s="1168">
        <v>5214260</v>
      </c>
      <c r="F212" s="1168" t="s">
        <v>3438</v>
      </c>
      <c r="G212" s="1178">
        <f t="shared" si="3"/>
        <v>0</v>
      </c>
      <c r="H212" s="865">
        <f>+VLOOKUP(B212,'Balance Local'!$B$8:$B$560,1,0)</f>
        <v>2441112012</v>
      </c>
      <c r="I212" s="839"/>
      <c r="J212" s="839"/>
    </row>
    <row r="213" spans="2:10" s="865" customFormat="1" hidden="1">
      <c r="B213" s="1168">
        <v>2441112028</v>
      </c>
      <c r="C213" s="1168" t="s">
        <v>3015</v>
      </c>
      <c r="D213" s="1178">
        <f>+IFERROR(VLOOKUP(B213,'Balance Local'!$B$8:$D$564,3,0),0)</f>
        <v>-73580623</v>
      </c>
      <c r="E213" s="1168">
        <v>5214240</v>
      </c>
      <c r="F213" s="1168" t="s">
        <v>3441</v>
      </c>
      <c r="G213" s="1178">
        <f t="shared" si="3"/>
        <v>-73580623</v>
      </c>
      <c r="H213" s="865">
        <f>+VLOOKUP(B213,'Balance Local'!$B$8:$B$560,1,0)</f>
        <v>2441112028</v>
      </c>
      <c r="I213" s="839"/>
      <c r="J213" s="839"/>
    </row>
    <row r="214" spans="2:10" s="865" customFormat="1" hidden="1">
      <c r="B214" s="1168">
        <v>2441112032</v>
      </c>
      <c r="C214" s="1168" t="s">
        <v>3016</v>
      </c>
      <c r="D214" s="1178">
        <f>+IFERROR(VLOOKUP(B214,'Balance Local'!$B$8:$D$564,3,0),0)</f>
        <v>-863558355</v>
      </c>
      <c r="E214" s="1168">
        <v>5214260</v>
      </c>
      <c r="F214" s="1168" t="s">
        <v>3438</v>
      </c>
      <c r="G214" s="1178">
        <f t="shared" si="3"/>
        <v>-863558355</v>
      </c>
      <c r="H214" s="865">
        <f>+VLOOKUP(B214,'Balance Local'!$B$8:$B$560,1,0)</f>
        <v>2441112032</v>
      </c>
      <c r="I214" s="839"/>
      <c r="J214" s="839"/>
    </row>
    <row r="215" spans="2:10" s="865" customFormat="1" hidden="1">
      <c r="B215" s="1168">
        <v>2441112046</v>
      </c>
      <c r="C215" s="1168" t="s">
        <v>3017</v>
      </c>
      <c r="D215" s="1178">
        <f>+IFERROR(VLOOKUP(B215,'Balance Local'!$B$8:$D$564,3,0),0)</f>
        <v>-12556000</v>
      </c>
      <c r="E215" s="1168">
        <v>5214260</v>
      </c>
      <c r="F215" s="1168" t="s">
        <v>3438</v>
      </c>
      <c r="G215" s="1178">
        <f t="shared" si="3"/>
        <v>-12556000</v>
      </c>
      <c r="H215" s="865">
        <f>+VLOOKUP(B215,'Balance Local'!$B$8:$B$560,1,0)</f>
        <v>2441112046</v>
      </c>
      <c r="I215" s="839"/>
      <c r="J215" s="839"/>
    </row>
    <row r="216" spans="2:10" s="865" customFormat="1" hidden="1">
      <c r="B216" s="1168">
        <v>2441112052</v>
      </c>
      <c r="C216" s="1168" t="s">
        <v>3018</v>
      </c>
      <c r="D216" s="1178">
        <f>+IFERROR(VLOOKUP(B216,'Balance Local'!$B$8:$D$564,3,0),0)</f>
        <v>-204030347</v>
      </c>
      <c r="E216" s="1168">
        <v>5214260</v>
      </c>
      <c r="F216" s="1168" t="s">
        <v>3438</v>
      </c>
      <c r="G216" s="1178">
        <f t="shared" si="3"/>
        <v>-204030347</v>
      </c>
      <c r="H216" s="865">
        <f>+VLOOKUP(B216,'Balance Local'!$B$8:$B$560,1,0)</f>
        <v>2441112052</v>
      </c>
      <c r="I216" s="839"/>
      <c r="J216" s="839"/>
    </row>
    <row r="217" spans="2:10" s="865" customFormat="1" hidden="1">
      <c r="B217" s="1168">
        <v>2441112056</v>
      </c>
      <c r="C217" s="1168" t="s">
        <v>3019</v>
      </c>
      <c r="D217" s="1178">
        <f>+IFERROR(VLOOKUP(B217,'Balance Local'!$B$8:$D$564,3,0),0)</f>
        <v>1678727</v>
      </c>
      <c r="E217" s="1168">
        <v>5214260</v>
      </c>
      <c r="F217" s="1168" t="s">
        <v>3438</v>
      </c>
      <c r="G217" s="1178">
        <f t="shared" si="3"/>
        <v>1678727</v>
      </c>
      <c r="H217" s="865">
        <f>+VLOOKUP(B217,'Balance Local'!$B$8:$B$560,1,0)</f>
        <v>2441112056</v>
      </c>
      <c r="I217" s="839"/>
      <c r="J217" s="839"/>
    </row>
    <row r="218" spans="2:10" s="865" customFormat="1" hidden="1">
      <c r="B218" s="1168">
        <v>2441112160</v>
      </c>
      <c r="C218" s="1168" t="s">
        <v>3020</v>
      </c>
      <c r="D218" s="1178">
        <f>+IFERROR(VLOOKUP(B218,'Balance Local'!$B$8:$D$564,3,0),0)</f>
        <v>-423966098</v>
      </c>
      <c r="E218" s="1168">
        <v>5214260</v>
      </c>
      <c r="F218" s="1168" t="s">
        <v>3438</v>
      </c>
      <c r="G218" s="1178">
        <f t="shared" si="3"/>
        <v>-423966098</v>
      </c>
      <c r="H218" s="865">
        <f>+VLOOKUP(B218,'Balance Local'!$B$8:$B$560,1,0)</f>
        <v>2441112160</v>
      </c>
      <c r="I218" s="839"/>
      <c r="J218" s="839"/>
    </row>
    <row r="219" spans="2:10" s="865" customFormat="1" hidden="1">
      <c r="B219" s="1168">
        <v>2441112200</v>
      </c>
      <c r="C219" s="1168" t="s">
        <v>3021</v>
      </c>
      <c r="D219" s="1178">
        <f>+IFERROR(VLOOKUP(B219,'Balance Local'!$B$8:$D$564,3,0),0)</f>
        <v>-225655262</v>
      </c>
      <c r="E219" s="1168">
        <v>5214260</v>
      </c>
      <c r="F219" s="1168" t="s">
        <v>3438</v>
      </c>
      <c r="G219" s="1178">
        <f t="shared" si="3"/>
        <v>-225655262</v>
      </c>
      <c r="H219" s="865">
        <f>+VLOOKUP(B219,'Balance Local'!$B$8:$B$560,1,0)</f>
        <v>2441112200</v>
      </c>
      <c r="I219" s="839"/>
      <c r="J219" s="839"/>
    </row>
    <row r="220" spans="2:10" s="865" customFormat="1" hidden="1">
      <c r="B220" s="1168">
        <v>2441112300</v>
      </c>
      <c r="C220" s="1168" t="s">
        <v>3022</v>
      </c>
      <c r="D220" s="1178">
        <f>+IFERROR(VLOOKUP(B220,'Balance Local'!$B$8:$D$564,3,0),0)</f>
        <v>-1110336876</v>
      </c>
      <c r="E220" s="1168">
        <v>5214260</v>
      </c>
      <c r="F220" s="1168" t="s">
        <v>3438</v>
      </c>
      <c r="G220" s="1178">
        <f t="shared" si="3"/>
        <v>-1110336876</v>
      </c>
      <c r="H220" s="865">
        <f>+VLOOKUP(B220,'Balance Local'!$B$8:$B$560,1,0)</f>
        <v>2441112300</v>
      </c>
      <c r="I220" s="839"/>
      <c r="J220" s="839"/>
    </row>
    <row r="221" spans="2:10" s="865" customFormat="1" hidden="1">
      <c r="B221" s="1168">
        <v>2442100006</v>
      </c>
      <c r="C221" s="1168" t="s">
        <v>3023</v>
      </c>
      <c r="D221" s="1178">
        <f>+IFERROR(VLOOKUP(B221,'Balance Local'!$B$8:$D$564,3,0),0)</f>
        <v>19276497</v>
      </c>
      <c r="E221" s="1168">
        <v>5214220</v>
      </c>
      <c r="F221" s="1168" t="s">
        <v>3442</v>
      </c>
      <c r="G221" s="1178">
        <f t="shared" si="3"/>
        <v>19276497</v>
      </c>
      <c r="H221" s="865">
        <f>+VLOOKUP(B221,'Balance Local'!$B$8:$B$560,1,0)</f>
        <v>2442100006</v>
      </c>
      <c r="I221" s="839"/>
      <c r="J221" s="839"/>
    </row>
    <row r="222" spans="2:10" s="865" customFormat="1" hidden="1">
      <c r="B222" s="1168">
        <v>2442100010</v>
      </c>
      <c r="C222" s="1168" t="s">
        <v>3024</v>
      </c>
      <c r="D222" s="1178">
        <f>+IFERROR(VLOOKUP(B222,'Balance Local'!$B$8:$D$564,3,0),0)</f>
        <v>-1033315221</v>
      </c>
      <c r="E222" s="1168">
        <v>5214220</v>
      </c>
      <c r="F222" s="1168" t="s">
        <v>3442</v>
      </c>
      <c r="G222" s="1178">
        <f t="shared" si="3"/>
        <v>-1033315221</v>
      </c>
      <c r="H222" s="865">
        <f>+VLOOKUP(B222,'Balance Local'!$B$8:$B$560,1,0)</f>
        <v>2442100010</v>
      </c>
      <c r="I222" s="839"/>
      <c r="J222" s="839"/>
    </row>
    <row r="223" spans="2:10" s="865" customFormat="1" hidden="1">
      <c r="B223" s="1168">
        <v>2442300000</v>
      </c>
      <c r="C223" s="1168" t="s">
        <v>3443</v>
      </c>
      <c r="D223" s="1178">
        <f>+IFERROR(VLOOKUP(B223,'Balance Local'!$B$8:$D$564,3,0),0)</f>
        <v>-171539024</v>
      </c>
      <c r="E223" s="1168">
        <v>5214260</v>
      </c>
      <c r="F223" s="1168" t="s">
        <v>3438</v>
      </c>
      <c r="G223" s="1178">
        <f t="shared" si="3"/>
        <v>-171539024</v>
      </c>
      <c r="H223" s="865">
        <f>+VLOOKUP(B223,'Balance Local'!$B$8:$B$560,1,0)</f>
        <v>2442300000</v>
      </c>
      <c r="I223" s="839"/>
      <c r="J223" s="839"/>
    </row>
    <row r="224" spans="2:10" s="865" customFormat="1" hidden="1">
      <c r="B224" s="1168">
        <v>2442300003</v>
      </c>
      <c r="C224" s="1168" t="s">
        <v>3026</v>
      </c>
      <c r="D224" s="1178">
        <f>+IFERROR(VLOOKUP(B224,'Balance Local'!$B$8:$D$564,3,0),0)</f>
        <v>-22673898</v>
      </c>
      <c r="E224" s="1168">
        <v>5214260</v>
      </c>
      <c r="F224" s="1168" t="s">
        <v>3438</v>
      </c>
      <c r="G224" s="1178">
        <f t="shared" si="3"/>
        <v>-22673898</v>
      </c>
      <c r="H224" s="865">
        <f>+VLOOKUP(B224,'Balance Local'!$B$8:$B$560,1,0)</f>
        <v>2442300003</v>
      </c>
      <c r="I224" s="839"/>
      <c r="J224" s="839"/>
    </row>
    <row r="225" spans="1:10" s="865" customFormat="1" hidden="1">
      <c r="B225" s="1168">
        <v>2442300011</v>
      </c>
      <c r="C225" s="1168" t="s">
        <v>3027</v>
      </c>
      <c r="D225" s="1178">
        <f>+IFERROR(VLOOKUP(B225,'Balance Local'!$B$8:$D$564,3,0),0)</f>
        <v>-547619914</v>
      </c>
      <c r="E225" s="1168">
        <v>5214260</v>
      </c>
      <c r="F225" s="1168" t="s">
        <v>3438</v>
      </c>
      <c r="G225" s="1178">
        <f t="shared" si="3"/>
        <v>-547619914</v>
      </c>
      <c r="H225" s="865">
        <f>+VLOOKUP(B225,'Balance Local'!$B$8:$B$560,1,0)</f>
        <v>2442300011</v>
      </c>
      <c r="I225" s="839"/>
      <c r="J225" s="839"/>
    </row>
    <row r="226" spans="1:10" s="865" customFormat="1" hidden="1">
      <c r="A226" s="866"/>
      <c r="B226" s="1168">
        <v>2442850000</v>
      </c>
      <c r="C226" s="902" t="s">
        <v>3028</v>
      </c>
      <c r="D226" s="1178">
        <f>+IFERROR(VLOOKUP(B226,'Balance Local'!$B$8:$D$564,3,0),0)</f>
        <v>-3542856307</v>
      </c>
      <c r="E226" s="1168">
        <v>5214260</v>
      </c>
      <c r="F226" s="1168" t="s">
        <v>3438</v>
      </c>
      <c r="G226" s="1178">
        <f t="shared" si="3"/>
        <v>-3542856307</v>
      </c>
      <c r="H226" s="865">
        <f>+VLOOKUP(B226,'Balance Local'!$B$8:$B$560,1,0)</f>
        <v>2442850000</v>
      </c>
      <c r="I226" s="839"/>
      <c r="J226" s="868"/>
    </row>
    <row r="227" spans="1:10" s="865" customFormat="1" hidden="1">
      <c r="B227" s="1168">
        <v>2443010007</v>
      </c>
      <c r="C227" s="1168" t="s">
        <v>3029</v>
      </c>
      <c r="D227" s="1178">
        <f>+IFERROR(VLOOKUP(B227,'Balance Local'!$B$8:$D$564,3,0),0)</f>
        <v>-68327344</v>
      </c>
      <c r="E227" s="1168">
        <v>5214240</v>
      </c>
      <c r="F227" s="1168" t="s">
        <v>3441</v>
      </c>
      <c r="G227" s="1178">
        <f t="shared" si="3"/>
        <v>-68327344</v>
      </c>
      <c r="H227" s="865">
        <f>+VLOOKUP(B227,'Balance Local'!$B$8:$B$560,1,0)</f>
        <v>2443010007</v>
      </c>
      <c r="I227" s="839"/>
      <c r="J227" s="839"/>
    </row>
    <row r="228" spans="1:10" s="865" customFormat="1" hidden="1">
      <c r="B228" s="1168">
        <v>2443010008</v>
      </c>
      <c r="C228" s="1168" t="s">
        <v>3030</v>
      </c>
      <c r="D228" s="1178">
        <f>+IFERROR(VLOOKUP(B228,'Balance Local'!$B$8:$D$564,3,0),0)</f>
        <v>39196882</v>
      </c>
      <c r="E228" s="1168">
        <v>5153100</v>
      </c>
      <c r="F228" s="1168" t="s">
        <v>3389</v>
      </c>
      <c r="G228" s="1178">
        <f t="shared" si="3"/>
        <v>39196882</v>
      </c>
      <c r="H228" s="865">
        <f>+VLOOKUP(B228,'Balance Local'!$B$8:$B$560,1,0)</f>
        <v>2443010008</v>
      </c>
      <c r="I228" s="839"/>
      <c r="J228" s="839"/>
    </row>
    <row r="229" spans="1:10" s="865" customFormat="1" hidden="1">
      <c r="B229" s="1168">
        <v>2443010022</v>
      </c>
      <c r="C229" s="1168" t="s">
        <v>3031</v>
      </c>
      <c r="D229" s="1178">
        <f>+IFERROR(VLOOKUP(B229,'Balance Local'!$B$8:$D$564,3,0),0)</f>
        <v>-778392</v>
      </c>
      <c r="E229" s="1168">
        <v>5214240</v>
      </c>
      <c r="F229" s="1168" t="s">
        <v>3441</v>
      </c>
      <c r="G229" s="1178">
        <f t="shared" si="3"/>
        <v>-778392</v>
      </c>
      <c r="H229" s="865">
        <f>+VLOOKUP(B229,'Balance Local'!$B$8:$B$560,1,0)</f>
        <v>2443010022</v>
      </c>
      <c r="I229" s="839"/>
      <c r="J229" s="839"/>
    </row>
    <row r="230" spans="1:10" s="865" customFormat="1" hidden="1">
      <c r="B230" s="1168">
        <v>2443010026</v>
      </c>
      <c r="C230" s="1168" t="s">
        <v>3032</v>
      </c>
      <c r="D230" s="1178">
        <f>+IFERROR(VLOOKUP(B230,'Balance Local'!$B$8:$D$564,3,0),0)</f>
        <v>-29714445</v>
      </c>
      <c r="E230" s="1168">
        <v>5214260</v>
      </c>
      <c r="F230" s="1168" t="s">
        <v>3438</v>
      </c>
      <c r="G230" s="1178">
        <f t="shared" si="3"/>
        <v>-29714445</v>
      </c>
      <c r="H230" s="865">
        <f>+VLOOKUP(B230,'Balance Local'!$B$8:$B$560,1,0)</f>
        <v>2443010026</v>
      </c>
      <c r="I230" s="839"/>
      <c r="J230" s="839"/>
    </row>
    <row r="231" spans="1:10" s="865" customFormat="1" hidden="1">
      <c r="A231" s="866"/>
      <c r="B231" s="844">
        <v>2443010029</v>
      </c>
      <c r="C231" s="867" t="s">
        <v>3746</v>
      </c>
      <c r="D231" s="1178">
        <f>+IFERROR(VLOOKUP(B231,'Balance Local'!$B$8:$D$564,3,0),0)</f>
        <v>-2180154346</v>
      </c>
      <c r="E231" s="1168">
        <v>5214260</v>
      </c>
      <c r="F231" s="1168" t="s">
        <v>3438</v>
      </c>
      <c r="G231" s="1178">
        <f t="shared" si="3"/>
        <v>-2180154346</v>
      </c>
      <c r="H231" s="865">
        <f>+VLOOKUP(B231,'Balance Local'!$B$8:$B$560,1,0)</f>
        <v>2443010029</v>
      </c>
      <c r="I231" s="839"/>
      <c r="J231" s="868"/>
    </row>
    <row r="232" spans="1:10" s="865" customFormat="1" hidden="1">
      <c r="B232" s="1168">
        <v>2443510010</v>
      </c>
      <c r="C232" s="1168" t="s">
        <v>3444</v>
      </c>
      <c r="D232" s="1178">
        <f>+IFERROR(VLOOKUP(B232,'Balance Local'!$B$8:$D$564,3,0),0)</f>
        <v>0</v>
      </c>
      <c r="E232" s="1168">
        <v>5153500</v>
      </c>
      <c r="F232" s="1168" t="s">
        <v>3415</v>
      </c>
      <c r="G232" s="1178">
        <f t="shared" si="3"/>
        <v>0</v>
      </c>
      <c r="H232" s="865" t="e">
        <f>+VLOOKUP(B232,'Balance Local'!$B$8:$B$560,1,0)</f>
        <v>#N/A</v>
      </c>
      <c r="I232" s="839"/>
      <c r="J232" s="839"/>
    </row>
    <row r="233" spans="1:10" s="865" customFormat="1" hidden="1">
      <c r="B233" s="1168">
        <v>2443510046</v>
      </c>
      <c r="C233" s="1168" t="s">
        <v>3033</v>
      </c>
      <c r="D233" s="1178">
        <f>+IFERROR(VLOOKUP(B233,'Balance Local'!$B$8:$D$564,3,0),0)</f>
        <v>-1295862412</v>
      </c>
      <c r="E233" s="1168">
        <v>5214260</v>
      </c>
      <c r="F233" s="1168" t="s">
        <v>3438</v>
      </c>
      <c r="G233" s="1178">
        <f t="shared" si="3"/>
        <v>-1295862412</v>
      </c>
      <c r="H233" s="865">
        <f>+VLOOKUP(B233,'Balance Local'!$B$8:$B$560,1,0)</f>
        <v>2443510046</v>
      </c>
      <c r="I233" s="839"/>
      <c r="J233" s="839"/>
    </row>
    <row r="234" spans="1:10" s="865" customFormat="1" hidden="1">
      <c r="B234" s="1168">
        <v>2455200004</v>
      </c>
      <c r="C234" s="1168" t="s">
        <v>3034</v>
      </c>
      <c r="D234" s="1178">
        <f>+IFERROR(VLOOKUP(B234,'Balance Local'!$B$8:$D$564,3,0),0)</f>
        <v>-9096199</v>
      </c>
      <c r="E234" s="1168">
        <v>5214260</v>
      </c>
      <c r="F234" s="1168" t="s">
        <v>3438</v>
      </c>
      <c r="G234" s="1178">
        <f t="shared" si="3"/>
        <v>-9096199</v>
      </c>
      <c r="H234" s="865">
        <f>+VLOOKUP(B234,'Balance Local'!$B$8:$B$560,1,0)</f>
        <v>2455200004</v>
      </c>
      <c r="I234" s="839"/>
      <c r="J234" s="839"/>
    </row>
    <row r="235" spans="1:10" s="865" customFormat="1" hidden="1">
      <c r="B235" s="1168">
        <v>2456100009</v>
      </c>
      <c r="C235" s="1168" t="s">
        <v>3035</v>
      </c>
      <c r="D235" s="1178">
        <f>+IFERROR(VLOOKUP(B235,'Balance Local'!$B$8:$D$564,3,0),0)</f>
        <v>-513652</v>
      </c>
      <c r="E235" s="1168">
        <v>5214260</v>
      </c>
      <c r="F235" s="1168" t="s">
        <v>3438</v>
      </c>
      <c r="G235" s="1178">
        <f t="shared" si="3"/>
        <v>-513652</v>
      </c>
      <c r="H235" s="865">
        <f>+VLOOKUP(B235,'Balance Local'!$B$8:$B$560,1,0)</f>
        <v>2456100009</v>
      </c>
      <c r="I235" s="839"/>
      <c r="J235" s="839"/>
    </row>
    <row r="236" spans="1:10" s="865" customFormat="1" hidden="1">
      <c r="B236" s="1168">
        <v>2456200002</v>
      </c>
      <c r="C236" s="1168" t="s">
        <v>3036</v>
      </c>
      <c r="D236" s="1178">
        <f>+IFERROR(VLOOKUP(B236,'Balance Local'!$B$8:$D$564,3,0),0)</f>
        <v>406799593</v>
      </c>
      <c r="E236" s="1168">
        <v>5213210</v>
      </c>
      <c r="F236" s="1168" t="s">
        <v>3434</v>
      </c>
      <c r="G236" s="1178">
        <f t="shared" si="3"/>
        <v>406799593</v>
      </c>
      <c r="H236" s="865">
        <f>+VLOOKUP(B236,'Balance Local'!$B$8:$B$560,1,0)</f>
        <v>2456200002</v>
      </c>
      <c r="I236" s="839"/>
      <c r="J236" s="839"/>
    </row>
    <row r="237" spans="1:10" s="865" customFormat="1" hidden="1">
      <c r="B237" s="1168">
        <v>2456300002</v>
      </c>
      <c r="C237" s="1168" t="s">
        <v>3037</v>
      </c>
      <c r="D237" s="1178">
        <f>+IFERROR(VLOOKUP(B237,'Balance Local'!$B$8:$D$564,3,0),0)</f>
        <v>-904586394</v>
      </c>
      <c r="E237" s="1168">
        <v>5214260</v>
      </c>
      <c r="F237" s="1168" t="s">
        <v>3438</v>
      </c>
      <c r="G237" s="1178">
        <f t="shared" si="3"/>
        <v>-904586394</v>
      </c>
      <c r="H237" s="865">
        <f>+VLOOKUP(B237,'Balance Local'!$B$8:$B$560,1,0)</f>
        <v>2456300002</v>
      </c>
      <c r="I237" s="839"/>
      <c r="J237" s="839"/>
    </row>
    <row r="238" spans="1:10" s="865" customFormat="1" hidden="1">
      <c r="B238" s="1168">
        <v>2471010003</v>
      </c>
      <c r="C238" s="1168" t="s">
        <v>3038</v>
      </c>
      <c r="D238" s="1178">
        <f>+IFERROR(VLOOKUP(B238,'Balance Local'!$B$8:$D$564,3,0),0)</f>
        <v>-523262959</v>
      </c>
      <c r="E238" s="1168">
        <v>5214240</v>
      </c>
      <c r="F238" s="1168" t="s">
        <v>3441</v>
      </c>
      <c r="G238" s="1178">
        <f t="shared" si="3"/>
        <v>-523262959</v>
      </c>
      <c r="H238" s="865">
        <f>+VLOOKUP(B238,'Balance Local'!$B$8:$B$560,1,0)</f>
        <v>2471010003</v>
      </c>
      <c r="I238" s="839"/>
      <c r="J238" s="839"/>
    </row>
    <row r="239" spans="1:10" s="865" customFormat="1" hidden="1">
      <c r="A239" s="866"/>
      <c r="B239" s="1168">
        <v>2471010004</v>
      </c>
      <c r="C239" s="902" t="s">
        <v>3039</v>
      </c>
      <c r="D239" s="1178">
        <f>+IFERROR(VLOOKUP(B239,'Balance Local'!$B$8:$D$564,3,0),0)</f>
        <v>0</v>
      </c>
      <c r="E239" s="1168">
        <v>5214260</v>
      </c>
      <c r="F239" s="1168" t="s">
        <v>3438</v>
      </c>
      <c r="G239" s="1178">
        <f t="shared" si="3"/>
        <v>0</v>
      </c>
      <c r="H239" s="865">
        <f>+VLOOKUP(B239,'Balance Local'!$B$8:$B$560,1,0)</f>
        <v>2471010004</v>
      </c>
      <c r="I239" s="839"/>
      <c r="J239" s="868"/>
    </row>
    <row r="240" spans="1:10" s="865" customFormat="1" hidden="1">
      <c r="B240" s="1168">
        <v>2490210000</v>
      </c>
      <c r="C240" s="1168" t="s">
        <v>3040</v>
      </c>
      <c r="D240" s="1178">
        <f>+IFERROR(VLOOKUP(B240,'Balance Local'!$B$8:$D$564,3,0),0)</f>
        <v>-954457762</v>
      </c>
      <c r="E240" s="1168">
        <v>5214211</v>
      </c>
      <c r="F240" s="1168" t="s">
        <v>3440</v>
      </c>
      <c r="G240" s="1178">
        <f t="shared" si="3"/>
        <v>-954457762</v>
      </c>
      <c r="H240" s="865">
        <f>+VLOOKUP(B240,'Balance Local'!$B$8:$B$560,1,0)</f>
        <v>2490210000</v>
      </c>
      <c r="I240" s="839"/>
      <c r="J240" s="839"/>
    </row>
    <row r="241" spans="1:10" s="865" customFormat="1" hidden="1">
      <c r="B241" s="1168">
        <v>2490500003</v>
      </c>
      <c r="C241" s="1168" t="s">
        <v>3041</v>
      </c>
      <c r="D241" s="1178">
        <f>+IFERROR(VLOOKUP(B241,'Balance Local'!$B$8:$D$564,3,0),0)</f>
        <v>-353973599</v>
      </c>
      <c r="E241" s="1168">
        <v>5214211</v>
      </c>
      <c r="F241" s="1168" t="s">
        <v>3440</v>
      </c>
      <c r="G241" s="1178">
        <f t="shared" si="3"/>
        <v>-353973599</v>
      </c>
      <c r="H241" s="865">
        <f>+VLOOKUP(B241,'Balance Local'!$B$8:$B$560,1,0)</f>
        <v>2490500003</v>
      </c>
      <c r="I241" s="839"/>
      <c r="J241" s="839"/>
    </row>
    <row r="242" spans="1:10" s="865" customFormat="1" hidden="1">
      <c r="B242" s="1168">
        <v>2490500009</v>
      </c>
      <c r="C242" s="1168" t="s">
        <v>3042</v>
      </c>
      <c r="D242" s="1178">
        <f>+IFERROR(VLOOKUP(B242,'Balance Local'!$B$8:$D$564,3,0),0)</f>
        <v>254886</v>
      </c>
      <c r="E242" s="1168">
        <v>5214211</v>
      </c>
      <c r="F242" s="1168" t="s">
        <v>3440</v>
      </c>
      <c r="G242" s="1178">
        <f t="shared" si="3"/>
        <v>254886</v>
      </c>
      <c r="H242" s="865">
        <f>+VLOOKUP(B242,'Balance Local'!$B$8:$B$560,1,0)</f>
        <v>2490500009</v>
      </c>
      <c r="I242" s="839"/>
      <c r="J242" s="839"/>
    </row>
    <row r="243" spans="1:10" s="865" customFormat="1" hidden="1">
      <c r="B243" s="1168">
        <v>2490500014</v>
      </c>
      <c r="C243" s="1168" t="s">
        <v>3043</v>
      </c>
      <c r="D243" s="1178">
        <f>+IFERROR(VLOOKUP(B243,'Balance Local'!$B$8:$D$564,3,0),0)</f>
        <v>-28819297</v>
      </c>
      <c r="E243" s="1168">
        <v>5214211</v>
      </c>
      <c r="F243" s="1168" t="s">
        <v>3440</v>
      </c>
      <c r="G243" s="1178">
        <f t="shared" si="3"/>
        <v>-28819297</v>
      </c>
      <c r="H243" s="865">
        <f>+VLOOKUP(B243,'Balance Local'!$B$8:$B$560,1,0)</f>
        <v>2490500014</v>
      </c>
      <c r="I243" s="839"/>
      <c r="J243" s="839"/>
    </row>
    <row r="244" spans="1:10" s="865" customFormat="1" hidden="1">
      <c r="B244" s="1168">
        <v>2490500043</v>
      </c>
      <c r="C244" s="1168" t="s">
        <v>3044</v>
      </c>
      <c r="D244" s="1178">
        <f>+IFERROR(VLOOKUP(B244,'Balance Local'!$B$8:$D$564,3,0),0)</f>
        <v>-4773204</v>
      </c>
      <c r="E244" s="1168">
        <v>5214260</v>
      </c>
      <c r="F244" s="1168" t="s">
        <v>3438</v>
      </c>
      <c r="G244" s="1178">
        <f t="shared" si="3"/>
        <v>-4773204</v>
      </c>
      <c r="H244" s="865">
        <f>+VLOOKUP(B244,'Balance Local'!$B$8:$B$560,1,0)</f>
        <v>2490500043</v>
      </c>
      <c r="I244" s="839"/>
      <c r="J244" s="839"/>
    </row>
    <row r="245" spans="1:10" s="865" customFormat="1" hidden="1">
      <c r="B245" s="1168">
        <v>2490500048</v>
      </c>
      <c r="C245" s="1168" t="s">
        <v>3045</v>
      </c>
      <c r="D245" s="1178">
        <f>+IFERROR(VLOOKUP(B245,'Balance Local'!$B$8:$D$564,3,0),0)</f>
        <v>-1214136</v>
      </c>
      <c r="E245" s="1168">
        <v>5214211</v>
      </c>
      <c r="F245" s="1168" t="s">
        <v>3440</v>
      </c>
      <c r="G245" s="1178">
        <f t="shared" si="3"/>
        <v>-1214136</v>
      </c>
      <c r="H245" s="865">
        <f>+VLOOKUP(B245,'Balance Local'!$B$8:$B$560,1,0)</f>
        <v>2490500048</v>
      </c>
      <c r="I245" s="839"/>
      <c r="J245" s="839"/>
    </row>
    <row r="246" spans="1:10" s="865" customFormat="1" hidden="1">
      <c r="B246" s="1168">
        <v>2490500054</v>
      </c>
      <c r="C246" s="1168" t="s">
        <v>3046</v>
      </c>
      <c r="D246" s="1178">
        <f>+IFERROR(VLOOKUP(B246,'Balance Local'!$B$8:$D$564,3,0),0)</f>
        <v>-8302644</v>
      </c>
      <c r="E246" s="1168">
        <v>5214211</v>
      </c>
      <c r="F246" s="1168" t="s">
        <v>3440</v>
      </c>
      <c r="G246" s="1178">
        <f t="shared" si="3"/>
        <v>-8302644</v>
      </c>
      <c r="H246" s="865">
        <f>+VLOOKUP(B246,'Balance Local'!$B$8:$B$560,1,0)</f>
        <v>2490500054</v>
      </c>
      <c r="I246" s="839"/>
      <c r="J246" s="839"/>
    </row>
    <row r="247" spans="1:10" s="865" customFormat="1" hidden="1">
      <c r="B247" s="1168">
        <v>2490910030</v>
      </c>
      <c r="C247" s="1168" t="s">
        <v>3047</v>
      </c>
      <c r="D247" s="1178">
        <f>+IFERROR(VLOOKUP(B247,'Balance Local'!$B$8:$D$564,3,0),0)</f>
        <v>-18053654</v>
      </c>
      <c r="E247" s="1168">
        <v>5214211</v>
      </c>
      <c r="F247" s="1168" t="s">
        <v>3440</v>
      </c>
      <c r="G247" s="1178">
        <f t="shared" si="3"/>
        <v>-18053654</v>
      </c>
      <c r="H247" s="865">
        <f>+VLOOKUP(B247,'Balance Local'!$B$8:$B$560,1,0)</f>
        <v>2490910030</v>
      </c>
      <c r="I247" s="839"/>
      <c r="J247" s="839"/>
    </row>
    <row r="248" spans="1:10" s="865" customFormat="1" hidden="1">
      <c r="B248" s="1168">
        <v>2490910031</v>
      </c>
      <c r="C248" s="1168" t="s">
        <v>3445</v>
      </c>
      <c r="D248" s="1178">
        <f>+IFERROR(VLOOKUP(B248,'Balance Local'!$B$8:$D$564,3,0),0)</f>
        <v>-645319</v>
      </c>
      <c r="E248" s="1168">
        <v>5214211</v>
      </c>
      <c r="F248" s="1168" t="s">
        <v>3440</v>
      </c>
      <c r="G248" s="1178">
        <f t="shared" si="3"/>
        <v>-645319</v>
      </c>
      <c r="H248" s="865">
        <f>+VLOOKUP(B248,'Balance Local'!$B$8:$B$560,1,0)</f>
        <v>2490910031</v>
      </c>
      <c r="I248" s="839"/>
      <c r="J248" s="839"/>
    </row>
    <row r="249" spans="1:10" s="865" customFormat="1" hidden="1">
      <c r="B249" s="1168">
        <v>2521210000</v>
      </c>
      <c r="C249" s="1168" t="s">
        <v>3048</v>
      </c>
      <c r="D249" s="1178">
        <f>+IFERROR(VLOOKUP(B249,'Balance Local'!$B$8:$D$564,3,0),0)</f>
        <v>-691953352</v>
      </c>
      <c r="E249" s="1245">
        <v>5214100</v>
      </c>
      <c r="F249" s="1245" t="s">
        <v>3640</v>
      </c>
      <c r="G249" s="1178">
        <f t="shared" si="3"/>
        <v>-691953352</v>
      </c>
      <c r="H249" s="865">
        <f>+VLOOKUP(B249,'Balance Local'!$B$8:$B$560,1,0)</f>
        <v>2521210000</v>
      </c>
      <c r="I249" s="839"/>
      <c r="J249" s="839"/>
    </row>
    <row r="250" spans="1:10" s="865" customFormat="1" hidden="1">
      <c r="B250" s="1168">
        <v>2522140000</v>
      </c>
      <c r="C250" s="1168" t="s">
        <v>3049</v>
      </c>
      <c r="D250" s="1178">
        <f>+IFERROR(VLOOKUP(B250,'Balance Local'!$B$8:$D$564,3,0),0)</f>
        <v>0</v>
      </c>
      <c r="E250" s="1168">
        <v>5214240</v>
      </c>
      <c r="F250" s="1168" t="s">
        <v>3441</v>
      </c>
      <c r="G250" s="1178">
        <f t="shared" si="3"/>
        <v>0</v>
      </c>
      <c r="H250" s="865">
        <f>+VLOOKUP(B250,'Balance Local'!$B$8:$B$560,1,0)</f>
        <v>2522140000</v>
      </c>
      <c r="I250" s="839"/>
      <c r="J250" s="839"/>
    </row>
    <row r="251" spans="1:10" s="865" customFormat="1" hidden="1">
      <c r="B251" s="1168">
        <v>2522190000</v>
      </c>
      <c r="C251" s="1168" t="s">
        <v>3050</v>
      </c>
      <c r="D251" s="1178">
        <f>+IFERROR(VLOOKUP(B251,'Balance Local'!$B$8:$D$564,3,0),0)</f>
        <v>0</v>
      </c>
      <c r="E251" s="1168">
        <v>5214240</v>
      </c>
      <c r="F251" s="1168" t="s">
        <v>3441</v>
      </c>
      <c r="G251" s="1178">
        <f t="shared" si="3"/>
        <v>0</v>
      </c>
      <c r="H251" s="865">
        <f>+VLOOKUP(B251,'Balance Local'!$B$8:$B$560,1,0)</f>
        <v>2522190000</v>
      </c>
      <c r="I251" s="839"/>
      <c r="J251" s="839"/>
    </row>
    <row r="252" spans="1:10" s="865" customFormat="1" hidden="1">
      <c r="B252" s="1168">
        <v>2522510000</v>
      </c>
      <c r="C252" s="1168" t="s">
        <v>3446</v>
      </c>
      <c r="D252" s="1178">
        <f>+IFERROR(VLOOKUP(B252,'Balance Local'!$B$8:$D$564,3,0),0)</f>
        <v>0</v>
      </c>
      <c r="E252" s="1168">
        <v>5214260</v>
      </c>
      <c r="F252" s="1168" t="s">
        <v>3438</v>
      </c>
      <c r="G252" s="1178">
        <f t="shared" si="3"/>
        <v>0</v>
      </c>
      <c r="H252" s="865" t="e">
        <f>+VLOOKUP(B252,'Balance Local'!$B$8:$B$560,1,0)</f>
        <v>#N/A</v>
      </c>
      <c r="I252" s="839"/>
      <c r="J252" s="839"/>
    </row>
    <row r="253" spans="1:10" s="865" customFormat="1" hidden="1">
      <c r="A253" s="866"/>
      <c r="B253" s="1231">
        <v>2525110000</v>
      </c>
      <c r="C253" s="1230" t="s">
        <v>3018</v>
      </c>
      <c r="D253" s="1229">
        <f>+IFERROR(VLOOKUP(B253,'Balance Local'!$B$8:$D$564,3,0),0)</f>
        <v>-363303412</v>
      </c>
      <c r="E253" s="1231">
        <v>5214100</v>
      </c>
      <c r="F253" s="1231" t="s">
        <v>3640</v>
      </c>
      <c r="G253" s="1178">
        <f t="shared" si="3"/>
        <v>-363303412</v>
      </c>
      <c r="H253" s="865">
        <f>+VLOOKUP(B253,'Balance Local'!$B$8:$B$560,1,0)</f>
        <v>2525110000</v>
      </c>
      <c r="I253" s="839"/>
      <c r="J253" s="868"/>
    </row>
    <row r="254" spans="1:10" s="865" customFormat="1" hidden="1">
      <c r="B254" s="1231">
        <v>2525110006</v>
      </c>
      <c r="C254" s="1231" t="s">
        <v>3051</v>
      </c>
      <c r="D254" s="1229">
        <f>+IFERROR(VLOOKUP(B254,'Balance Local'!$B$8:$D$564,3,0),0)</f>
        <v>-629417532</v>
      </c>
      <c r="E254" s="1231">
        <v>5214100</v>
      </c>
      <c r="F254" s="1231" t="s">
        <v>3640</v>
      </c>
      <c r="G254" s="1178">
        <f t="shared" si="3"/>
        <v>-629417532</v>
      </c>
      <c r="H254" s="865">
        <f>+VLOOKUP(B254,'Balance Local'!$B$8:$B$560,1,0)</f>
        <v>2525110006</v>
      </c>
      <c r="I254" s="839"/>
      <c r="J254" s="839"/>
    </row>
    <row r="255" spans="1:10" s="865" customFormat="1" hidden="1">
      <c r="B255" s="1168">
        <v>2529020100</v>
      </c>
      <c r="C255" s="1168" t="s">
        <v>3052</v>
      </c>
      <c r="D255" s="1178">
        <f>+IFERROR(VLOOKUP(B255,'Balance Local'!$B$8:$D$564,3,0),0)</f>
        <v>-216253391</v>
      </c>
      <c r="E255" s="1168">
        <v>5214211</v>
      </c>
      <c r="F255" s="1168" t="s">
        <v>3447</v>
      </c>
      <c r="G255" s="1178">
        <f t="shared" si="3"/>
        <v>-216253391</v>
      </c>
      <c r="H255" s="865">
        <f>+VLOOKUP(B255,'Balance Local'!$B$8:$B$560,1,0)</f>
        <v>2529020100</v>
      </c>
      <c r="I255" s="839"/>
      <c r="J255" s="839"/>
    </row>
    <row r="256" spans="1:10" s="865" customFormat="1" hidden="1">
      <c r="B256" s="1168">
        <v>2529110000</v>
      </c>
      <c r="C256" s="1168" t="s">
        <v>3053</v>
      </c>
      <c r="D256" s="1178">
        <f>+IFERROR(VLOOKUP(B256,'Balance Local'!$B$8:$D$564,3,0),0)</f>
        <v>-1950482509</v>
      </c>
      <c r="E256" s="1168">
        <v>5214211</v>
      </c>
      <c r="F256" s="1168" t="s">
        <v>3440</v>
      </c>
      <c r="G256" s="1178">
        <f t="shared" si="3"/>
        <v>-1950482509</v>
      </c>
      <c r="H256" s="865">
        <f>+VLOOKUP(B256,'Balance Local'!$B$8:$B$560,1,0)</f>
        <v>2529110000</v>
      </c>
      <c r="I256" s="839"/>
      <c r="J256" s="839"/>
    </row>
    <row r="257" spans="1:10" s="865" customFormat="1" hidden="1">
      <c r="B257" s="1168">
        <v>2539999100</v>
      </c>
      <c r="C257" s="1168" t="s">
        <v>3054</v>
      </c>
      <c r="D257" s="1178">
        <f>+IFERROR(VLOOKUP(B257,'Balance Local'!$B$8:$D$564,3,0),0)</f>
        <v>-1573441</v>
      </c>
      <c r="E257" s="1168">
        <v>5213220</v>
      </c>
      <c r="F257" s="1168" t="s">
        <v>3427</v>
      </c>
      <c r="G257" s="1178">
        <f t="shared" si="3"/>
        <v>-1573441</v>
      </c>
      <c r="H257" s="865">
        <f>+VLOOKUP(B257,'Balance Local'!$B$8:$B$560,1,0)</f>
        <v>2539999100</v>
      </c>
      <c r="I257" s="839"/>
      <c r="J257" s="839"/>
    </row>
    <row r="258" spans="1:10" s="865" customFormat="1" hidden="1">
      <c r="B258" s="1168">
        <v>2539999200</v>
      </c>
      <c r="C258" s="1168" t="s">
        <v>3055</v>
      </c>
      <c r="D258" s="1178">
        <f>+IFERROR(VLOOKUP(B258,'Balance Local'!$B$8:$D$564,3,0),0)</f>
        <v>14401801</v>
      </c>
      <c r="E258" s="1168">
        <v>5214260</v>
      </c>
      <c r="F258" s="1168" t="s">
        <v>3438</v>
      </c>
      <c r="G258" s="1178">
        <f t="shared" si="3"/>
        <v>14401801</v>
      </c>
      <c r="H258" s="865">
        <f>+VLOOKUP(B258,'Balance Local'!$B$8:$B$560,1,0)</f>
        <v>2539999200</v>
      </c>
      <c r="I258" s="839"/>
      <c r="J258" s="839"/>
    </row>
    <row r="259" spans="1:10" s="865" customFormat="1" hidden="1">
      <c r="B259" s="1168">
        <v>2612110000</v>
      </c>
      <c r="C259" s="1168" t="s">
        <v>2897</v>
      </c>
      <c r="D259" s="1178">
        <f>+IFERROR(VLOOKUP(B259,'Balance Local'!$B$8:$D$564,3,0),0)</f>
        <v>0</v>
      </c>
      <c r="E259" s="1168">
        <v>5211000</v>
      </c>
      <c r="F259" s="1168" t="s">
        <v>3401</v>
      </c>
      <c r="G259" s="1178">
        <f t="shared" si="3"/>
        <v>0</v>
      </c>
      <c r="H259" s="865">
        <f>+VLOOKUP(B259,'Balance Local'!$B$8:$B$560,1,0)</f>
        <v>2612110000</v>
      </c>
      <c r="I259" s="839"/>
      <c r="J259" s="839"/>
    </row>
    <row r="260" spans="1:10" s="865" customFormat="1" hidden="1">
      <c r="B260" s="1168">
        <v>2616310000</v>
      </c>
      <c r="C260" s="1168" t="s">
        <v>2898</v>
      </c>
      <c r="D260" s="1178">
        <f>+IFERROR(VLOOKUP(B260,'Balance Local'!$B$8:$D$564,3,0),0)</f>
        <v>-69590312262</v>
      </c>
      <c r="E260" s="1168">
        <v>5113000</v>
      </c>
      <c r="F260" s="1168" t="s">
        <v>3394</v>
      </c>
      <c r="G260" s="1178">
        <f t="shared" si="3"/>
        <v>-69590312262</v>
      </c>
      <c r="H260" s="865">
        <f>+VLOOKUP(B260,'Balance Local'!$B$8:$B$560,1,0)</f>
        <v>2616310000</v>
      </c>
      <c r="I260" s="839"/>
      <c r="J260" s="839"/>
    </row>
    <row r="261" spans="1:10" s="865" customFormat="1" hidden="1">
      <c r="B261" s="1168">
        <v>2675100000</v>
      </c>
      <c r="C261" s="1168" t="s">
        <v>3056</v>
      </c>
      <c r="D261" s="1178">
        <f>+IFERROR(VLOOKUP(B261,'Balance Local'!$B$8:$D$564,3,0),0)</f>
        <v>-9310170684</v>
      </c>
      <c r="E261" s="1168">
        <v>5214260</v>
      </c>
      <c r="F261" s="1168" t="s">
        <v>3448</v>
      </c>
      <c r="G261" s="1178">
        <f t="shared" si="3"/>
        <v>-9310170684</v>
      </c>
      <c r="H261" s="865">
        <f>+VLOOKUP(B261,'Balance Local'!$B$8:$B$560,1,0)</f>
        <v>2675100000</v>
      </c>
      <c r="I261" s="839"/>
      <c r="J261" s="839"/>
    </row>
    <row r="262" spans="1:10" s="865" customFormat="1" hidden="1">
      <c r="B262" s="1168">
        <v>2713000000</v>
      </c>
      <c r="C262" s="1168" t="s">
        <v>3057</v>
      </c>
      <c r="D262" s="1178">
        <f>+IFERROR(VLOOKUP(B262,'Balance Local'!$B$8:$D$564,3,0),0)</f>
        <v>93627637</v>
      </c>
      <c r="E262" s="1168">
        <v>5213220</v>
      </c>
      <c r="F262" s="1168" t="s">
        <v>3427</v>
      </c>
      <c r="G262" s="1178">
        <f t="shared" si="3"/>
        <v>93627637</v>
      </c>
      <c r="H262" s="865">
        <f>+VLOOKUP(B262,'Balance Local'!$B$8:$B$560,1,0)</f>
        <v>2713000000</v>
      </c>
      <c r="I262" s="839"/>
      <c r="J262" s="839"/>
    </row>
    <row r="263" spans="1:10" s="865" customFormat="1" hidden="1">
      <c r="A263" s="866"/>
      <c r="B263" s="1168">
        <v>2723100000</v>
      </c>
      <c r="C263" s="902" t="s">
        <v>3058</v>
      </c>
      <c r="D263" s="1178">
        <f>+IFERROR(VLOOKUP(B263,'Balance Local'!$B$8:$D$564,3,0),0)</f>
        <v>0</v>
      </c>
      <c r="E263" s="1168">
        <v>5214260</v>
      </c>
      <c r="F263" s="1168" t="s">
        <v>3438</v>
      </c>
      <c r="G263" s="1178">
        <f t="shared" si="3"/>
        <v>0</v>
      </c>
      <c r="H263" s="865">
        <f>+VLOOKUP(B263,'Balance Local'!$B$8:$B$560,1,0)</f>
        <v>2723100000</v>
      </c>
      <c r="I263" s="839"/>
      <c r="J263" s="839"/>
    </row>
    <row r="264" spans="1:10" s="865" customFormat="1" hidden="1">
      <c r="B264" s="1231">
        <v>2723100002</v>
      </c>
      <c r="C264" s="1231" t="s">
        <v>3059</v>
      </c>
      <c r="D264" s="1229">
        <f>+IFERROR(VLOOKUP(B264,'Balance Local'!$B$8:$D$564,3,0),0)</f>
        <v>-30742255</v>
      </c>
      <c r="E264" s="1231">
        <v>5214100</v>
      </c>
      <c r="F264" s="1231" t="s">
        <v>3640</v>
      </c>
      <c r="G264" s="1178">
        <f t="shared" si="3"/>
        <v>-30742255</v>
      </c>
      <c r="H264" s="865">
        <f>+VLOOKUP(B264,'Balance Local'!$B$8:$B$560,1,0)</f>
        <v>2723100002</v>
      </c>
      <c r="I264" s="839"/>
      <c r="J264" s="839"/>
    </row>
    <row r="265" spans="1:10" s="865" customFormat="1" hidden="1">
      <c r="B265" s="1168">
        <v>2751110000</v>
      </c>
      <c r="C265" s="1168" t="s">
        <v>3060</v>
      </c>
      <c r="D265" s="1178">
        <f>+IFERROR(VLOOKUP(B265,'Balance Local'!$B$8:$D$564,3,0),0)</f>
        <v>-1857116141</v>
      </c>
      <c r="E265" s="1245">
        <v>5214100</v>
      </c>
      <c r="F265" s="1245" t="s">
        <v>3640</v>
      </c>
      <c r="G265" s="1178">
        <f t="shared" si="3"/>
        <v>-1857116141</v>
      </c>
      <c r="H265" s="865">
        <f>+VLOOKUP(B265,'Balance Local'!$B$8:$B$560,1,0)</f>
        <v>2751110000</v>
      </c>
      <c r="I265" s="839"/>
      <c r="J265" s="839"/>
    </row>
    <row r="266" spans="1:10" s="865" customFormat="1" hidden="1">
      <c r="B266" s="1168">
        <v>2751110023</v>
      </c>
      <c r="C266" s="1168" t="s">
        <v>3061</v>
      </c>
      <c r="D266" s="1178">
        <f>+IFERROR(VLOOKUP(B266,'Balance Local'!$B$8:$D$564,3,0),0)</f>
        <v>0</v>
      </c>
      <c r="E266" s="1168">
        <v>5214240</v>
      </c>
      <c r="F266" s="1168" t="s">
        <v>3441</v>
      </c>
      <c r="G266" s="1178">
        <f t="shared" ref="G266:G329" si="4">+D266</f>
        <v>0</v>
      </c>
      <c r="H266" s="865">
        <f>+VLOOKUP(B266,'Balance Local'!$B$8:$B$560,1,0)</f>
        <v>2751110023</v>
      </c>
      <c r="I266" s="839"/>
      <c r="J266" s="839"/>
    </row>
    <row r="267" spans="1:10" s="865" customFormat="1" hidden="1">
      <c r="B267" s="1168">
        <v>2751212000</v>
      </c>
      <c r="C267" s="1168" t="s">
        <v>3062</v>
      </c>
      <c r="D267" s="1178">
        <f>+IFERROR(VLOOKUP(B267,'Balance Local'!$B$8:$D$564,3,0),0)</f>
        <v>-297108560</v>
      </c>
      <c r="E267" s="1168">
        <v>5214240</v>
      </c>
      <c r="F267" s="1168" t="s">
        <v>3441</v>
      </c>
      <c r="G267" s="1178">
        <f t="shared" si="4"/>
        <v>-297108560</v>
      </c>
      <c r="H267" s="865">
        <f>+VLOOKUP(B267,'Balance Local'!$B$8:$B$560,1,0)</f>
        <v>2751212000</v>
      </c>
      <c r="I267" s="839"/>
      <c r="J267" s="839"/>
    </row>
    <row r="268" spans="1:10" s="865" customFormat="1" hidden="1">
      <c r="B268" s="1168">
        <v>2752410000</v>
      </c>
      <c r="C268" s="1168" t="s">
        <v>3063</v>
      </c>
      <c r="D268" s="1178">
        <f>+IFERROR(VLOOKUP(B268,'Balance Local'!$B$8:$D$564,3,0),0)</f>
        <v>-151811300</v>
      </c>
      <c r="E268" s="1168">
        <v>5214240</v>
      </c>
      <c r="F268" s="1168" t="s">
        <v>3441</v>
      </c>
      <c r="G268" s="1178">
        <f t="shared" si="4"/>
        <v>-151811300</v>
      </c>
      <c r="H268" s="865">
        <f>+VLOOKUP(B268,'Balance Local'!$B$8:$B$560,1,0)</f>
        <v>2752410000</v>
      </c>
      <c r="I268" s="839"/>
      <c r="J268" s="839"/>
    </row>
    <row r="269" spans="1:10" s="865" customFormat="1" hidden="1">
      <c r="B269" s="1168">
        <v>2901000000</v>
      </c>
      <c r="C269" s="1168" t="s">
        <v>3064</v>
      </c>
      <c r="D269" s="1178">
        <f>+IFERROR(VLOOKUP(B269,'Balance Local'!$B$8:$D$564,3,0),0)</f>
        <v>-47032213922</v>
      </c>
      <c r="E269" s="1168">
        <v>5221000</v>
      </c>
      <c r="F269" s="1168" t="s">
        <v>3449</v>
      </c>
      <c r="G269" s="1178">
        <f t="shared" si="4"/>
        <v>-47032213922</v>
      </c>
      <c r="H269" s="865">
        <f>+VLOOKUP(B269,'Balance Local'!$B$8:$B$560,1,0)</f>
        <v>2901000000</v>
      </c>
      <c r="I269" s="839"/>
      <c r="J269" s="839"/>
    </row>
    <row r="270" spans="1:10" s="865" customFormat="1" hidden="1">
      <c r="A270" s="866"/>
      <c r="B270" s="844">
        <v>2922050102</v>
      </c>
      <c r="C270" s="867" t="s">
        <v>3065</v>
      </c>
      <c r="D270" s="1178">
        <f>+IFERROR(VLOOKUP(B270,'Balance Local'!$B$8:$D$564,3,0),0)</f>
        <v>0</v>
      </c>
      <c r="E270" s="1168">
        <v>5214260</v>
      </c>
      <c r="F270" s="1168" t="s">
        <v>3438</v>
      </c>
      <c r="G270" s="1178">
        <f t="shared" si="4"/>
        <v>0</v>
      </c>
      <c r="H270" s="865">
        <f>+VLOOKUP(B270,'Balance Local'!$B$8:$B$560,1,0)</f>
        <v>2922050102</v>
      </c>
      <c r="I270" s="839"/>
      <c r="J270" s="868"/>
    </row>
    <row r="271" spans="1:10" s="865" customFormat="1" hidden="1">
      <c r="B271" s="1168">
        <v>2970100000</v>
      </c>
      <c r="C271" s="1168" t="s">
        <v>3066</v>
      </c>
      <c r="D271" s="1178">
        <f>+IFERROR(VLOOKUP(B271,'Balance Local'!$B$8:$D$564,3,0),0)</f>
        <v>-103996800912</v>
      </c>
      <c r="E271" s="1168">
        <v>5223100</v>
      </c>
      <c r="F271" s="1168" t="s">
        <v>3450</v>
      </c>
      <c r="G271" s="1178">
        <f t="shared" si="4"/>
        <v>-103996800912</v>
      </c>
      <c r="H271" s="865">
        <f>+VLOOKUP(B271,'Balance Local'!$B$8:$B$560,1,0)</f>
        <v>2970100000</v>
      </c>
      <c r="I271" s="839"/>
      <c r="J271" s="839"/>
    </row>
    <row r="272" spans="1:10" s="865" customFormat="1" hidden="1">
      <c r="B272" s="1168">
        <v>2970100006</v>
      </c>
      <c r="C272" s="1168" t="s">
        <v>3067</v>
      </c>
      <c r="D272" s="1178">
        <f>+IFERROR(VLOOKUP(B272,'Balance Local'!$B$8:$D$564,3,0),0)</f>
        <v>13863084334</v>
      </c>
      <c r="E272" s="1168">
        <v>5222000</v>
      </c>
      <c r="F272" s="1168" t="s">
        <v>691</v>
      </c>
      <c r="G272" s="1178">
        <f t="shared" si="4"/>
        <v>13863084334</v>
      </c>
      <c r="H272" s="865">
        <f>+VLOOKUP(B272,'Balance Local'!$B$8:$B$560,1,0)</f>
        <v>2970100006</v>
      </c>
      <c r="I272" s="839"/>
      <c r="J272" s="839"/>
    </row>
    <row r="273" spans="2:10" s="865" customFormat="1" hidden="1">
      <c r="B273" s="1168">
        <v>2970100007</v>
      </c>
      <c r="C273" s="1168" t="s">
        <v>3068</v>
      </c>
      <c r="D273" s="1178">
        <f>+IFERROR(VLOOKUP(B273,'Balance Local'!$B$8:$D$564,3,0),0)</f>
        <v>495497088</v>
      </c>
      <c r="E273" s="1168">
        <v>5222000</v>
      </c>
      <c r="F273" s="1168" t="s">
        <v>691</v>
      </c>
      <c r="G273" s="1178">
        <f t="shared" si="4"/>
        <v>495497088</v>
      </c>
      <c r="H273" s="865">
        <f>+VLOOKUP(B273,'Balance Local'!$B$8:$B$560,1,0)</f>
        <v>2970100007</v>
      </c>
      <c r="I273" s="839"/>
      <c r="J273" s="839"/>
    </row>
    <row r="274" spans="2:10" s="865" customFormat="1" hidden="1">
      <c r="B274" s="1168">
        <v>2972100000</v>
      </c>
      <c r="C274" s="1168" t="s">
        <v>3069</v>
      </c>
      <c r="D274" s="1178">
        <f>+IFERROR(VLOOKUP(B274,'Balance Local'!$B$8:$D$564,3,0),0)</f>
        <v>0</v>
      </c>
      <c r="E274" s="1168">
        <v>5223300</v>
      </c>
      <c r="F274" s="1168" t="s">
        <v>3451</v>
      </c>
      <c r="G274" s="1178">
        <f t="shared" si="4"/>
        <v>0</v>
      </c>
      <c r="H274" s="865">
        <f>+VLOOKUP(B274,'Balance Local'!$B$8:$B$560,1,0)</f>
        <v>2972100000</v>
      </c>
      <c r="I274" s="839"/>
      <c r="J274" s="839"/>
    </row>
    <row r="275" spans="2:10" s="865" customFormat="1" hidden="1">
      <c r="B275" s="1168">
        <v>2972200000</v>
      </c>
      <c r="C275" s="1168" t="s">
        <v>3069</v>
      </c>
      <c r="D275" s="1178">
        <f>+IFERROR(VLOOKUP(B275,'Balance Local'!$B$8:$D$564,3,0),0)</f>
        <v>0</v>
      </c>
      <c r="E275" s="1168">
        <v>5223300</v>
      </c>
      <c r="F275" s="1168" t="s">
        <v>3451</v>
      </c>
      <c r="G275" s="1178">
        <f t="shared" si="4"/>
        <v>0</v>
      </c>
      <c r="H275" s="865">
        <f>+VLOOKUP(B275,'Balance Local'!$B$8:$B$560,1,0)</f>
        <v>2972200000</v>
      </c>
      <c r="I275" s="839"/>
      <c r="J275" s="839"/>
    </row>
    <row r="276" spans="2:10" s="865" customFormat="1" hidden="1">
      <c r="B276" s="1168">
        <v>2972400000</v>
      </c>
      <c r="C276" s="1168" t="s">
        <v>3070</v>
      </c>
      <c r="D276" s="1178">
        <f>+IFERROR(VLOOKUP(B276,'Balance Local'!$B$8:$D$564,3,0),0)</f>
        <v>0</v>
      </c>
      <c r="E276" s="1168">
        <v>5223300</v>
      </c>
      <c r="F276" s="1168" t="s">
        <v>3451</v>
      </c>
      <c r="G276" s="1178">
        <f t="shared" si="4"/>
        <v>0</v>
      </c>
      <c r="H276" s="865">
        <f>+VLOOKUP(B276,'Balance Local'!$B$8:$B$560,1,0)</f>
        <v>2972400000</v>
      </c>
      <c r="I276" s="839"/>
      <c r="J276" s="839"/>
    </row>
    <row r="277" spans="2:10" s="865" customFormat="1" hidden="1">
      <c r="B277" s="1168">
        <v>3010100000</v>
      </c>
      <c r="C277" s="1168" t="s">
        <v>3071</v>
      </c>
      <c r="D277" s="1178">
        <f>+IFERROR(VLOOKUP(B277,'Balance Local'!$B$8:$D$564,3,0),0)</f>
        <v>-88382085666</v>
      </c>
      <c r="E277" s="1168">
        <v>5311110</v>
      </c>
      <c r="F277" s="1168" t="s">
        <v>3452</v>
      </c>
      <c r="G277" s="1178">
        <f t="shared" si="4"/>
        <v>-88382085666</v>
      </c>
      <c r="H277" s="865">
        <f>+VLOOKUP(B277,'Balance Local'!$B$8:$B$560,1,0)</f>
        <v>3010100000</v>
      </c>
      <c r="I277" s="839"/>
      <c r="J277" s="839"/>
    </row>
    <row r="278" spans="2:10" s="865" customFormat="1" hidden="1">
      <c r="B278" s="1168">
        <v>3010100030</v>
      </c>
      <c r="C278" s="1168" t="s">
        <v>3072</v>
      </c>
      <c r="D278" s="1178">
        <f>+IFERROR(VLOOKUP(B278,'Balance Local'!$B$8:$D$564,3,0),0)</f>
        <v>-972444764</v>
      </c>
      <c r="E278" s="1168">
        <v>5311110</v>
      </c>
      <c r="F278" s="1168" t="s">
        <v>3452</v>
      </c>
      <c r="G278" s="1178">
        <f t="shared" si="4"/>
        <v>-972444764</v>
      </c>
      <c r="H278" s="865">
        <f>+VLOOKUP(B278,'Balance Local'!$B$8:$B$560,1,0)</f>
        <v>3010100030</v>
      </c>
      <c r="I278" s="839"/>
      <c r="J278" s="839"/>
    </row>
    <row r="279" spans="2:10" s="865" customFormat="1" hidden="1">
      <c r="B279" s="1168">
        <v>3010500002</v>
      </c>
      <c r="C279" s="1168" t="s">
        <v>3073</v>
      </c>
      <c r="D279" s="1178">
        <f>+IFERROR(VLOOKUP(B279,'Balance Local'!$B$8:$D$564,3,0),0)</f>
        <v>-29353621039</v>
      </c>
      <c r="E279" s="1168">
        <v>5311110</v>
      </c>
      <c r="F279" s="1168" t="s">
        <v>3452</v>
      </c>
      <c r="G279" s="1178">
        <f t="shared" si="4"/>
        <v>-29353621039</v>
      </c>
      <c r="H279" s="865">
        <f>+VLOOKUP(B279,'Balance Local'!$B$8:$B$560,1,0)</f>
        <v>3010500002</v>
      </c>
      <c r="I279" s="839"/>
      <c r="J279" s="839"/>
    </row>
    <row r="280" spans="2:10" s="865" customFormat="1" hidden="1">
      <c r="B280" s="1168">
        <v>3019000000</v>
      </c>
      <c r="C280" s="1168" t="s">
        <v>3074</v>
      </c>
      <c r="D280" s="1178">
        <f>+IFERROR(VLOOKUP(B280,'Balance Local'!$B$8:$D$564,3,0),0)</f>
        <v>15480324</v>
      </c>
      <c r="E280" s="1168">
        <v>5311110</v>
      </c>
      <c r="F280" s="1168" t="s">
        <v>3452</v>
      </c>
      <c r="G280" s="1178">
        <f t="shared" si="4"/>
        <v>15480324</v>
      </c>
      <c r="H280" s="865">
        <f>+VLOOKUP(B280,'Balance Local'!$B$8:$B$560,1,0)</f>
        <v>3019000000</v>
      </c>
      <c r="I280" s="839"/>
      <c r="J280" s="839"/>
    </row>
    <row r="281" spans="2:10" s="865" customFormat="1" hidden="1">
      <c r="B281" s="1168">
        <v>3030000000</v>
      </c>
      <c r="C281" s="1168" t="s">
        <v>3075</v>
      </c>
      <c r="D281" s="1178">
        <f>+IFERROR(VLOOKUP(B281,'Balance Local'!$B$8:$D$564,3,0),0)</f>
        <v>20996687489</v>
      </c>
      <c r="E281" s="1168">
        <v>5311130</v>
      </c>
      <c r="F281" s="1168" t="s">
        <v>3453</v>
      </c>
      <c r="G281" s="1178">
        <f t="shared" si="4"/>
        <v>20996687489</v>
      </c>
      <c r="H281" s="865">
        <f>+VLOOKUP(B281,'Balance Local'!$B$8:$B$560,1,0)</f>
        <v>3030000000</v>
      </c>
      <c r="I281" s="839"/>
      <c r="J281" s="839"/>
    </row>
    <row r="282" spans="2:10" s="865" customFormat="1" hidden="1">
      <c r="B282" s="1168">
        <v>3030400030</v>
      </c>
      <c r="C282" s="1168" t="s">
        <v>3076</v>
      </c>
      <c r="D282" s="1178">
        <f>+IFERROR(VLOOKUP(B282,'Balance Local'!$B$8:$D$564,3,0),0)</f>
        <v>0</v>
      </c>
      <c r="E282" s="1168">
        <v>5311130</v>
      </c>
      <c r="F282" s="1168" t="s">
        <v>3453</v>
      </c>
      <c r="G282" s="1178">
        <f t="shared" si="4"/>
        <v>0</v>
      </c>
      <c r="H282" s="865">
        <f>+VLOOKUP(B282,'Balance Local'!$B$8:$B$560,1,0)</f>
        <v>3030400030</v>
      </c>
      <c r="I282" s="839"/>
      <c r="J282" s="839"/>
    </row>
    <row r="283" spans="2:10" s="865" customFormat="1" hidden="1">
      <c r="B283" s="1168">
        <v>3090000000</v>
      </c>
      <c r="C283" s="1168" t="s">
        <v>3077</v>
      </c>
      <c r="D283" s="1178">
        <f>+IFERROR(VLOOKUP(B283,'Balance Local'!$B$8:$D$564,3,0),0)</f>
        <v>37774985</v>
      </c>
      <c r="E283" s="1168">
        <v>5313500</v>
      </c>
      <c r="F283" s="1168" t="s">
        <v>3454</v>
      </c>
      <c r="G283" s="1178">
        <f t="shared" si="4"/>
        <v>37774985</v>
      </c>
      <c r="H283" s="865">
        <f>+VLOOKUP(B283,'Balance Local'!$B$8:$B$560,1,0)</f>
        <v>3090000000</v>
      </c>
      <c r="I283" s="839"/>
      <c r="J283" s="839"/>
    </row>
    <row r="284" spans="2:10" s="865" customFormat="1" hidden="1">
      <c r="B284" s="1168">
        <v>3091000000</v>
      </c>
      <c r="C284" s="1168" t="s">
        <v>3078</v>
      </c>
      <c r="D284" s="1178">
        <f>+IFERROR(VLOOKUP(B284,'Balance Local'!$B$8:$D$564,3,0),0)</f>
        <v>-15735724</v>
      </c>
      <c r="E284" s="1168">
        <v>5311800</v>
      </c>
      <c r="F284" s="1168" t="s">
        <v>3455</v>
      </c>
      <c r="G284" s="1178">
        <f t="shared" si="4"/>
        <v>-15735724</v>
      </c>
      <c r="H284" s="865">
        <f>+VLOOKUP(B284,'Balance Local'!$B$8:$B$560,1,0)</f>
        <v>3091000000</v>
      </c>
      <c r="I284" s="839"/>
      <c r="J284" s="839"/>
    </row>
    <row r="285" spans="2:10" s="865" customFormat="1" hidden="1">
      <c r="B285" s="1168">
        <v>3101000000</v>
      </c>
      <c r="C285" s="1168" t="s">
        <v>3079</v>
      </c>
      <c r="D285" s="1178">
        <f>+IFERROR(VLOOKUP(B285,'Balance Local'!$B$8:$D$564,3,0),0)</f>
        <v>375497864</v>
      </c>
      <c r="E285" s="1168">
        <v>5311210</v>
      </c>
      <c r="F285" s="1168" t="s">
        <v>3456</v>
      </c>
      <c r="G285" s="1178">
        <f t="shared" si="4"/>
        <v>375497864</v>
      </c>
      <c r="H285" s="865">
        <f>+VLOOKUP(B285,'Balance Local'!$B$8:$B$560,1,0)</f>
        <v>3101000000</v>
      </c>
      <c r="I285" s="839"/>
      <c r="J285" s="839"/>
    </row>
    <row r="286" spans="2:10" s="865" customFormat="1" hidden="1">
      <c r="B286" s="1168">
        <v>3103000000</v>
      </c>
      <c r="C286" s="1168" t="s">
        <v>3080</v>
      </c>
      <c r="D286" s="1178">
        <f>+IFERROR(VLOOKUP(B286,'Balance Local'!$B$8:$D$564,3,0),0)</f>
        <v>-190279242</v>
      </c>
      <c r="E286" s="1168">
        <v>5311210</v>
      </c>
      <c r="F286" s="1168" t="s">
        <v>3456</v>
      </c>
      <c r="G286" s="1178">
        <f t="shared" si="4"/>
        <v>-190279242</v>
      </c>
      <c r="H286" s="865">
        <f>+VLOOKUP(B286,'Balance Local'!$B$8:$B$560,1,0)</f>
        <v>3103000000</v>
      </c>
      <c r="I286" s="839"/>
      <c r="J286" s="839"/>
    </row>
    <row r="287" spans="2:10" s="865" customFormat="1" hidden="1">
      <c r="B287" s="1168">
        <v>3301100000</v>
      </c>
      <c r="C287" s="1168" t="s">
        <v>3081</v>
      </c>
      <c r="D287" s="1178">
        <f>+IFERROR(VLOOKUP(B287,'Balance Local'!$B$8:$D$564,3,0),0)</f>
        <v>0</v>
      </c>
      <c r="E287" s="1168">
        <v>5315100</v>
      </c>
      <c r="F287" s="1168" t="s">
        <v>3457</v>
      </c>
      <c r="G287" s="1178">
        <f t="shared" si="4"/>
        <v>0</v>
      </c>
      <c r="H287" s="865">
        <f>+VLOOKUP(B287,'Balance Local'!$B$8:$B$560,1,0)</f>
        <v>3301100000</v>
      </c>
      <c r="I287" s="839"/>
      <c r="J287" s="839"/>
    </row>
    <row r="288" spans="2:10" s="865" customFormat="1" hidden="1">
      <c r="B288" s="1168">
        <v>3301100008</v>
      </c>
      <c r="C288" s="1168" t="s">
        <v>3082</v>
      </c>
      <c r="D288" s="1178">
        <f>+IFERROR(VLOOKUP(B288,'Balance Local'!$B$8:$D$564,3,0),0)</f>
        <v>-123000000</v>
      </c>
      <c r="E288" s="1168">
        <v>5312200</v>
      </c>
      <c r="F288" s="1168" t="s">
        <v>604</v>
      </c>
      <c r="G288" s="1178">
        <f t="shared" si="4"/>
        <v>-123000000</v>
      </c>
      <c r="H288" s="865">
        <f>+VLOOKUP(B288,'Balance Local'!$B$8:$B$560,1,0)</f>
        <v>3301100008</v>
      </c>
      <c r="I288" s="839"/>
      <c r="J288" s="839"/>
    </row>
    <row r="289" spans="2:10" s="865" customFormat="1" hidden="1">
      <c r="B289" s="1168">
        <v>3301100010</v>
      </c>
      <c r="C289" s="1168" t="s">
        <v>3083</v>
      </c>
      <c r="D289" s="1178">
        <f>+IFERROR(VLOOKUP(B289,'Balance Local'!$B$8:$D$564,3,0),0)</f>
        <v>-34040648</v>
      </c>
      <c r="E289" s="1168">
        <v>5315100</v>
      </c>
      <c r="F289" s="1168" t="s">
        <v>3458</v>
      </c>
      <c r="G289" s="1178">
        <f t="shared" si="4"/>
        <v>-34040648</v>
      </c>
      <c r="H289" s="865">
        <f>+VLOOKUP(B289,'Balance Local'!$B$8:$B$560,1,0)</f>
        <v>3301100010</v>
      </c>
      <c r="I289" s="839"/>
      <c r="J289" s="839"/>
    </row>
    <row r="290" spans="2:10" s="865" customFormat="1" hidden="1">
      <c r="B290" s="1168">
        <v>3301100999</v>
      </c>
      <c r="C290" s="1168" t="s">
        <v>3084</v>
      </c>
      <c r="D290" s="1178">
        <f>+IFERROR(VLOOKUP(B290,'Balance Local'!$B$8:$D$564,3,0),0)</f>
        <v>-27577104</v>
      </c>
      <c r="E290" s="1168">
        <v>5315100</v>
      </c>
      <c r="F290" s="1168" t="s">
        <v>3457</v>
      </c>
      <c r="G290" s="1178">
        <f t="shared" si="4"/>
        <v>-27577104</v>
      </c>
      <c r="H290" s="865">
        <f>+VLOOKUP(B290,'Balance Local'!$B$8:$B$560,1,0)</f>
        <v>3301100999</v>
      </c>
      <c r="I290" s="839"/>
      <c r="J290" s="839"/>
    </row>
    <row r="291" spans="2:10" s="865" customFormat="1" hidden="1">
      <c r="B291" s="1168">
        <v>3301450000</v>
      </c>
      <c r="C291" s="1168" t="s">
        <v>3085</v>
      </c>
      <c r="D291" s="1178">
        <f>+IFERROR(VLOOKUP(B291,'Balance Local'!$B$8:$D$564,3,0),0)</f>
        <v>64781</v>
      </c>
      <c r="E291" s="1168">
        <v>5315100</v>
      </c>
      <c r="F291" s="1168" t="s">
        <v>3458</v>
      </c>
      <c r="G291" s="1178">
        <f t="shared" si="4"/>
        <v>64781</v>
      </c>
      <c r="H291" s="865">
        <f>+VLOOKUP(B291,'Balance Local'!$B$8:$B$560,1,0)</f>
        <v>3301450000</v>
      </c>
      <c r="I291" s="839"/>
      <c r="J291" s="839"/>
    </row>
    <row r="292" spans="2:10" s="865" customFormat="1" hidden="1">
      <c r="B292" s="1168">
        <v>3591110200</v>
      </c>
      <c r="C292" s="1168" t="s">
        <v>3086</v>
      </c>
      <c r="D292" s="1178">
        <f>+IFERROR(VLOOKUP(B292,'Balance Local'!$B$8:$D$564,3,0),0)</f>
        <v>-249304099</v>
      </c>
      <c r="E292" s="1168">
        <v>5315100</v>
      </c>
      <c r="F292" s="1168" t="s">
        <v>3459</v>
      </c>
      <c r="G292" s="1178">
        <f t="shared" si="4"/>
        <v>-249304099</v>
      </c>
      <c r="H292" s="865">
        <f>+VLOOKUP(B292,'Balance Local'!$B$8:$B$560,1,0)</f>
        <v>3591110200</v>
      </c>
      <c r="I292" s="839"/>
      <c r="J292" s="839"/>
    </row>
    <row r="293" spans="2:10" s="865" customFormat="1" hidden="1">
      <c r="B293" s="1168">
        <v>4002000000</v>
      </c>
      <c r="C293" s="1168" t="s">
        <v>3087</v>
      </c>
      <c r="D293" s="1178">
        <f>+IFERROR(VLOOKUP(B293,'Balance Local'!$B$8:$D$564,3,0),0)</f>
        <v>0</v>
      </c>
      <c r="E293" s="1168">
        <v>5311310</v>
      </c>
      <c r="F293" s="1168" t="s">
        <v>3460</v>
      </c>
      <c r="G293" s="1178">
        <f t="shared" si="4"/>
        <v>0</v>
      </c>
      <c r="H293" s="865">
        <f>+VLOOKUP(B293,'Balance Local'!$B$8:$B$560,1,0)</f>
        <v>4002000000</v>
      </c>
      <c r="I293" s="839"/>
      <c r="J293" s="839"/>
    </row>
    <row r="294" spans="2:10" s="865" customFormat="1" hidden="1">
      <c r="B294" s="1168">
        <v>4021100010</v>
      </c>
      <c r="C294" s="1168" t="s">
        <v>3461</v>
      </c>
      <c r="D294" s="1178">
        <f>+IFERROR(VLOOKUP(B294,'Balance Local'!$B$8:$D$564,3,0),0)</f>
        <v>0</v>
      </c>
      <c r="E294" s="1168">
        <v>5312200</v>
      </c>
      <c r="F294" s="1168" t="s">
        <v>604</v>
      </c>
      <c r="G294" s="1178">
        <f t="shared" si="4"/>
        <v>0</v>
      </c>
      <c r="H294" s="865" t="e">
        <f>+VLOOKUP(B294,'Balance Local'!$B$8:$B$560,1,0)</f>
        <v>#N/A</v>
      </c>
      <c r="I294" s="839"/>
      <c r="J294" s="839"/>
    </row>
    <row r="295" spans="2:10" s="865" customFormat="1" hidden="1">
      <c r="B295" s="1168">
        <v>4110000000</v>
      </c>
      <c r="C295" s="1168" t="s">
        <v>3088</v>
      </c>
      <c r="D295" s="1178">
        <f>+IFERROR(VLOOKUP(B295,'Balance Local'!$B$8:$D$564,3,0),0)</f>
        <v>54266141261</v>
      </c>
      <c r="E295" s="1168">
        <v>5311310</v>
      </c>
      <c r="F295" s="1168" t="s">
        <v>3460</v>
      </c>
      <c r="G295" s="1178">
        <f t="shared" si="4"/>
        <v>54266141261</v>
      </c>
      <c r="H295" s="865">
        <f>+VLOOKUP(B295,'Balance Local'!$B$8:$B$560,1,0)</f>
        <v>4110000000</v>
      </c>
      <c r="I295" s="839"/>
      <c r="J295" s="839"/>
    </row>
    <row r="296" spans="2:10" s="865" customFormat="1" hidden="1">
      <c r="B296" s="1168">
        <v>4112000000</v>
      </c>
      <c r="C296" s="1168" t="s">
        <v>3089</v>
      </c>
      <c r="D296" s="1178">
        <f>+IFERROR(VLOOKUP(B296,'Balance Local'!$B$8:$D$564,3,0),0)</f>
        <v>1410729209</v>
      </c>
      <c r="E296" s="1168">
        <v>5311310</v>
      </c>
      <c r="F296" s="1168" t="s">
        <v>3460</v>
      </c>
      <c r="G296" s="1178">
        <f t="shared" si="4"/>
        <v>1410729209</v>
      </c>
      <c r="H296" s="865">
        <f>+VLOOKUP(B296,'Balance Local'!$B$8:$B$560,1,0)</f>
        <v>4112000000</v>
      </c>
      <c r="I296" s="839"/>
      <c r="J296" s="839"/>
    </row>
    <row r="297" spans="2:10" s="865" customFormat="1" hidden="1">
      <c r="B297" s="1168">
        <v>4113000000</v>
      </c>
      <c r="C297" s="1168" t="s">
        <v>3090</v>
      </c>
      <c r="D297" s="1178">
        <f>+IFERROR(VLOOKUP(B297,'Balance Local'!$B$8:$D$564,3,0),0)</f>
        <v>11725594831</v>
      </c>
      <c r="E297" s="1168">
        <v>5311310</v>
      </c>
      <c r="F297" s="1168" t="s">
        <v>3460</v>
      </c>
      <c r="G297" s="1178">
        <f t="shared" si="4"/>
        <v>11725594831</v>
      </c>
      <c r="H297" s="865">
        <f>+VLOOKUP(B297,'Balance Local'!$B$8:$B$560,1,0)</f>
        <v>4113000000</v>
      </c>
      <c r="I297" s="839"/>
      <c r="J297" s="839"/>
    </row>
    <row r="298" spans="2:10" s="865" customFormat="1" hidden="1">
      <c r="B298" s="1168">
        <v>4114000000</v>
      </c>
      <c r="C298" s="1168" t="s">
        <v>3091</v>
      </c>
      <c r="D298" s="1178">
        <f>+IFERROR(VLOOKUP(B298,'Balance Local'!$B$8:$D$564,3,0),0)</f>
        <v>363505451</v>
      </c>
      <c r="E298" s="1168">
        <v>5311310</v>
      </c>
      <c r="F298" s="1168" t="s">
        <v>3460</v>
      </c>
      <c r="G298" s="1178">
        <f t="shared" si="4"/>
        <v>363505451</v>
      </c>
      <c r="H298" s="865">
        <f>+VLOOKUP(B298,'Balance Local'!$B$8:$B$560,1,0)</f>
        <v>4114000000</v>
      </c>
      <c r="I298" s="839"/>
      <c r="J298" s="839"/>
    </row>
    <row r="299" spans="2:10" s="865" customFormat="1" hidden="1">
      <c r="B299" s="1168">
        <v>4115010000</v>
      </c>
      <c r="C299" s="1168" t="s">
        <v>3092</v>
      </c>
      <c r="D299" s="1178">
        <f>+IFERROR(VLOOKUP(B299,'Balance Local'!$B$8:$D$564,3,0),0)</f>
        <v>27061791104</v>
      </c>
      <c r="E299" s="1168">
        <v>5311410</v>
      </c>
      <c r="F299" s="1168" t="s">
        <v>3462</v>
      </c>
      <c r="G299" s="1178">
        <f t="shared" si="4"/>
        <v>27061791104</v>
      </c>
      <c r="H299" s="865">
        <f>+VLOOKUP(B299,'Balance Local'!$B$8:$B$560,1,0)</f>
        <v>4115010000</v>
      </c>
      <c r="I299" s="839"/>
      <c r="J299" s="839"/>
    </row>
    <row r="300" spans="2:10" s="865" customFormat="1" hidden="1">
      <c r="B300" s="1168">
        <v>4130000000</v>
      </c>
      <c r="C300" s="1168" t="s">
        <v>3093</v>
      </c>
      <c r="D300" s="1178">
        <f>+IFERROR(VLOOKUP(B300,'Balance Local'!$B$8:$D$564,3,0),0)</f>
        <v>-16586391029</v>
      </c>
      <c r="E300" s="1168">
        <v>5311320</v>
      </c>
      <c r="F300" s="1168" t="s">
        <v>3463</v>
      </c>
      <c r="G300" s="1178">
        <f t="shared" si="4"/>
        <v>-16586391029</v>
      </c>
      <c r="H300" s="865">
        <f>+VLOOKUP(B300,'Balance Local'!$B$8:$B$560,1,0)</f>
        <v>4130000000</v>
      </c>
      <c r="I300" s="839"/>
      <c r="J300" s="839"/>
    </row>
    <row r="301" spans="2:10" s="865" customFormat="1" hidden="1">
      <c r="B301" s="1168">
        <v>4130000600</v>
      </c>
      <c r="C301" s="1168" t="s">
        <v>3094</v>
      </c>
      <c r="D301" s="1178">
        <f>+IFERROR(VLOOKUP(B301,'Balance Local'!$B$8:$D$564,3,0),0)</f>
        <v>320123998</v>
      </c>
      <c r="E301" s="1168">
        <v>5311420</v>
      </c>
      <c r="F301" s="1168" t="s">
        <v>3464</v>
      </c>
      <c r="G301" s="1178">
        <f t="shared" si="4"/>
        <v>320123998</v>
      </c>
      <c r="H301" s="865">
        <f>+VLOOKUP(B301,'Balance Local'!$B$8:$B$560,1,0)</f>
        <v>4130000600</v>
      </c>
      <c r="I301" s="839"/>
      <c r="J301" s="839"/>
    </row>
    <row r="302" spans="2:10" s="865" customFormat="1" hidden="1">
      <c r="B302" s="1168">
        <v>4161100000</v>
      </c>
      <c r="C302" s="1168" t="s">
        <v>3095</v>
      </c>
      <c r="D302" s="1178">
        <f>+IFERROR(VLOOKUP(B302,'Balance Local'!$B$8:$D$564,3,0),0)</f>
        <v>-336147207</v>
      </c>
      <c r="E302" s="1168">
        <v>5311220</v>
      </c>
      <c r="F302" s="1168" t="s">
        <v>3465</v>
      </c>
      <c r="G302" s="1178">
        <f t="shared" si="4"/>
        <v>-336147207</v>
      </c>
      <c r="H302" s="865">
        <f>+VLOOKUP(B302,'Balance Local'!$B$8:$B$560,1,0)</f>
        <v>4161100000</v>
      </c>
      <c r="I302" s="839"/>
      <c r="J302" s="839"/>
    </row>
    <row r="303" spans="2:10" s="865" customFormat="1" hidden="1">
      <c r="B303" s="1168">
        <v>4161100001</v>
      </c>
      <c r="C303" s="1168" t="s">
        <v>3096</v>
      </c>
      <c r="D303" s="1178">
        <f>+IFERROR(VLOOKUP(B303,'Balance Local'!$B$8:$D$564,3,0),0)</f>
        <v>-1665633815</v>
      </c>
      <c r="E303" s="1168">
        <v>5311230</v>
      </c>
      <c r="F303" s="1168" t="s">
        <v>3466</v>
      </c>
      <c r="G303" s="1178">
        <f t="shared" si="4"/>
        <v>-1665633815</v>
      </c>
      <c r="H303" s="865">
        <f>+VLOOKUP(B303,'Balance Local'!$B$8:$B$560,1,0)</f>
        <v>4161100001</v>
      </c>
      <c r="I303" s="839"/>
      <c r="J303" s="839"/>
    </row>
    <row r="304" spans="2:10" s="865" customFormat="1" hidden="1">
      <c r="B304" s="1168">
        <v>4161200000</v>
      </c>
      <c r="C304" s="1168" t="s">
        <v>3097</v>
      </c>
      <c r="D304" s="1178">
        <f>+IFERROR(VLOOKUP(B304,'Balance Local'!$B$8:$D$564,3,0),0)</f>
        <v>455762924</v>
      </c>
      <c r="E304" s="1168">
        <v>5311210</v>
      </c>
      <c r="F304" s="1168" t="s">
        <v>3456</v>
      </c>
      <c r="G304" s="1178">
        <f t="shared" si="4"/>
        <v>455762924</v>
      </c>
      <c r="H304" s="865">
        <f>+VLOOKUP(B304,'Balance Local'!$B$8:$B$560,1,0)</f>
        <v>4161200000</v>
      </c>
      <c r="I304" s="839"/>
      <c r="J304" s="839"/>
    </row>
    <row r="305" spans="2:10" s="865" customFormat="1" hidden="1">
      <c r="B305" s="1168">
        <v>4161320000</v>
      </c>
      <c r="C305" s="1168" t="s">
        <v>3098</v>
      </c>
      <c r="D305" s="1178">
        <f>+IFERROR(VLOOKUP(B305,'Balance Local'!$B$8:$D$564,3,0),0)</f>
        <v>16359456395</v>
      </c>
      <c r="E305" s="1168">
        <v>5311410</v>
      </c>
      <c r="F305" s="1168" t="s">
        <v>3462</v>
      </c>
      <c r="G305" s="1178">
        <f t="shared" si="4"/>
        <v>16359456395</v>
      </c>
      <c r="H305" s="865">
        <f>+VLOOKUP(B305,'Balance Local'!$B$8:$B$560,1,0)</f>
        <v>4161320000</v>
      </c>
      <c r="I305" s="839"/>
      <c r="J305" s="839"/>
    </row>
    <row r="306" spans="2:10" s="865" customFormat="1" hidden="1">
      <c r="B306" s="1168">
        <v>4161400000</v>
      </c>
      <c r="C306" s="1168" t="s">
        <v>3099</v>
      </c>
      <c r="D306" s="1178">
        <f>+IFERROR(VLOOKUP(B306,'Balance Local'!$B$8:$D$564,3,0),0)</f>
        <v>1965339360</v>
      </c>
      <c r="E306" s="1168">
        <v>5311310</v>
      </c>
      <c r="F306" s="1168" t="s">
        <v>3460</v>
      </c>
      <c r="G306" s="1178">
        <f t="shared" si="4"/>
        <v>1965339360</v>
      </c>
      <c r="H306" s="865">
        <f>+VLOOKUP(B306,'Balance Local'!$B$8:$B$560,1,0)</f>
        <v>4161400000</v>
      </c>
      <c r="I306" s="839"/>
      <c r="J306" s="839"/>
    </row>
    <row r="307" spans="2:10" s="865" customFormat="1" hidden="1">
      <c r="B307" s="1168">
        <v>4163100000</v>
      </c>
      <c r="C307" s="1168" t="s">
        <v>3100</v>
      </c>
      <c r="D307" s="1178">
        <f>+IFERROR(VLOOKUP(B307,'Balance Local'!$B$8:$D$564,3,0),0)</f>
        <v>47681927</v>
      </c>
      <c r="E307" s="1168">
        <v>5311320</v>
      </c>
      <c r="F307" s="1168" t="s">
        <v>3463</v>
      </c>
      <c r="G307" s="1178">
        <f t="shared" si="4"/>
        <v>47681927</v>
      </c>
      <c r="H307" s="865">
        <f>+VLOOKUP(B307,'Balance Local'!$B$8:$B$560,1,0)</f>
        <v>4163100000</v>
      </c>
      <c r="I307" s="839"/>
      <c r="J307" s="839"/>
    </row>
    <row r="308" spans="2:10" s="865" customFormat="1" hidden="1">
      <c r="B308" s="1168">
        <v>4163160000</v>
      </c>
      <c r="C308" s="1168" t="s">
        <v>3101</v>
      </c>
      <c r="D308" s="1178">
        <f>+IFERROR(VLOOKUP(B308,'Balance Local'!$B$8:$D$564,3,0),0)</f>
        <v>2069578710</v>
      </c>
      <c r="E308" s="1168">
        <v>5311310</v>
      </c>
      <c r="F308" s="1168" t="s">
        <v>3460</v>
      </c>
      <c r="G308" s="1178">
        <f t="shared" si="4"/>
        <v>2069578710</v>
      </c>
      <c r="H308" s="865">
        <f>+VLOOKUP(B308,'Balance Local'!$B$8:$B$560,1,0)</f>
        <v>4163160000</v>
      </c>
      <c r="I308" s="839"/>
      <c r="J308" s="839"/>
    </row>
    <row r="309" spans="2:10" s="865" customFormat="1" hidden="1">
      <c r="B309" s="1168">
        <v>4163400000</v>
      </c>
      <c r="C309" s="1168" t="s">
        <v>3102</v>
      </c>
      <c r="D309" s="1178">
        <f>+IFERROR(VLOOKUP(B309,'Balance Local'!$B$8:$D$564,3,0),0)</f>
        <v>-683779541</v>
      </c>
      <c r="E309" s="1168">
        <v>5311320</v>
      </c>
      <c r="F309" s="1168" t="s">
        <v>3463</v>
      </c>
      <c r="G309" s="1178">
        <f t="shared" si="4"/>
        <v>-683779541</v>
      </c>
      <c r="H309" s="865">
        <f>+VLOOKUP(B309,'Balance Local'!$B$8:$B$560,1,0)</f>
        <v>4163400000</v>
      </c>
      <c r="I309" s="839"/>
      <c r="J309" s="839"/>
    </row>
    <row r="310" spans="2:10" s="865" customFormat="1" hidden="1">
      <c r="B310" s="1168">
        <v>4281120000</v>
      </c>
      <c r="C310" s="1168" t="s">
        <v>3103</v>
      </c>
      <c r="D310" s="1178">
        <f>+IFERROR(VLOOKUP(B310,'Balance Local'!$B$8:$D$564,3,0),0)</f>
        <v>-1532865445</v>
      </c>
      <c r="E310" s="1168">
        <v>5311250</v>
      </c>
      <c r="F310" s="1168" t="s">
        <v>3467</v>
      </c>
      <c r="G310" s="1178">
        <f t="shared" si="4"/>
        <v>-1532865445</v>
      </c>
      <c r="H310" s="865">
        <f>+VLOOKUP(B310,'Balance Local'!$B$8:$B$560,1,0)</f>
        <v>4281120000</v>
      </c>
      <c r="I310" s="839"/>
      <c r="J310" s="839"/>
    </row>
    <row r="311" spans="2:10" s="865" customFormat="1" hidden="1">
      <c r="B311" s="1168">
        <v>4281320000</v>
      </c>
      <c r="C311" s="1168" t="s">
        <v>3104</v>
      </c>
      <c r="D311" s="1178">
        <f>+IFERROR(VLOOKUP(B311,'Balance Local'!$B$8:$D$564,3,0),0)</f>
        <v>981382567</v>
      </c>
      <c r="E311" s="1168">
        <v>5311250</v>
      </c>
      <c r="F311" s="1168" t="s">
        <v>3467</v>
      </c>
      <c r="G311" s="1178">
        <f t="shared" si="4"/>
        <v>981382567</v>
      </c>
      <c r="H311" s="865">
        <f>+VLOOKUP(B311,'Balance Local'!$B$8:$B$560,1,0)</f>
        <v>4281320000</v>
      </c>
      <c r="I311" s="839"/>
      <c r="J311" s="839"/>
    </row>
    <row r="312" spans="2:10" s="865" customFormat="1" hidden="1">
      <c r="B312" s="1168">
        <v>4281430000</v>
      </c>
      <c r="C312" s="1168" t="s">
        <v>3105</v>
      </c>
      <c r="D312" s="1178">
        <f>+IFERROR(VLOOKUP(B312,'Balance Local'!$B$8:$D$564,3,0),0)</f>
        <v>1974996017</v>
      </c>
      <c r="E312" s="1168">
        <v>5311310</v>
      </c>
      <c r="F312" s="1168" t="s">
        <v>3460</v>
      </c>
      <c r="G312" s="1178">
        <f t="shared" si="4"/>
        <v>1974996017</v>
      </c>
      <c r="H312" s="865">
        <f>+VLOOKUP(B312,'Balance Local'!$B$8:$B$560,1,0)</f>
        <v>4281430000</v>
      </c>
      <c r="I312" s="839"/>
      <c r="J312" s="839"/>
    </row>
    <row r="313" spans="2:10" s="865" customFormat="1" hidden="1">
      <c r="B313" s="1168">
        <v>4301125100</v>
      </c>
      <c r="C313" s="1168" t="s">
        <v>3106</v>
      </c>
      <c r="D313" s="1178">
        <f>+IFERROR(VLOOKUP(B313,'Balance Local'!$B$8:$D$564,3,0),0)</f>
        <v>-2445070</v>
      </c>
      <c r="E313" s="1168">
        <v>5311540</v>
      </c>
      <c r="F313" s="1168" t="s">
        <v>3468</v>
      </c>
      <c r="G313" s="1178">
        <f t="shared" si="4"/>
        <v>-2445070</v>
      </c>
      <c r="H313" s="865">
        <f>+VLOOKUP(B313,'Balance Local'!$B$8:$B$560,1,0)</f>
        <v>4301125100</v>
      </c>
      <c r="I313" s="839"/>
      <c r="J313" s="839"/>
    </row>
    <row r="314" spans="2:10" s="865" customFormat="1" hidden="1">
      <c r="B314" s="1168">
        <v>4401000000</v>
      </c>
      <c r="C314" s="1168" t="s">
        <v>3107</v>
      </c>
      <c r="D314" s="1178">
        <f>+IFERROR(VLOOKUP(B314,'Balance Local'!$B$8:$D$564,3,0),0)</f>
        <v>909644312</v>
      </c>
      <c r="E314" s="1168">
        <v>5311520</v>
      </c>
      <c r="F314" s="1168" t="s">
        <v>3469</v>
      </c>
      <c r="G314" s="1178">
        <f t="shared" si="4"/>
        <v>909644312</v>
      </c>
      <c r="H314" s="865">
        <f>+VLOOKUP(B314,'Balance Local'!$B$8:$B$560,1,0)</f>
        <v>4401000000</v>
      </c>
      <c r="I314" s="839"/>
      <c r="J314" s="839"/>
    </row>
    <row r="315" spans="2:10" s="865" customFormat="1" hidden="1">
      <c r="B315" s="1168">
        <v>4401000050</v>
      </c>
      <c r="C315" s="1168" t="s">
        <v>3107</v>
      </c>
      <c r="D315" s="1178">
        <f>+IFERROR(VLOOKUP(B315,'Balance Local'!$B$8:$D$564,3,0),0)</f>
        <v>2103779579</v>
      </c>
      <c r="E315" s="1168">
        <v>5311510</v>
      </c>
      <c r="F315" s="1168" t="s">
        <v>3470</v>
      </c>
      <c r="G315" s="1178">
        <f t="shared" si="4"/>
        <v>2103779579</v>
      </c>
      <c r="H315" s="865">
        <f>+VLOOKUP(B315,'Balance Local'!$B$8:$B$560,1,0)</f>
        <v>4401000050</v>
      </c>
      <c r="I315" s="839"/>
      <c r="J315" s="839"/>
    </row>
    <row r="316" spans="2:10" s="865" customFormat="1" hidden="1">
      <c r="B316" s="1168">
        <v>4401000070</v>
      </c>
      <c r="C316" s="1168" t="s">
        <v>3108</v>
      </c>
      <c r="D316" s="1178">
        <f>+IFERROR(VLOOKUP(B316,'Balance Local'!$B$8:$D$564,3,0),0)</f>
        <v>1932371331</v>
      </c>
      <c r="E316" s="1168">
        <v>5311510</v>
      </c>
      <c r="F316" s="1168" t="s">
        <v>3470</v>
      </c>
      <c r="G316" s="1178">
        <f t="shared" si="4"/>
        <v>1932371331</v>
      </c>
      <c r="H316" s="865">
        <f>+VLOOKUP(B316,'Balance Local'!$B$8:$B$560,1,0)</f>
        <v>4401000070</v>
      </c>
      <c r="I316" s="839"/>
      <c r="J316" s="839"/>
    </row>
    <row r="317" spans="2:10" s="865" customFormat="1" hidden="1">
      <c r="B317" s="1168">
        <v>4401000072</v>
      </c>
      <c r="C317" s="1168" t="s">
        <v>3109</v>
      </c>
      <c r="D317" s="1178">
        <f>+IFERROR(VLOOKUP(B317,'Balance Local'!$B$8:$D$564,3,0),0)</f>
        <v>999572904</v>
      </c>
      <c r="E317" s="1168">
        <v>5311510</v>
      </c>
      <c r="F317" s="1168" t="s">
        <v>3470</v>
      </c>
      <c r="G317" s="1178">
        <f t="shared" si="4"/>
        <v>999572904</v>
      </c>
      <c r="H317" s="865">
        <f>+VLOOKUP(B317,'Balance Local'!$B$8:$B$560,1,0)</f>
        <v>4401000072</v>
      </c>
      <c r="I317" s="839"/>
      <c r="J317" s="839"/>
    </row>
    <row r="318" spans="2:10" s="865" customFormat="1" hidden="1">
      <c r="B318" s="1168">
        <v>4401100000</v>
      </c>
      <c r="C318" s="1168" t="s">
        <v>3110</v>
      </c>
      <c r="D318" s="1178">
        <f>+IFERROR(VLOOKUP(B318,'Balance Local'!$B$8:$D$564,3,0),0)</f>
        <v>828947740</v>
      </c>
      <c r="E318" s="1168">
        <v>5311510</v>
      </c>
      <c r="F318" s="1168" t="s">
        <v>3470</v>
      </c>
      <c r="G318" s="1178">
        <f t="shared" si="4"/>
        <v>828947740</v>
      </c>
      <c r="H318" s="865">
        <f>+VLOOKUP(B318,'Balance Local'!$B$8:$B$560,1,0)</f>
        <v>4401100000</v>
      </c>
      <c r="I318" s="839"/>
      <c r="J318" s="839"/>
    </row>
    <row r="319" spans="2:10" s="865" customFormat="1" hidden="1">
      <c r="B319" s="1168">
        <v>4403000000</v>
      </c>
      <c r="C319" s="1168" t="s">
        <v>3111</v>
      </c>
      <c r="D319" s="1178">
        <f>+IFERROR(VLOOKUP(B319,'Balance Local'!$B$8:$D$564,3,0),0)</f>
        <v>-527132681</v>
      </c>
      <c r="E319" s="1168">
        <v>5311540</v>
      </c>
      <c r="F319" s="1168" t="s">
        <v>3468</v>
      </c>
      <c r="G319" s="1178">
        <f t="shared" si="4"/>
        <v>-527132681</v>
      </c>
      <c r="H319" s="865">
        <f>+VLOOKUP(B319,'Balance Local'!$B$8:$B$560,1,0)</f>
        <v>4403000000</v>
      </c>
      <c r="I319" s="839"/>
      <c r="J319" s="839"/>
    </row>
    <row r="320" spans="2:10" s="865" customFormat="1" hidden="1">
      <c r="B320" s="1168">
        <v>4403100000</v>
      </c>
      <c r="C320" s="1168" t="s">
        <v>3112</v>
      </c>
      <c r="D320" s="1178">
        <f>+IFERROR(VLOOKUP(B320,'Balance Local'!$B$8:$D$564,3,0),0)</f>
        <v>-72411245</v>
      </c>
      <c r="E320" s="1168">
        <v>5311540</v>
      </c>
      <c r="F320" s="1168" t="s">
        <v>3468</v>
      </c>
      <c r="G320" s="1178">
        <f t="shared" si="4"/>
        <v>-72411245</v>
      </c>
      <c r="H320" s="865">
        <f>+VLOOKUP(B320,'Balance Local'!$B$8:$B$560,1,0)</f>
        <v>4403100000</v>
      </c>
      <c r="I320" s="839"/>
      <c r="J320" s="839"/>
    </row>
    <row r="321" spans="1:10" s="865" customFormat="1" hidden="1">
      <c r="B321" s="1168">
        <v>5111100000</v>
      </c>
      <c r="C321" s="1168" t="s">
        <v>3113</v>
      </c>
      <c r="D321" s="1178">
        <f>+IFERROR(VLOOKUP(B321,'Balance Local'!$B$8:$D$564,3,0),0)</f>
        <v>-129314867</v>
      </c>
      <c r="E321" s="1168">
        <v>5313320</v>
      </c>
      <c r="F321" s="1168" t="s">
        <v>3471</v>
      </c>
      <c r="G321" s="1178">
        <f t="shared" si="4"/>
        <v>-129314867</v>
      </c>
      <c r="H321" s="865">
        <f>+VLOOKUP(B321,'Balance Local'!$B$8:$B$560,1,0)</f>
        <v>5111100000</v>
      </c>
      <c r="I321" s="839"/>
      <c r="J321" s="839"/>
    </row>
    <row r="322" spans="1:10" s="865" customFormat="1" hidden="1">
      <c r="B322" s="1168">
        <v>5112100000</v>
      </c>
      <c r="C322" s="1168" t="s">
        <v>3472</v>
      </c>
      <c r="D322" s="1178">
        <f>+IFERROR(VLOOKUP(B322,'Balance Local'!$B$8:$D$564,3,0),0)</f>
        <v>0</v>
      </c>
      <c r="E322" s="1168">
        <v>5313320</v>
      </c>
      <c r="F322" s="1168" t="s">
        <v>3471</v>
      </c>
      <c r="G322" s="1178">
        <f t="shared" si="4"/>
        <v>0</v>
      </c>
      <c r="H322" s="865" t="e">
        <f>+VLOOKUP(B322,'Balance Local'!$B$8:$B$560,1,0)</f>
        <v>#N/A</v>
      </c>
      <c r="I322" s="839"/>
      <c r="J322" s="839"/>
    </row>
    <row r="323" spans="1:10" s="865" customFormat="1" hidden="1">
      <c r="B323" s="1168">
        <v>5121100000</v>
      </c>
      <c r="C323" s="1168" t="s">
        <v>3114</v>
      </c>
      <c r="D323" s="1178">
        <f>+IFERROR(VLOOKUP(B323,'Balance Local'!$B$8:$D$564,3,0),0)</f>
        <v>-122003302</v>
      </c>
      <c r="E323" s="1168">
        <v>5313320</v>
      </c>
      <c r="F323" s="1168" t="s">
        <v>3471</v>
      </c>
      <c r="G323" s="1178">
        <f t="shared" si="4"/>
        <v>-122003302</v>
      </c>
      <c r="H323" s="865">
        <f>+VLOOKUP(B323,'Balance Local'!$B$8:$B$560,1,0)</f>
        <v>5121100000</v>
      </c>
      <c r="I323" s="839"/>
      <c r="J323" s="839"/>
    </row>
    <row r="324" spans="1:10" s="865" customFormat="1" hidden="1">
      <c r="B324" s="1168">
        <v>5131000000</v>
      </c>
      <c r="C324" s="1168" t="s">
        <v>3473</v>
      </c>
      <c r="D324" s="1178">
        <f>+IFERROR(VLOOKUP(B324,'Balance Local'!$B$8:$D$564,3,0),0)</f>
        <v>0</v>
      </c>
      <c r="E324" s="1168">
        <v>5313320</v>
      </c>
      <c r="F324" s="1168" t="s">
        <v>3471</v>
      </c>
      <c r="G324" s="1178">
        <f t="shared" si="4"/>
        <v>0</v>
      </c>
      <c r="H324" s="865" t="e">
        <f>+VLOOKUP(B324,'Balance Local'!$B$8:$B$560,1,0)</f>
        <v>#N/A</v>
      </c>
      <c r="I324" s="839"/>
      <c r="J324" s="839"/>
    </row>
    <row r="325" spans="1:10" s="865" customFormat="1" hidden="1">
      <c r="B325" s="1168">
        <v>5131000300</v>
      </c>
      <c r="C325" s="1168" t="s">
        <v>3115</v>
      </c>
      <c r="D325" s="1178">
        <f>+IFERROR(VLOOKUP(B325,'Balance Local'!$B$8:$D$564,3,0),0)</f>
        <v>-784971</v>
      </c>
      <c r="E325" s="1168">
        <v>5313320</v>
      </c>
      <c r="F325" s="1168" t="s">
        <v>3471</v>
      </c>
      <c r="G325" s="1178">
        <f t="shared" si="4"/>
        <v>-784971</v>
      </c>
      <c r="H325" s="865">
        <f>+VLOOKUP(B325,'Balance Local'!$B$8:$B$560,1,0)</f>
        <v>5131000300</v>
      </c>
      <c r="I325" s="839"/>
      <c r="J325" s="839"/>
    </row>
    <row r="326" spans="1:10" s="865" customFormat="1" hidden="1">
      <c r="B326" s="1168">
        <v>5131022040</v>
      </c>
      <c r="C326" s="1168" t="s">
        <v>3116</v>
      </c>
      <c r="D326" s="1178">
        <f>+IFERROR(VLOOKUP(B326,'Balance Local'!$B$8:$D$564,3,0),0)</f>
        <v>-12691860402</v>
      </c>
      <c r="E326" s="1168">
        <v>5313320</v>
      </c>
      <c r="F326" s="1168" t="s">
        <v>3471</v>
      </c>
      <c r="G326" s="1178">
        <f t="shared" si="4"/>
        <v>-12691860402</v>
      </c>
      <c r="H326" s="865">
        <f>+VLOOKUP(B326,'Balance Local'!$B$8:$B$560,1,0)</f>
        <v>5131022040</v>
      </c>
      <c r="I326" s="839"/>
      <c r="J326" s="839"/>
    </row>
    <row r="327" spans="1:10" s="865" customFormat="1" hidden="1">
      <c r="B327" s="1168">
        <v>5131104000</v>
      </c>
      <c r="C327" s="1168" t="s">
        <v>3117</v>
      </c>
      <c r="D327" s="1178">
        <f>+IFERROR(VLOOKUP(B327,'Balance Local'!$B$8:$D$564,3,0),0)</f>
        <v>59762666</v>
      </c>
      <c r="E327" s="1168">
        <v>5313320</v>
      </c>
      <c r="F327" s="1168" t="s">
        <v>3471</v>
      </c>
      <c r="G327" s="1178">
        <f t="shared" si="4"/>
        <v>59762666</v>
      </c>
      <c r="H327" s="865">
        <f>+VLOOKUP(B327,'Balance Local'!$B$8:$B$560,1,0)</f>
        <v>5131104000</v>
      </c>
      <c r="I327" s="839"/>
      <c r="J327" s="839"/>
    </row>
    <row r="328" spans="1:10" s="865" customFormat="1" hidden="1">
      <c r="B328" s="1168">
        <v>5141000000</v>
      </c>
      <c r="C328" s="1168" t="s">
        <v>3118</v>
      </c>
      <c r="D328" s="1178">
        <f>+IFERROR(VLOOKUP(B328,'Balance Local'!$B$8:$D$564,3,0),0)</f>
        <v>-2939040181</v>
      </c>
      <c r="E328" s="1168">
        <v>5313310</v>
      </c>
      <c r="F328" s="1168" t="s">
        <v>3459</v>
      </c>
      <c r="G328" s="1178">
        <f t="shared" si="4"/>
        <v>-2939040181</v>
      </c>
      <c r="H328" s="865">
        <f>+VLOOKUP(B328,'Balance Local'!$B$8:$B$560,1,0)</f>
        <v>5141000000</v>
      </c>
      <c r="I328" s="839"/>
      <c r="J328" s="839"/>
    </row>
    <row r="329" spans="1:10" s="865" customFormat="1" hidden="1">
      <c r="B329" s="1168">
        <v>5151000000</v>
      </c>
      <c r="C329" s="1168" t="s">
        <v>3119</v>
      </c>
      <c r="D329" s="1178">
        <f>+IFERROR(VLOOKUP(B329,'Balance Local'!$B$8:$D$564,3,0),0)</f>
        <v>-1329587004</v>
      </c>
      <c r="E329" s="1168">
        <v>5313320</v>
      </c>
      <c r="F329" s="1168" t="s">
        <v>3471</v>
      </c>
      <c r="G329" s="1178">
        <f t="shared" si="4"/>
        <v>-1329587004</v>
      </c>
      <c r="H329" s="865">
        <f>+VLOOKUP(B329,'Balance Local'!$B$8:$B$560,1,0)</f>
        <v>5151000000</v>
      </c>
      <c r="I329" s="839"/>
      <c r="J329" s="839"/>
    </row>
    <row r="330" spans="1:10" s="865" customFormat="1" hidden="1">
      <c r="B330" s="1168">
        <v>5153000000</v>
      </c>
      <c r="C330" s="1168" t="s">
        <v>3120</v>
      </c>
      <c r="D330" s="1178">
        <f>+IFERROR(VLOOKUP(B330,'Balance Local'!$B$8:$D$564,3,0),0)</f>
        <v>-349208423</v>
      </c>
      <c r="E330" s="1168">
        <v>5313320</v>
      </c>
      <c r="F330" s="1168" t="s">
        <v>3471</v>
      </c>
      <c r="G330" s="1178">
        <f t="shared" ref="G330:G393" si="5">+D330</f>
        <v>-349208423</v>
      </c>
      <c r="H330" s="865">
        <f>+VLOOKUP(B330,'Balance Local'!$B$8:$B$560,1,0)</f>
        <v>5153000000</v>
      </c>
      <c r="I330" s="839"/>
      <c r="J330" s="839"/>
    </row>
    <row r="331" spans="1:10" s="865" customFormat="1" hidden="1">
      <c r="B331" s="1168">
        <v>5153100000</v>
      </c>
      <c r="C331" s="1168" t="s">
        <v>3121</v>
      </c>
      <c r="D331" s="1178">
        <f>+IFERROR(VLOOKUP(B331,'Balance Local'!$B$8:$D$564,3,0),0)</f>
        <v>-8817309</v>
      </c>
      <c r="E331" s="1168">
        <v>5313320</v>
      </c>
      <c r="F331" s="1168" t="s">
        <v>3471</v>
      </c>
      <c r="G331" s="1178">
        <f t="shared" si="5"/>
        <v>-8817309</v>
      </c>
      <c r="H331" s="865">
        <f>+VLOOKUP(B331,'Balance Local'!$B$8:$B$560,1,0)</f>
        <v>5153100000</v>
      </c>
      <c r="I331" s="839"/>
      <c r="J331" s="839"/>
    </row>
    <row r="332" spans="1:10" s="865" customFormat="1" hidden="1">
      <c r="B332" s="1168">
        <v>5157310000</v>
      </c>
      <c r="C332" s="1168" t="s">
        <v>3122</v>
      </c>
      <c r="D332" s="1178">
        <f>+IFERROR(VLOOKUP(B332,'Balance Local'!$B$8:$D$564,3,0),0)</f>
        <v>-1817490875</v>
      </c>
      <c r="E332" s="1168">
        <v>5313310</v>
      </c>
      <c r="F332" s="1168" t="s">
        <v>3459</v>
      </c>
      <c r="G332" s="1178">
        <f t="shared" si="5"/>
        <v>-1817490875</v>
      </c>
      <c r="H332" s="865">
        <f>+VLOOKUP(B332,'Balance Local'!$B$8:$B$560,1,0)</f>
        <v>5157310000</v>
      </c>
      <c r="I332" s="839"/>
      <c r="J332" s="839"/>
    </row>
    <row r="333" spans="1:10" s="865" customFormat="1" hidden="1">
      <c r="B333" s="1168">
        <v>5157320000</v>
      </c>
      <c r="C333" s="1168" t="s">
        <v>3124</v>
      </c>
      <c r="D333" s="1178">
        <f>+IFERROR(VLOOKUP(B333,'Balance Local'!$B$8:$D$564,3,0),0)</f>
        <v>-177975754</v>
      </c>
      <c r="E333" s="1168">
        <v>5313310</v>
      </c>
      <c r="F333" s="1168" t="s">
        <v>3459</v>
      </c>
      <c r="G333" s="1178">
        <f t="shared" si="5"/>
        <v>-177975754</v>
      </c>
      <c r="H333" s="865">
        <f>+VLOOKUP(B333,'Balance Local'!$B$8:$B$560,1,0)</f>
        <v>5157320000</v>
      </c>
      <c r="I333" s="839"/>
      <c r="J333" s="839"/>
    </row>
    <row r="334" spans="1:10" s="865" customFormat="1" hidden="1">
      <c r="B334" s="1168">
        <v>5321110000</v>
      </c>
      <c r="C334" s="1168" t="s">
        <v>3125</v>
      </c>
      <c r="D334" s="1178">
        <f>+IFERROR(VLOOKUP(B334,'Balance Local'!$B$8:$D$564,3,0),0)</f>
        <v>-2232364514</v>
      </c>
      <c r="E334" s="1168">
        <v>5313120</v>
      </c>
      <c r="F334" s="1168" t="s">
        <v>3471</v>
      </c>
      <c r="G334" s="1178">
        <f t="shared" si="5"/>
        <v>-2232364514</v>
      </c>
      <c r="H334" s="865">
        <f>+VLOOKUP(B334,'Balance Local'!$B$8:$B$560,1,0)</f>
        <v>5321110000</v>
      </c>
      <c r="I334" s="839"/>
      <c r="J334" s="839"/>
    </row>
    <row r="335" spans="1:10" s="865" customFormat="1" hidden="1">
      <c r="B335" s="1168">
        <v>5323300000</v>
      </c>
      <c r="C335" s="1168" t="s">
        <v>3126</v>
      </c>
      <c r="D335" s="1178">
        <f>+IFERROR(VLOOKUP(B335,'Balance Local'!$B$8:$D$564,3,0),0)</f>
        <v>-231094123</v>
      </c>
      <c r="E335" s="1168">
        <v>5313220</v>
      </c>
      <c r="F335" s="1168" t="s">
        <v>3471</v>
      </c>
      <c r="G335" s="1178">
        <f t="shared" si="5"/>
        <v>-231094123</v>
      </c>
      <c r="H335" s="865">
        <f>+VLOOKUP(B335,'Balance Local'!$B$8:$B$560,1,0)</f>
        <v>5323300000</v>
      </c>
      <c r="I335" s="839"/>
      <c r="J335" s="839"/>
    </row>
    <row r="336" spans="1:10" s="865" customFormat="1" hidden="1">
      <c r="A336" s="866"/>
      <c r="B336" s="1168">
        <v>5324140000</v>
      </c>
      <c r="C336" s="902" t="s">
        <v>3127</v>
      </c>
      <c r="D336" s="1178">
        <f>+IFERROR(VLOOKUP(B336,'Balance Local'!$B$8:$D$564,3,0),0)</f>
        <v>0</v>
      </c>
      <c r="E336" s="1168">
        <v>5313120</v>
      </c>
      <c r="F336" s="1168" t="s">
        <v>3471</v>
      </c>
      <c r="G336" s="1178">
        <f t="shared" si="5"/>
        <v>0</v>
      </c>
      <c r="H336" s="865">
        <f>+VLOOKUP(B336,'Balance Local'!$B$8:$B$560,1,0)</f>
        <v>5324140000</v>
      </c>
      <c r="I336" s="839"/>
      <c r="J336" s="839"/>
    </row>
    <row r="337" spans="1:10" s="865" customFormat="1" hidden="1">
      <c r="B337" s="1168">
        <v>5331100000</v>
      </c>
      <c r="C337" s="1168" t="s">
        <v>3128</v>
      </c>
      <c r="D337" s="1178">
        <f>+IFERROR(VLOOKUP(B337,'Balance Local'!$B$8:$D$564,3,0),0)</f>
        <v>-288584220</v>
      </c>
      <c r="E337" s="1168">
        <v>5313120</v>
      </c>
      <c r="F337" s="1168" t="s">
        <v>3471</v>
      </c>
      <c r="G337" s="1178">
        <f t="shared" si="5"/>
        <v>-288584220</v>
      </c>
      <c r="H337" s="865">
        <f>+VLOOKUP(B337,'Balance Local'!$B$8:$B$560,1,0)</f>
        <v>5331100000</v>
      </c>
      <c r="I337" s="839"/>
      <c r="J337" s="839"/>
    </row>
    <row r="338" spans="1:10" s="865" customFormat="1" hidden="1">
      <c r="A338" s="866"/>
      <c r="B338" s="1168">
        <v>5341000000</v>
      </c>
      <c r="C338" s="902" t="s">
        <v>3129</v>
      </c>
      <c r="D338" s="1178">
        <f>+IFERROR(VLOOKUP(B338,'Balance Local'!$B$8:$D$564,3,0),0)</f>
        <v>0</v>
      </c>
      <c r="E338" s="1168">
        <v>5313310</v>
      </c>
      <c r="F338" s="1168" t="s">
        <v>3459</v>
      </c>
      <c r="G338" s="1178">
        <f t="shared" si="5"/>
        <v>0</v>
      </c>
      <c r="H338" s="865">
        <f>+VLOOKUP(B338,'Balance Local'!$B$8:$B$560,1,0)</f>
        <v>5341000000</v>
      </c>
      <c r="I338" s="839"/>
      <c r="J338" s="839"/>
    </row>
    <row r="339" spans="1:10" s="865" customFormat="1" hidden="1">
      <c r="A339" s="866"/>
      <c r="B339" s="1168">
        <v>5342000000</v>
      </c>
      <c r="C339" s="902" t="s">
        <v>3377</v>
      </c>
      <c r="D339" s="1178">
        <f>+IFERROR(VLOOKUP(B339,'Balance Local'!$B$8:$D$564,3,0),0)</f>
        <v>0</v>
      </c>
      <c r="E339" s="1168">
        <v>5313110</v>
      </c>
      <c r="F339" s="1168" t="s">
        <v>3459</v>
      </c>
      <c r="G339" s="1178">
        <f t="shared" si="5"/>
        <v>0</v>
      </c>
      <c r="H339" s="865">
        <f>+VLOOKUP(B339,'Balance Local'!$B$8:$B$560,1,0)</f>
        <v>5342000000</v>
      </c>
      <c r="I339" s="839"/>
      <c r="J339" s="839"/>
    </row>
    <row r="340" spans="1:10" s="865" customFormat="1" hidden="1">
      <c r="B340" s="1168">
        <v>5351000000</v>
      </c>
      <c r="C340" s="1168" t="s">
        <v>3130</v>
      </c>
      <c r="D340" s="1178">
        <f>+IFERROR(VLOOKUP(B340,'Balance Local'!$B$8:$D$564,3,0),0)</f>
        <v>-1683044</v>
      </c>
      <c r="E340" s="1168">
        <v>5313120</v>
      </c>
      <c r="F340" s="1168" t="s">
        <v>3471</v>
      </c>
      <c r="G340" s="1178">
        <f t="shared" si="5"/>
        <v>-1683044</v>
      </c>
      <c r="H340" s="865">
        <f>+VLOOKUP(B340,'Balance Local'!$B$8:$B$560,1,0)</f>
        <v>5351000000</v>
      </c>
      <c r="I340" s="839"/>
      <c r="J340" s="839"/>
    </row>
    <row r="341" spans="1:10" s="865" customFormat="1" hidden="1">
      <c r="A341" s="866"/>
      <c r="B341" s="1168">
        <v>5354000000</v>
      </c>
      <c r="C341" s="902" t="s">
        <v>3131</v>
      </c>
      <c r="D341" s="1178">
        <f>+IFERROR(VLOOKUP(B341,'Balance Local'!$B$8:$D$564,3,0),0)</f>
        <v>-662499649</v>
      </c>
      <c r="E341" s="1168">
        <v>5313110</v>
      </c>
      <c r="F341" s="1168" t="s">
        <v>3459</v>
      </c>
      <c r="G341" s="1178">
        <f t="shared" si="5"/>
        <v>-662499649</v>
      </c>
      <c r="H341" s="865">
        <f>+VLOOKUP(B341,'Balance Local'!$B$8:$B$560,1,0)</f>
        <v>5354000000</v>
      </c>
      <c r="I341" s="839"/>
      <c r="J341" s="839"/>
    </row>
    <row r="342" spans="1:10" s="865" customFormat="1" hidden="1">
      <c r="B342" s="1168">
        <v>5372620000</v>
      </c>
      <c r="C342" s="1168" t="s">
        <v>3132</v>
      </c>
      <c r="D342" s="1178">
        <f>+IFERROR(VLOOKUP(B342,'Balance Local'!$B$8:$D$564,3,0),0)</f>
        <v>-1485699739</v>
      </c>
      <c r="E342" s="1168">
        <v>5313400</v>
      </c>
      <c r="F342" s="1168" t="s">
        <v>3474</v>
      </c>
      <c r="G342" s="1178">
        <f t="shared" si="5"/>
        <v>-1485699739</v>
      </c>
      <c r="H342" s="865">
        <f>+VLOOKUP(B342,'Balance Local'!$B$8:$B$560,1,0)</f>
        <v>5372620000</v>
      </c>
      <c r="I342" s="839"/>
      <c r="J342" s="839"/>
    </row>
    <row r="343" spans="1:10" s="865" customFormat="1" hidden="1">
      <c r="B343" s="1168">
        <v>5372630000</v>
      </c>
      <c r="C343" s="1168" t="s">
        <v>3133</v>
      </c>
      <c r="D343" s="1178">
        <f>+IFERROR(VLOOKUP(B343,'Balance Local'!$B$8:$D$564,3,0),0)</f>
        <v>-2826744824</v>
      </c>
      <c r="E343" s="1168">
        <v>5313400</v>
      </c>
      <c r="F343" s="1168" t="s">
        <v>3474</v>
      </c>
      <c r="G343" s="1178">
        <f t="shared" si="5"/>
        <v>-2826744824</v>
      </c>
      <c r="H343" s="865">
        <f>+VLOOKUP(B343,'Balance Local'!$B$8:$B$560,1,0)</f>
        <v>5372630000</v>
      </c>
      <c r="I343" s="839"/>
      <c r="J343" s="839"/>
    </row>
    <row r="344" spans="1:10" s="865" customFormat="1" hidden="1">
      <c r="B344" s="1168">
        <v>5421110000</v>
      </c>
      <c r="C344" s="1168" t="s">
        <v>3134</v>
      </c>
      <c r="D344" s="1178">
        <f>+IFERROR(VLOOKUP(B344,'Balance Local'!$B$8:$D$564,3,0),0)</f>
        <v>2837019243</v>
      </c>
      <c r="E344" s="1168">
        <v>5313120</v>
      </c>
      <c r="F344" s="1168" t="s">
        <v>3471</v>
      </c>
      <c r="G344" s="1178">
        <f t="shared" si="5"/>
        <v>2837019243</v>
      </c>
      <c r="H344" s="865">
        <f>+VLOOKUP(B344,'Balance Local'!$B$8:$B$560,1,0)</f>
        <v>5421110000</v>
      </c>
      <c r="I344" s="839"/>
      <c r="J344" s="839"/>
    </row>
    <row r="345" spans="1:10" s="865" customFormat="1" hidden="1">
      <c r="A345" s="866"/>
      <c r="B345" s="1168">
        <v>5424140000</v>
      </c>
      <c r="C345" s="902" t="s">
        <v>3135</v>
      </c>
      <c r="D345" s="1178">
        <f>+IFERROR(VLOOKUP(B345,'Balance Local'!$B$8:$D$564,3,0),0)</f>
        <v>0</v>
      </c>
      <c r="E345" s="1168">
        <v>5313120</v>
      </c>
      <c r="F345" s="1168" t="s">
        <v>3471</v>
      </c>
      <c r="G345" s="1178">
        <f t="shared" si="5"/>
        <v>0</v>
      </c>
      <c r="H345" s="865">
        <f>+VLOOKUP(B345,'Balance Local'!$B$8:$B$560,1,0)</f>
        <v>5424140000</v>
      </c>
      <c r="I345" s="839"/>
      <c r="J345" s="839"/>
    </row>
    <row r="346" spans="1:10" s="865" customFormat="1" hidden="1">
      <c r="A346" s="866"/>
      <c r="B346" s="1168">
        <v>5424150000</v>
      </c>
      <c r="C346" s="902" t="s">
        <v>3136</v>
      </c>
      <c r="D346" s="1178">
        <f>+IFERROR(VLOOKUP(B346,'Balance Local'!$B$8:$D$564,3,0),0)</f>
        <v>95469464</v>
      </c>
      <c r="E346" s="1168">
        <v>5313120</v>
      </c>
      <c r="F346" s="1168" t="s">
        <v>3471</v>
      </c>
      <c r="G346" s="1178">
        <f t="shared" si="5"/>
        <v>95469464</v>
      </c>
      <c r="H346" s="865">
        <f>+VLOOKUP(B346,'Balance Local'!$B$8:$B$560,1,0)</f>
        <v>5424150000</v>
      </c>
      <c r="I346" s="839"/>
      <c r="J346" s="839"/>
    </row>
    <row r="347" spans="1:10" s="865" customFormat="1" hidden="1">
      <c r="B347" s="1168">
        <v>5431100000</v>
      </c>
      <c r="C347" s="1168" t="s">
        <v>3137</v>
      </c>
      <c r="D347" s="1178">
        <f>+IFERROR(VLOOKUP(B347,'Balance Local'!$B$8:$D$564,3,0),0)</f>
        <v>0</v>
      </c>
      <c r="E347" s="1168">
        <v>5313120</v>
      </c>
      <c r="F347" s="1168" t="s">
        <v>3471</v>
      </c>
      <c r="G347" s="1178">
        <f t="shared" si="5"/>
        <v>0</v>
      </c>
      <c r="H347" s="865">
        <f>+VLOOKUP(B347,'Balance Local'!$B$8:$B$560,1,0)</f>
        <v>5431100000</v>
      </c>
      <c r="I347" s="839"/>
      <c r="J347" s="839"/>
    </row>
    <row r="348" spans="1:10" s="865" customFormat="1" hidden="1">
      <c r="B348" s="1168">
        <v>5442000000</v>
      </c>
      <c r="C348" s="1168" t="s">
        <v>3138</v>
      </c>
      <c r="D348" s="1178">
        <f>+IFERROR(VLOOKUP(B348,'Balance Local'!$B$8:$D$564,3,0),0)</f>
        <v>137066029</v>
      </c>
      <c r="E348" s="1168">
        <v>5313500</v>
      </c>
      <c r="F348" s="1168" t="s">
        <v>3454</v>
      </c>
      <c r="G348" s="1178">
        <f t="shared" si="5"/>
        <v>137066029</v>
      </c>
      <c r="H348" s="865">
        <f>+VLOOKUP(B348,'Balance Local'!$B$8:$B$560,1,0)</f>
        <v>5442000000</v>
      </c>
      <c r="I348" s="839"/>
      <c r="J348" s="839"/>
    </row>
    <row r="349" spans="1:10" s="865" customFormat="1" hidden="1">
      <c r="B349" s="1168">
        <v>5451000000</v>
      </c>
      <c r="C349" s="1168" t="s">
        <v>3139</v>
      </c>
      <c r="D349" s="1178">
        <f>+IFERROR(VLOOKUP(B349,'Balance Local'!$B$8:$D$564,3,0),0)</f>
        <v>27856</v>
      </c>
      <c r="E349" s="1168">
        <v>5313120</v>
      </c>
      <c r="F349" s="1168" t="s">
        <v>3471</v>
      </c>
      <c r="G349" s="1178">
        <f t="shared" si="5"/>
        <v>27856</v>
      </c>
      <c r="H349" s="865">
        <f>+VLOOKUP(B349,'Balance Local'!$B$8:$B$560,1,0)</f>
        <v>5451000000</v>
      </c>
      <c r="I349" s="839"/>
      <c r="J349" s="839"/>
    </row>
    <row r="350" spans="1:10" s="865" customFormat="1" hidden="1">
      <c r="B350" s="1168">
        <v>5472620000</v>
      </c>
      <c r="C350" s="1168" t="s">
        <v>3140</v>
      </c>
      <c r="D350" s="1178">
        <f>+IFERROR(VLOOKUP(B350,'Balance Local'!$B$8:$D$564,3,0),0)</f>
        <v>1114999435</v>
      </c>
      <c r="E350" s="1168">
        <v>5313400</v>
      </c>
      <c r="F350" s="1168" t="s">
        <v>3474</v>
      </c>
      <c r="G350" s="1178">
        <f t="shared" si="5"/>
        <v>1114999435</v>
      </c>
      <c r="H350" s="865">
        <f>+VLOOKUP(B350,'Balance Local'!$B$8:$B$560,1,0)</f>
        <v>5472620000</v>
      </c>
      <c r="I350" s="839"/>
      <c r="J350" s="839"/>
    </row>
    <row r="351" spans="1:10" s="865" customFormat="1" hidden="1">
      <c r="B351" s="1168">
        <v>5472630000</v>
      </c>
      <c r="C351" s="1168" t="s">
        <v>3141</v>
      </c>
      <c r="D351" s="1178">
        <f>+IFERROR(VLOOKUP(B351,'Balance Local'!$B$8:$D$564,3,0),0)</f>
        <v>3258545972</v>
      </c>
      <c r="E351" s="1168">
        <v>5313400</v>
      </c>
      <c r="F351" s="1168" t="s">
        <v>3474</v>
      </c>
      <c r="G351" s="1178">
        <f t="shared" si="5"/>
        <v>3258545972</v>
      </c>
      <c r="H351" s="865">
        <f>+VLOOKUP(B351,'Balance Local'!$B$8:$B$560,1,0)</f>
        <v>5472630000</v>
      </c>
      <c r="I351" s="839"/>
      <c r="J351" s="839"/>
    </row>
    <row r="352" spans="1:10" s="865" customFormat="1" hidden="1">
      <c r="A352" s="866"/>
      <c r="B352" s="1168">
        <v>5495100000</v>
      </c>
      <c r="C352" s="902" t="s">
        <v>3142</v>
      </c>
      <c r="D352" s="1178">
        <f>+IFERROR(VLOOKUP(B352,'Balance Local'!$B$8:$D$564,3,0),0)</f>
        <v>38199734</v>
      </c>
      <c r="E352" s="1168">
        <v>5313500</v>
      </c>
      <c r="F352" s="1168" t="s">
        <v>3454</v>
      </c>
      <c r="G352" s="1178">
        <f t="shared" si="5"/>
        <v>38199734</v>
      </c>
      <c r="H352" s="865">
        <f>+VLOOKUP(B352,'Balance Local'!$B$8:$B$560,1,0)</f>
        <v>5495100000</v>
      </c>
      <c r="I352" s="839"/>
      <c r="J352" s="839"/>
    </row>
    <row r="353" spans="1:10" s="865" customFormat="1" hidden="1">
      <c r="B353" s="1168">
        <v>6012110000</v>
      </c>
      <c r="C353" s="1168" t="s">
        <v>3143</v>
      </c>
      <c r="D353" s="1178">
        <f>+IFERROR(VLOOKUP(B353,'Balance Local'!$B$8:$D$564,3,0),0)</f>
        <v>-75775241</v>
      </c>
      <c r="E353" s="1168">
        <v>5316100</v>
      </c>
      <c r="F353" s="1168" t="s">
        <v>3475</v>
      </c>
      <c r="G353" s="1178">
        <f t="shared" si="5"/>
        <v>-75775241</v>
      </c>
      <c r="H353" s="865">
        <f>+VLOOKUP(B353,'Balance Local'!$B$8:$B$560,1,0)</f>
        <v>6012110000</v>
      </c>
      <c r="I353" s="839"/>
      <c r="J353" s="839"/>
    </row>
    <row r="354" spans="1:10" s="865" customFormat="1" hidden="1">
      <c r="B354" s="1168">
        <v>6012130000</v>
      </c>
      <c r="C354" s="1168" t="s">
        <v>3144</v>
      </c>
      <c r="D354" s="1178">
        <f>+IFERROR(VLOOKUP(B354,'Balance Local'!$B$8:$D$564,3,0),0)</f>
        <v>-512339134</v>
      </c>
      <c r="E354" s="1168">
        <v>5316100</v>
      </c>
      <c r="F354" s="1168" t="s">
        <v>3475</v>
      </c>
      <c r="G354" s="1178">
        <f t="shared" si="5"/>
        <v>-512339134</v>
      </c>
      <c r="H354" s="865">
        <f>+VLOOKUP(B354,'Balance Local'!$B$8:$B$560,1,0)</f>
        <v>6012130000</v>
      </c>
      <c r="I354" s="839"/>
      <c r="J354" s="839"/>
    </row>
    <row r="355" spans="1:10" s="865" customFormat="1" hidden="1">
      <c r="B355" s="1168">
        <v>6012210000</v>
      </c>
      <c r="C355" s="1168" t="s">
        <v>3145</v>
      </c>
      <c r="D355" s="1178">
        <f>+IFERROR(VLOOKUP(B355,'Balance Local'!$B$8:$D$564,3,0),0)</f>
        <v>-28752627</v>
      </c>
      <c r="E355" s="1168">
        <v>5316100</v>
      </c>
      <c r="F355" s="1168" t="s">
        <v>3475</v>
      </c>
      <c r="G355" s="1178">
        <f t="shared" si="5"/>
        <v>-28752627</v>
      </c>
      <c r="H355" s="865">
        <f>+VLOOKUP(B355,'Balance Local'!$B$8:$B$560,1,0)</f>
        <v>6012210000</v>
      </c>
      <c r="I355" s="839"/>
      <c r="J355" s="839"/>
    </row>
    <row r="356" spans="1:10" s="865" customFormat="1" hidden="1">
      <c r="B356" s="1168">
        <v>6012230000</v>
      </c>
      <c r="C356" s="1168" t="s">
        <v>3146</v>
      </c>
      <c r="D356" s="1178">
        <f>+IFERROR(VLOOKUP(B356,'Balance Local'!$B$8:$D$564,3,0),0)</f>
        <v>-9379424440</v>
      </c>
      <c r="E356" s="1168">
        <v>5316100</v>
      </c>
      <c r="F356" s="1168" t="s">
        <v>3475</v>
      </c>
      <c r="G356" s="1178">
        <f t="shared" si="5"/>
        <v>-9379424440</v>
      </c>
      <c r="H356" s="865">
        <f>+VLOOKUP(B356,'Balance Local'!$B$8:$B$560,1,0)</f>
        <v>6012230000</v>
      </c>
      <c r="I356" s="839"/>
      <c r="J356" s="839"/>
    </row>
    <row r="357" spans="1:10" s="865" customFormat="1" hidden="1">
      <c r="B357" s="1168">
        <v>6012310000</v>
      </c>
      <c r="C357" s="1168" t="s">
        <v>3147</v>
      </c>
      <c r="D357" s="1178">
        <f>+IFERROR(VLOOKUP(B357,'Balance Local'!$B$8:$D$564,3,0),0)</f>
        <v>93031734</v>
      </c>
      <c r="E357" s="1168">
        <v>5316100</v>
      </c>
      <c r="F357" s="1168" t="s">
        <v>3475</v>
      </c>
      <c r="G357" s="1178">
        <f t="shared" si="5"/>
        <v>93031734</v>
      </c>
      <c r="H357" s="865">
        <f>+VLOOKUP(B357,'Balance Local'!$B$8:$B$560,1,0)</f>
        <v>6012310000</v>
      </c>
      <c r="I357" s="839"/>
      <c r="J357" s="839"/>
    </row>
    <row r="358" spans="1:10" s="865" customFormat="1" hidden="1">
      <c r="B358" s="1168">
        <v>6012410000</v>
      </c>
      <c r="C358" s="1168" t="s">
        <v>3148</v>
      </c>
      <c r="D358" s="1178">
        <f>+IFERROR(VLOOKUP(B358,'Balance Local'!$B$8:$D$564,3,0),0)</f>
        <v>15535197</v>
      </c>
      <c r="E358" s="1168">
        <v>5316100</v>
      </c>
      <c r="F358" s="1168" t="s">
        <v>3475</v>
      </c>
      <c r="G358" s="1178">
        <f t="shared" si="5"/>
        <v>15535197</v>
      </c>
      <c r="H358" s="865">
        <f>+VLOOKUP(B358,'Balance Local'!$B$8:$B$560,1,0)</f>
        <v>6012410000</v>
      </c>
      <c r="I358" s="839"/>
      <c r="J358" s="839"/>
    </row>
    <row r="359" spans="1:10" s="865" customFormat="1" hidden="1">
      <c r="B359" s="1168">
        <v>6012430000</v>
      </c>
      <c r="C359" s="1168" t="s">
        <v>3149</v>
      </c>
      <c r="D359" s="1178">
        <f>+IFERROR(VLOOKUP(B359,'Balance Local'!$B$8:$D$564,3,0),0)</f>
        <v>164804</v>
      </c>
      <c r="E359" s="1168">
        <v>5316100</v>
      </c>
      <c r="F359" s="1168" t="s">
        <v>3475</v>
      </c>
      <c r="G359" s="1178">
        <f t="shared" si="5"/>
        <v>164804</v>
      </c>
      <c r="H359" s="865">
        <f>+VLOOKUP(B359,'Balance Local'!$B$8:$B$560,1,0)</f>
        <v>6012430000</v>
      </c>
      <c r="I359" s="839"/>
      <c r="J359" s="839"/>
    </row>
    <row r="360" spans="1:10" s="865" customFormat="1" hidden="1">
      <c r="B360" s="1168">
        <v>6013210000</v>
      </c>
      <c r="C360" s="1168" t="s">
        <v>3150</v>
      </c>
      <c r="D360" s="1178">
        <f>+IFERROR(VLOOKUP(B360,'Balance Local'!$B$8:$D$564,3,0),0)</f>
        <v>0</v>
      </c>
      <c r="E360" s="1168">
        <v>5316100</v>
      </c>
      <c r="F360" s="1168" t="s">
        <v>3475</v>
      </c>
      <c r="G360" s="1178">
        <f t="shared" si="5"/>
        <v>0</v>
      </c>
      <c r="H360" s="865">
        <f>+VLOOKUP(B360,'Balance Local'!$B$8:$B$560,1,0)</f>
        <v>6013210000</v>
      </c>
      <c r="I360" s="839"/>
      <c r="J360" s="839"/>
    </row>
    <row r="361" spans="1:10" s="865" customFormat="1" hidden="1">
      <c r="A361" s="866"/>
      <c r="B361" s="1168">
        <v>6013220000</v>
      </c>
      <c r="C361" s="902" t="s">
        <v>3151</v>
      </c>
      <c r="D361" s="1178">
        <f>+IFERROR(VLOOKUP(B361,'Balance Local'!$B$8:$D$564,3,0),0)</f>
        <v>0</v>
      </c>
      <c r="E361" s="1168">
        <v>5316100</v>
      </c>
      <c r="F361" s="1168" t="s">
        <v>3475</v>
      </c>
      <c r="G361" s="1178">
        <f t="shared" si="5"/>
        <v>0</v>
      </c>
      <c r="H361" s="865">
        <f>+VLOOKUP(B361,'Balance Local'!$B$8:$B$560,1,0)</f>
        <v>6013220000</v>
      </c>
      <c r="I361" s="839"/>
      <c r="J361" s="839"/>
    </row>
    <row r="362" spans="1:10" s="865" customFormat="1" hidden="1">
      <c r="B362" s="1168">
        <v>6031110000</v>
      </c>
      <c r="C362" s="1168" t="s">
        <v>3152</v>
      </c>
      <c r="D362" s="1178">
        <f>+IFERROR(VLOOKUP(B362,'Balance Local'!$B$8:$D$564,3,0),0)</f>
        <v>76497645</v>
      </c>
      <c r="E362" s="1168">
        <v>5316100</v>
      </c>
      <c r="F362" s="1168" t="s">
        <v>3475</v>
      </c>
      <c r="G362" s="1178">
        <f t="shared" si="5"/>
        <v>76497645</v>
      </c>
      <c r="H362" s="865">
        <f>+VLOOKUP(B362,'Balance Local'!$B$8:$B$560,1,0)</f>
        <v>6031110000</v>
      </c>
      <c r="I362" s="839"/>
      <c r="J362" s="839"/>
    </row>
    <row r="363" spans="1:10" s="865" customFormat="1" hidden="1">
      <c r="B363" s="1168">
        <v>6031120000</v>
      </c>
      <c r="C363" s="1168" t="s">
        <v>3153</v>
      </c>
      <c r="D363" s="1178">
        <f>+IFERROR(VLOOKUP(B363,'Balance Local'!$B$8:$D$564,3,0),0)</f>
        <v>-1159639345</v>
      </c>
      <c r="E363" s="1168">
        <v>5316100</v>
      </c>
      <c r="F363" s="1168" t="s">
        <v>3475</v>
      </c>
      <c r="G363" s="1178">
        <f t="shared" si="5"/>
        <v>-1159639345</v>
      </c>
      <c r="H363" s="865">
        <f>+VLOOKUP(B363,'Balance Local'!$B$8:$B$560,1,0)</f>
        <v>6031120000</v>
      </c>
      <c r="I363" s="839"/>
      <c r="J363" s="839"/>
    </row>
    <row r="364" spans="1:10" s="865" customFormat="1" hidden="1">
      <c r="B364" s="1168">
        <v>6031130000</v>
      </c>
      <c r="C364" s="1168" t="s">
        <v>3154</v>
      </c>
      <c r="D364" s="1178">
        <f>+IFERROR(VLOOKUP(B364,'Balance Local'!$B$8:$D$564,3,0),0)</f>
        <v>-448596954</v>
      </c>
      <c r="E364" s="1168">
        <v>5316100</v>
      </c>
      <c r="F364" s="1168" t="s">
        <v>3475</v>
      </c>
      <c r="G364" s="1178">
        <f t="shared" si="5"/>
        <v>-448596954</v>
      </c>
      <c r="H364" s="865">
        <f>+VLOOKUP(B364,'Balance Local'!$B$8:$B$560,1,0)</f>
        <v>6031130000</v>
      </c>
      <c r="I364" s="839"/>
      <c r="J364" s="839"/>
    </row>
    <row r="365" spans="1:10" s="865" customFormat="1" hidden="1">
      <c r="B365" s="1168">
        <v>6031140000</v>
      </c>
      <c r="C365" s="1168" t="s">
        <v>3155</v>
      </c>
      <c r="D365" s="1178">
        <f>+IFERROR(VLOOKUP(B365,'Balance Local'!$B$8:$D$564,3,0),0)</f>
        <v>-15382751</v>
      </c>
      <c r="E365" s="1168">
        <v>5316100</v>
      </c>
      <c r="F365" s="1168" t="s">
        <v>3475</v>
      </c>
      <c r="G365" s="1178">
        <f t="shared" si="5"/>
        <v>-15382751</v>
      </c>
      <c r="H365" s="865">
        <f>+VLOOKUP(B365,'Balance Local'!$B$8:$B$560,1,0)</f>
        <v>6031140000</v>
      </c>
      <c r="I365" s="839"/>
      <c r="J365" s="839"/>
    </row>
    <row r="366" spans="1:10" s="865" customFormat="1" hidden="1">
      <c r="B366" s="1168">
        <v>6031150000</v>
      </c>
      <c r="C366" s="1168" t="s">
        <v>3156</v>
      </c>
      <c r="D366" s="1178">
        <f>+IFERROR(VLOOKUP(B366,'Balance Local'!$B$8:$D$564,3,0),0)</f>
        <v>-9639959</v>
      </c>
      <c r="E366" s="1168">
        <v>5316100</v>
      </c>
      <c r="F366" s="1168" t="s">
        <v>3475</v>
      </c>
      <c r="G366" s="1178">
        <f t="shared" si="5"/>
        <v>-9639959</v>
      </c>
      <c r="H366" s="865">
        <f>+VLOOKUP(B366,'Balance Local'!$B$8:$B$560,1,0)</f>
        <v>6031150000</v>
      </c>
      <c r="I366" s="839"/>
      <c r="J366" s="839"/>
    </row>
    <row r="367" spans="1:10" s="865" customFormat="1" hidden="1">
      <c r="B367" s="1168">
        <v>6031190000</v>
      </c>
      <c r="C367" s="1168" t="s">
        <v>3157</v>
      </c>
      <c r="D367" s="1178">
        <f>+IFERROR(VLOOKUP(B367,'Balance Local'!$B$8:$D$564,3,0),0)</f>
        <v>-1210085</v>
      </c>
      <c r="E367" s="1168">
        <v>5316100</v>
      </c>
      <c r="F367" s="1168" t="s">
        <v>3475</v>
      </c>
      <c r="G367" s="1178">
        <f t="shared" si="5"/>
        <v>-1210085</v>
      </c>
      <c r="H367" s="865">
        <f>+VLOOKUP(B367,'Balance Local'!$B$8:$B$560,1,0)</f>
        <v>6031190000</v>
      </c>
      <c r="I367" s="839"/>
      <c r="J367" s="839"/>
    </row>
    <row r="368" spans="1:10" s="865" customFormat="1" hidden="1">
      <c r="B368" s="1168">
        <v>6031210000</v>
      </c>
      <c r="C368" s="1168" t="s">
        <v>3158</v>
      </c>
      <c r="D368" s="1178">
        <f>+IFERROR(VLOOKUP(B368,'Balance Local'!$B$8:$D$564,3,0),0)</f>
        <v>-1203319</v>
      </c>
      <c r="E368" s="1168">
        <v>5316100</v>
      </c>
      <c r="F368" s="1168" t="s">
        <v>3475</v>
      </c>
      <c r="G368" s="1178">
        <f t="shared" si="5"/>
        <v>-1203319</v>
      </c>
      <c r="H368" s="865">
        <f>+VLOOKUP(B368,'Balance Local'!$B$8:$B$560,1,0)</f>
        <v>6031210000</v>
      </c>
      <c r="I368" s="839"/>
      <c r="J368" s="839"/>
    </row>
    <row r="369" spans="1:10" s="865" customFormat="1" hidden="1">
      <c r="B369" s="1168">
        <v>6031220000</v>
      </c>
      <c r="C369" s="1168" t="s">
        <v>3159</v>
      </c>
      <c r="D369" s="1178">
        <f>+IFERROR(VLOOKUP(B369,'Balance Local'!$B$8:$D$564,3,0),0)</f>
        <v>-566866</v>
      </c>
      <c r="E369" s="1168">
        <v>5316100</v>
      </c>
      <c r="F369" s="1168" t="s">
        <v>3475</v>
      </c>
      <c r="G369" s="1178">
        <f t="shared" si="5"/>
        <v>-566866</v>
      </c>
      <c r="H369" s="865">
        <f>+VLOOKUP(B369,'Balance Local'!$B$8:$B$560,1,0)</f>
        <v>6031220000</v>
      </c>
      <c r="I369" s="839"/>
      <c r="J369" s="839"/>
    </row>
    <row r="370" spans="1:10" s="865" customFormat="1" hidden="1">
      <c r="B370" s="1168">
        <v>6031240000</v>
      </c>
      <c r="C370" s="1168" t="s">
        <v>3160</v>
      </c>
      <c r="D370" s="1178">
        <f>+IFERROR(VLOOKUP(B370,'Balance Local'!$B$8:$D$564,3,0),0)</f>
        <v>-9825998</v>
      </c>
      <c r="E370" s="1168">
        <v>5316100</v>
      </c>
      <c r="F370" s="1168" t="s">
        <v>3475</v>
      </c>
      <c r="G370" s="1178">
        <f t="shared" si="5"/>
        <v>-9825998</v>
      </c>
      <c r="H370" s="865">
        <f>+VLOOKUP(B370,'Balance Local'!$B$8:$B$560,1,0)</f>
        <v>6031240000</v>
      </c>
      <c r="I370" s="839"/>
      <c r="J370" s="839"/>
    </row>
    <row r="371" spans="1:10" s="865" customFormat="1" hidden="1">
      <c r="B371" s="1168">
        <v>6031290000</v>
      </c>
      <c r="C371" s="1168" t="s">
        <v>3161</v>
      </c>
      <c r="D371" s="1178">
        <f>+IFERROR(VLOOKUP(B371,'Balance Local'!$B$8:$D$564,3,0),0)</f>
        <v>-224164</v>
      </c>
      <c r="E371" s="1168">
        <v>5316100</v>
      </c>
      <c r="F371" s="1168" t="s">
        <v>3475</v>
      </c>
      <c r="G371" s="1178">
        <f t="shared" si="5"/>
        <v>-224164</v>
      </c>
      <c r="H371" s="865">
        <f>+VLOOKUP(B371,'Balance Local'!$B$8:$B$560,1,0)</f>
        <v>6031290000</v>
      </c>
      <c r="I371" s="839"/>
      <c r="J371" s="839"/>
    </row>
    <row r="372" spans="1:10" s="865" customFormat="1" hidden="1">
      <c r="B372" s="1168">
        <v>6032110000</v>
      </c>
      <c r="C372" s="1168" t="s">
        <v>3162</v>
      </c>
      <c r="D372" s="1178">
        <f>+IFERROR(VLOOKUP(B372,'Balance Local'!$B$8:$D$564,3,0),0)</f>
        <v>-86904427</v>
      </c>
      <c r="E372" s="1168">
        <v>5316100</v>
      </c>
      <c r="F372" s="1168" t="s">
        <v>3475</v>
      </c>
      <c r="G372" s="1178">
        <f t="shared" si="5"/>
        <v>-86904427</v>
      </c>
      <c r="H372" s="865">
        <f>+VLOOKUP(B372,'Balance Local'!$B$8:$B$560,1,0)</f>
        <v>6032110000</v>
      </c>
      <c r="I372" s="839"/>
      <c r="J372" s="839"/>
    </row>
    <row r="373" spans="1:10" s="865" customFormat="1" hidden="1">
      <c r="B373" s="1168">
        <v>6032120000</v>
      </c>
      <c r="C373" s="1168" t="s">
        <v>3163</v>
      </c>
      <c r="D373" s="1178">
        <f>+IFERROR(VLOOKUP(B373,'Balance Local'!$B$8:$D$564,3,0),0)</f>
        <v>73446141</v>
      </c>
      <c r="E373" s="1168">
        <v>5316100</v>
      </c>
      <c r="F373" s="1168" t="s">
        <v>3475</v>
      </c>
      <c r="G373" s="1178">
        <f t="shared" si="5"/>
        <v>73446141</v>
      </c>
      <c r="H373" s="865">
        <f>+VLOOKUP(B373,'Balance Local'!$B$8:$B$560,1,0)</f>
        <v>6032120000</v>
      </c>
      <c r="I373" s="839"/>
      <c r="J373" s="839"/>
    </row>
    <row r="374" spans="1:10" s="865" customFormat="1" hidden="1">
      <c r="B374" s="1168">
        <v>6032130000</v>
      </c>
      <c r="C374" s="1168" t="s">
        <v>3164</v>
      </c>
      <c r="D374" s="1178">
        <f>+IFERROR(VLOOKUP(B374,'Balance Local'!$B$8:$D$564,3,0),0)</f>
        <v>1703341283</v>
      </c>
      <c r="E374" s="1168">
        <v>5316100</v>
      </c>
      <c r="F374" s="1168" t="s">
        <v>3475</v>
      </c>
      <c r="G374" s="1178">
        <f t="shared" si="5"/>
        <v>1703341283</v>
      </c>
      <c r="H374" s="865">
        <f>+VLOOKUP(B374,'Balance Local'!$B$8:$B$560,1,0)</f>
        <v>6032130000</v>
      </c>
      <c r="I374" s="839"/>
      <c r="J374" s="839"/>
    </row>
    <row r="375" spans="1:10" s="865" customFormat="1" hidden="1">
      <c r="B375" s="1168">
        <v>6032140000</v>
      </c>
      <c r="C375" s="1168" t="s">
        <v>3165</v>
      </c>
      <c r="D375" s="1178">
        <f>+IFERROR(VLOOKUP(B375,'Balance Local'!$B$8:$D$564,3,0),0)</f>
        <v>-771807</v>
      </c>
      <c r="E375" s="1168">
        <v>5316100</v>
      </c>
      <c r="F375" s="1168" t="s">
        <v>3475</v>
      </c>
      <c r="G375" s="1178">
        <f t="shared" si="5"/>
        <v>-771807</v>
      </c>
      <c r="H375" s="865">
        <f>+VLOOKUP(B375,'Balance Local'!$B$8:$B$560,1,0)</f>
        <v>6032140000</v>
      </c>
      <c r="I375" s="839"/>
      <c r="J375" s="839"/>
    </row>
    <row r="376" spans="1:10" s="865" customFormat="1" hidden="1">
      <c r="B376" s="1168">
        <v>6032150000</v>
      </c>
      <c r="C376" s="1168" t="s">
        <v>3166</v>
      </c>
      <c r="D376" s="1178">
        <f>+IFERROR(VLOOKUP(B376,'Balance Local'!$B$8:$D$564,3,0),0)</f>
        <v>9315395839</v>
      </c>
      <c r="E376" s="1168">
        <v>5316100</v>
      </c>
      <c r="F376" s="1168" t="s">
        <v>3475</v>
      </c>
      <c r="G376" s="1178">
        <f t="shared" si="5"/>
        <v>9315395839</v>
      </c>
      <c r="H376" s="865">
        <f>+VLOOKUP(B376,'Balance Local'!$B$8:$B$560,1,0)</f>
        <v>6032150000</v>
      </c>
      <c r="I376" s="839"/>
      <c r="J376" s="839"/>
    </row>
    <row r="377" spans="1:10" s="865" customFormat="1" hidden="1">
      <c r="B377" s="1168">
        <v>6032190000</v>
      </c>
      <c r="C377" s="1168" t="s">
        <v>3167</v>
      </c>
      <c r="D377" s="1178">
        <f>+IFERROR(VLOOKUP(B377,'Balance Local'!$B$8:$D$564,3,0),0)</f>
        <v>0</v>
      </c>
      <c r="E377" s="1168">
        <v>5316100</v>
      </c>
      <c r="F377" s="1168" t="s">
        <v>3475</v>
      </c>
      <c r="G377" s="1178">
        <f t="shared" si="5"/>
        <v>0</v>
      </c>
      <c r="H377" s="865">
        <f>+VLOOKUP(B377,'Balance Local'!$B$8:$B$560,1,0)</f>
        <v>6032190000</v>
      </c>
      <c r="I377" s="839"/>
      <c r="J377" s="839"/>
    </row>
    <row r="378" spans="1:10" s="865" customFormat="1" hidden="1">
      <c r="A378" s="866"/>
      <c r="B378" s="1168">
        <v>6032210000</v>
      </c>
      <c r="C378" s="902" t="s">
        <v>3168</v>
      </c>
      <c r="D378" s="1178">
        <f>+IFERROR(VLOOKUP(B378,'Balance Local'!$B$8:$D$564,3,0),0)</f>
        <v>2962893</v>
      </c>
      <c r="E378" s="1168">
        <v>5316100</v>
      </c>
      <c r="F378" s="1168" t="s">
        <v>3475</v>
      </c>
      <c r="G378" s="1178">
        <f t="shared" si="5"/>
        <v>2962893</v>
      </c>
      <c r="H378" s="865">
        <f>+VLOOKUP(B378,'Balance Local'!$B$8:$B$560,1,0)</f>
        <v>6032210000</v>
      </c>
      <c r="I378" s="839"/>
      <c r="J378" s="839"/>
    </row>
    <row r="379" spans="1:10" s="865" customFormat="1" hidden="1">
      <c r="B379" s="1168">
        <v>6032230000</v>
      </c>
      <c r="C379" s="1168" t="s">
        <v>3169</v>
      </c>
      <c r="D379" s="1178">
        <f>+IFERROR(VLOOKUP(B379,'Balance Local'!$B$8:$D$564,3,0),0)</f>
        <v>0</v>
      </c>
      <c r="E379" s="1168">
        <v>5316100</v>
      </c>
      <c r="F379" s="1168" t="s">
        <v>3475</v>
      </c>
      <c r="G379" s="1178">
        <f t="shared" si="5"/>
        <v>0</v>
      </c>
      <c r="H379" s="865">
        <f>+VLOOKUP(B379,'Balance Local'!$B$8:$B$560,1,0)</f>
        <v>6032230000</v>
      </c>
      <c r="I379" s="839"/>
      <c r="J379" s="839"/>
    </row>
    <row r="380" spans="1:10" s="865" customFormat="1" hidden="1">
      <c r="B380" s="1168">
        <v>6032240000</v>
      </c>
      <c r="C380" s="1168" t="s">
        <v>3170</v>
      </c>
      <c r="D380" s="1178">
        <f>+IFERROR(VLOOKUP(B380,'Balance Local'!$B$8:$D$564,3,0),0)</f>
        <v>9662653</v>
      </c>
      <c r="E380" s="1168">
        <v>5316100</v>
      </c>
      <c r="F380" s="1168" t="s">
        <v>3475</v>
      </c>
      <c r="G380" s="1178">
        <f t="shared" si="5"/>
        <v>9662653</v>
      </c>
      <c r="H380" s="865">
        <f>+VLOOKUP(B380,'Balance Local'!$B$8:$B$560,1,0)</f>
        <v>6032240000</v>
      </c>
      <c r="I380" s="839"/>
      <c r="J380" s="839"/>
    </row>
    <row r="381" spans="1:10" s="865" customFormat="1" hidden="1">
      <c r="B381" s="1168">
        <v>6032290000</v>
      </c>
      <c r="C381" s="1168" t="s">
        <v>3171</v>
      </c>
      <c r="D381" s="1178">
        <f>+IFERROR(VLOOKUP(B381,'Balance Local'!$B$8:$D$564,3,0),0)</f>
        <v>798603</v>
      </c>
      <c r="E381" s="1168">
        <v>5316100</v>
      </c>
      <c r="F381" s="1168" t="s">
        <v>3475</v>
      </c>
      <c r="G381" s="1178">
        <f t="shared" si="5"/>
        <v>798603</v>
      </c>
      <c r="H381" s="865">
        <f>+VLOOKUP(B381,'Balance Local'!$B$8:$B$560,1,0)</f>
        <v>6032290000</v>
      </c>
      <c r="I381" s="839"/>
      <c r="J381" s="839"/>
    </row>
    <row r="382" spans="1:10" s="865" customFormat="1" hidden="1">
      <c r="B382" s="1168">
        <v>6543100010</v>
      </c>
      <c r="C382" s="1168" t="s">
        <v>3172</v>
      </c>
      <c r="D382" s="1178">
        <f>+IFERROR(VLOOKUP(B382,'Balance Local'!$B$8:$D$564,3,0),0)</f>
        <v>0</v>
      </c>
      <c r="E382" s="1168">
        <v>5315100</v>
      </c>
      <c r="F382" s="1168" t="s">
        <v>3457</v>
      </c>
      <c r="G382" s="1178">
        <f t="shared" si="5"/>
        <v>0</v>
      </c>
      <c r="H382" s="865">
        <f>+VLOOKUP(B382,'Balance Local'!$B$8:$B$560,1,0)</f>
        <v>6543100010</v>
      </c>
      <c r="I382" s="839"/>
      <c r="J382" s="839"/>
    </row>
    <row r="383" spans="1:10" s="865" customFormat="1" hidden="1">
      <c r="B383" s="1168">
        <v>6543200010</v>
      </c>
      <c r="C383" s="1168" t="s">
        <v>3173</v>
      </c>
      <c r="D383" s="1178">
        <f>+IFERROR(VLOOKUP(B383,'Balance Local'!$B$8:$D$564,3,0),0)</f>
        <v>0</v>
      </c>
      <c r="E383" s="1168">
        <v>5315100</v>
      </c>
      <c r="F383" s="1168" t="s">
        <v>3457</v>
      </c>
      <c r="G383" s="1178">
        <f t="shared" si="5"/>
        <v>0</v>
      </c>
      <c r="H383" s="865">
        <f>+VLOOKUP(B383,'Balance Local'!$B$8:$B$560,1,0)</f>
        <v>6543200010</v>
      </c>
      <c r="I383" s="839"/>
      <c r="J383" s="839"/>
    </row>
    <row r="384" spans="1:10" s="865" customFormat="1" hidden="1">
      <c r="B384" s="1168">
        <v>6543400010</v>
      </c>
      <c r="C384" s="1168" t="s">
        <v>3174</v>
      </c>
      <c r="D384" s="1178">
        <f>+IFERROR(VLOOKUP(B384,'Balance Local'!$B$8:$D$564,3,0),0)</f>
        <v>0</v>
      </c>
      <c r="E384" s="1168">
        <v>5315100</v>
      </c>
      <c r="F384" s="1168" t="s">
        <v>3457</v>
      </c>
      <c r="G384" s="1178">
        <f t="shared" si="5"/>
        <v>0</v>
      </c>
      <c r="H384" s="865">
        <f>+VLOOKUP(B384,'Balance Local'!$B$8:$B$560,1,0)</f>
        <v>6543400010</v>
      </c>
      <c r="I384" s="839"/>
      <c r="J384" s="839"/>
    </row>
    <row r="385" spans="1:10" s="865" customFormat="1" hidden="1">
      <c r="B385" s="1168">
        <v>6595910106</v>
      </c>
      <c r="C385" s="1168" t="s">
        <v>3175</v>
      </c>
      <c r="D385" s="1178">
        <f>+IFERROR(VLOOKUP(B385,'Balance Local'!$B$8:$D$564,3,0),0)</f>
        <v>0</v>
      </c>
      <c r="E385" s="1168">
        <v>5315100</v>
      </c>
      <c r="F385" s="1168" t="s">
        <v>3457</v>
      </c>
      <c r="G385" s="1178">
        <f t="shared" si="5"/>
        <v>0</v>
      </c>
      <c r="H385" s="865">
        <f>+VLOOKUP(B385,'Balance Local'!$B$8:$B$560,1,0)</f>
        <v>6595910106</v>
      </c>
      <c r="I385" s="839"/>
      <c r="J385" s="839"/>
    </row>
    <row r="386" spans="1:10" s="865" customFormat="1" hidden="1">
      <c r="B386" s="1168">
        <v>6643400010</v>
      </c>
      <c r="C386" s="1168" t="s">
        <v>3176</v>
      </c>
      <c r="D386" s="1178">
        <f>+IFERROR(VLOOKUP(B386,'Balance Local'!$B$8:$D$564,3,0),0)</f>
        <v>0</v>
      </c>
      <c r="E386" s="1168">
        <v>5315200</v>
      </c>
      <c r="F386" s="1168" t="s">
        <v>604</v>
      </c>
      <c r="G386" s="1178">
        <f t="shared" si="5"/>
        <v>0</v>
      </c>
      <c r="H386" s="865">
        <f>+VLOOKUP(B386,'Balance Local'!$B$8:$B$560,1,0)</f>
        <v>6643400010</v>
      </c>
      <c r="I386" s="839"/>
      <c r="J386" s="839"/>
    </row>
    <row r="387" spans="1:10" s="865" customFormat="1" hidden="1">
      <c r="B387" s="1168">
        <v>6643600010</v>
      </c>
      <c r="C387" s="1168" t="s">
        <v>3476</v>
      </c>
      <c r="D387" s="1178">
        <f>+IFERROR(VLOOKUP(B387,'Balance Local'!$B$8:$D$564,3,0),0)</f>
        <v>0</v>
      </c>
      <c r="E387" s="1168">
        <v>5312200</v>
      </c>
      <c r="F387" s="1168" t="s">
        <v>604</v>
      </c>
      <c r="G387" s="1178">
        <f t="shared" si="5"/>
        <v>0</v>
      </c>
      <c r="H387" s="865" t="e">
        <f>+VLOOKUP(B387,'Balance Local'!$B$8:$B$560,1,0)</f>
        <v>#N/A</v>
      </c>
      <c r="I387" s="839"/>
      <c r="J387" s="839"/>
    </row>
    <row r="388" spans="1:10" s="865" customFormat="1" hidden="1">
      <c r="B388" s="1168">
        <v>6713110000</v>
      </c>
      <c r="C388" s="1168" t="s">
        <v>3477</v>
      </c>
      <c r="D388" s="1178">
        <f>+IFERROR(VLOOKUP(B388,'Balance Local'!$B$8:$D$564,3,0),0)</f>
        <v>0</v>
      </c>
      <c r="E388" s="1168">
        <v>5312200</v>
      </c>
      <c r="F388" s="1168" t="s">
        <v>3478</v>
      </c>
      <c r="G388" s="1178">
        <f t="shared" si="5"/>
        <v>0</v>
      </c>
      <c r="H388" s="865" t="e">
        <f>+VLOOKUP(B388,'Balance Local'!$B$8:$B$560,1,0)</f>
        <v>#N/A</v>
      </c>
      <c r="I388" s="839"/>
      <c r="J388" s="839"/>
    </row>
    <row r="389" spans="1:10" s="865" customFormat="1" hidden="1">
      <c r="B389" s="1168">
        <v>6713120000</v>
      </c>
      <c r="C389" s="1168" t="s">
        <v>3479</v>
      </c>
      <c r="D389" s="1178">
        <f>+IFERROR(VLOOKUP(B389,'Balance Local'!$B$8:$D$564,3,0),0)</f>
        <v>0</v>
      </c>
      <c r="E389" s="1168">
        <v>5312200</v>
      </c>
      <c r="F389" s="1168" t="s">
        <v>3478</v>
      </c>
      <c r="G389" s="1178">
        <f t="shared" si="5"/>
        <v>0</v>
      </c>
      <c r="H389" s="865" t="e">
        <f>+VLOOKUP(B389,'Balance Local'!$B$8:$B$560,1,0)</f>
        <v>#N/A</v>
      </c>
      <c r="I389" s="839"/>
      <c r="J389" s="839"/>
    </row>
    <row r="390" spans="1:10" s="865" customFormat="1" hidden="1">
      <c r="B390" s="1168">
        <v>6715213300</v>
      </c>
      <c r="C390" s="1168" t="s">
        <v>3480</v>
      </c>
      <c r="D390" s="1178">
        <f>+IFERROR(VLOOKUP(B390,'Balance Local'!$B$8:$D$564,3,0),0)</f>
        <v>0</v>
      </c>
      <c r="E390" s="1168">
        <v>5313500</v>
      </c>
      <c r="F390" s="1168" t="s">
        <v>3454</v>
      </c>
      <c r="G390" s="1178">
        <f t="shared" si="5"/>
        <v>0</v>
      </c>
      <c r="H390" s="865" t="e">
        <f>+VLOOKUP(B390,'Balance Local'!$B$8:$B$560,1,0)</f>
        <v>#N/A</v>
      </c>
      <c r="I390" s="839"/>
      <c r="J390" s="839"/>
    </row>
    <row r="391" spans="1:10" s="865" customFormat="1" hidden="1">
      <c r="B391" s="1168">
        <v>6810010000</v>
      </c>
      <c r="C391" s="1168" t="s">
        <v>3177</v>
      </c>
      <c r="D391" s="1178">
        <f>+IFERROR(VLOOKUP(B391,'Balance Local'!$B$8:$D$564,3,0),0)</f>
        <v>-110756550</v>
      </c>
      <c r="E391" s="1168">
        <v>5319000</v>
      </c>
      <c r="F391" s="1168" t="s">
        <v>3481</v>
      </c>
      <c r="G391" s="1178">
        <f t="shared" si="5"/>
        <v>-110756550</v>
      </c>
      <c r="H391" s="865">
        <f>+VLOOKUP(B391,'Balance Local'!$B$8:$B$560,1,0)</f>
        <v>6810010000</v>
      </c>
      <c r="I391" s="839"/>
      <c r="J391" s="839"/>
    </row>
    <row r="392" spans="1:10" s="865" customFormat="1" hidden="1">
      <c r="B392" s="1168">
        <v>6810020000</v>
      </c>
      <c r="C392" s="1168" t="s">
        <v>3178</v>
      </c>
      <c r="D392" s="1178">
        <f>+IFERROR(VLOOKUP(B392,'Balance Local'!$B$8:$D$564,3,0),0)</f>
        <v>0</v>
      </c>
      <c r="E392" s="1168">
        <v>5319000</v>
      </c>
      <c r="F392" s="1168" t="s">
        <v>3481</v>
      </c>
      <c r="G392" s="1178">
        <f t="shared" si="5"/>
        <v>0</v>
      </c>
      <c r="H392" s="865">
        <f>+VLOOKUP(B392,'Balance Local'!$B$8:$B$560,1,0)</f>
        <v>6810020000</v>
      </c>
      <c r="I392" s="839"/>
      <c r="J392" s="839"/>
    </row>
    <row r="393" spans="1:10" s="865" customFormat="1" hidden="1">
      <c r="B393" s="1168">
        <v>6810110000</v>
      </c>
      <c r="C393" s="1168" t="s">
        <v>3179</v>
      </c>
      <c r="D393" s="1178">
        <f>+IFERROR(VLOOKUP(B393,'Balance Local'!$B$8:$D$564,3,0),0)</f>
        <v>1949932861</v>
      </c>
      <c r="E393" s="1168">
        <v>5319000</v>
      </c>
      <c r="F393" s="1168" t="s">
        <v>3481</v>
      </c>
      <c r="G393" s="1178">
        <f t="shared" si="5"/>
        <v>1949932861</v>
      </c>
      <c r="H393" s="865">
        <f>+VLOOKUP(B393,'Balance Local'!$B$8:$B$560,1,0)</f>
        <v>6810110000</v>
      </c>
      <c r="I393" s="839"/>
      <c r="J393" s="839"/>
    </row>
    <row r="394" spans="1:10" s="865" customFormat="1" hidden="1">
      <c r="A394" s="866"/>
      <c r="B394" s="1168">
        <v>7020000003</v>
      </c>
      <c r="C394" s="902" t="s">
        <v>3180</v>
      </c>
      <c r="D394" s="1178">
        <f>+IFERROR(VLOOKUP(B394,'Balance Local'!$B$8:$D$564,3,0),0)</f>
        <v>0</v>
      </c>
      <c r="E394" s="1168">
        <v>5312200</v>
      </c>
      <c r="F394" s="1168" t="s">
        <v>604</v>
      </c>
      <c r="G394" s="1178">
        <f t="shared" ref="G394:G457" si="6">+D394</f>
        <v>0</v>
      </c>
      <c r="H394" s="865">
        <f>+VLOOKUP(B394,'Balance Local'!$B$8:$B$560,1,0)</f>
        <v>7020000003</v>
      </c>
      <c r="I394" s="839"/>
      <c r="J394" s="839"/>
    </row>
    <row r="395" spans="1:10" s="865" customFormat="1" hidden="1">
      <c r="B395" s="1168">
        <v>7020000109</v>
      </c>
      <c r="C395" s="1168" t="s">
        <v>3181</v>
      </c>
      <c r="D395" s="1178">
        <f>+IFERROR(VLOOKUP(B395,'Balance Local'!$B$8:$D$564,3,0),0)</f>
        <v>1590292</v>
      </c>
      <c r="E395" s="1168">
        <v>5312100</v>
      </c>
      <c r="F395" s="1168" t="s">
        <v>594</v>
      </c>
      <c r="G395" s="1178">
        <f t="shared" si="6"/>
        <v>1590292</v>
      </c>
      <c r="H395" s="865">
        <f>+VLOOKUP(B395,'Balance Local'!$B$8:$B$560,1,0)</f>
        <v>7020000109</v>
      </c>
      <c r="I395" s="839"/>
      <c r="J395" s="839"/>
    </row>
    <row r="396" spans="1:10" s="865" customFormat="1" hidden="1">
      <c r="B396" s="1168">
        <v>7020000112</v>
      </c>
      <c r="C396" s="1168" t="s">
        <v>3182</v>
      </c>
      <c r="D396" s="1178">
        <f>+IFERROR(VLOOKUP(B396,'Balance Local'!$B$8:$D$564,3,0),0)</f>
        <v>1699975</v>
      </c>
      <c r="E396" s="1168">
        <v>5312100</v>
      </c>
      <c r="F396" s="1168" t="s">
        <v>594</v>
      </c>
      <c r="G396" s="1178">
        <f t="shared" si="6"/>
        <v>1699975</v>
      </c>
      <c r="H396" s="865">
        <f>+VLOOKUP(B396,'Balance Local'!$B$8:$B$560,1,0)</f>
        <v>7020000112</v>
      </c>
      <c r="I396" s="839"/>
      <c r="J396" s="839"/>
    </row>
    <row r="397" spans="1:10" s="865" customFormat="1" hidden="1">
      <c r="B397" s="1168">
        <v>7020000408</v>
      </c>
      <c r="C397" s="1168" t="s">
        <v>3183</v>
      </c>
      <c r="D397" s="1178">
        <f>+IFERROR(VLOOKUP(B397,'Balance Local'!$B$8:$D$564,3,0),0)</f>
        <v>227432981</v>
      </c>
      <c r="E397" s="1168">
        <v>5312200</v>
      </c>
      <c r="F397" s="1168" t="s">
        <v>604</v>
      </c>
      <c r="G397" s="1178">
        <f t="shared" si="6"/>
        <v>227432981</v>
      </c>
      <c r="H397" s="865">
        <f>+VLOOKUP(B397,'Balance Local'!$B$8:$B$560,1,0)</f>
        <v>7020000408</v>
      </c>
      <c r="I397" s="839"/>
      <c r="J397" s="839"/>
    </row>
    <row r="398" spans="1:10" s="865" customFormat="1" hidden="1">
      <c r="B398" s="1168">
        <v>7100000000</v>
      </c>
      <c r="C398" s="1168" t="s">
        <v>3184</v>
      </c>
      <c r="D398" s="1178">
        <f>+IFERROR(VLOOKUP(B398,'Balance Local'!$B$8:$D$564,3,0),0)</f>
        <v>1246765471</v>
      </c>
      <c r="E398" s="1168">
        <v>5312100</v>
      </c>
      <c r="F398" s="1168" t="s">
        <v>594</v>
      </c>
      <c r="G398" s="1178">
        <f t="shared" si="6"/>
        <v>1246765471</v>
      </c>
      <c r="H398" s="865">
        <f>+VLOOKUP(B398,'Balance Local'!$B$8:$B$560,1,0)</f>
        <v>7100000000</v>
      </c>
      <c r="I398" s="839"/>
      <c r="J398" s="839"/>
    </row>
    <row r="399" spans="1:10" s="865" customFormat="1" hidden="1">
      <c r="B399" s="1168">
        <v>7100100000</v>
      </c>
      <c r="C399" s="1168" t="s">
        <v>3185</v>
      </c>
      <c r="D399" s="1178">
        <f>+IFERROR(VLOOKUP(B399,'Balance Local'!$B$8:$D$564,3,0),0)</f>
        <v>11572248</v>
      </c>
      <c r="E399" s="1168">
        <v>5312100</v>
      </c>
      <c r="F399" s="1168" t="s">
        <v>594</v>
      </c>
      <c r="G399" s="1178">
        <f t="shared" si="6"/>
        <v>11572248</v>
      </c>
      <c r="H399" s="865">
        <f>+VLOOKUP(B399,'Balance Local'!$B$8:$B$560,1,0)</f>
        <v>7100100000</v>
      </c>
      <c r="I399" s="839"/>
      <c r="J399" s="839"/>
    </row>
    <row r="400" spans="1:10" s="865" customFormat="1" hidden="1">
      <c r="B400" s="1168">
        <v>7100200000</v>
      </c>
      <c r="C400" s="1168" t="s">
        <v>3186</v>
      </c>
      <c r="D400" s="1178">
        <f>+IFERROR(VLOOKUP(B400,'Balance Local'!$B$8:$D$564,3,0),0)</f>
        <v>2787385</v>
      </c>
      <c r="E400" s="1168">
        <v>5312100</v>
      </c>
      <c r="F400" s="1168" t="s">
        <v>594</v>
      </c>
      <c r="G400" s="1178">
        <f t="shared" si="6"/>
        <v>2787385</v>
      </c>
      <c r="H400" s="865">
        <f>+VLOOKUP(B400,'Balance Local'!$B$8:$B$560,1,0)</f>
        <v>7100200000</v>
      </c>
      <c r="I400" s="839"/>
      <c r="J400" s="839"/>
    </row>
    <row r="401" spans="1:10" s="865" customFormat="1" hidden="1">
      <c r="B401" s="1168">
        <v>7100200007</v>
      </c>
      <c r="C401" s="1168" t="s">
        <v>3187</v>
      </c>
      <c r="D401" s="1178">
        <f>+IFERROR(VLOOKUP(B401,'Balance Local'!$B$8:$D$564,3,0),0)</f>
        <v>-80076153</v>
      </c>
      <c r="E401" s="1168">
        <v>5312100</v>
      </c>
      <c r="F401" s="1168" t="s">
        <v>594</v>
      </c>
      <c r="G401" s="1178">
        <f t="shared" si="6"/>
        <v>-80076153</v>
      </c>
      <c r="H401" s="865">
        <f>+VLOOKUP(B401,'Balance Local'!$B$8:$B$560,1,0)</f>
        <v>7100200007</v>
      </c>
      <c r="I401" s="839"/>
      <c r="J401" s="839"/>
    </row>
    <row r="402" spans="1:10" s="865" customFormat="1" hidden="1">
      <c r="B402" s="1168">
        <v>7100322003</v>
      </c>
      <c r="C402" s="1168" t="s">
        <v>3188</v>
      </c>
      <c r="D402" s="1178">
        <f>+IFERROR(VLOOKUP(B402,'Balance Local'!$B$8:$D$564,3,0),0)</f>
        <v>619401145</v>
      </c>
      <c r="E402" s="1168">
        <v>5312100</v>
      </c>
      <c r="F402" s="1168" t="s">
        <v>594</v>
      </c>
      <c r="G402" s="1178">
        <f t="shared" si="6"/>
        <v>619401145</v>
      </c>
      <c r="H402" s="865">
        <f>+VLOOKUP(B402,'Balance Local'!$B$8:$B$560,1,0)</f>
        <v>7100322003</v>
      </c>
      <c r="I402" s="839"/>
      <c r="J402" s="839"/>
    </row>
    <row r="403" spans="1:10" s="865" customFormat="1" hidden="1">
      <c r="B403" s="1168">
        <v>7100330002</v>
      </c>
      <c r="C403" s="1168" t="s">
        <v>3189</v>
      </c>
      <c r="D403" s="1178">
        <f>+IFERROR(VLOOKUP(B403,'Balance Local'!$B$8:$D$564,3,0),0)</f>
        <v>46091822</v>
      </c>
      <c r="E403" s="1168">
        <v>5312100</v>
      </c>
      <c r="F403" s="1168" t="s">
        <v>594</v>
      </c>
      <c r="G403" s="1178">
        <f t="shared" si="6"/>
        <v>46091822</v>
      </c>
      <c r="H403" s="865">
        <f>+VLOOKUP(B403,'Balance Local'!$B$8:$B$560,1,0)</f>
        <v>7100330002</v>
      </c>
      <c r="I403" s="839"/>
      <c r="J403" s="839"/>
    </row>
    <row r="404" spans="1:10" s="865" customFormat="1" hidden="1">
      <c r="B404" s="1168">
        <v>7100340003</v>
      </c>
      <c r="C404" s="1168" t="s">
        <v>3190</v>
      </c>
      <c r="D404" s="1178">
        <f>+IFERROR(VLOOKUP(B404,'Balance Local'!$B$8:$D$564,3,0),0)</f>
        <v>71814210</v>
      </c>
      <c r="E404" s="1168">
        <v>5312100</v>
      </c>
      <c r="F404" s="1168" t="s">
        <v>594</v>
      </c>
      <c r="G404" s="1178">
        <f t="shared" si="6"/>
        <v>71814210</v>
      </c>
      <c r="H404" s="865">
        <f>+VLOOKUP(B404,'Balance Local'!$B$8:$B$560,1,0)</f>
        <v>7100340003</v>
      </c>
      <c r="I404" s="839"/>
      <c r="J404" s="839"/>
    </row>
    <row r="405" spans="1:10" s="865" customFormat="1" hidden="1">
      <c r="B405" s="1168">
        <v>7102000001</v>
      </c>
      <c r="C405" s="1168" t="s">
        <v>3191</v>
      </c>
      <c r="D405" s="1178">
        <f>+IFERROR(VLOOKUP(B405,'Balance Local'!$B$8:$D$564,3,0),0)</f>
        <v>133725346</v>
      </c>
      <c r="E405" s="1168">
        <v>5312100</v>
      </c>
      <c r="F405" s="1168" t="s">
        <v>594</v>
      </c>
      <c r="G405" s="1178">
        <f t="shared" si="6"/>
        <v>133725346</v>
      </c>
      <c r="H405" s="865">
        <f>+VLOOKUP(B405,'Balance Local'!$B$8:$B$560,1,0)</f>
        <v>7102000001</v>
      </c>
      <c r="I405" s="839"/>
      <c r="J405" s="839"/>
    </row>
    <row r="406" spans="1:10" s="865" customFormat="1" hidden="1">
      <c r="B406" s="1168">
        <v>7116000000</v>
      </c>
      <c r="C406" s="1168" t="s">
        <v>3192</v>
      </c>
      <c r="D406" s="1178">
        <f>+IFERROR(VLOOKUP(B406,'Balance Local'!$B$8:$D$564,3,0),0)</f>
        <v>148736558</v>
      </c>
      <c r="E406" s="1168">
        <v>5312100</v>
      </c>
      <c r="F406" s="1168" t="s">
        <v>594</v>
      </c>
      <c r="G406" s="1178">
        <f t="shared" si="6"/>
        <v>148736558</v>
      </c>
      <c r="H406" s="865">
        <f>+VLOOKUP(B406,'Balance Local'!$B$8:$B$560,1,0)</f>
        <v>7116000000</v>
      </c>
      <c r="I406" s="839"/>
      <c r="J406" s="839"/>
    </row>
    <row r="407" spans="1:10" s="865" customFormat="1" hidden="1">
      <c r="B407" s="1168">
        <v>7116000003</v>
      </c>
      <c r="C407" s="1168" t="s">
        <v>3193</v>
      </c>
      <c r="D407" s="1178">
        <f>+IFERROR(VLOOKUP(B407,'Balance Local'!$B$8:$D$564,3,0),0)</f>
        <v>66464390</v>
      </c>
      <c r="E407" s="1168">
        <v>5312100</v>
      </c>
      <c r="F407" s="1168" t="s">
        <v>594</v>
      </c>
      <c r="G407" s="1178">
        <f t="shared" si="6"/>
        <v>66464390</v>
      </c>
      <c r="H407" s="865">
        <f>+VLOOKUP(B407,'Balance Local'!$B$8:$B$560,1,0)</f>
        <v>7116000003</v>
      </c>
      <c r="I407" s="839"/>
      <c r="J407" s="839"/>
    </row>
    <row r="408" spans="1:10" s="865" customFormat="1" hidden="1">
      <c r="B408" s="1168">
        <v>7202000008</v>
      </c>
      <c r="C408" s="1168" t="s">
        <v>3194</v>
      </c>
      <c r="D408" s="1178">
        <f>+IFERROR(VLOOKUP(B408,'Balance Local'!$B$8:$D$564,3,0),0)</f>
        <v>60498480</v>
      </c>
      <c r="E408" s="1168">
        <v>5312100</v>
      </c>
      <c r="F408" s="1168" t="s">
        <v>594</v>
      </c>
      <c r="G408" s="1178">
        <f t="shared" si="6"/>
        <v>60498480</v>
      </c>
      <c r="H408" s="865">
        <f>+VLOOKUP(B408,'Balance Local'!$B$8:$B$560,1,0)</f>
        <v>7202000008</v>
      </c>
      <c r="I408" s="839"/>
      <c r="J408" s="839"/>
    </row>
    <row r="409" spans="1:10" s="865" customFormat="1" hidden="1">
      <c r="B409" s="1168">
        <v>7202001009</v>
      </c>
      <c r="C409" s="1168" t="s">
        <v>3195</v>
      </c>
      <c r="D409" s="1178">
        <f>+IFERROR(VLOOKUP(B409,'Balance Local'!$B$8:$D$564,3,0),0)</f>
        <v>10057267</v>
      </c>
      <c r="E409" s="1168">
        <v>5312200</v>
      </c>
      <c r="F409" s="1168" t="s">
        <v>604</v>
      </c>
      <c r="G409" s="1178">
        <f t="shared" si="6"/>
        <v>10057267</v>
      </c>
      <c r="H409" s="865">
        <f>+VLOOKUP(B409,'Balance Local'!$B$8:$B$560,1,0)</f>
        <v>7202001009</v>
      </c>
      <c r="I409" s="839"/>
      <c r="J409" s="839"/>
    </row>
    <row r="410" spans="1:10" s="865" customFormat="1" hidden="1">
      <c r="B410" s="1168">
        <v>7242003002</v>
      </c>
      <c r="C410" s="1168" t="s">
        <v>3196</v>
      </c>
      <c r="D410" s="1178">
        <f>+IFERROR(VLOOKUP(B410,'Balance Local'!$B$8:$D$564,3,0),0)</f>
        <v>55841871</v>
      </c>
      <c r="E410" s="1168">
        <v>5312100</v>
      </c>
      <c r="F410" s="1168" t="s">
        <v>594</v>
      </c>
      <c r="G410" s="1178">
        <f t="shared" si="6"/>
        <v>55841871</v>
      </c>
      <c r="H410" s="865">
        <f>+VLOOKUP(B410,'Balance Local'!$B$8:$B$560,1,0)</f>
        <v>7242003002</v>
      </c>
      <c r="I410" s="839"/>
      <c r="J410" s="839"/>
    </row>
    <row r="411" spans="1:10" s="865" customFormat="1" hidden="1">
      <c r="B411" s="1168">
        <v>7244000000</v>
      </c>
      <c r="C411" s="1168" t="s">
        <v>3197</v>
      </c>
      <c r="D411" s="1178">
        <f>+IFERROR(VLOOKUP(B411,'Balance Local'!$B$8:$D$564,3,0),0)</f>
        <v>3363267</v>
      </c>
      <c r="E411" s="1168">
        <v>5312100</v>
      </c>
      <c r="F411" s="1168" t="s">
        <v>594</v>
      </c>
      <c r="G411" s="1178">
        <f t="shared" si="6"/>
        <v>3363267</v>
      </c>
      <c r="H411" s="865">
        <f>+VLOOKUP(B411,'Balance Local'!$B$8:$B$560,1,0)</f>
        <v>7244000000</v>
      </c>
      <c r="I411" s="839"/>
      <c r="J411" s="839"/>
    </row>
    <row r="412" spans="1:10" s="865" customFormat="1" hidden="1">
      <c r="B412" s="1168">
        <v>7245000000</v>
      </c>
      <c r="C412" s="1168" t="s">
        <v>3198</v>
      </c>
      <c r="D412" s="1178">
        <f>+IFERROR(VLOOKUP(B412,'Balance Local'!$B$8:$D$564,3,0),0)</f>
        <v>1761770</v>
      </c>
      <c r="E412" s="1168">
        <v>5312200</v>
      </c>
      <c r="F412" s="1168" t="s">
        <v>604</v>
      </c>
      <c r="G412" s="1178">
        <f t="shared" si="6"/>
        <v>1761770</v>
      </c>
      <c r="H412" s="865">
        <f>+VLOOKUP(B412,'Balance Local'!$B$8:$B$560,1,0)</f>
        <v>7245000000</v>
      </c>
      <c r="I412" s="839"/>
      <c r="J412" s="839"/>
    </row>
    <row r="413" spans="1:10" s="865" customFormat="1" hidden="1">
      <c r="B413" s="1168">
        <v>7248000000</v>
      </c>
      <c r="C413" s="1168" t="s">
        <v>3199</v>
      </c>
      <c r="D413" s="1178">
        <f>+IFERROR(VLOOKUP(B413,'Balance Local'!$B$8:$D$564,3,0),0)</f>
        <v>126286369</v>
      </c>
      <c r="E413" s="1168">
        <v>5312100</v>
      </c>
      <c r="F413" s="1168" t="s">
        <v>594</v>
      </c>
      <c r="G413" s="1178">
        <f t="shared" si="6"/>
        <v>126286369</v>
      </c>
      <c r="H413" s="865">
        <f>+VLOOKUP(B413,'Balance Local'!$B$8:$B$560,1,0)</f>
        <v>7248000000</v>
      </c>
      <c r="I413" s="839"/>
      <c r="J413" s="839"/>
    </row>
    <row r="414" spans="1:10" s="865" customFormat="1" hidden="1">
      <c r="B414" s="1168">
        <v>7250000000</v>
      </c>
      <c r="C414" s="1168" t="s">
        <v>3200</v>
      </c>
      <c r="D414" s="1178">
        <f>+IFERROR(VLOOKUP(B414,'Balance Local'!$B$8:$D$564,3,0),0)</f>
        <v>1682000</v>
      </c>
      <c r="E414" s="1168">
        <v>5312100</v>
      </c>
      <c r="F414" s="1168" t="s">
        <v>594</v>
      </c>
      <c r="G414" s="1178">
        <f t="shared" si="6"/>
        <v>1682000</v>
      </c>
      <c r="H414" s="865">
        <f>+VLOOKUP(B414,'Balance Local'!$B$8:$B$560,1,0)</f>
        <v>7250000000</v>
      </c>
      <c r="I414" s="839"/>
      <c r="J414" s="839"/>
    </row>
    <row r="415" spans="1:10" s="865" customFormat="1" hidden="1">
      <c r="B415" s="1168">
        <v>7250100000</v>
      </c>
      <c r="C415" s="1168" t="s">
        <v>3201</v>
      </c>
      <c r="D415" s="1178">
        <f>+IFERROR(VLOOKUP(B415,'Balance Local'!$B$8:$D$564,3,0),0)</f>
        <v>16451799</v>
      </c>
      <c r="E415" s="1168">
        <v>5312200</v>
      </c>
      <c r="F415" s="1168" t="s">
        <v>604</v>
      </c>
      <c r="G415" s="1178">
        <f t="shared" si="6"/>
        <v>16451799</v>
      </c>
      <c r="H415" s="865">
        <f>+VLOOKUP(B415,'Balance Local'!$B$8:$B$560,1,0)</f>
        <v>7250100000</v>
      </c>
      <c r="I415" s="839"/>
      <c r="J415" s="839"/>
    </row>
    <row r="416" spans="1:10" s="865" customFormat="1" hidden="1">
      <c r="A416" s="866"/>
      <c r="B416" s="1168">
        <v>7250100003</v>
      </c>
      <c r="C416" s="902" t="s">
        <v>3202</v>
      </c>
      <c r="D416" s="1178">
        <f>+IFERROR(VLOOKUP(B416,'Balance Local'!$B$8:$D$564,3,0),0)</f>
        <v>2460515</v>
      </c>
      <c r="E416" s="1168">
        <v>5312200</v>
      </c>
      <c r="F416" s="1168" t="s">
        <v>604</v>
      </c>
      <c r="G416" s="1178">
        <f t="shared" si="6"/>
        <v>2460515</v>
      </c>
      <c r="H416" s="865">
        <f>+VLOOKUP(B416,'Balance Local'!$B$8:$B$560,1,0)</f>
        <v>7250100003</v>
      </c>
      <c r="I416" s="839"/>
      <c r="J416" s="839"/>
    </row>
    <row r="417" spans="1:10" s="865" customFormat="1" hidden="1">
      <c r="B417" s="1168">
        <v>7251000004</v>
      </c>
      <c r="C417" s="1168" t="s">
        <v>3203</v>
      </c>
      <c r="D417" s="1178">
        <f>+IFERROR(VLOOKUP(B417,'Balance Local'!$B$8:$D$564,3,0),0)</f>
        <v>10131817</v>
      </c>
      <c r="E417" s="1168">
        <v>5312200</v>
      </c>
      <c r="F417" s="1168" t="s">
        <v>604</v>
      </c>
      <c r="G417" s="1178">
        <f t="shared" si="6"/>
        <v>10131817</v>
      </c>
      <c r="H417" s="865">
        <f>+VLOOKUP(B417,'Balance Local'!$B$8:$B$560,1,0)</f>
        <v>7251000004</v>
      </c>
      <c r="I417" s="839"/>
      <c r="J417" s="839"/>
    </row>
    <row r="418" spans="1:10" s="865" customFormat="1" hidden="1">
      <c r="B418" s="1168">
        <v>7401000000</v>
      </c>
      <c r="C418" s="1168" t="s">
        <v>3204</v>
      </c>
      <c r="D418" s="1178">
        <f>+IFERROR(VLOOKUP(B418,'Balance Local'!$B$8:$D$564,3,0),0)</f>
        <v>17471097</v>
      </c>
      <c r="E418" s="1168">
        <v>5312200</v>
      </c>
      <c r="F418" s="1168" t="s">
        <v>604</v>
      </c>
      <c r="G418" s="1178">
        <f t="shared" si="6"/>
        <v>17471097</v>
      </c>
      <c r="H418" s="865">
        <f>+VLOOKUP(B418,'Balance Local'!$B$8:$B$560,1,0)</f>
        <v>7401000000</v>
      </c>
      <c r="I418" s="839"/>
      <c r="J418" s="839"/>
    </row>
    <row r="419" spans="1:10" s="865" customFormat="1" hidden="1">
      <c r="B419" s="1168">
        <v>7410000000</v>
      </c>
      <c r="C419" s="1168" t="s">
        <v>3205</v>
      </c>
      <c r="D419" s="1178">
        <f>+IFERROR(VLOOKUP(B419,'Balance Local'!$B$8:$D$564,3,0),0)</f>
        <v>55815132</v>
      </c>
      <c r="E419" s="1168">
        <v>5312200</v>
      </c>
      <c r="F419" s="1168" t="s">
        <v>604</v>
      </c>
      <c r="G419" s="1178">
        <f t="shared" si="6"/>
        <v>55815132</v>
      </c>
      <c r="H419" s="865">
        <f>+VLOOKUP(B419,'Balance Local'!$B$8:$B$560,1,0)</f>
        <v>7410000000</v>
      </c>
      <c r="I419" s="839"/>
      <c r="J419" s="839"/>
    </row>
    <row r="420" spans="1:10" s="865" customFormat="1" hidden="1">
      <c r="B420" s="1168">
        <v>7411000000</v>
      </c>
      <c r="C420" s="1168" t="s">
        <v>3206</v>
      </c>
      <c r="D420" s="1178">
        <f>+IFERROR(VLOOKUP(B420,'Balance Local'!$B$8:$D$564,3,0),0)</f>
        <v>112483467</v>
      </c>
      <c r="E420" s="1168">
        <v>5312200</v>
      </c>
      <c r="F420" s="1168" t="s">
        <v>604</v>
      </c>
      <c r="G420" s="1178">
        <f t="shared" si="6"/>
        <v>112483467</v>
      </c>
      <c r="H420" s="865">
        <f>+VLOOKUP(B420,'Balance Local'!$B$8:$B$560,1,0)</f>
        <v>7411000000</v>
      </c>
      <c r="I420" s="839"/>
      <c r="J420" s="839"/>
    </row>
    <row r="421" spans="1:10" s="865" customFormat="1" hidden="1">
      <c r="B421" s="1168">
        <v>7422000000</v>
      </c>
      <c r="C421" s="1168" t="s">
        <v>3207</v>
      </c>
      <c r="D421" s="1178">
        <f>+IFERROR(VLOOKUP(B421,'Balance Local'!$B$8:$D$564,3,0),0)</f>
        <v>11775322</v>
      </c>
      <c r="E421" s="1168">
        <v>5312200</v>
      </c>
      <c r="F421" s="1168" t="s">
        <v>604</v>
      </c>
      <c r="G421" s="1178">
        <f t="shared" si="6"/>
        <v>11775322</v>
      </c>
      <c r="H421" s="865">
        <f>+VLOOKUP(B421,'Balance Local'!$B$8:$B$560,1,0)</f>
        <v>7422000000</v>
      </c>
      <c r="I421" s="839"/>
      <c r="J421" s="839"/>
    </row>
    <row r="422" spans="1:10" s="865" customFormat="1" hidden="1">
      <c r="B422" s="1168">
        <v>7430000000</v>
      </c>
      <c r="C422" s="1168" t="s">
        <v>3208</v>
      </c>
      <c r="D422" s="1178">
        <f>+IFERROR(VLOOKUP(B422,'Balance Local'!$B$8:$D$564,3,0),0)</f>
        <v>27665755</v>
      </c>
      <c r="E422" s="1168">
        <v>5312200</v>
      </c>
      <c r="F422" s="1168" t="s">
        <v>604</v>
      </c>
      <c r="G422" s="1178">
        <f t="shared" si="6"/>
        <v>27665755</v>
      </c>
      <c r="H422" s="865">
        <f>+VLOOKUP(B422,'Balance Local'!$B$8:$B$560,1,0)</f>
        <v>7430000000</v>
      </c>
      <c r="I422" s="839"/>
      <c r="J422" s="839"/>
    </row>
    <row r="423" spans="1:10" s="865" customFormat="1" hidden="1">
      <c r="A423" s="866"/>
      <c r="B423" s="844">
        <v>7431000002</v>
      </c>
      <c r="C423" s="867" t="s">
        <v>3748</v>
      </c>
      <c r="D423" s="1178">
        <f>+IFERROR(VLOOKUP(B423,'Balance Local'!$B$8:$D$564,3,0),0)</f>
        <v>4145289</v>
      </c>
      <c r="E423" s="1168">
        <v>5312200</v>
      </c>
      <c r="F423" s="1168" t="s">
        <v>604</v>
      </c>
      <c r="G423" s="1178">
        <f t="shared" si="6"/>
        <v>4145289</v>
      </c>
      <c r="H423" s="865">
        <f>+VLOOKUP(B423,'Balance Local'!$B$8:$B$560,1,0)</f>
        <v>7431000002</v>
      </c>
      <c r="I423" s="839"/>
      <c r="J423" s="868"/>
    </row>
    <row r="424" spans="1:10" s="865" customFormat="1" hidden="1">
      <c r="B424" s="1168">
        <v>7440000001</v>
      </c>
      <c r="C424" s="1168" t="s">
        <v>3209</v>
      </c>
      <c r="D424" s="1178">
        <f>+IFERROR(VLOOKUP(B424,'Balance Local'!$B$8:$D$564,3,0),0)</f>
        <v>34687676</v>
      </c>
      <c r="E424" s="1168">
        <v>5312200</v>
      </c>
      <c r="F424" s="1168" t="s">
        <v>604</v>
      </c>
      <c r="G424" s="1178">
        <f t="shared" si="6"/>
        <v>34687676</v>
      </c>
      <c r="H424" s="865">
        <f>+VLOOKUP(B424,'Balance Local'!$B$8:$B$560,1,0)</f>
        <v>7440000001</v>
      </c>
      <c r="I424" s="839"/>
      <c r="J424" s="839"/>
    </row>
    <row r="425" spans="1:10" s="865" customFormat="1" hidden="1">
      <c r="B425" s="1168">
        <v>7440000003</v>
      </c>
      <c r="C425" s="1168" t="s">
        <v>3210</v>
      </c>
      <c r="D425" s="1178">
        <f>+IFERROR(VLOOKUP(B425,'Balance Local'!$B$8:$D$564,3,0),0)</f>
        <v>58002819</v>
      </c>
      <c r="E425" s="1168">
        <v>5312200</v>
      </c>
      <c r="F425" s="1168" t="s">
        <v>604</v>
      </c>
      <c r="G425" s="1178">
        <f t="shared" si="6"/>
        <v>58002819</v>
      </c>
      <c r="H425" s="865">
        <f>+VLOOKUP(B425,'Balance Local'!$B$8:$B$560,1,0)</f>
        <v>7440000003</v>
      </c>
      <c r="I425" s="839"/>
      <c r="J425" s="839"/>
    </row>
    <row r="426" spans="1:10" s="865" customFormat="1" hidden="1">
      <c r="A426" s="866"/>
      <c r="B426" s="1168">
        <v>7500000000</v>
      </c>
      <c r="C426" s="902" t="s">
        <v>3211</v>
      </c>
      <c r="D426" s="1178">
        <f>+IFERROR(VLOOKUP(B426,'Balance Local'!$B$8:$D$564,3,0),0)</f>
        <v>15565770</v>
      </c>
      <c r="E426" s="1168">
        <v>5312200</v>
      </c>
      <c r="F426" s="1168" t="s">
        <v>604</v>
      </c>
      <c r="G426" s="1178">
        <f t="shared" si="6"/>
        <v>15565770</v>
      </c>
      <c r="H426" s="865">
        <f>+VLOOKUP(B426,'Balance Local'!$B$8:$B$560,1,0)</f>
        <v>7500000000</v>
      </c>
      <c r="I426" s="839"/>
      <c r="J426" s="839"/>
    </row>
    <row r="427" spans="1:10" s="865" customFormat="1" hidden="1">
      <c r="A427" s="866"/>
      <c r="B427" s="844">
        <v>7501000000</v>
      </c>
      <c r="C427" s="867" t="s">
        <v>3749</v>
      </c>
      <c r="D427" s="1178">
        <f>+IFERROR(VLOOKUP(B427,'Balance Local'!$B$8:$D$564,3,0),0)</f>
        <v>10000000</v>
      </c>
      <c r="E427" s="1168">
        <v>5312200</v>
      </c>
      <c r="F427" s="1168" t="s">
        <v>604</v>
      </c>
      <c r="G427" s="1178">
        <f t="shared" si="6"/>
        <v>10000000</v>
      </c>
      <c r="H427" s="865">
        <f>+VLOOKUP(B427,'Balance Local'!$B$8:$B$560,1,0)</f>
        <v>7501000000</v>
      </c>
      <c r="I427" s="839"/>
      <c r="J427" s="868"/>
    </row>
    <row r="428" spans="1:10" s="865" customFormat="1" hidden="1">
      <c r="A428" s="866"/>
      <c r="B428" s="844">
        <v>7503000000</v>
      </c>
      <c r="C428" s="867" t="s">
        <v>3750</v>
      </c>
      <c r="D428" s="1178">
        <f>+IFERROR(VLOOKUP(B428,'Balance Local'!$B$8:$D$564,3,0),0)</f>
        <v>34950800</v>
      </c>
      <c r="E428" s="1168">
        <v>5312200</v>
      </c>
      <c r="F428" s="1168" t="s">
        <v>604</v>
      </c>
      <c r="G428" s="1178">
        <f t="shared" si="6"/>
        <v>34950800</v>
      </c>
      <c r="H428" s="865">
        <f>+VLOOKUP(B428,'Balance Local'!$B$8:$B$560,1,0)</f>
        <v>7503000000</v>
      </c>
      <c r="I428" s="839"/>
      <c r="J428" s="868"/>
    </row>
    <row r="429" spans="1:10" s="865" customFormat="1" hidden="1">
      <c r="A429" s="866"/>
      <c r="B429" s="1168">
        <v>7510000000</v>
      </c>
      <c r="C429" s="902" t="s">
        <v>3212</v>
      </c>
      <c r="D429" s="1178">
        <f>+IFERROR(VLOOKUP(B429,'Balance Local'!$B$8:$D$564,3,0),0)</f>
        <v>0</v>
      </c>
      <c r="E429" s="1168">
        <v>5312200</v>
      </c>
      <c r="F429" s="1168" t="s">
        <v>604</v>
      </c>
      <c r="G429" s="1178">
        <f t="shared" si="6"/>
        <v>0</v>
      </c>
      <c r="H429" s="865">
        <f>+VLOOKUP(B429,'Balance Local'!$B$8:$B$560,1,0)</f>
        <v>7510000000</v>
      </c>
      <c r="I429" s="839"/>
      <c r="J429" s="839"/>
    </row>
    <row r="430" spans="1:10" s="865" customFormat="1" hidden="1">
      <c r="B430" s="1168">
        <v>7512000000</v>
      </c>
      <c r="C430" s="1168" t="s">
        <v>3213</v>
      </c>
      <c r="D430" s="1178">
        <f>+IFERROR(VLOOKUP(B430,'Balance Local'!$B$8:$D$564,3,0),0)</f>
        <v>17160270</v>
      </c>
      <c r="E430" s="1168">
        <v>5312200</v>
      </c>
      <c r="F430" s="1168" t="s">
        <v>604</v>
      </c>
      <c r="G430" s="1178">
        <f t="shared" si="6"/>
        <v>17160270</v>
      </c>
      <c r="H430" s="865">
        <f>+VLOOKUP(B430,'Balance Local'!$B$8:$B$560,1,0)</f>
        <v>7512000000</v>
      </c>
      <c r="I430" s="839"/>
      <c r="J430" s="839"/>
    </row>
    <row r="431" spans="1:10" s="865" customFormat="1" hidden="1">
      <c r="B431" s="1168">
        <v>7512120000</v>
      </c>
      <c r="C431" s="1168" t="s">
        <v>3214</v>
      </c>
      <c r="D431" s="1178">
        <f>+IFERROR(VLOOKUP(B431,'Balance Local'!$B$8:$D$564,3,0),0)</f>
        <v>124637123</v>
      </c>
      <c r="E431" s="1168">
        <v>5312200</v>
      </c>
      <c r="F431" s="1168" t="s">
        <v>604</v>
      </c>
      <c r="G431" s="1178">
        <f t="shared" si="6"/>
        <v>124637123</v>
      </c>
      <c r="H431" s="865">
        <f>+VLOOKUP(B431,'Balance Local'!$B$8:$B$560,1,0)</f>
        <v>7512120000</v>
      </c>
      <c r="I431" s="839"/>
      <c r="J431" s="839"/>
    </row>
    <row r="432" spans="1:10" s="865" customFormat="1" hidden="1">
      <c r="B432" s="1168">
        <v>7512130000</v>
      </c>
      <c r="C432" s="1168" t="s">
        <v>3215</v>
      </c>
      <c r="D432" s="1178">
        <f>+IFERROR(VLOOKUP(B432,'Balance Local'!$B$8:$D$564,3,0),0)</f>
        <v>0</v>
      </c>
      <c r="E432" s="1168">
        <v>5312200</v>
      </c>
      <c r="F432" s="1168" t="s">
        <v>604</v>
      </c>
      <c r="G432" s="1178">
        <f t="shared" si="6"/>
        <v>0</v>
      </c>
      <c r="H432" s="865">
        <f>+VLOOKUP(B432,'Balance Local'!$B$8:$B$560,1,0)</f>
        <v>7512130000</v>
      </c>
      <c r="I432" s="839"/>
      <c r="J432" s="839"/>
    </row>
    <row r="433" spans="1:10" s="865" customFormat="1" hidden="1">
      <c r="B433" s="1168">
        <v>7520130000</v>
      </c>
      <c r="C433" s="1168" t="s">
        <v>3216</v>
      </c>
      <c r="D433" s="1178">
        <f>+IFERROR(VLOOKUP(B433,'Balance Local'!$B$8:$D$564,3,0),0)</f>
        <v>0</v>
      </c>
      <c r="E433" s="1168">
        <v>5312200</v>
      </c>
      <c r="F433" s="1168" t="s">
        <v>604</v>
      </c>
      <c r="G433" s="1178">
        <f t="shared" si="6"/>
        <v>0</v>
      </c>
      <c r="H433" s="865">
        <f>+VLOOKUP(B433,'Balance Local'!$B$8:$B$560,1,0)</f>
        <v>7520130000</v>
      </c>
      <c r="I433" s="839"/>
      <c r="J433" s="839"/>
    </row>
    <row r="434" spans="1:10" s="865" customFormat="1" hidden="1">
      <c r="B434" s="1168">
        <v>7521000000</v>
      </c>
      <c r="C434" s="1168" t="s">
        <v>3217</v>
      </c>
      <c r="D434" s="1178">
        <f>+IFERROR(VLOOKUP(B434,'Balance Local'!$B$8:$D$564,3,0),0)</f>
        <v>27000</v>
      </c>
      <c r="E434" s="1168">
        <v>5312200</v>
      </c>
      <c r="F434" s="1168" t="s">
        <v>604</v>
      </c>
      <c r="G434" s="1178">
        <f t="shared" si="6"/>
        <v>27000</v>
      </c>
      <c r="H434" s="865">
        <f>+VLOOKUP(B434,'Balance Local'!$B$8:$B$560,1,0)</f>
        <v>7521000000</v>
      </c>
      <c r="I434" s="839"/>
      <c r="J434" s="839"/>
    </row>
    <row r="435" spans="1:10" s="865" customFormat="1" hidden="1">
      <c r="B435" s="1168">
        <v>7521100000</v>
      </c>
      <c r="C435" s="1168" t="s">
        <v>3218</v>
      </c>
      <c r="D435" s="1178">
        <f>+IFERROR(VLOOKUP(B435,'Balance Local'!$B$8:$D$564,3,0),0)</f>
        <v>0</v>
      </c>
      <c r="E435" s="1168">
        <v>5312200</v>
      </c>
      <c r="F435" s="1168" t="s">
        <v>604</v>
      </c>
      <c r="G435" s="1178">
        <f t="shared" si="6"/>
        <v>0</v>
      </c>
      <c r="H435" s="865">
        <f>+VLOOKUP(B435,'Balance Local'!$B$8:$B$560,1,0)</f>
        <v>7521100000</v>
      </c>
      <c r="I435" s="839"/>
      <c r="J435" s="839"/>
    </row>
    <row r="436" spans="1:10" s="865" customFormat="1" hidden="1">
      <c r="B436" s="1168">
        <v>7521100001</v>
      </c>
      <c r="C436" s="1168" t="s">
        <v>3219</v>
      </c>
      <c r="D436" s="1178">
        <f>+IFERROR(VLOOKUP(B436,'Balance Local'!$B$8:$D$564,3,0),0)</f>
        <v>19801376</v>
      </c>
      <c r="E436" s="1168">
        <v>5312200</v>
      </c>
      <c r="F436" s="1168" t="s">
        <v>604</v>
      </c>
      <c r="G436" s="1178">
        <f t="shared" si="6"/>
        <v>19801376</v>
      </c>
      <c r="H436" s="865">
        <f>+VLOOKUP(B436,'Balance Local'!$B$8:$B$560,1,0)</f>
        <v>7521100001</v>
      </c>
      <c r="I436" s="839"/>
      <c r="J436" s="839"/>
    </row>
    <row r="437" spans="1:10" s="865" customFormat="1" hidden="1">
      <c r="B437" s="1168">
        <v>7521100002</v>
      </c>
      <c r="C437" s="1168" t="s">
        <v>3220</v>
      </c>
      <c r="D437" s="1178">
        <f>+IFERROR(VLOOKUP(B437,'Balance Local'!$B$8:$D$564,3,0),0)</f>
        <v>4550000</v>
      </c>
      <c r="E437" s="1168">
        <v>5312200</v>
      </c>
      <c r="F437" s="1168" t="s">
        <v>604</v>
      </c>
      <c r="G437" s="1178">
        <f t="shared" si="6"/>
        <v>4550000</v>
      </c>
      <c r="H437" s="865">
        <f>+VLOOKUP(B437,'Balance Local'!$B$8:$B$560,1,0)</f>
        <v>7521100002</v>
      </c>
      <c r="I437" s="839"/>
      <c r="J437" s="839"/>
    </row>
    <row r="438" spans="1:10" s="865" customFormat="1" hidden="1">
      <c r="B438" s="1168">
        <v>7521100003</v>
      </c>
      <c r="C438" s="1168" t="s">
        <v>3221</v>
      </c>
      <c r="D438" s="1178">
        <f>+IFERROR(VLOOKUP(B438,'Balance Local'!$B$8:$D$564,3,0),0)</f>
        <v>0</v>
      </c>
      <c r="E438" s="1168">
        <v>5312200</v>
      </c>
      <c r="F438" s="1168" t="s">
        <v>604</v>
      </c>
      <c r="G438" s="1178">
        <f t="shared" si="6"/>
        <v>0</v>
      </c>
      <c r="H438" s="865">
        <f>+VLOOKUP(B438,'Balance Local'!$B$8:$B$560,1,0)</f>
        <v>7521100003</v>
      </c>
      <c r="I438" s="839"/>
      <c r="J438" s="839"/>
    </row>
    <row r="439" spans="1:10" s="865" customFormat="1" hidden="1">
      <c r="B439" s="1168">
        <v>7521200000</v>
      </c>
      <c r="C439" s="1168" t="s">
        <v>3222</v>
      </c>
      <c r="D439" s="1178">
        <f>+IFERROR(VLOOKUP(B439,'Balance Local'!$B$8:$D$564,3,0),0)</f>
        <v>32302805</v>
      </c>
      <c r="E439" s="1168">
        <v>5312200</v>
      </c>
      <c r="F439" s="1168" t="s">
        <v>604</v>
      </c>
      <c r="G439" s="1178">
        <f t="shared" si="6"/>
        <v>32302805</v>
      </c>
      <c r="H439" s="865">
        <f>+VLOOKUP(B439,'Balance Local'!$B$8:$B$560,1,0)</f>
        <v>7521200000</v>
      </c>
      <c r="I439" s="839"/>
      <c r="J439" s="839"/>
    </row>
    <row r="440" spans="1:10" s="865" customFormat="1" hidden="1">
      <c r="B440" s="1168">
        <v>7521200002</v>
      </c>
      <c r="C440" s="1168" t="s">
        <v>3223</v>
      </c>
      <c r="D440" s="1178">
        <f>+IFERROR(VLOOKUP(B440,'Balance Local'!$B$8:$D$564,3,0),0)</f>
        <v>1318000</v>
      </c>
      <c r="E440" s="1168">
        <v>5312200</v>
      </c>
      <c r="F440" s="1168" t="s">
        <v>604</v>
      </c>
      <c r="G440" s="1178">
        <f t="shared" si="6"/>
        <v>1318000</v>
      </c>
      <c r="H440" s="865">
        <f>+VLOOKUP(B440,'Balance Local'!$B$8:$B$560,1,0)</f>
        <v>7521200002</v>
      </c>
      <c r="I440" s="839"/>
      <c r="J440" s="839"/>
    </row>
    <row r="441" spans="1:10" s="865" customFormat="1" hidden="1">
      <c r="A441" s="866"/>
      <c r="B441" s="1168">
        <v>7522200000</v>
      </c>
      <c r="C441" s="902" t="s">
        <v>3224</v>
      </c>
      <c r="D441" s="1178">
        <f>+IFERROR(VLOOKUP(B441,'Balance Local'!$B$8:$D$564,3,0),0)</f>
        <v>4858654</v>
      </c>
      <c r="E441" s="1168">
        <v>5312200</v>
      </c>
      <c r="F441" s="1168" t="s">
        <v>604</v>
      </c>
      <c r="G441" s="1178">
        <f t="shared" si="6"/>
        <v>4858654</v>
      </c>
      <c r="H441" s="865">
        <f>+VLOOKUP(B441,'Balance Local'!$B$8:$B$560,1,0)</f>
        <v>7522200000</v>
      </c>
      <c r="I441" s="839"/>
      <c r="J441" s="839"/>
    </row>
    <row r="442" spans="1:10" s="865" customFormat="1" hidden="1">
      <c r="B442" s="1168">
        <v>7522400000</v>
      </c>
      <c r="C442" s="1168" t="s">
        <v>3225</v>
      </c>
      <c r="D442" s="1178">
        <f>+IFERROR(VLOOKUP(B442,'Balance Local'!$B$8:$D$564,3,0),0)</f>
        <v>0</v>
      </c>
      <c r="E442" s="1168">
        <v>5312200</v>
      </c>
      <c r="F442" s="1168" t="s">
        <v>604</v>
      </c>
      <c r="G442" s="1178">
        <f t="shared" si="6"/>
        <v>0</v>
      </c>
      <c r="H442" s="865">
        <f>+VLOOKUP(B442,'Balance Local'!$B$8:$B$560,1,0)</f>
        <v>7522400000</v>
      </c>
      <c r="I442" s="839"/>
      <c r="J442" s="839"/>
    </row>
    <row r="443" spans="1:10" s="865" customFormat="1" hidden="1">
      <c r="B443" s="1168">
        <v>7523000000</v>
      </c>
      <c r="C443" s="1168" t="s">
        <v>3226</v>
      </c>
      <c r="D443" s="1178">
        <f>+IFERROR(VLOOKUP(B443,'Balance Local'!$B$8:$D$564,3,0),0)</f>
        <v>16960860</v>
      </c>
      <c r="E443" s="1168">
        <v>5312200</v>
      </c>
      <c r="F443" s="1168" t="s">
        <v>604</v>
      </c>
      <c r="G443" s="1178">
        <f t="shared" si="6"/>
        <v>16960860</v>
      </c>
      <c r="H443" s="865">
        <f>+VLOOKUP(B443,'Balance Local'!$B$8:$B$560,1,0)</f>
        <v>7523000000</v>
      </c>
      <c r="I443" s="839"/>
      <c r="J443" s="839"/>
    </row>
    <row r="444" spans="1:10" s="865" customFormat="1" hidden="1">
      <c r="B444" s="1168">
        <v>7523100004</v>
      </c>
      <c r="C444" s="1168" t="s">
        <v>3227</v>
      </c>
      <c r="D444" s="1178">
        <f>+IFERROR(VLOOKUP(B444,'Balance Local'!$B$8:$D$564,3,0),0)</f>
        <v>17301652</v>
      </c>
      <c r="E444" s="1168">
        <v>5312200</v>
      </c>
      <c r="F444" s="1168" t="s">
        <v>604</v>
      </c>
      <c r="G444" s="1178">
        <f t="shared" si="6"/>
        <v>17301652</v>
      </c>
      <c r="H444" s="865">
        <f>+VLOOKUP(B444,'Balance Local'!$B$8:$B$560,1,0)</f>
        <v>7523100004</v>
      </c>
      <c r="I444" s="839"/>
      <c r="J444" s="839"/>
    </row>
    <row r="445" spans="1:10" s="865" customFormat="1" hidden="1">
      <c r="A445" s="866"/>
      <c r="B445" s="844">
        <v>7525100000</v>
      </c>
      <c r="C445" s="867" t="s">
        <v>3751</v>
      </c>
      <c r="D445" s="1178">
        <f>+IFERROR(VLOOKUP(B445,'Balance Local'!$B$8:$D$564,3,0),0)</f>
        <v>675000</v>
      </c>
      <c r="E445" s="1168">
        <v>5312200</v>
      </c>
      <c r="F445" s="1168" t="s">
        <v>604</v>
      </c>
      <c r="G445" s="1178">
        <f t="shared" si="6"/>
        <v>675000</v>
      </c>
      <c r="H445" s="865">
        <f>+VLOOKUP(B445,'Balance Local'!$B$8:$B$560,1,0)</f>
        <v>7525100000</v>
      </c>
      <c r="I445" s="839"/>
      <c r="J445" s="868"/>
    </row>
    <row r="446" spans="1:10" s="865" customFormat="1" hidden="1">
      <c r="B446" s="1168">
        <v>7525800000</v>
      </c>
      <c r="C446" s="1168" t="s">
        <v>3228</v>
      </c>
      <c r="D446" s="1178">
        <f>+IFERROR(VLOOKUP(B446,'Balance Local'!$B$8:$D$564,3,0),0)</f>
        <v>1083936</v>
      </c>
      <c r="E446" s="1168">
        <v>5312200</v>
      </c>
      <c r="F446" s="1168" t="s">
        <v>604</v>
      </c>
      <c r="G446" s="1178">
        <f t="shared" si="6"/>
        <v>1083936</v>
      </c>
      <c r="H446" s="865">
        <f>+VLOOKUP(B446,'Balance Local'!$B$8:$B$560,1,0)</f>
        <v>7525800000</v>
      </c>
      <c r="I446" s="839"/>
      <c r="J446" s="839"/>
    </row>
    <row r="447" spans="1:10" s="865" customFormat="1" hidden="1">
      <c r="B447" s="1168">
        <v>7525810000</v>
      </c>
      <c r="C447" s="1168" t="s">
        <v>3229</v>
      </c>
      <c r="D447" s="1178">
        <f>+IFERROR(VLOOKUP(B447,'Balance Local'!$B$8:$D$564,3,0),0)</f>
        <v>0</v>
      </c>
      <c r="E447" s="1168">
        <v>5312200</v>
      </c>
      <c r="F447" s="1168" t="s">
        <v>604</v>
      </c>
      <c r="G447" s="1178">
        <f t="shared" si="6"/>
        <v>0</v>
      </c>
      <c r="H447" s="865">
        <f>+VLOOKUP(B447,'Balance Local'!$B$8:$B$560,1,0)</f>
        <v>7525810000</v>
      </c>
      <c r="I447" s="839"/>
      <c r="J447" s="839"/>
    </row>
    <row r="448" spans="1:10" s="865" customFormat="1" hidden="1">
      <c r="B448" s="1168">
        <v>7526000000</v>
      </c>
      <c r="C448" s="1168" t="s">
        <v>3230</v>
      </c>
      <c r="D448" s="1178">
        <f>+IFERROR(VLOOKUP(B448,'Balance Local'!$B$8:$D$564,3,0),0)</f>
        <v>707428</v>
      </c>
      <c r="E448" s="1168">
        <v>5312200</v>
      </c>
      <c r="F448" s="1168" t="s">
        <v>604</v>
      </c>
      <c r="G448" s="1178">
        <f t="shared" si="6"/>
        <v>707428</v>
      </c>
      <c r="H448" s="865">
        <f>+VLOOKUP(B448,'Balance Local'!$B$8:$B$560,1,0)</f>
        <v>7526000000</v>
      </c>
      <c r="I448" s="839"/>
      <c r="J448" s="839"/>
    </row>
    <row r="449" spans="2:10" s="865" customFormat="1" hidden="1">
      <c r="B449" s="1168">
        <v>7526100000</v>
      </c>
      <c r="C449" s="1168" t="s">
        <v>3231</v>
      </c>
      <c r="D449" s="1178">
        <f>+IFERROR(VLOOKUP(B449,'Balance Local'!$B$8:$D$564,3,0),0)</f>
        <v>3217696</v>
      </c>
      <c r="E449" s="1168">
        <v>5312200</v>
      </c>
      <c r="F449" s="1168" t="s">
        <v>604</v>
      </c>
      <c r="G449" s="1178">
        <f t="shared" si="6"/>
        <v>3217696</v>
      </c>
      <c r="H449" s="865">
        <f>+VLOOKUP(B449,'Balance Local'!$B$8:$B$560,1,0)</f>
        <v>7526100000</v>
      </c>
      <c r="I449" s="839"/>
      <c r="J449" s="839"/>
    </row>
    <row r="450" spans="2:10" s="865" customFormat="1" hidden="1">
      <c r="B450" s="1168">
        <v>7526300000</v>
      </c>
      <c r="C450" s="1168" t="s">
        <v>3232</v>
      </c>
      <c r="D450" s="1178">
        <f>+IFERROR(VLOOKUP(B450,'Balance Local'!$B$8:$D$564,3,0),0)</f>
        <v>0</v>
      </c>
      <c r="E450" s="1168">
        <v>5312200</v>
      </c>
      <c r="F450" s="1168" t="s">
        <v>604</v>
      </c>
      <c r="G450" s="1178">
        <f t="shared" si="6"/>
        <v>0</v>
      </c>
      <c r="H450" s="865">
        <f>+VLOOKUP(B450,'Balance Local'!$B$8:$B$560,1,0)</f>
        <v>7526300000</v>
      </c>
      <c r="I450" s="839"/>
      <c r="J450" s="839"/>
    </row>
    <row r="451" spans="2:10" s="865" customFormat="1" hidden="1">
      <c r="B451" s="1168">
        <v>7527000000</v>
      </c>
      <c r="C451" s="1168" t="s">
        <v>3233</v>
      </c>
      <c r="D451" s="1178">
        <f>+IFERROR(VLOOKUP(B451,'Balance Local'!$B$8:$D$564,3,0),0)</f>
        <v>12286325</v>
      </c>
      <c r="E451" s="1168">
        <v>5312200</v>
      </c>
      <c r="F451" s="1168" t="s">
        <v>604</v>
      </c>
      <c r="G451" s="1178">
        <f t="shared" si="6"/>
        <v>12286325</v>
      </c>
      <c r="H451" s="865">
        <f>+VLOOKUP(B451,'Balance Local'!$B$8:$B$560,1,0)</f>
        <v>7527000000</v>
      </c>
      <c r="I451" s="839"/>
      <c r="J451" s="839"/>
    </row>
    <row r="452" spans="2:10" s="865" customFormat="1" hidden="1">
      <c r="B452" s="1168">
        <v>7530000009</v>
      </c>
      <c r="C452" s="1168" t="s">
        <v>3234</v>
      </c>
      <c r="D452" s="1178">
        <f>+IFERROR(VLOOKUP(B452,'Balance Local'!$B$8:$D$564,3,0),0)</f>
        <v>0</v>
      </c>
      <c r="E452" s="1168">
        <v>5312200</v>
      </c>
      <c r="F452" s="1168" t="s">
        <v>604</v>
      </c>
      <c r="G452" s="1178">
        <f t="shared" si="6"/>
        <v>0</v>
      </c>
      <c r="H452" s="865">
        <f>+VLOOKUP(B452,'Balance Local'!$B$8:$B$560,1,0)</f>
        <v>7530000009</v>
      </c>
      <c r="I452" s="839"/>
      <c r="J452" s="839"/>
    </row>
    <row r="453" spans="2:10" s="865" customFormat="1" hidden="1">
      <c r="B453" s="1168">
        <v>7530000100</v>
      </c>
      <c r="C453" s="1168" t="s">
        <v>3235</v>
      </c>
      <c r="D453" s="1178">
        <f>+IFERROR(VLOOKUP(B453,'Balance Local'!$B$8:$D$564,3,0),0)</f>
        <v>0</v>
      </c>
      <c r="E453" s="1168">
        <v>5312200</v>
      </c>
      <c r="F453" s="1168" t="s">
        <v>604</v>
      </c>
      <c r="G453" s="1178">
        <f t="shared" si="6"/>
        <v>0</v>
      </c>
      <c r="H453" s="865">
        <f>+VLOOKUP(B453,'Balance Local'!$B$8:$B$560,1,0)</f>
        <v>7530000100</v>
      </c>
      <c r="I453" s="839"/>
      <c r="J453" s="839"/>
    </row>
    <row r="454" spans="2:10" s="865" customFormat="1" hidden="1">
      <c r="B454" s="1168">
        <v>7600000000</v>
      </c>
      <c r="C454" s="1168" t="s">
        <v>3236</v>
      </c>
      <c r="D454" s="1178">
        <f>+IFERROR(VLOOKUP(B454,'Balance Local'!$B$8:$D$564,3,0),0)</f>
        <v>300654437</v>
      </c>
      <c r="E454" s="1168">
        <v>5312200</v>
      </c>
      <c r="F454" s="1168" t="s">
        <v>604</v>
      </c>
      <c r="G454" s="1178">
        <f t="shared" si="6"/>
        <v>300654437</v>
      </c>
      <c r="H454" s="865">
        <f>+VLOOKUP(B454,'Balance Local'!$B$8:$B$560,1,0)</f>
        <v>7600000000</v>
      </c>
      <c r="I454" s="839"/>
      <c r="J454" s="839"/>
    </row>
    <row r="455" spans="2:10" s="865" customFormat="1" hidden="1">
      <c r="B455" s="1168">
        <v>7600000001</v>
      </c>
      <c r="C455" s="1168" t="s">
        <v>3482</v>
      </c>
      <c r="D455" s="1178">
        <f>+IFERROR(VLOOKUP(B455,'Balance Local'!$B$8:$D$564,3,0),0)</f>
        <v>0</v>
      </c>
      <c r="E455" s="1168">
        <v>5312200</v>
      </c>
      <c r="F455" s="1168" t="s">
        <v>604</v>
      </c>
      <c r="G455" s="1178">
        <f t="shared" si="6"/>
        <v>0</v>
      </c>
      <c r="H455" s="865" t="e">
        <f>+VLOOKUP(B455,'Balance Local'!$B$8:$B$560,1,0)</f>
        <v>#N/A</v>
      </c>
      <c r="I455" s="839"/>
      <c r="J455" s="839"/>
    </row>
    <row r="456" spans="2:10" s="865" customFormat="1" hidden="1">
      <c r="B456" s="1168">
        <v>7600000002</v>
      </c>
      <c r="C456" s="1168" t="s">
        <v>3237</v>
      </c>
      <c r="D456" s="1178">
        <f>+IFERROR(VLOOKUP(B456,'Balance Local'!$B$8:$D$564,3,0),0)</f>
        <v>4897244</v>
      </c>
      <c r="E456" s="1168">
        <v>5312200</v>
      </c>
      <c r="F456" s="1168" t="s">
        <v>604</v>
      </c>
      <c r="G456" s="1178">
        <f t="shared" si="6"/>
        <v>4897244</v>
      </c>
      <c r="H456" s="865">
        <f>+VLOOKUP(B456,'Balance Local'!$B$8:$B$560,1,0)</f>
        <v>7600000002</v>
      </c>
      <c r="I456" s="839"/>
      <c r="J456" s="839"/>
    </row>
    <row r="457" spans="2:10" s="865" customFormat="1" hidden="1">
      <c r="B457" s="1168">
        <v>7600000014</v>
      </c>
      <c r="C457" s="1168" t="s">
        <v>3238</v>
      </c>
      <c r="D457" s="1178">
        <f>+IFERROR(VLOOKUP(B457,'Balance Local'!$B$8:$D$564,3,0),0)</f>
        <v>15670441</v>
      </c>
      <c r="E457" s="1168">
        <v>5312200</v>
      </c>
      <c r="F457" s="1168" t="s">
        <v>604</v>
      </c>
      <c r="G457" s="1178">
        <f t="shared" si="6"/>
        <v>15670441</v>
      </c>
      <c r="H457" s="865">
        <f>+VLOOKUP(B457,'Balance Local'!$B$8:$B$560,1,0)</f>
        <v>7600000014</v>
      </c>
      <c r="I457" s="839"/>
      <c r="J457" s="839"/>
    </row>
    <row r="458" spans="2:10" s="865" customFormat="1" hidden="1">
      <c r="B458" s="1168">
        <v>7602000000</v>
      </c>
      <c r="C458" s="1168" t="s">
        <v>3239</v>
      </c>
      <c r="D458" s="1178">
        <f>+IFERROR(VLOOKUP(B458,'Balance Local'!$B$8:$D$564,3,0),0)</f>
        <v>169216575</v>
      </c>
      <c r="E458" s="1168">
        <v>5312200</v>
      </c>
      <c r="F458" s="1168" t="s">
        <v>604</v>
      </c>
      <c r="G458" s="1178">
        <f t="shared" ref="G458:G521" si="7">+D458</f>
        <v>169216575</v>
      </c>
      <c r="H458" s="865">
        <f>+VLOOKUP(B458,'Balance Local'!$B$8:$B$560,1,0)</f>
        <v>7602000000</v>
      </c>
      <c r="I458" s="839"/>
      <c r="J458" s="839"/>
    </row>
    <row r="459" spans="2:10" s="865" customFormat="1" hidden="1">
      <c r="B459" s="1168">
        <v>7603000000</v>
      </c>
      <c r="C459" s="1168" t="s">
        <v>3240</v>
      </c>
      <c r="D459" s="1178">
        <f>+IFERROR(VLOOKUP(B459,'Balance Local'!$B$8:$D$564,3,0),0)</f>
        <v>0</v>
      </c>
      <c r="E459" s="1168">
        <v>5312200</v>
      </c>
      <c r="F459" s="1168" t="s">
        <v>604</v>
      </c>
      <c r="G459" s="1178">
        <f t="shared" si="7"/>
        <v>0</v>
      </c>
      <c r="H459" s="865">
        <f>+VLOOKUP(B459,'Balance Local'!$B$8:$B$560,1,0)</f>
        <v>7603000000</v>
      </c>
      <c r="I459" s="839"/>
      <c r="J459" s="839"/>
    </row>
    <row r="460" spans="2:10" s="865" customFormat="1" hidden="1">
      <c r="B460" s="1168">
        <v>7607000000</v>
      </c>
      <c r="C460" s="1168" t="s">
        <v>3241</v>
      </c>
      <c r="D460" s="1178">
        <f>+IFERROR(VLOOKUP(B460,'Balance Local'!$B$8:$D$564,3,0),0)</f>
        <v>0</v>
      </c>
      <c r="E460" s="1168">
        <v>5313340</v>
      </c>
      <c r="F460" s="1168" t="s">
        <v>3483</v>
      </c>
      <c r="G460" s="1178">
        <f t="shared" si="7"/>
        <v>0</v>
      </c>
      <c r="H460" s="865">
        <f>+VLOOKUP(B460,'Balance Local'!$B$8:$B$560,1,0)</f>
        <v>7607000000</v>
      </c>
      <c r="I460" s="839"/>
      <c r="J460" s="839"/>
    </row>
    <row r="461" spans="2:10" s="865" customFormat="1" hidden="1">
      <c r="B461" s="1168">
        <v>7610100000</v>
      </c>
      <c r="C461" s="1168" t="s">
        <v>3242</v>
      </c>
      <c r="D461" s="1178">
        <f>+IFERROR(VLOOKUP(B461,'Balance Local'!$B$8:$D$564,3,0),0)</f>
        <v>51741990</v>
      </c>
      <c r="E461" s="1168">
        <v>5312200</v>
      </c>
      <c r="F461" s="1168" t="s">
        <v>604</v>
      </c>
      <c r="G461" s="1178">
        <f t="shared" si="7"/>
        <v>51741990</v>
      </c>
      <c r="H461" s="865">
        <f>+VLOOKUP(B461,'Balance Local'!$B$8:$B$560,1,0)</f>
        <v>7610100000</v>
      </c>
      <c r="I461" s="839"/>
      <c r="J461" s="839"/>
    </row>
    <row r="462" spans="2:10" s="865" customFormat="1" hidden="1">
      <c r="B462" s="1168">
        <v>7610103000</v>
      </c>
      <c r="C462" s="1168" t="s">
        <v>3243</v>
      </c>
      <c r="D462" s="1178">
        <f>+IFERROR(VLOOKUP(B462,'Balance Local'!$B$8:$D$564,3,0),0)</f>
        <v>2465932</v>
      </c>
      <c r="E462" s="1168">
        <v>5312200</v>
      </c>
      <c r="F462" s="1168" t="s">
        <v>604</v>
      </c>
      <c r="G462" s="1178">
        <f t="shared" si="7"/>
        <v>2465932</v>
      </c>
      <c r="H462" s="865">
        <f>+VLOOKUP(B462,'Balance Local'!$B$8:$B$560,1,0)</f>
        <v>7610103000</v>
      </c>
      <c r="I462" s="839"/>
      <c r="J462" s="839"/>
    </row>
    <row r="463" spans="2:10" s="865" customFormat="1" hidden="1">
      <c r="B463" s="1168">
        <v>7610200000</v>
      </c>
      <c r="C463" s="1168" t="s">
        <v>3244</v>
      </c>
      <c r="D463" s="1178">
        <f>+IFERROR(VLOOKUP(B463,'Balance Local'!$B$8:$D$564,3,0),0)</f>
        <v>341108</v>
      </c>
      <c r="E463" s="1168">
        <v>5312200</v>
      </c>
      <c r="F463" s="1168" t="s">
        <v>604</v>
      </c>
      <c r="G463" s="1178">
        <f t="shared" si="7"/>
        <v>341108</v>
      </c>
      <c r="H463" s="865">
        <f>+VLOOKUP(B463,'Balance Local'!$B$8:$B$560,1,0)</f>
        <v>7610200000</v>
      </c>
      <c r="I463" s="839"/>
      <c r="J463" s="839"/>
    </row>
    <row r="464" spans="2:10" s="865" customFormat="1" hidden="1">
      <c r="B464" s="1168">
        <v>7610500000</v>
      </c>
      <c r="C464" s="1168" t="s">
        <v>3245</v>
      </c>
      <c r="D464" s="1178">
        <f>+IFERROR(VLOOKUP(B464,'Balance Local'!$B$8:$D$564,3,0),0)</f>
        <v>19999980</v>
      </c>
      <c r="E464" s="1168">
        <v>5312200</v>
      </c>
      <c r="F464" s="1168" t="s">
        <v>604</v>
      </c>
      <c r="G464" s="1178">
        <f t="shared" si="7"/>
        <v>19999980</v>
      </c>
      <c r="H464" s="865">
        <f>+VLOOKUP(B464,'Balance Local'!$B$8:$B$560,1,0)</f>
        <v>7610500000</v>
      </c>
      <c r="I464" s="839"/>
      <c r="J464" s="839"/>
    </row>
    <row r="465" spans="2:10" s="865" customFormat="1" hidden="1">
      <c r="B465" s="1168">
        <v>7611000000</v>
      </c>
      <c r="C465" s="1168" t="s">
        <v>3246</v>
      </c>
      <c r="D465" s="1178">
        <f>+IFERROR(VLOOKUP(B465,'Balance Local'!$B$8:$D$564,3,0),0)</f>
        <v>26829560</v>
      </c>
      <c r="E465" s="1168">
        <v>5312200</v>
      </c>
      <c r="F465" s="1168" t="s">
        <v>604</v>
      </c>
      <c r="G465" s="1178">
        <f t="shared" si="7"/>
        <v>26829560</v>
      </c>
      <c r="H465" s="865">
        <f>+VLOOKUP(B465,'Balance Local'!$B$8:$B$560,1,0)</f>
        <v>7611000000</v>
      </c>
      <c r="I465" s="839"/>
      <c r="J465" s="839"/>
    </row>
    <row r="466" spans="2:10" s="865" customFormat="1" hidden="1">
      <c r="B466" s="1168">
        <v>7612000000</v>
      </c>
      <c r="C466" s="1168" t="s">
        <v>3247</v>
      </c>
      <c r="D466" s="1178">
        <f>+IFERROR(VLOOKUP(B466,'Balance Local'!$B$8:$D$564,3,0),0)</f>
        <v>29920594</v>
      </c>
      <c r="E466" s="1168">
        <v>5312200</v>
      </c>
      <c r="F466" s="1168" t="s">
        <v>604</v>
      </c>
      <c r="G466" s="1178">
        <f t="shared" si="7"/>
        <v>29920594</v>
      </c>
      <c r="H466" s="865">
        <f>+VLOOKUP(B466,'Balance Local'!$B$8:$B$560,1,0)</f>
        <v>7612000000</v>
      </c>
      <c r="I466" s="839"/>
      <c r="J466" s="839"/>
    </row>
    <row r="467" spans="2:10" s="865" customFormat="1" hidden="1">
      <c r="B467" s="1168">
        <v>7612100000</v>
      </c>
      <c r="C467" s="1168" t="s">
        <v>3248</v>
      </c>
      <c r="D467" s="1178">
        <f>+IFERROR(VLOOKUP(B467,'Balance Local'!$B$8:$D$564,3,0),0)</f>
        <v>2732769</v>
      </c>
      <c r="E467" s="1168">
        <v>5312200</v>
      </c>
      <c r="F467" s="1168" t="s">
        <v>604</v>
      </c>
      <c r="G467" s="1178">
        <f t="shared" si="7"/>
        <v>2732769</v>
      </c>
      <c r="H467" s="865">
        <f>+VLOOKUP(B467,'Balance Local'!$B$8:$B$560,1,0)</f>
        <v>7612100000</v>
      </c>
      <c r="I467" s="839"/>
      <c r="J467" s="839"/>
    </row>
    <row r="468" spans="2:10" s="865" customFormat="1" hidden="1">
      <c r="B468" s="1168">
        <v>7612200000</v>
      </c>
      <c r="C468" s="1168" t="s">
        <v>3249</v>
      </c>
      <c r="D468" s="1178">
        <f>+IFERROR(VLOOKUP(B468,'Balance Local'!$B$8:$D$564,3,0),0)</f>
        <v>0</v>
      </c>
      <c r="E468" s="1168">
        <v>5312200</v>
      </c>
      <c r="F468" s="1168" t="s">
        <v>604</v>
      </c>
      <c r="G468" s="1178">
        <f t="shared" si="7"/>
        <v>0</v>
      </c>
      <c r="H468" s="865">
        <f>+VLOOKUP(B468,'Balance Local'!$B$8:$B$560,1,0)</f>
        <v>7612200000</v>
      </c>
      <c r="I468" s="839"/>
      <c r="J468" s="839"/>
    </row>
    <row r="469" spans="2:10" s="865" customFormat="1" hidden="1">
      <c r="B469" s="1168">
        <v>7612201000</v>
      </c>
      <c r="C469" s="1168" t="s">
        <v>3250</v>
      </c>
      <c r="D469" s="1178">
        <f>+IFERROR(VLOOKUP(B469,'Balance Local'!$B$8:$D$564,3,0),0)</f>
        <v>1378077</v>
      </c>
      <c r="E469" s="1168">
        <v>5312200</v>
      </c>
      <c r="F469" s="1168" t="s">
        <v>604</v>
      </c>
      <c r="G469" s="1178">
        <f t="shared" si="7"/>
        <v>1378077</v>
      </c>
      <c r="H469" s="865">
        <f>+VLOOKUP(B469,'Balance Local'!$B$8:$B$560,1,0)</f>
        <v>7612201000</v>
      </c>
      <c r="I469" s="839"/>
      <c r="J469" s="839"/>
    </row>
    <row r="470" spans="2:10" s="865" customFormat="1" hidden="1">
      <c r="B470" s="1168">
        <v>7612300000</v>
      </c>
      <c r="C470" s="1168" t="s">
        <v>3251</v>
      </c>
      <c r="D470" s="1178">
        <f>+IFERROR(VLOOKUP(B470,'Balance Local'!$B$8:$D$564,3,0),0)</f>
        <v>0</v>
      </c>
      <c r="E470" s="1168">
        <v>5312200</v>
      </c>
      <c r="F470" s="1168" t="s">
        <v>604</v>
      </c>
      <c r="G470" s="1178">
        <f t="shared" si="7"/>
        <v>0</v>
      </c>
      <c r="H470" s="865">
        <f>+VLOOKUP(B470,'Balance Local'!$B$8:$B$560,1,0)</f>
        <v>7612300000</v>
      </c>
      <c r="I470" s="839"/>
      <c r="J470" s="839"/>
    </row>
    <row r="471" spans="2:10" s="865" customFormat="1" hidden="1">
      <c r="B471" s="1168">
        <v>7613100003</v>
      </c>
      <c r="C471" s="1168" t="s">
        <v>3252</v>
      </c>
      <c r="D471" s="1178">
        <f>+IFERROR(VLOOKUP(B471,'Balance Local'!$B$8:$D$564,3,0),0)</f>
        <v>6989534</v>
      </c>
      <c r="E471" s="1168">
        <v>5312200</v>
      </c>
      <c r="F471" s="1168" t="s">
        <v>604</v>
      </c>
      <c r="G471" s="1178">
        <f t="shared" si="7"/>
        <v>6989534</v>
      </c>
      <c r="H471" s="865">
        <f>+VLOOKUP(B471,'Balance Local'!$B$8:$B$560,1,0)</f>
        <v>7613100003</v>
      </c>
      <c r="I471" s="839"/>
      <c r="J471" s="839"/>
    </row>
    <row r="472" spans="2:10" s="865" customFormat="1" hidden="1">
      <c r="B472" s="1168">
        <v>7613200000</v>
      </c>
      <c r="C472" s="1168" t="s">
        <v>3253</v>
      </c>
      <c r="D472" s="1178">
        <f>+IFERROR(VLOOKUP(B472,'Balance Local'!$B$8:$D$564,3,0),0)</f>
        <v>287726</v>
      </c>
      <c r="E472" s="1168">
        <v>5312200</v>
      </c>
      <c r="F472" s="1168" t="s">
        <v>604</v>
      </c>
      <c r="G472" s="1178">
        <f t="shared" si="7"/>
        <v>287726</v>
      </c>
      <c r="H472" s="865">
        <f>+VLOOKUP(B472,'Balance Local'!$B$8:$B$560,1,0)</f>
        <v>7613200000</v>
      </c>
      <c r="I472" s="839"/>
      <c r="J472" s="839"/>
    </row>
    <row r="473" spans="2:10" s="865" customFormat="1" hidden="1">
      <c r="B473" s="1168">
        <v>7613210000</v>
      </c>
      <c r="C473" s="1168" t="s">
        <v>3254</v>
      </c>
      <c r="D473" s="1178">
        <f>+IFERROR(VLOOKUP(B473,'Balance Local'!$B$8:$D$564,3,0),0)</f>
        <v>51871543</v>
      </c>
      <c r="E473" s="1168">
        <v>5312200</v>
      </c>
      <c r="F473" s="1168" t="s">
        <v>604</v>
      </c>
      <c r="G473" s="1178">
        <f t="shared" si="7"/>
        <v>51871543</v>
      </c>
      <c r="H473" s="865">
        <f>+VLOOKUP(B473,'Balance Local'!$B$8:$B$560,1,0)</f>
        <v>7613210000</v>
      </c>
      <c r="I473" s="839"/>
      <c r="J473" s="839"/>
    </row>
    <row r="474" spans="2:10" s="865" customFormat="1" hidden="1">
      <c r="B474" s="1168">
        <v>7615000000</v>
      </c>
      <c r="C474" s="1168" t="s">
        <v>3255</v>
      </c>
      <c r="D474" s="1178">
        <f>+IFERROR(VLOOKUP(B474,'Balance Local'!$B$8:$D$564,3,0),0)</f>
        <v>22704431</v>
      </c>
      <c r="E474" s="1168">
        <v>5312200</v>
      </c>
      <c r="F474" s="1168" t="s">
        <v>604</v>
      </c>
      <c r="G474" s="1178">
        <f t="shared" si="7"/>
        <v>22704431</v>
      </c>
      <c r="H474" s="865">
        <f>+VLOOKUP(B474,'Balance Local'!$B$8:$B$560,1,0)</f>
        <v>7615000000</v>
      </c>
      <c r="I474" s="839"/>
      <c r="J474" s="839"/>
    </row>
    <row r="475" spans="2:10" s="865" customFormat="1" hidden="1">
      <c r="B475" s="1168">
        <v>7615010000</v>
      </c>
      <c r="C475" s="1168" t="s">
        <v>3256</v>
      </c>
      <c r="D475" s="1178">
        <f>+IFERROR(VLOOKUP(B475,'Balance Local'!$B$8:$D$564,3,0),0)</f>
        <v>15603515</v>
      </c>
      <c r="E475" s="1168">
        <v>5312200</v>
      </c>
      <c r="F475" s="1168" t="s">
        <v>604</v>
      </c>
      <c r="G475" s="1178">
        <f t="shared" si="7"/>
        <v>15603515</v>
      </c>
      <c r="H475" s="865">
        <f>+VLOOKUP(B475,'Balance Local'!$B$8:$B$560,1,0)</f>
        <v>7615010000</v>
      </c>
      <c r="I475" s="839"/>
      <c r="J475" s="839"/>
    </row>
    <row r="476" spans="2:10" s="865" customFormat="1" hidden="1">
      <c r="B476" s="1168">
        <v>7615020000</v>
      </c>
      <c r="C476" s="1168" t="s">
        <v>3257</v>
      </c>
      <c r="D476" s="1178">
        <f>+IFERROR(VLOOKUP(B476,'Balance Local'!$B$8:$D$564,3,0),0)</f>
        <v>3298864</v>
      </c>
      <c r="E476" s="1168">
        <v>5312200</v>
      </c>
      <c r="F476" s="1168" t="s">
        <v>604</v>
      </c>
      <c r="G476" s="1178">
        <f t="shared" si="7"/>
        <v>3298864</v>
      </c>
      <c r="H476" s="865">
        <f>+VLOOKUP(B476,'Balance Local'!$B$8:$B$560,1,0)</f>
        <v>7615020000</v>
      </c>
      <c r="I476" s="839"/>
      <c r="J476" s="839"/>
    </row>
    <row r="477" spans="2:10" s="865" customFormat="1" hidden="1">
      <c r="B477" s="1168">
        <v>7615430000</v>
      </c>
      <c r="C477" s="1168" t="s">
        <v>3258</v>
      </c>
      <c r="D477" s="1178">
        <f>+IFERROR(VLOOKUP(B477,'Balance Local'!$B$8:$D$564,3,0),0)</f>
        <v>18028823</v>
      </c>
      <c r="E477" s="1168">
        <v>5312200</v>
      </c>
      <c r="F477" s="1168" t="s">
        <v>604</v>
      </c>
      <c r="G477" s="1178">
        <f t="shared" si="7"/>
        <v>18028823</v>
      </c>
      <c r="H477" s="865">
        <f>+VLOOKUP(B477,'Balance Local'!$B$8:$B$560,1,0)</f>
        <v>7615430000</v>
      </c>
      <c r="I477" s="839"/>
      <c r="J477" s="839"/>
    </row>
    <row r="478" spans="2:10" s="865" customFormat="1" hidden="1">
      <c r="B478" s="1168">
        <v>7615500000</v>
      </c>
      <c r="C478" s="1168" t="s">
        <v>3259</v>
      </c>
      <c r="D478" s="1178">
        <f>+IFERROR(VLOOKUP(B478,'Balance Local'!$B$8:$D$564,3,0),0)</f>
        <v>40031161</v>
      </c>
      <c r="E478" s="1168">
        <v>5312200</v>
      </c>
      <c r="F478" s="1168" t="s">
        <v>604</v>
      </c>
      <c r="G478" s="1178">
        <f t="shared" si="7"/>
        <v>40031161</v>
      </c>
      <c r="H478" s="865">
        <f>+VLOOKUP(B478,'Balance Local'!$B$8:$B$560,1,0)</f>
        <v>7615500000</v>
      </c>
      <c r="I478" s="839"/>
      <c r="J478" s="839"/>
    </row>
    <row r="479" spans="2:10" s="865" customFormat="1" hidden="1">
      <c r="B479" s="1168">
        <v>7615600000</v>
      </c>
      <c r="C479" s="1168" t="s">
        <v>3260</v>
      </c>
      <c r="D479" s="1178">
        <f>+IFERROR(VLOOKUP(B479,'Balance Local'!$B$8:$D$564,3,0),0)</f>
        <v>336386</v>
      </c>
      <c r="E479" s="1168">
        <v>5312200</v>
      </c>
      <c r="F479" s="1168" t="s">
        <v>604</v>
      </c>
      <c r="G479" s="1178">
        <f t="shared" si="7"/>
        <v>336386</v>
      </c>
      <c r="H479" s="865">
        <f>+VLOOKUP(B479,'Balance Local'!$B$8:$B$560,1,0)</f>
        <v>7615600000</v>
      </c>
      <c r="I479" s="839"/>
      <c r="J479" s="839"/>
    </row>
    <row r="480" spans="2:10" s="865" customFormat="1" hidden="1">
      <c r="B480" s="1168">
        <v>7617000002</v>
      </c>
      <c r="C480" s="1168" t="s">
        <v>3261</v>
      </c>
      <c r="D480" s="1178">
        <f>+IFERROR(VLOOKUP(B480,'Balance Local'!$B$8:$D$564,3,0),0)</f>
        <v>0</v>
      </c>
      <c r="E480" s="1168">
        <v>5312200</v>
      </c>
      <c r="F480" s="1168" t="s">
        <v>604</v>
      </c>
      <c r="G480" s="1178">
        <f t="shared" si="7"/>
        <v>0</v>
      </c>
      <c r="H480" s="865">
        <f>+VLOOKUP(B480,'Balance Local'!$B$8:$B$560,1,0)</f>
        <v>7617000002</v>
      </c>
      <c r="I480" s="839"/>
      <c r="J480" s="839"/>
    </row>
    <row r="481" spans="1:10" s="865" customFormat="1" hidden="1">
      <c r="B481" s="1168">
        <v>7617000004</v>
      </c>
      <c r="C481" s="1168" t="s">
        <v>3262</v>
      </c>
      <c r="D481" s="1178">
        <f>+IFERROR(VLOOKUP(B481,'Balance Local'!$B$8:$D$564,3,0),0)</f>
        <v>518437638</v>
      </c>
      <c r="E481" s="1168">
        <v>5312200</v>
      </c>
      <c r="F481" s="1168" t="s">
        <v>604</v>
      </c>
      <c r="G481" s="1178">
        <f t="shared" si="7"/>
        <v>518437638</v>
      </c>
      <c r="H481" s="865">
        <f>+VLOOKUP(B481,'Balance Local'!$B$8:$B$560,1,0)</f>
        <v>7617000004</v>
      </c>
      <c r="I481" s="839"/>
      <c r="J481" s="839"/>
    </row>
    <row r="482" spans="1:10" s="865" customFormat="1" hidden="1">
      <c r="B482" s="1168">
        <v>7617003003</v>
      </c>
      <c r="C482" s="1168" t="s">
        <v>3263</v>
      </c>
      <c r="D482" s="1178">
        <f>+IFERROR(VLOOKUP(B482,'Balance Local'!$B$8:$D$564,3,0),0)</f>
        <v>2585161</v>
      </c>
      <c r="E482" s="1168">
        <v>5312200</v>
      </c>
      <c r="F482" s="1168" t="s">
        <v>604</v>
      </c>
      <c r="G482" s="1178">
        <f t="shared" si="7"/>
        <v>2585161</v>
      </c>
      <c r="H482" s="865">
        <f>+VLOOKUP(B482,'Balance Local'!$B$8:$B$560,1,0)</f>
        <v>7617003003</v>
      </c>
      <c r="I482" s="839"/>
      <c r="J482" s="839"/>
    </row>
    <row r="483" spans="1:10" s="865" customFormat="1" hidden="1">
      <c r="B483" s="1168">
        <v>7700000004</v>
      </c>
      <c r="C483" s="1168" t="s">
        <v>3264</v>
      </c>
      <c r="D483" s="1178">
        <f>+IFERROR(VLOOKUP(B483,'Balance Local'!$B$8:$D$564,3,0),0)</f>
        <v>178864</v>
      </c>
      <c r="E483" s="1168">
        <v>5312200</v>
      </c>
      <c r="F483" s="1168" t="s">
        <v>604</v>
      </c>
      <c r="G483" s="1178">
        <f t="shared" si="7"/>
        <v>178864</v>
      </c>
      <c r="H483" s="865">
        <f>+VLOOKUP(B483,'Balance Local'!$B$8:$B$560,1,0)</f>
        <v>7700000004</v>
      </c>
      <c r="I483" s="839"/>
      <c r="J483" s="839"/>
    </row>
    <row r="484" spans="1:10" s="865" customFormat="1" hidden="1">
      <c r="B484" s="1168">
        <v>7700021000</v>
      </c>
      <c r="C484" s="1168" t="s">
        <v>3265</v>
      </c>
      <c r="D484" s="1178">
        <f>+IFERROR(VLOOKUP(B484,'Balance Local'!$B$8:$D$564,3,0),0)</f>
        <v>112500</v>
      </c>
      <c r="E484" s="1168">
        <v>5312200</v>
      </c>
      <c r="F484" s="1168" t="s">
        <v>604</v>
      </c>
      <c r="G484" s="1178">
        <f t="shared" si="7"/>
        <v>112500</v>
      </c>
      <c r="H484" s="865">
        <f>+VLOOKUP(B484,'Balance Local'!$B$8:$B$560,1,0)</f>
        <v>7700021000</v>
      </c>
      <c r="I484" s="839"/>
      <c r="J484" s="839"/>
    </row>
    <row r="485" spans="1:10" s="865" customFormat="1" hidden="1">
      <c r="B485" s="1168">
        <v>7700300000</v>
      </c>
      <c r="C485" s="1168" t="s">
        <v>3266</v>
      </c>
      <c r="D485" s="1178">
        <f>+IFERROR(VLOOKUP(B485,'Balance Local'!$B$8:$D$564,3,0),0)</f>
        <v>181000</v>
      </c>
      <c r="E485" s="1168">
        <v>5312200</v>
      </c>
      <c r="F485" s="1168" t="s">
        <v>604</v>
      </c>
      <c r="G485" s="1178">
        <f t="shared" si="7"/>
        <v>181000</v>
      </c>
      <c r="H485" s="865">
        <f>+VLOOKUP(B485,'Balance Local'!$B$8:$B$560,1,0)</f>
        <v>7700300000</v>
      </c>
      <c r="I485" s="839"/>
      <c r="J485" s="839"/>
    </row>
    <row r="486" spans="1:10" s="865" customFormat="1" hidden="1">
      <c r="B486" s="1168">
        <v>7700300002</v>
      </c>
      <c r="C486" s="1168" t="s">
        <v>3267</v>
      </c>
      <c r="D486" s="1178">
        <f>+IFERROR(VLOOKUP(B486,'Balance Local'!$B$8:$D$564,3,0),0)</f>
        <v>16271902</v>
      </c>
      <c r="E486" s="1168">
        <v>5312200</v>
      </c>
      <c r="F486" s="1168" t="s">
        <v>604</v>
      </c>
      <c r="G486" s="1178">
        <f t="shared" si="7"/>
        <v>16271902</v>
      </c>
      <c r="H486" s="865">
        <f>+VLOOKUP(B486,'Balance Local'!$B$8:$B$560,1,0)</f>
        <v>7700300002</v>
      </c>
      <c r="I486" s="839"/>
      <c r="J486" s="839"/>
    </row>
    <row r="487" spans="1:10" s="865" customFormat="1" hidden="1">
      <c r="B487" s="1168">
        <v>7700311002</v>
      </c>
      <c r="C487" s="1168" t="s">
        <v>3268</v>
      </c>
      <c r="D487" s="1178">
        <f>+IFERROR(VLOOKUP(B487,'Balance Local'!$B$8:$D$564,3,0),0)</f>
        <v>9321969</v>
      </c>
      <c r="E487" s="1168">
        <v>5312200</v>
      </c>
      <c r="F487" s="1168" t="s">
        <v>604</v>
      </c>
      <c r="G487" s="1178">
        <f t="shared" si="7"/>
        <v>9321969</v>
      </c>
      <c r="H487" s="865">
        <f>+VLOOKUP(B487,'Balance Local'!$B$8:$B$560,1,0)</f>
        <v>7700311002</v>
      </c>
      <c r="I487" s="839"/>
      <c r="J487" s="839"/>
    </row>
    <row r="488" spans="1:10" s="865" customFormat="1" hidden="1">
      <c r="B488" s="1168">
        <v>7700320000</v>
      </c>
      <c r="C488" s="1168" t="s">
        <v>3269</v>
      </c>
      <c r="D488" s="1178">
        <f>+IFERROR(VLOOKUP(B488,'Balance Local'!$B$8:$D$564,3,0),0)</f>
        <v>0</v>
      </c>
      <c r="E488" s="1168">
        <v>5312200</v>
      </c>
      <c r="F488" s="1168" t="s">
        <v>604</v>
      </c>
      <c r="G488" s="1178">
        <f t="shared" si="7"/>
        <v>0</v>
      </c>
      <c r="H488" s="865">
        <f>+VLOOKUP(B488,'Balance Local'!$B$8:$B$560,1,0)</f>
        <v>7700320000</v>
      </c>
      <c r="I488" s="839"/>
      <c r="J488" s="839"/>
    </row>
    <row r="489" spans="1:10" s="865" customFormat="1" hidden="1">
      <c r="B489" s="1168">
        <v>7702000000</v>
      </c>
      <c r="C489" s="1168" t="s">
        <v>3270</v>
      </c>
      <c r="D489" s="1178">
        <f>+IFERROR(VLOOKUP(B489,'Balance Local'!$B$8:$D$564,3,0),0)</f>
        <v>5675560</v>
      </c>
      <c r="E489" s="1168">
        <v>5312100</v>
      </c>
      <c r="F489" s="1168" t="s">
        <v>594</v>
      </c>
      <c r="G489" s="1178">
        <f t="shared" si="7"/>
        <v>5675560</v>
      </c>
      <c r="H489" s="865">
        <f>+VLOOKUP(B489,'Balance Local'!$B$8:$B$560,1,0)</f>
        <v>7702000000</v>
      </c>
      <c r="I489" s="839"/>
      <c r="J489" s="839"/>
    </row>
    <row r="490" spans="1:10" s="865" customFormat="1" hidden="1">
      <c r="B490" s="1168">
        <v>7702000003</v>
      </c>
      <c r="C490" s="1168" t="s">
        <v>3271</v>
      </c>
      <c r="D490" s="1178">
        <f>+IFERROR(VLOOKUP(B490,'Balance Local'!$B$8:$D$564,3,0),0)</f>
        <v>6121129</v>
      </c>
      <c r="E490" s="1168">
        <v>5312100</v>
      </c>
      <c r="F490" s="1168" t="s">
        <v>594</v>
      </c>
      <c r="G490" s="1178">
        <f t="shared" si="7"/>
        <v>6121129</v>
      </c>
      <c r="H490" s="865">
        <f>+VLOOKUP(B490,'Balance Local'!$B$8:$B$560,1,0)</f>
        <v>7702000003</v>
      </c>
      <c r="I490" s="839"/>
      <c r="J490" s="839"/>
    </row>
    <row r="491" spans="1:10" hidden="1">
      <c r="A491" s="865"/>
      <c r="B491" s="1168">
        <v>7702000007</v>
      </c>
      <c r="C491" s="1168" t="s">
        <v>3272</v>
      </c>
      <c r="D491" s="1178">
        <f>+IFERROR(VLOOKUP(B491,'Balance Local'!$B$8:$D$564,3,0),0)</f>
        <v>3153782</v>
      </c>
      <c r="E491" s="1168">
        <v>5312100</v>
      </c>
      <c r="F491" s="1168" t="s">
        <v>594</v>
      </c>
      <c r="G491" s="1178">
        <f t="shared" si="7"/>
        <v>3153782</v>
      </c>
      <c r="H491" s="865">
        <f>+VLOOKUP(B491,'Balance Local'!$B$8:$B$560,1,0)</f>
        <v>7702000007</v>
      </c>
      <c r="I491" s="839"/>
      <c r="J491" s="839"/>
    </row>
    <row r="492" spans="1:10" hidden="1">
      <c r="A492" s="865"/>
      <c r="B492" s="1168">
        <v>7702000011</v>
      </c>
      <c r="C492" s="1168" t="s">
        <v>3273</v>
      </c>
      <c r="D492" s="1178">
        <f>+IFERROR(VLOOKUP(B492,'Balance Local'!$B$8:$D$564,3,0),0)</f>
        <v>127326</v>
      </c>
      <c r="E492" s="1168">
        <v>5312100</v>
      </c>
      <c r="F492" s="1168" t="s">
        <v>594</v>
      </c>
      <c r="G492" s="1178">
        <f t="shared" si="7"/>
        <v>127326</v>
      </c>
      <c r="H492" s="865">
        <f>+VLOOKUP(B492,'Balance Local'!$B$8:$B$560,1,0)</f>
        <v>7702000011</v>
      </c>
      <c r="I492" s="839"/>
      <c r="J492" s="839"/>
    </row>
    <row r="493" spans="1:10" hidden="1">
      <c r="A493" s="865"/>
      <c r="B493" s="1168">
        <v>7702200001</v>
      </c>
      <c r="C493" s="1168" t="s">
        <v>3274</v>
      </c>
      <c r="D493" s="1178">
        <f>+IFERROR(VLOOKUP(B493,'Balance Local'!$B$8:$D$564,3,0),0)</f>
        <v>6627536</v>
      </c>
      <c r="E493" s="1168">
        <v>5312200</v>
      </c>
      <c r="F493" s="1168" t="s">
        <v>604</v>
      </c>
      <c r="G493" s="1178">
        <f t="shared" si="7"/>
        <v>6627536</v>
      </c>
      <c r="H493" s="865">
        <f>+VLOOKUP(B493,'Balance Local'!$B$8:$B$560,1,0)</f>
        <v>7702200001</v>
      </c>
      <c r="I493" s="839"/>
      <c r="J493" s="839"/>
    </row>
    <row r="494" spans="1:10" hidden="1">
      <c r="A494" s="865"/>
      <c r="B494" s="1168">
        <v>7702200002</v>
      </c>
      <c r="C494" s="1168" t="s">
        <v>3275</v>
      </c>
      <c r="D494" s="1178">
        <f>+IFERROR(VLOOKUP(B494,'Balance Local'!$B$8:$D$564,3,0),0)</f>
        <v>11423058</v>
      </c>
      <c r="E494" s="1168">
        <v>5312100</v>
      </c>
      <c r="F494" s="1168" t="s">
        <v>594</v>
      </c>
      <c r="G494" s="1178">
        <f t="shared" si="7"/>
        <v>11423058</v>
      </c>
      <c r="H494" s="865">
        <f>+VLOOKUP(B494,'Balance Local'!$B$8:$B$560,1,0)</f>
        <v>7702200002</v>
      </c>
      <c r="I494" s="839"/>
      <c r="J494" s="839"/>
    </row>
    <row r="495" spans="1:10" hidden="1">
      <c r="A495" s="865"/>
      <c r="B495" s="1168">
        <v>7704100000</v>
      </c>
      <c r="C495" s="1168" t="s">
        <v>3276</v>
      </c>
      <c r="D495" s="1178">
        <f>+IFERROR(VLOOKUP(B495,'Balance Local'!$B$8:$D$564,3,0),0)</f>
        <v>162138</v>
      </c>
      <c r="E495" s="1168">
        <v>5312200</v>
      </c>
      <c r="F495" s="1168" t="s">
        <v>604</v>
      </c>
      <c r="G495" s="1178">
        <f t="shared" si="7"/>
        <v>162138</v>
      </c>
      <c r="H495" s="865">
        <f>+VLOOKUP(B495,'Balance Local'!$B$8:$B$560,1,0)</f>
        <v>7704100000</v>
      </c>
      <c r="I495" s="839"/>
      <c r="J495" s="839"/>
    </row>
    <row r="496" spans="1:10" hidden="1">
      <c r="A496" s="865"/>
      <c r="B496" s="1168">
        <v>7705000002</v>
      </c>
      <c r="C496" s="1168" t="s">
        <v>3277</v>
      </c>
      <c r="D496" s="1178">
        <f>+IFERROR(VLOOKUP(B496,'Balance Local'!$B$8:$D$564,3,0),0)</f>
        <v>740906</v>
      </c>
      <c r="E496" s="1168">
        <v>5312200</v>
      </c>
      <c r="F496" s="1168" t="s">
        <v>604</v>
      </c>
      <c r="G496" s="1178">
        <f t="shared" si="7"/>
        <v>740906</v>
      </c>
      <c r="H496" s="865">
        <f>+VLOOKUP(B496,'Balance Local'!$B$8:$B$560,1,0)</f>
        <v>7705000002</v>
      </c>
      <c r="I496" s="839"/>
      <c r="J496" s="839"/>
    </row>
    <row r="497" spans="1:10" hidden="1">
      <c r="A497" s="865"/>
      <c r="B497" s="1168">
        <v>7710000000</v>
      </c>
      <c r="C497" s="1168" t="s">
        <v>3278</v>
      </c>
      <c r="D497" s="1178">
        <f>+IFERROR(VLOOKUP(B497,'Balance Local'!$B$8:$D$564,3,0),0)</f>
        <v>-705083</v>
      </c>
      <c r="E497" s="1168">
        <v>5312200</v>
      </c>
      <c r="F497" s="1168" t="s">
        <v>604</v>
      </c>
      <c r="G497" s="1178">
        <f t="shared" si="7"/>
        <v>-705083</v>
      </c>
      <c r="H497" s="865">
        <f>+VLOOKUP(B497,'Balance Local'!$B$8:$B$560,1,0)</f>
        <v>7710000000</v>
      </c>
      <c r="I497" s="839"/>
      <c r="J497" s="839"/>
    </row>
    <row r="498" spans="1:10" hidden="1">
      <c r="A498" s="865"/>
      <c r="B498" s="1168">
        <v>7710200000</v>
      </c>
      <c r="C498" s="1168" t="s">
        <v>3279</v>
      </c>
      <c r="D498" s="1178">
        <f>+IFERROR(VLOOKUP(B498,'Balance Local'!$B$8:$D$564,3,0),0)</f>
        <v>20541848</v>
      </c>
      <c r="E498" s="1168">
        <v>5312200</v>
      </c>
      <c r="F498" s="1168" t="s">
        <v>604</v>
      </c>
      <c r="G498" s="1178">
        <f t="shared" si="7"/>
        <v>20541848</v>
      </c>
      <c r="H498" s="865">
        <f>+VLOOKUP(B498,'Balance Local'!$B$8:$B$560,1,0)</f>
        <v>7710200000</v>
      </c>
      <c r="I498" s="839"/>
      <c r="J498" s="839"/>
    </row>
    <row r="499" spans="1:10" hidden="1">
      <c r="A499" s="865"/>
      <c r="B499" s="1168">
        <v>7711000000</v>
      </c>
      <c r="C499" s="1168" t="s">
        <v>3280</v>
      </c>
      <c r="D499" s="1178">
        <f>+IFERROR(VLOOKUP(B499,'Balance Local'!$B$8:$D$564,3,0),0)</f>
        <v>0</v>
      </c>
      <c r="E499" s="1168">
        <v>5312200</v>
      </c>
      <c r="F499" s="1168" t="s">
        <v>604</v>
      </c>
      <c r="G499" s="1178">
        <f t="shared" si="7"/>
        <v>0</v>
      </c>
      <c r="H499" s="865">
        <f>+VLOOKUP(B499,'Balance Local'!$B$8:$B$560,1,0)</f>
        <v>7711000000</v>
      </c>
      <c r="I499" s="839"/>
      <c r="J499" s="839"/>
    </row>
    <row r="500" spans="1:10" hidden="1">
      <c r="A500" s="865"/>
      <c r="B500" s="1168">
        <v>7712000000</v>
      </c>
      <c r="C500" s="1168" t="s">
        <v>3281</v>
      </c>
      <c r="D500" s="1178">
        <f>+IFERROR(VLOOKUP(B500,'Balance Local'!$B$8:$D$564,3,0),0)</f>
        <v>233304108</v>
      </c>
      <c r="E500" s="1168">
        <v>5312200</v>
      </c>
      <c r="F500" s="1168" t="s">
        <v>604</v>
      </c>
      <c r="G500" s="1178">
        <f t="shared" si="7"/>
        <v>233304108</v>
      </c>
      <c r="H500" s="865">
        <f>+VLOOKUP(B500,'Balance Local'!$B$8:$B$560,1,0)</f>
        <v>7712000000</v>
      </c>
      <c r="I500" s="839"/>
      <c r="J500" s="839"/>
    </row>
    <row r="501" spans="1:10" hidden="1">
      <c r="A501" s="865"/>
      <c r="B501" s="1168">
        <v>7714000000</v>
      </c>
      <c r="C501" s="1168" t="s">
        <v>3282</v>
      </c>
      <c r="D501" s="1178">
        <f>+IFERROR(VLOOKUP(B501,'Balance Local'!$B$8:$D$564,3,0),0)</f>
        <v>16131071</v>
      </c>
      <c r="E501" s="1168">
        <v>5312200</v>
      </c>
      <c r="F501" s="1168" t="s">
        <v>604</v>
      </c>
      <c r="G501" s="1178">
        <f t="shared" si="7"/>
        <v>16131071</v>
      </c>
      <c r="H501" s="865">
        <f>+VLOOKUP(B501,'Balance Local'!$B$8:$B$560,1,0)</f>
        <v>7714000000</v>
      </c>
      <c r="I501" s="839"/>
      <c r="J501" s="839"/>
    </row>
    <row r="502" spans="1:10" hidden="1">
      <c r="A502" s="865"/>
      <c r="B502" s="1168">
        <v>7715000000</v>
      </c>
      <c r="C502" s="1168" t="s">
        <v>3283</v>
      </c>
      <c r="D502" s="1178">
        <f>+IFERROR(VLOOKUP(B502,'Balance Local'!$B$8:$D$564,3,0),0)</f>
        <v>84768420</v>
      </c>
      <c r="E502" s="1168">
        <v>5312200</v>
      </c>
      <c r="F502" s="1168" t="s">
        <v>604</v>
      </c>
      <c r="G502" s="1178">
        <f t="shared" si="7"/>
        <v>84768420</v>
      </c>
      <c r="H502" s="865">
        <f>+VLOOKUP(B502,'Balance Local'!$B$8:$B$560,1,0)</f>
        <v>7715000000</v>
      </c>
      <c r="I502" s="839"/>
      <c r="J502" s="839"/>
    </row>
    <row r="503" spans="1:10" hidden="1">
      <c r="A503" s="865"/>
      <c r="B503" s="1168">
        <v>7715000006</v>
      </c>
      <c r="C503" s="1168" t="s">
        <v>3284</v>
      </c>
      <c r="D503" s="1178">
        <f>+IFERROR(VLOOKUP(B503,'Balance Local'!$B$8:$D$564,3,0),0)</f>
        <v>0</v>
      </c>
      <c r="E503" s="1168">
        <v>5312200</v>
      </c>
      <c r="F503" s="1168" t="s">
        <v>604</v>
      </c>
      <c r="G503" s="1178">
        <f t="shared" si="7"/>
        <v>0</v>
      </c>
      <c r="H503" s="865">
        <f>+VLOOKUP(B503,'Balance Local'!$B$8:$B$560,1,0)</f>
        <v>7715000006</v>
      </c>
      <c r="I503" s="839"/>
      <c r="J503" s="839"/>
    </row>
    <row r="504" spans="1:10" hidden="1">
      <c r="A504" s="865"/>
      <c r="B504" s="1168">
        <v>7715000007</v>
      </c>
      <c r="C504" s="1168" t="s">
        <v>3285</v>
      </c>
      <c r="D504" s="1178">
        <f>+IFERROR(VLOOKUP(B504,'Balance Local'!$B$8:$D$564,3,0),0)</f>
        <v>156752919</v>
      </c>
      <c r="E504" s="1168">
        <v>5312200</v>
      </c>
      <c r="F504" s="1168" t="s">
        <v>604</v>
      </c>
      <c r="G504" s="1178">
        <f t="shared" si="7"/>
        <v>156752919</v>
      </c>
      <c r="H504" s="865">
        <f>+VLOOKUP(B504,'Balance Local'!$B$8:$B$560,1,0)</f>
        <v>7715000007</v>
      </c>
      <c r="I504" s="839"/>
      <c r="J504" s="839"/>
    </row>
    <row r="505" spans="1:10" hidden="1">
      <c r="A505" s="865"/>
      <c r="B505" s="1168">
        <v>7716000000</v>
      </c>
      <c r="C505" s="1168" t="s">
        <v>3286</v>
      </c>
      <c r="D505" s="1178">
        <f>+IFERROR(VLOOKUP(B505,'Balance Local'!$B$8:$D$564,3,0),0)</f>
        <v>77432533</v>
      </c>
      <c r="E505" s="1168">
        <v>5312200</v>
      </c>
      <c r="F505" s="1168" t="s">
        <v>604</v>
      </c>
      <c r="G505" s="1178">
        <f t="shared" si="7"/>
        <v>77432533</v>
      </c>
      <c r="H505" s="865">
        <f>+VLOOKUP(B505,'Balance Local'!$B$8:$B$560,1,0)</f>
        <v>7716000000</v>
      </c>
      <c r="I505" s="839"/>
      <c r="J505" s="839"/>
    </row>
    <row r="506" spans="1:10" hidden="1">
      <c r="A506" s="865"/>
      <c r="B506" s="1168">
        <v>7716010000</v>
      </c>
      <c r="C506" s="1168" t="s">
        <v>3287</v>
      </c>
      <c r="D506" s="1178">
        <f>+IFERROR(VLOOKUP(B506,'Balance Local'!$B$8:$D$564,3,0),0)</f>
        <v>183148</v>
      </c>
      <c r="E506" s="1168">
        <v>5312100</v>
      </c>
      <c r="F506" s="1168" t="s">
        <v>594</v>
      </c>
      <c r="G506" s="1178">
        <f t="shared" si="7"/>
        <v>183148</v>
      </c>
      <c r="H506" s="865">
        <f>+VLOOKUP(B506,'Balance Local'!$B$8:$B$560,1,0)</f>
        <v>7716010000</v>
      </c>
      <c r="I506" s="839"/>
      <c r="J506" s="839"/>
    </row>
    <row r="507" spans="1:10" hidden="1">
      <c r="A507" s="865"/>
      <c r="B507" s="1168">
        <v>7716011001</v>
      </c>
      <c r="C507" s="899" t="s">
        <v>3288</v>
      </c>
      <c r="D507" s="1178">
        <f>+IFERROR(VLOOKUP(B507,'Balance Local'!$B$8:$D$564,3,0),0)</f>
        <v>0</v>
      </c>
      <c r="E507" s="1168">
        <v>5312100</v>
      </c>
      <c r="F507" s="1168" t="s">
        <v>594</v>
      </c>
      <c r="G507" s="1178">
        <f t="shared" si="7"/>
        <v>0</v>
      </c>
      <c r="H507" s="865">
        <f>+VLOOKUP(B507,'Balance Local'!$B$8:$B$560,1,0)</f>
        <v>7716011001</v>
      </c>
      <c r="I507" s="839"/>
      <c r="J507" s="839"/>
    </row>
    <row r="508" spans="1:10" hidden="1">
      <c r="A508" s="865"/>
      <c r="B508" s="1168">
        <v>7716013001</v>
      </c>
      <c r="C508" s="899" t="s">
        <v>3289</v>
      </c>
      <c r="D508" s="1178">
        <f>+IFERROR(VLOOKUP(B508,'Balance Local'!$B$8:$D$564,3,0),0)</f>
        <v>0</v>
      </c>
      <c r="E508" s="1168">
        <v>5312200</v>
      </c>
      <c r="F508" s="1168" t="s">
        <v>604</v>
      </c>
      <c r="G508" s="1178">
        <f t="shared" si="7"/>
        <v>0</v>
      </c>
      <c r="H508" s="865">
        <f>+VLOOKUP(B508,'Balance Local'!$B$8:$B$560,1,0)</f>
        <v>7716013001</v>
      </c>
      <c r="I508" s="839"/>
      <c r="J508" s="839"/>
    </row>
    <row r="509" spans="1:10" hidden="1">
      <c r="A509" s="865"/>
      <c r="B509" s="1168">
        <v>7716020001</v>
      </c>
      <c r="C509" s="899" t="s">
        <v>3290</v>
      </c>
      <c r="D509" s="1178">
        <f>+IFERROR(VLOOKUP(B509,'Balance Local'!$B$8:$D$564,3,0),0)</f>
        <v>0</v>
      </c>
      <c r="E509" s="1168">
        <v>5312200</v>
      </c>
      <c r="F509" s="1168" t="s">
        <v>604</v>
      </c>
      <c r="G509" s="1178">
        <f t="shared" si="7"/>
        <v>0</v>
      </c>
      <c r="H509" s="865">
        <f>+VLOOKUP(B509,'Balance Local'!$B$8:$B$560,1,0)</f>
        <v>7716020001</v>
      </c>
      <c r="I509" s="839"/>
      <c r="J509" s="839"/>
    </row>
    <row r="510" spans="1:10" hidden="1">
      <c r="A510" s="865"/>
      <c r="B510" s="1168">
        <v>7716020003</v>
      </c>
      <c r="C510" s="899" t="s">
        <v>3291</v>
      </c>
      <c r="D510" s="1178">
        <f>+IFERROR(VLOOKUP(B510,'Balance Local'!$B$8:$D$564,3,0),0)</f>
        <v>0</v>
      </c>
      <c r="E510" s="1168">
        <v>5312200</v>
      </c>
      <c r="F510" s="1168" t="s">
        <v>604</v>
      </c>
      <c r="G510" s="1178">
        <f t="shared" si="7"/>
        <v>0</v>
      </c>
      <c r="H510" s="865">
        <f>+VLOOKUP(B510,'Balance Local'!$B$8:$B$560,1,0)</f>
        <v>7716020003</v>
      </c>
      <c r="I510" s="839"/>
      <c r="J510" s="839"/>
    </row>
    <row r="511" spans="1:10" hidden="1">
      <c r="A511" s="865"/>
      <c r="B511" s="1168">
        <v>7716030000</v>
      </c>
      <c r="C511" s="899" t="s">
        <v>3292</v>
      </c>
      <c r="D511" s="1178">
        <f>+IFERROR(VLOOKUP(B511,'Balance Local'!$B$8:$D$564,3,0),0)</f>
        <v>152181561</v>
      </c>
      <c r="E511" s="1168">
        <v>5311700</v>
      </c>
      <c r="F511" s="1168" t="s">
        <v>3484</v>
      </c>
      <c r="G511" s="1178">
        <f t="shared" si="7"/>
        <v>152181561</v>
      </c>
      <c r="H511" s="865">
        <f>+VLOOKUP(B511,'Balance Local'!$B$8:$B$560,1,0)</f>
        <v>7716030000</v>
      </c>
      <c r="I511" s="839"/>
      <c r="J511" s="839"/>
    </row>
    <row r="512" spans="1:10" hidden="1">
      <c r="A512" s="865"/>
      <c r="B512" s="1168">
        <v>7716030001</v>
      </c>
      <c r="C512" s="899" t="s">
        <v>3293</v>
      </c>
      <c r="D512" s="1178">
        <f>+IFERROR(VLOOKUP(B512,'Balance Local'!$B$8:$D$564,3,0),0)</f>
        <v>301775</v>
      </c>
      <c r="E512" s="1168">
        <v>5311700</v>
      </c>
      <c r="F512" s="1168" t="s">
        <v>3484</v>
      </c>
      <c r="G512" s="1178">
        <f t="shared" si="7"/>
        <v>301775</v>
      </c>
      <c r="H512" s="865">
        <f>+VLOOKUP(B512,'Balance Local'!$B$8:$B$560,1,0)</f>
        <v>7716030001</v>
      </c>
      <c r="I512" s="839"/>
      <c r="J512" s="839"/>
    </row>
    <row r="513" spans="1:10" hidden="1">
      <c r="A513" s="865"/>
      <c r="B513" s="1168">
        <v>7716030002</v>
      </c>
      <c r="C513" s="899" t="s">
        <v>3294</v>
      </c>
      <c r="D513" s="1178">
        <f>+IFERROR(VLOOKUP(B513,'Balance Local'!$B$8:$D$564,3,0),0)</f>
        <v>5475326</v>
      </c>
      <c r="E513" s="1168">
        <v>5311700</v>
      </c>
      <c r="F513" s="1168" t="s">
        <v>3484</v>
      </c>
      <c r="G513" s="1178">
        <f t="shared" si="7"/>
        <v>5475326</v>
      </c>
      <c r="H513" s="865">
        <f>+VLOOKUP(B513,'Balance Local'!$B$8:$B$560,1,0)</f>
        <v>7716030002</v>
      </c>
      <c r="I513" s="839"/>
      <c r="J513" s="839"/>
    </row>
    <row r="514" spans="1:10" hidden="1">
      <c r="A514" s="865"/>
      <c r="B514" s="1168">
        <v>7716050000</v>
      </c>
      <c r="C514" s="899" t="s">
        <v>3295</v>
      </c>
      <c r="D514" s="1178">
        <f>+IFERROR(VLOOKUP(B514,'Balance Local'!$B$8:$D$564,3,0),0)</f>
        <v>-160714984</v>
      </c>
      <c r="E514" s="1168">
        <v>5312200</v>
      </c>
      <c r="F514" s="1168" t="s">
        <v>604</v>
      </c>
      <c r="G514" s="1178">
        <f t="shared" si="7"/>
        <v>-160714984</v>
      </c>
      <c r="H514" s="865">
        <f>+VLOOKUP(B514,'Balance Local'!$B$8:$B$560,1,0)</f>
        <v>7716050000</v>
      </c>
      <c r="I514" s="839"/>
      <c r="J514" s="839"/>
    </row>
    <row r="515" spans="1:10" hidden="1">
      <c r="A515" s="865"/>
      <c r="B515" s="1168">
        <v>7716050005</v>
      </c>
      <c r="C515" s="899" t="s">
        <v>3296</v>
      </c>
      <c r="D515" s="1178">
        <f>+IFERROR(VLOOKUP(B515,'Balance Local'!$B$8:$D$564,3,0),0)</f>
        <v>7107951</v>
      </c>
      <c r="E515" s="1168">
        <v>5313340</v>
      </c>
      <c r="F515" s="1168" t="s">
        <v>3483</v>
      </c>
      <c r="G515" s="1178">
        <f t="shared" si="7"/>
        <v>7107951</v>
      </c>
      <c r="H515" s="865">
        <f>+VLOOKUP(B515,'Balance Local'!$B$8:$B$560,1,0)</f>
        <v>7716050005</v>
      </c>
      <c r="I515" s="839"/>
      <c r="J515" s="839"/>
    </row>
    <row r="516" spans="1:10" hidden="1">
      <c r="A516" s="865"/>
      <c r="B516" s="1168">
        <v>7720100000</v>
      </c>
      <c r="C516" s="899" t="s">
        <v>3297</v>
      </c>
      <c r="D516" s="1178">
        <f>+IFERROR(VLOOKUP(B516,'Balance Local'!$B$8:$D$564,3,0),0)</f>
        <v>79299882</v>
      </c>
      <c r="E516" s="1168">
        <v>5312200</v>
      </c>
      <c r="F516" s="1168" t="s">
        <v>604</v>
      </c>
      <c r="G516" s="1178">
        <f t="shared" si="7"/>
        <v>79299882</v>
      </c>
      <c r="H516" s="865">
        <f>+VLOOKUP(B516,'Balance Local'!$B$8:$B$560,1,0)</f>
        <v>7720100000</v>
      </c>
      <c r="I516" s="839"/>
      <c r="J516" s="839"/>
    </row>
    <row r="517" spans="1:10" hidden="1">
      <c r="A517" s="865"/>
      <c r="B517" s="1168">
        <v>7720100008</v>
      </c>
      <c r="C517" s="899" t="s">
        <v>3298</v>
      </c>
      <c r="D517" s="1178">
        <f>+IFERROR(VLOOKUP(B517,'Balance Local'!$B$8:$D$564,3,0),0)</f>
        <v>0</v>
      </c>
      <c r="E517" s="1168">
        <v>5312200</v>
      </c>
      <c r="F517" s="1168" t="s">
        <v>604</v>
      </c>
      <c r="G517" s="1178">
        <f t="shared" si="7"/>
        <v>0</v>
      </c>
      <c r="H517" s="865">
        <f>+VLOOKUP(B517,'Balance Local'!$B$8:$B$560,1,0)</f>
        <v>7720100008</v>
      </c>
      <c r="I517" s="839"/>
      <c r="J517" s="839"/>
    </row>
    <row r="518" spans="1:10" hidden="1">
      <c r="A518" s="865"/>
      <c r="B518" s="1168">
        <v>7720200000</v>
      </c>
      <c r="C518" s="899" t="s">
        <v>3299</v>
      </c>
      <c r="D518" s="1178">
        <f>+IFERROR(VLOOKUP(B518,'Balance Local'!$B$8:$D$564,3,0),0)</f>
        <v>11221</v>
      </c>
      <c r="E518" s="1168">
        <v>5312200</v>
      </c>
      <c r="F518" s="1168" t="s">
        <v>604</v>
      </c>
      <c r="G518" s="1178">
        <f t="shared" si="7"/>
        <v>11221</v>
      </c>
      <c r="H518" s="865">
        <f>+VLOOKUP(B518,'Balance Local'!$B$8:$B$560,1,0)</f>
        <v>7720200000</v>
      </c>
      <c r="I518" s="839"/>
      <c r="J518" s="839"/>
    </row>
    <row r="519" spans="1:10" hidden="1">
      <c r="B519" s="844">
        <v>7720300000</v>
      </c>
      <c r="C519" s="1198" t="s">
        <v>3752</v>
      </c>
      <c r="D519" s="1178">
        <f>+IFERROR(VLOOKUP(B519,'Balance Local'!$B$8:$D$564,3,0),0)</f>
        <v>3465939</v>
      </c>
      <c r="E519" s="1168">
        <v>5312200</v>
      </c>
      <c r="F519" s="1168" t="s">
        <v>604</v>
      </c>
      <c r="G519" s="1178">
        <f t="shared" si="7"/>
        <v>3465939</v>
      </c>
      <c r="H519" s="865">
        <f>+VLOOKUP(B519,'Balance Local'!$B$8:$B$560,1,0)</f>
        <v>7720300000</v>
      </c>
      <c r="I519" s="839"/>
    </row>
    <row r="520" spans="1:10" hidden="1">
      <c r="A520" s="865"/>
      <c r="B520" s="1168">
        <v>7720310000</v>
      </c>
      <c r="C520" s="899" t="s">
        <v>3300</v>
      </c>
      <c r="D520" s="1178">
        <f>+IFERROR(VLOOKUP(B520,'Balance Local'!$B$8:$D$564,3,0),0)</f>
        <v>32361</v>
      </c>
      <c r="E520" s="1168">
        <v>5313340</v>
      </c>
      <c r="F520" s="1168" t="s">
        <v>3483</v>
      </c>
      <c r="G520" s="1178">
        <f t="shared" si="7"/>
        <v>32361</v>
      </c>
      <c r="H520" s="865">
        <f>+VLOOKUP(B520,'Balance Local'!$B$8:$B$560,1,0)</f>
        <v>7720310000</v>
      </c>
      <c r="I520" s="839"/>
      <c r="J520" s="839"/>
    </row>
    <row r="521" spans="1:10" hidden="1">
      <c r="A521" s="865"/>
      <c r="B521" s="1168">
        <v>7721000000</v>
      </c>
      <c r="C521" s="899" t="s">
        <v>3301</v>
      </c>
      <c r="D521" s="1178">
        <f>+IFERROR(VLOOKUP(B521,'Balance Local'!$B$8:$D$564,3,0),0)</f>
        <v>741680</v>
      </c>
      <c r="E521" s="1168">
        <v>5315200</v>
      </c>
      <c r="F521" s="1168" t="s">
        <v>604</v>
      </c>
      <c r="G521" s="1178">
        <f t="shared" si="7"/>
        <v>741680</v>
      </c>
      <c r="H521" s="865">
        <f>+VLOOKUP(B521,'Balance Local'!$B$8:$B$560,1,0)</f>
        <v>7721000000</v>
      </c>
      <c r="I521" s="839"/>
      <c r="J521" s="839"/>
    </row>
    <row r="522" spans="1:10" hidden="1">
      <c r="A522" s="865"/>
      <c r="B522" s="1168">
        <v>7721100000</v>
      </c>
      <c r="C522" s="899" t="s">
        <v>3302</v>
      </c>
      <c r="D522" s="1178">
        <f>+IFERROR(VLOOKUP(B522,'Balance Local'!$B$8:$D$564,3,0),0)</f>
        <v>0</v>
      </c>
      <c r="E522" s="1168">
        <v>5313340</v>
      </c>
      <c r="F522" s="1168" t="s">
        <v>3483</v>
      </c>
      <c r="G522" s="1178">
        <f t="shared" ref="G522:G585" si="8">+D522</f>
        <v>0</v>
      </c>
      <c r="H522" s="865">
        <f>+VLOOKUP(B522,'Balance Local'!$B$8:$B$560,1,0)</f>
        <v>7721100000</v>
      </c>
      <c r="I522" s="839"/>
      <c r="J522" s="839"/>
    </row>
    <row r="523" spans="1:10" hidden="1">
      <c r="A523" s="865"/>
      <c r="B523" s="1168">
        <v>7721200000</v>
      </c>
      <c r="C523" s="899" t="s">
        <v>3303</v>
      </c>
      <c r="D523" s="1178">
        <f>+IFERROR(VLOOKUP(B523,'Balance Local'!$B$8:$D$564,3,0),0)</f>
        <v>30412184</v>
      </c>
      <c r="E523" s="1168">
        <v>5313340</v>
      </c>
      <c r="F523" s="1168" t="s">
        <v>3483</v>
      </c>
      <c r="G523" s="1178">
        <f t="shared" si="8"/>
        <v>30412184</v>
      </c>
      <c r="H523" s="865">
        <f>+VLOOKUP(B523,'Balance Local'!$B$8:$B$560,1,0)</f>
        <v>7721200000</v>
      </c>
      <c r="I523" s="839"/>
      <c r="J523" s="839"/>
    </row>
    <row r="524" spans="1:10" hidden="1">
      <c r="A524" s="865"/>
      <c r="B524" s="1168">
        <v>7721400000</v>
      </c>
      <c r="C524" s="899" t="s">
        <v>3304</v>
      </c>
      <c r="D524" s="1178">
        <f>+IFERROR(VLOOKUP(B524,'Balance Local'!$B$8:$D$564,3,0),0)</f>
        <v>69307889</v>
      </c>
      <c r="E524" s="1168">
        <v>5313340</v>
      </c>
      <c r="F524" s="1168" t="s">
        <v>3483</v>
      </c>
      <c r="G524" s="1178">
        <f t="shared" si="8"/>
        <v>69307889</v>
      </c>
      <c r="H524" s="865">
        <f>+VLOOKUP(B524,'Balance Local'!$B$8:$B$560,1,0)</f>
        <v>7721400000</v>
      </c>
      <c r="I524" s="839"/>
      <c r="J524" s="839"/>
    </row>
    <row r="525" spans="1:10" hidden="1">
      <c r="B525" s="1168">
        <v>7721500000</v>
      </c>
      <c r="C525" s="899" t="s">
        <v>3305</v>
      </c>
      <c r="D525" s="1178">
        <f>+IFERROR(VLOOKUP(B525,'Balance Local'!$B$8:$D$564,3,0),0)</f>
        <v>1319153</v>
      </c>
      <c r="E525" s="1168">
        <v>5313340</v>
      </c>
      <c r="F525" s="1168" t="s">
        <v>3483</v>
      </c>
      <c r="G525" s="1178">
        <f t="shared" si="8"/>
        <v>1319153</v>
      </c>
      <c r="H525" s="865">
        <f>+VLOOKUP(B525,'Balance Local'!$B$8:$B$560,1,0)</f>
        <v>7721500000</v>
      </c>
      <c r="I525" s="839"/>
      <c r="J525" s="839"/>
    </row>
    <row r="526" spans="1:10" hidden="1">
      <c r="A526" s="865"/>
      <c r="B526" s="1168">
        <v>7721600000</v>
      </c>
      <c r="C526" s="899" t="s">
        <v>3306</v>
      </c>
      <c r="D526" s="1178">
        <f>+IFERROR(VLOOKUP(B526,'Balance Local'!$B$8:$D$564,3,0),0)</f>
        <v>2263922</v>
      </c>
      <c r="E526" s="1168">
        <v>5313340</v>
      </c>
      <c r="F526" s="1168" t="s">
        <v>3483</v>
      </c>
      <c r="G526" s="1178">
        <f t="shared" si="8"/>
        <v>2263922</v>
      </c>
      <c r="H526" s="865">
        <f>+VLOOKUP(B526,'Balance Local'!$B$8:$B$560,1,0)</f>
        <v>7721600000</v>
      </c>
      <c r="I526" s="839"/>
      <c r="J526" s="839"/>
    </row>
    <row r="527" spans="1:10" hidden="1">
      <c r="A527" s="865"/>
      <c r="B527" s="1168">
        <v>7722000000</v>
      </c>
      <c r="C527" s="899" t="s">
        <v>3307</v>
      </c>
      <c r="D527" s="1178">
        <f>+IFERROR(VLOOKUP(B527,'Balance Local'!$B$8:$D$564,3,0),0)</f>
        <v>42560</v>
      </c>
      <c r="E527" s="1168">
        <v>5312200</v>
      </c>
      <c r="F527" s="1168" t="s">
        <v>604</v>
      </c>
      <c r="G527" s="1178">
        <f t="shared" si="8"/>
        <v>42560</v>
      </c>
      <c r="H527" s="865">
        <f>+VLOOKUP(B527,'Balance Local'!$B$8:$B$560,1,0)</f>
        <v>7722000000</v>
      </c>
      <c r="I527" s="839"/>
      <c r="J527" s="839"/>
    </row>
    <row r="528" spans="1:10" hidden="1">
      <c r="A528" s="865"/>
      <c r="B528" s="1168">
        <v>7722004000</v>
      </c>
      <c r="C528" s="899" t="s">
        <v>3308</v>
      </c>
      <c r="D528" s="1178">
        <f>+IFERROR(VLOOKUP(B528,'Balance Local'!$B$8:$D$564,3,0),0)</f>
        <v>0</v>
      </c>
      <c r="E528" s="1168">
        <v>5312200</v>
      </c>
      <c r="F528" s="1168" t="s">
        <v>604</v>
      </c>
      <c r="G528" s="1178">
        <f t="shared" si="8"/>
        <v>0</v>
      </c>
      <c r="H528" s="865">
        <f>+VLOOKUP(B528,'Balance Local'!$B$8:$B$560,1,0)</f>
        <v>7722004000</v>
      </c>
      <c r="I528" s="839"/>
      <c r="J528" s="839"/>
    </row>
    <row r="529" spans="1:10" hidden="1">
      <c r="A529" s="865"/>
      <c r="B529" s="1168">
        <v>7722300000</v>
      </c>
      <c r="C529" s="899" t="s">
        <v>3309</v>
      </c>
      <c r="D529" s="1178">
        <f>+IFERROR(VLOOKUP(B529,'Balance Local'!$B$8:$D$564,3,0),0)</f>
        <v>193429312</v>
      </c>
      <c r="E529" s="1168">
        <v>5312200</v>
      </c>
      <c r="F529" s="1168" t="s">
        <v>604</v>
      </c>
      <c r="G529" s="1178">
        <f t="shared" si="8"/>
        <v>193429312</v>
      </c>
      <c r="H529" s="865">
        <f>+VLOOKUP(B529,'Balance Local'!$B$8:$B$560,1,0)</f>
        <v>7722300000</v>
      </c>
      <c r="I529" s="839"/>
      <c r="J529" s="839"/>
    </row>
    <row r="530" spans="1:10" hidden="1">
      <c r="A530" s="865"/>
      <c r="B530" s="1168">
        <v>7723000000</v>
      </c>
      <c r="C530" s="899" t="s">
        <v>3310</v>
      </c>
      <c r="D530" s="1178">
        <f>+IFERROR(VLOOKUP(B530,'Balance Local'!$B$8:$D$564,3,0),0)</f>
        <v>0</v>
      </c>
      <c r="E530" s="1168">
        <v>5312200</v>
      </c>
      <c r="F530" s="1168" t="s">
        <v>604</v>
      </c>
      <c r="G530" s="1178">
        <f t="shared" si="8"/>
        <v>0</v>
      </c>
      <c r="H530" s="865">
        <f>+VLOOKUP(B530,'Balance Local'!$B$8:$B$560,1,0)</f>
        <v>7723000000</v>
      </c>
      <c r="I530" s="839"/>
      <c r="J530" s="839"/>
    </row>
    <row r="531" spans="1:10" hidden="1">
      <c r="A531" s="865"/>
      <c r="B531" s="1168">
        <v>7723000001</v>
      </c>
      <c r="C531" s="899" t="s">
        <v>3311</v>
      </c>
      <c r="D531" s="1178">
        <f>+IFERROR(VLOOKUP(B531,'Balance Local'!$B$8:$D$564,3,0),0)</f>
        <v>0</v>
      </c>
      <c r="E531" s="1168">
        <v>5312200</v>
      </c>
      <c r="F531" s="1168" t="s">
        <v>604</v>
      </c>
      <c r="G531" s="1178">
        <f t="shared" si="8"/>
        <v>0</v>
      </c>
      <c r="H531" s="865">
        <f>+VLOOKUP(B531,'Balance Local'!$B$8:$B$560,1,0)</f>
        <v>7723000001</v>
      </c>
      <c r="I531" s="839"/>
      <c r="J531" s="839"/>
    </row>
    <row r="532" spans="1:10" hidden="1">
      <c r="A532" s="865"/>
      <c r="B532" s="1168">
        <v>7725000000</v>
      </c>
      <c r="C532" s="899" t="s">
        <v>3312</v>
      </c>
      <c r="D532" s="1178">
        <f>+IFERROR(VLOOKUP(B532,'Balance Local'!$B$8:$D$564,3,0),0)</f>
        <v>33429588</v>
      </c>
      <c r="E532" s="1168">
        <v>5312200</v>
      </c>
      <c r="F532" s="1168" t="s">
        <v>604</v>
      </c>
      <c r="G532" s="1178">
        <f t="shared" si="8"/>
        <v>33429588</v>
      </c>
      <c r="H532" s="865">
        <f>+VLOOKUP(B532,'Balance Local'!$B$8:$B$560,1,0)</f>
        <v>7725000000</v>
      </c>
      <c r="I532" s="839"/>
      <c r="J532" s="839"/>
    </row>
    <row r="533" spans="1:10" hidden="1">
      <c r="A533" s="865"/>
      <c r="B533" s="1168">
        <v>7725000003</v>
      </c>
      <c r="C533" s="899" t="s">
        <v>3313</v>
      </c>
      <c r="D533" s="1178">
        <f>+IFERROR(VLOOKUP(B533,'Balance Local'!$B$8:$D$564,3,0),0)</f>
        <v>5000</v>
      </c>
      <c r="E533" s="1168">
        <v>5312200</v>
      </c>
      <c r="F533" s="1168" t="s">
        <v>604</v>
      </c>
      <c r="G533" s="1178">
        <f t="shared" si="8"/>
        <v>5000</v>
      </c>
      <c r="H533" s="865">
        <f>+VLOOKUP(B533,'Balance Local'!$B$8:$B$560,1,0)</f>
        <v>7725000003</v>
      </c>
      <c r="I533" s="839"/>
      <c r="J533" s="839"/>
    </row>
    <row r="534" spans="1:10" hidden="1">
      <c r="A534" s="865"/>
      <c r="B534" s="1168">
        <v>7725000010</v>
      </c>
      <c r="C534" s="899" t="s">
        <v>3314</v>
      </c>
      <c r="D534" s="1178">
        <f>+IFERROR(VLOOKUP(B534,'Balance Local'!$B$8:$D$564,3,0),0)</f>
        <v>65713</v>
      </c>
      <c r="E534" s="1168">
        <v>5312200</v>
      </c>
      <c r="F534" s="1168" t="s">
        <v>604</v>
      </c>
      <c r="G534" s="1178">
        <f t="shared" si="8"/>
        <v>65713</v>
      </c>
      <c r="H534" s="865">
        <f>+VLOOKUP(B534,'Balance Local'!$B$8:$B$560,1,0)</f>
        <v>7725000010</v>
      </c>
      <c r="I534" s="839"/>
      <c r="J534" s="839"/>
    </row>
    <row r="535" spans="1:10" hidden="1">
      <c r="A535" s="865"/>
      <c r="B535" s="1168">
        <v>7725000900</v>
      </c>
      <c r="C535" s="899" t="s">
        <v>3315</v>
      </c>
      <c r="D535" s="1178">
        <f>+IFERROR(VLOOKUP(B535,'Balance Local'!$B$8:$D$564,3,0),0)</f>
        <v>0</v>
      </c>
      <c r="E535" s="1168">
        <v>5312200</v>
      </c>
      <c r="F535" s="1168" t="s">
        <v>604</v>
      </c>
      <c r="G535" s="1178">
        <f t="shared" si="8"/>
        <v>0</v>
      </c>
      <c r="H535" s="865">
        <f>+VLOOKUP(B535,'Balance Local'!$B$8:$B$560,1,0)</f>
        <v>7725000900</v>
      </c>
      <c r="I535" s="839"/>
      <c r="J535" s="839"/>
    </row>
    <row r="536" spans="1:10" hidden="1">
      <c r="A536" s="865"/>
      <c r="B536" s="1168">
        <v>7730000002</v>
      </c>
      <c r="C536" s="899" t="s">
        <v>3316</v>
      </c>
      <c r="D536" s="1178">
        <f>+IFERROR(VLOOKUP(B536,'Balance Local'!$B$8:$D$564,3,0),0)</f>
        <v>538238272</v>
      </c>
      <c r="E536" s="1168">
        <v>5312200</v>
      </c>
      <c r="F536" s="1168" t="s">
        <v>604</v>
      </c>
      <c r="G536" s="1178">
        <f t="shared" si="8"/>
        <v>538238272</v>
      </c>
      <c r="H536" s="865">
        <f>+VLOOKUP(B536,'Balance Local'!$B$8:$B$560,1,0)</f>
        <v>7730000002</v>
      </c>
      <c r="I536" s="839"/>
      <c r="J536" s="839"/>
    </row>
    <row r="537" spans="1:10" hidden="1">
      <c r="A537" s="865"/>
      <c r="B537" s="1168">
        <v>7730000003</v>
      </c>
      <c r="C537" s="899" t="s">
        <v>3317</v>
      </c>
      <c r="D537" s="1178">
        <f>+IFERROR(VLOOKUP(B537,'Balance Local'!$B$8:$D$564,3,0),0)</f>
        <v>805165</v>
      </c>
      <c r="E537" s="1168">
        <v>5312200</v>
      </c>
      <c r="F537" s="1168" t="s">
        <v>604</v>
      </c>
      <c r="G537" s="1178">
        <f t="shared" si="8"/>
        <v>805165</v>
      </c>
      <c r="H537" s="865">
        <f>+VLOOKUP(B537,'Balance Local'!$B$8:$B$560,1,0)</f>
        <v>7730000003</v>
      </c>
      <c r="I537" s="839"/>
      <c r="J537" s="839"/>
    </row>
    <row r="538" spans="1:10" hidden="1">
      <c r="A538" s="865"/>
      <c r="B538" s="1168">
        <v>7730000007</v>
      </c>
      <c r="C538" s="899" t="s">
        <v>3318</v>
      </c>
      <c r="D538" s="1178">
        <f>+IFERROR(VLOOKUP(B538,'Balance Local'!$B$8:$D$564,3,0),0)</f>
        <v>19312629</v>
      </c>
      <c r="E538" s="1168">
        <v>5312200</v>
      </c>
      <c r="F538" s="1168" t="s">
        <v>604</v>
      </c>
      <c r="G538" s="1178">
        <f t="shared" si="8"/>
        <v>19312629</v>
      </c>
      <c r="H538" s="865">
        <f>+VLOOKUP(B538,'Balance Local'!$B$8:$B$560,1,0)</f>
        <v>7730000007</v>
      </c>
      <c r="I538" s="839"/>
      <c r="J538" s="839"/>
    </row>
    <row r="539" spans="1:10" hidden="1">
      <c r="A539" s="865"/>
      <c r="B539" s="1168">
        <v>7730000019</v>
      </c>
      <c r="C539" s="899" t="s">
        <v>3319</v>
      </c>
      <c r="D539" s="1178">
        <f>+IFERROR(VLOOKUP(B539,'Balance Local'!$B$8:$D$564,3,0),0)</f>
        <v>12860994</v>
      </c>
      <c r="E539" s="1168">
        <v>5311700</v>
      </c>
      <c r="F539" s="1168" t="s">
        <v>3484</v>
      </c>
      <c r="G539" s="1178">
        <f t="shared" si="8"/>
        <v>12860994</v>
      </c>
      <c r="H539" s="865">
        <f>+VLOOKUP(B539,'Balance Local'!$B$8:$B$560,1,0)</f>
        <v>7730000019</v>
      </c>
      <c r="I539" s="839"/>
      <c r="J539" s="839"/>
    </row>
    <row r="540" spans="1:10" hidden="1">
      <c r="A540" s="865"/>
      <c r="B540" s="1168">
        <v>7730000024</v>
      </c>
      <c r="C540" s="899" t="s">
        <v>3320</v>
      </c>
      <c r="D540" s="1178">
        <f>+IFERROR(VLOOKUP(B540,'Balance Local'!$B$8:$D$564,3,0),0)</f>
        <v>48319568</v>
      </c>
      <c r="E540" s="1168">
        <v>5312200</v>
      </c>
      <c r="F540" s="1168" t="s">
        <v>604</v>
      </c>
      <c r="G540" s="1178">
        <f t="shared" si="8"/>
        <v>48319568</v>
      </c>
      <c r="H540" s="865">
        <f>+VLOOKUP(B540,'Balance Local'!$B$8:$B$560,1,0)</f>
        <v>7730000024</v>
      </c>
      <c r="I540" s="839"/>
      <c r="J540" s="839"/>
    </row>
    <row r="541" spans="1:10" hidden="1">
      <c r="A541" s="865"/>
      <c r="B541" s="1168">
        <v>7730200000</v>
      </c>
      <c r="C541" s="899" t="s">
        <v>3321</v>
      </c>
      <c r="D541" s="1178">
        <f>+IFERROR(VLOOKUP(B541,'Balance Local'!$B$8:$D$564,3,0),0)</f>
        <v>46851505</v>
      </c>
      <c r="E541" s="1168">
        <v>5313340</v>
      </c>
      <c r="F541" s="1168" t="s">
        <v>3483</v>
      </c>
      <c r="G541" s="1178">
        <f t="shared" si="8"/>
        <v>46851505</v>
      </c>
      <c r="H541" s="865">
        <f>+VLOOKUP(B541,'Balance Local'!$B$8:$B$560,1,0)</f>
        <v>7730200000</v>
      </c>
      <c r="I541" s="839"/>
      <c r="J541" s="839"/>
    </row>
    <row r="542" spans="1:10" hidden="1">
      <c r="A542" s="865"/>
      <c r="B542" s="1168">
        <v>7731000000</v>
      </c>
      <c r="C542" s="899" t="s">
        <v>3322</v>
      </c>
      <c r="D542" s="1178">
        <f>+IFERROR(VLOOKUP(B542,'Balance Local'!$B$8:$D$564,3,0),0)</f>
        <v>651000</v>
      </c>
      <c r="E542" s="1168">
        <v>5312200</v>
      </c>
      <c r="F542" s="1168" t="s">
        <v>604</v>
      </c>
      <c r="G542" s="1178">
        <f t="shared" si="8"/>
        <v>651000</v>
      </c>
      <c r="H542" s="865">
        <f>+VLOOKUP(B542,'Balance Local'!$B$8:$B$560,1,0)</f>
        <v>7731000000</v>
      </c>
      <c r="I542" s="839"/>
      <c r="J542" s="839"/>
    </row>
    <row r="543" spans="1:10" hidden="1">
      <c r="A543" s="865"/>
      <c r="B543" s="1168">
        <v>7732000000</v>
      </c>
      <c r="C543" s="899" t="s">
        <v>3323</v>
      </c>
      <c r="D543" s="1178">
        <f>+IFERROR(VLOOKUP(B543,'Balance Local'!$B$8:$D$564,3,0),0)</f>
        <v>0</v>
      </c>
      <c r="E543" s="1168">
        <v>5312200</v>
      </c>
      <c r="F543" s="1168" t="s">
        <v>604</v>
      </c>
      <c r="G543" s="1178">
        <f t="shared" si="8"/>
        <v>0</v>
      </c>
      <c r="H543" s="865">
        <f>+VLOOKUP(B543,'Balance Local'!$B$8:$B$560,1,0)</f>
        <v>7732000000</v>
      </c>
      <c r="I543" s="839"/>
      <c r="J543" s="839"/>
    </row>
    <row r="544" spans="1:10" hidden="1">
      <c r="A544" s="865"/>
      <c r="B544" s="1168">
        <v>7732000007</v>
      </c>
      <c r="C544" s="899" t="s">
        <v>3324</v>
      </c>
      <c r="D544" s="1178">
        <f>+IFERROR(VLOOKUP(B544,'Balance Local'!$B$8:$D$564,3,0),0)</f>
        <v>0</v>
      </c>
      <c r="E544" s="1168">
        <v>5312200</v>
      </c>
      <c r="F544" s="1168" t="s">
        <v>604</v>
      </c>
      <c r="G544" s="1178">
        <f t="shared" si="8"/>
        <v>0</v>
      </c>
      <c r="H544" s="865">
        <f>+VLOOKUP(B544,'Balance Local'!$B$8:$B$560,1,0)</f>
        <v>7732000007</v>
      </c>
      <c r="I544" s="839"/>
      <c r="J544" s="839"/>
    </row>
    <row r="545" spans="1:10" hidden="1">
      <c r="A545" s="865"/>
      <c r="B545" s="1168">
        <v>7732000014</v>
      </c>
      <c r="C545" s="899" t="s">
        <v>3325</v>
      </c>
      <c r="D545" s="1178">
        <f>+IFERROR(VLOOKUP(B545,'Balance Local'!$B$8:$D$564,3,0),0)</f>
        <v>0</v>
      </c>
      <c r="E545" s="1168">
        <v>5312200</v>
      </c>
      <c r="F545" s="1168" t="s">
        <v>604</v>
      </c>
      <c r="G545" s="1178">
        <f t="shared" si="8"/>
        <v>0</v>
      </c>
      <c r="H545" s="865">
        <f>+VLOOKUP(B545,'Balance Local'!$B$8:$B$560,1,0)</f>
        <v>7732000014</v>
      </c>
      <c r="I545" s="839"/>
      <c r="J545" s="839"/>
    </row>
    <row r="546" spans="1:10" hidden="1">
      <c r="A546" s="865"/>
      <c r="B546" s="1168">
        <v>7732000030</v>
      </c>
      <c r="C546" s="902" t="s">
        <v>3326</v>
      </c>
      <c r="D546" s="1178">
        <f>+IFERROR(VLOOKUP(B546,'Balance Local'!$B$8:$D$564,3,0),0)</f>
        <v>0</v>
      </c>
      <c r="E546" s="1168">
        <v>5312200</v>
      </c>
      <c r="F546" s="1168" t="s">
        <v>604</v>
      </c>
      <c r="G546" s="1178">
        <f t="shared" si="8"/>
        <v>0</v>
      </c>
      <c r="H546" s="865">
        <f>+VLOOKUP(B546,'Balance Local'!$B$8:$B$560,1,0)</f>
        <v>7732000030</v>
      </c>
      <c r="I546" s="839"/>
      <c r="J546" s="839"/>
    </row>
    <row r="547" spans="1:10" hidden="1">
      <c r="B547" s="1168">
        <v>7732000037</v>
      </c>
      <c r="C547" s="902" t="s">
        <v>3327</v>
      </c>
      <c r="D547" s="1178">
        <f>+IFERROR(VLOOKUP(B547,'Balance Local'!$B$8:$D$564,3,0),0)</f>
        <v>1215410</v>
      </c>
      <c r="E547" s="1168">
        <v>5312200</v>
      </c>
      <c r="F547" s="1168" t="s">
        <v>604</v>
      </c>
      <c r="G547" s="1178">
        <f t="shared" si="8"/>
        <v>1215410</v>
      </c>
      <c r="H547" s="865">
        <f>+VLOOKUP(B547,'Balance Local'!$B$8:$B$560,1,0)</f>
        <v>7732000037</v>
      </c>
      <c r="I547" s="839"/>
      <c r="J547" s="839"/>
    </row>
    <row r="548" spans="1:10" hidden="1">
      <c r="A548" s="865"/>
      <c r="B548" s="1168">
        <v>7732000050</v>
      </c>
      <c r="C548" s="902" t="s">
        <v>3328</v>
      </c>
      <c r="D548" s="1178">
        <f>+IFERROR(VLOOKUP(B548,'Balance Local'!$B$8:$D$564,3,0),0)</f>
        <v>1540746</v>
      </c>
      <c r="E548" s="1168">
        <v>5312200</v>
      </c>
      <c r="F548" s="1168" t="s">
        <v>604</v>
      </c>
      <c r="G548" s="1178">
        <f t="shared" si="8"/>
        <v>1540746</v>
      </c>
      <c r="H548" s="865">
        <f>+VLOOKUP(B548,'Balance Local'!$B$8:$B$560,1,0)</f>
        <v>7732000050</v>
      </c>
      <c r="I548" s="839"/>
      <c r="J548" s="839"/>
    </row>
    <row r="549" spans="1:10" hidden="1">
      <c r="A549" s="865"/>
      <c r="B549" s="1168">
        <v>7732000052</v>
      </c>
      <c r="C549" s="902" t="s">
        <v>3329</v>
      </c>
      <c r="D549" s="1178">
        <f>+IFERROR(VLOOKUP(B549,'Balance Local'!$B$8:$D$564,3,0),0)</f>
        <v>0</v>
      </c>
      <c r="E549" s="1168">
        <v>5312200</v>
      </c>
      <c r="F549" s="1168" t="s">
        <v>604</v>
      </c>
      <c r="G549" s="1178">
        <f t="shared" si="8"/>
        <v>0</v>
      </c>
      <c r="H549" s="865">
        <f>+VLOOKUP(B549,'Balance Local'!$B$8:$B$560,1,0)</f>
        <v>7732000052</v>
      </c>
      <c r="I549" s="839"/>
      <c r="J549" s="839"/>
    </row>
    <row r="550" spans="1:10" hidden="1">
      <c r="B550" s="1168">
        <v>7732000053</v>
      </c>
      <c r="C550" s="902" t="s">
        <v>3330</v>
      </c>
      <c r="D550" s="1178">
        <f>+IFERROR(VLOOKUP(B550,'Balance Local'!$B$8:$D$564,3,0),0)</f>
        <v>3290105</v>
      </c>
      <c r="E550" s="1168">
        <v>5312100</v>
      </c>
      <c r="F550" s="1168" t="s">
        <v>594</v>
      </c>
      <c r="G550" s="1178">
        <f t="shared" si="8"/>
        <v>3290105</v>
      </c>
      <c r="H550" s="865">
        <f>+VLOOKUP(B550,'Balance Local'!$B$8:$B$560,1,0)</f>
        <v>7732000053</v>
      </c>
      <c r="I550" s="839"/>
      <c r="J550" s="839"/>
    </row>
    <row r="551" spans="1:10" hidden="1">
      <c r="B551" s="844">
        <v>7732000054</v>
      </c>
      <c r="C551" s="867" t="s">
        <v>3753</v>
      </c>
      <c r="D551" s="1178">
        <f>+IFERROR(VLOOKUP(B551,'Balance Local'!$B$8:$D$564,3,0),0)</f>
        <v>1620000</v>
      </c>
      <c r="E551" s="1168">
        <v>5312200</v>
      </c>
      <c r="F551" s="1168" t="s">
        <v>604</v>
      </c>
      <c r="G551" s="1178">
        <f t="shared" si="8"/>
        <v>1620000</v>
      </c>
      <c r="H551" s="865">
        <f>+VLOOKUP(B551,'Balance Local'!$B$8:$B$560,1,0)</f>
        <v>7732000054</v>
      </c>
      <c r="I551" s="839"/>
    </row>
    <row r="552" spans="1:10" hidden="1">
      <c r="A552" s="869"/>
      <c r="B552" s="1168">
        <v>7732003007</v>
      </c>
      <c r="C552" s="902" t="s">
        <v>3331</v>
      </c>
      <c r="D552" s="1178">
        <f>+IFERROR(VLOOKUP(B552,'Balance Local'!$B$8:$D$564,3,0),0)</f>
        <v>86110493</v>
      </c>
      <c r="E552" s="1168">
        <v>5312200</v>
      </c>
      <c r="F552" s="1168" t="s">
        <v>604</v>
      </c>
      <c r="G552" s="1178">
        <f t="shared" si="8"/>
        <v>86110493</v>
      </c>
      <c r="H552" s="865">
        <f>+VLOOKUP(B552,'Balance Local'!$B$8:$B$560,1,0)</f>
        <v>7732003007</v>
      </c>
      <c r="I552" s="839"/>
      <c r="J552" s="839"/>
    </row>
    <row r="553" spans="1:10" hidden="1">
      <c r="A553" s="869"/>
      <c r="B553" s="1168">
        <v>7732005004</v>
      </c>
      <c r="C553" s="902" t="s">
        <v>3332</v>
      </c>
      <c r="D553" s="1178">
        <f>+IFERROR(VLOOKUP(B553,'Balance Local'!$B$8:$D$564,3,0),0)</f>
        <v>109500</v>
      </c>
      <c r="E553" s="1168">
        <v>5312200</v>
      </c>
      <c r="F553" s="1168" t="s">
        <v>604</v>
      </c>
      <c r="G553" s="1178">
        <f t="shared" si="8"/>
        <v>109500</v>
      </c>
      <c r="H553" s="865">
        <f>+VLOOKUP(B553,'Balance Local'!$B$8:$B$560,1,0)</f>
        <v>7732005004</v>
      </c>
      <c r="I553" s="839"/>
      <c r="J553" s="839"/>
    </row>
    <row r="554" spans="1:10" hidden="1">
      <c r="A554" s="869"/>
      <c r="B554" s="1168">
        <v>7732005006</v>
      </c>
      <c r="C554" s="902" t="s">
        <v>3333</v>
      </c>
      <c r="D554" s="1178">
        <f>+IFERROR(VLOOKUP(B554,'Balance Local'!$B$8:$D$564,3,0),0)</f>
        <v>0</v>
      </c>
      <c r="E554" s="1168">
        <v>5312200</v>
      </c>
      <c r="F554" s="1168" t="s">
        <v>604</v>
      </c>
      <c r="G554" s="1178">
        <f t="shared" si="8"/>
        <v>0</v>
      </c>
      <c r="H554" s="865">
        <f>+VLOOKUP(B554,'Balance Local'!$B$8:$B$560,1,0)</f>
        <v>7732005006</v>
      </c>
      <c r="I554" s="839"/>
      <c r="J554" s="839"/>
    </row>
    <row r="555" spans="1:10" hidden="1">
      <c r="A555" s="869"/>
      <c r="B555" s="1168">
        <v>7732005010</v>
      </c>
      <c r="C555" s="902" t="s">
        <v>3334</v>
      </c>
      <c r="D555" s="1178">
        <f>+IFERROR(VLOOKUP(B555,'Balance Local'!$B$8:$D$564,3,0),0)</f>
        <v>2230565</v>
      </c>
      <c r="E555" s="1168">
        <v>5312200</v>
      </c>
      <c r="F555" s="1168" t="s">
        <v>604</v>
      </c>
      <c r="G555" s="1178">
        <f t="shared" si="8"/>
        <v>2230565</v>
      </c>
      <c r="H555" s="865">
        <f>+VLOOKUP(B555,'Balance Local'!$B$8:$B$560,1,0)</f>
        <v>7732005010</v>
      </c>
      <c r="I555" s="839"/>
      <c r="J555" s="839"/>
    </row>
    <row r="556" spans="1:10" hidden="1">
      <c r="A556" s="869"/>
      <c r="B556" s="1168">
        <v>7732005011</v>
      </c>
      <c r="C556" s="902" t="s">
        <v>3335</v>
      </c>
      <c r="D556" s="1178">
        <f>+IFERROR(VLOOKUP(B556,'Balance Local'!$B$8:$D$564,3,0),0)</f>
        <v>3209803</v>
      </c>
      <c r="E556" s="1168">
        <v>5312200</v>
      </c>
      <c r="F556" s="1168" t="s">
        <v>604</v>
      </c>
      <c r="G556" s="1178">
        <f t="shared" si="8"/>
        <v>3209803</v>
      </c>
      <c r="H556" s="865">
        <f>+VLOOKUP(B556,'Balance Local'!$B$8:$B$560,1,0)</f>
        <v>7732005011</v>
      </c>
      <c r="I556" s="839"/>
      <c r="J556" s="839"/>
    </row>
    <row r="557" spans="1:10" hidden="1">
      <c r="A557" s="869"/>
      <c r="B557" s="1168">
        <v>7732005016</v>
      </c>
      <c r="C557" s="902" t="s">
        <v>3336</v>
      </c>
      <c r="D557" s="1178">
        <f>+IFERROR(VLOOKUP(B557,'Balance Local'!$B$8:$D$564,3,0),0)</f>
        <v>26261424</v>
      </c>
      <c r="E557" s="1168">
        <v>5312200</v>
      </c>
      <c r="F557" s="1168" t="s">
        <v>604</v>
      </c>
      <c r="G557" s="1178">
        <f t="shared" si="8"/>
        <v>26261424</v>
      </c>
      <c r="H557" s="865">
        <f>+VLOOKUP(B557,'Balance Local'!$B$8:$B$560,1,0)</f>
        <v>7732005016</v>
      </c>
      <c r="I557" s="839"/>
      <c r="J557" s="839"/>
    </row>
    <row r="558" spans="1:10" hidden="1">
      <c r="A558" s="869"/>
      <c r="B558" s="1168">
        <v>7732005028</v>
      </c>
      <c r="C558" s="902" t="s">
        <v>3337</v>
      </c>
      <c r="D558" s="1178">
        <f>+IFERROR(VLOOKUP(B558,'Balance Local'!$B$8:$D$564,3,0),0)</f>
        <v>0</v>
      </c>
      <c r="E558" s="1168">
        <v>5312200</v>
      </c>
      <c r="F558" s="1168" t="s">
        <v>604</v>
      </c>
      <c r="G558" s="1178">
        <f t="shared" si="8"/>
        <v>0</v>
      </c>
      <c r="H558" s="865">
        <f>+VLOOKUP(B558,'Balance Local'!$B$8:$B$560,1,0)</f>
        <v>7732005028</v>
      </c>
      <c r="I558" s="839"/>
      <c r="J558" s="839"/>
    </row>
    <row r="559" spans="1:10" hidden="1">
      <c r="A559" s="869"/>
      <c r="B559" s="1168">
        <v>7732100000</v>
      </c>
      <c r="C559" s="902" t="s">
        <v>3338</v>
      </c>
      <c r="D559" s="1178">
        <f>+IFERROR(VLOOKUP(B559,'Balance Local'!$B$8:$D$564,3,0),0)</f>
        <v>0</v>
      </c>
      <c r="E559" s="1168">
        <v>5312200</v>
      </c>
      <c r="F559" s="1168" t="s">
        <v>604</v>
      </c>
      <c r="G559" s="1178">
        <f t="shared" si="8"/>
        <v>0</v>
      </c>
      <c r="H559" s="865">
        <f>+VLOOKUP(B559,'Balance Local'!$B$8:$B$560,1,0)</f>
        <v>7732100000</v>
      </c>
      <c r="I559" s="839"/>
      <c r="J559" s="839"/>
    </row>
    <row r="560" spans="1:10" hidden="1">
      <c r="A560" s="869"/>
      <c r="B560" s="1168">
        <v>7735000000</v>
      </c>
      <c r="C560" s="902" t="s">
        <v>3339</v>
      </c>
      <c r="D560" s="1178">
        <f>+IFERROR(VLOOKUP(B560,'Balance Local'!$B$8:$D$564,3,0),0)</f>
        <v>435177575</v>
      </c>
      <c r="E560" s="1168">
        <v>5312200</v>
      </c>
      <c r="F560" s="1168" t="s">
        <v>604</v>
      </c>
      <c r="G560" s="1178">
        <f t="shared" si="8"/>
        <v>435177575</v>
      </c>
      <c r="H560" s="865">
        <f>+VLOOKUP(B560,'Balance Local'!$B$8:$B$560,1,0)</f>
        <v>7735000000</v>
      </c>
      <c r="I560" s="839"/>
      <c r="J560" s="839"/>
    </row>
    <row r="561" spans="1:10" hidden="1">
      <c r="A561" s="869"/>
      <c r="B561" s="1168">
        <v>7737005000</v>
      </c>
      <c r="C561" s="902" t="s">
        <v>3340</v>
      </c>
      <c r="D561" s="1178">
        <f>+IFERROR(VLOOKUP(B561,'Balance Local'!$B$8:$D$564,3,0),0)</f>
        <v>0</v>
      </c>
      <c r="E561" s="1168">
        <v>5312200</v>
      </c>
      <c r="F561" s="1168" t="s">
        <v>604</v>
      </c>
      <c r="G561" s="1178">
        <f t="shared" si="8"/>
        <v>0</v>
      </c>
      <c r="H561" s="865">
        <f>+VLOOKUP(B561,'Balance Local'!$B$8:$B$560,1,0)</f>
        <v>7737005000</v>
      </c>
      <c r="I561" s="839"/>
      <c r="J561" s="839"/>
    </row>
    <row r="562" spans="1:10" hidden="1">
      <c r="A562" s="869"/>
      <c r="B562" s="1168">
        <v>7800000003</v>
      </c>
      <c r="C562" s="902" t="s">
        <v>3341</v>
      </c>
      <c r="D562" s="1178">
        <f>+IFERROR(VLOOKUP(B562,'Balance Local'!$B$8:$D$564,3,0),0)</f>
        <v>0</v>
      </c>
      <c r="E562" s="1168">
        <v>5312200</v>
      </c>
      <c r="F562" s="1168" t="s">
        <v>604</v>
      </c>
      <c r="G562" s="1178">
        <f t="shared" si="8"/>
        <v>0</v>
      </c>
      <c r="H562" s="865">
        <f>+VLOOKUP(B562,'Balance Local'!$B$8:$B$560,1,0)</f>
        <v>7800000003</v>
      </c>
      <c r="I562" s="839"/>
      <c r="J562" s="839"/>
    </row>
    <row r="563" spans="1:10" hidden="1">
      <c r="A563" s="869"/>
      <c r="B563" s="1168">
        <v>7801000000</v>
      </c>
      <c r="C563" s="902" t="s">
        <v>3342</v>
      </c>
      <c r="D563" s="1178">
        <f>+IFERROR(VLOOKUP(B563,'Balance Local'!$B$8:$D$564,3,0),0)</f>
        <v>1740586</v>
      </c>
      <c r="E563" s="1168">
        <v>5312200</v>
      </c>
      <c r="F563" s="1168" t="s">
        <v>604</v>
      </c>
      <c r="G563" s="1178">
        <f t="shared" si="8"/>
        <v>1740586</v>
      </c>
      <c r="H563" s="865">
        <f>+VLOOKUP(B563,'Balance Local'!$B$8:$B$560,1,0)</f>
        <v>7801000000</v>
      </c>
      <c r="I563" s="839"/>
      <c r="J563" s="839"/>
    </row>
    <row r="564" spans="1:10" hidden="1">
      <c r="B564" s="1168">
        <v>7801100001</v>
      </c>
      <c r="C564" s="902" t="s">
        <v>3343</v>
      </c>
      <c r="D564" s="1178">
        <f>+IFERROR(VLOOKUP(B564,'Balance Local'!$B$8:$D$564,3,0),0)</f>
        <v>1816669</v>
      </c>
      <c r="E564" s="1168">
        <v>5312200</v>
      </c>
      <c r="F564" s="1168" t="s">
        <v>604</v>
      </c>
      <c r="G564" s="1178">
        <f t="shared" si="8"/>
        <v>1816669</v>
      </c>
      <c r="H564" s="865">
        <f>+VLOOKUP(B564,'Balance Local'!$B$8:$B$560,1,0)</f>
        <v>7801100001</v>
      </c>
      <c r="I564" s="839"/>
      <c r="J564" s="839"/>
    </row>
    <row r="565" spans="1:10" hidden="1">
      <c r="A565" s="869"/>
      <c r="B565" s="1168">
        <v>7801200004</v>
      </c>
      <c r="C565" s="902" t="s">
        <v>3344</v>
      </c>
      <c r="D565" s="1178">
        <f>+IFERROR(VLOOKUP(B565,'Balance Local'!$B$8:$D$564,3,0),0)</f>
        <v>83287997</v>
      </c>
      <c r="E565" s="1168">
        <v>5313340</v>
      </c>
      <c r="F565" s="1168" t="s">
        <v>3483</v>
      </c>
      <c r="G565" s="1178">
        <f t="shared" si="8"/>
        <v>83287997</v>
      </c>
      <c r="H565" s="865">
        <f>+VLOOKUP(B565,'Balance Local'!$B$8:$B$560,1,0)</f>
        <v>7801200004</v>
      </c>
      <c r="I565" s="839"/>
      <c r="J565" s="839"/>
    </row>
    <row r="566" spans="1:10" hidden="1">
      <c r="A566" s="869"/>
      <c r="B566" s="1168">
        <v>7801200047</v>
      </c>
      <c r="C566" s="902" t="s">
        <v>3345</v>
      </c>
      <c r="D566" s="1178">
        <f>+IFERROR(VLOOKUP(B566,'Balance Local'!$B$8:$D$564,3,0),0)</f>
        <v>40968373</v>
      </c>
      <c r="E566" s="1168">
        <v>5313340</v>
      </c>
      <c r="F566" s="1168" t="s">
        <v>3483</v>
      </c>
      <c r="G566" s="1178">
        <f t="shared" si="8"/>
        <v>40968373</v>
      </c>
      <c r="H566" s="865">
        <f>+VLOOKUP(B566,'Balance Local'!$B$8:$B$560,1,0)</f>
        <v>7801200047</v>
      </c>
      <c r="I566" s="839"/>
      <c r="J566" s="839"/>
    </row>
    <row r="567" spans="1:10" hidden="1">
      <c r="A567" s="869"/>
      <c r="B567" s="1168">
        <v>7801300002</v>
      </c>
      <c r="C567" s="902" t="s">
        <v>3346</v>
      </c>
      <c r="D567" s="1178">
        <f>+IFERROR(VLOOKUP(B567,'Balance Local'!$B$8:$D$564,3,0),0)</f>
        <v>28431631</v>
      </c>
      <c r="E567" s="1168">
        <v>5315200</v>
      </c>
      <c r="F567" s="1168" t="s">
        <v>604</v>
      </c>
      <c r="G567" s="1178">
        <f t="shared" si="8"/>
        <v>28431631</v>
      </c>
      <c r="H567" s="865">
        <f>+VLOOKUP(B567,'Balance Local'!$B$8:$B$560,1,0)</f>
        <v>7801300002</v>
      </c>
      <c r="I567" s="839"/>
      <c r="J567" s="839"/>
    </row>
    <row r="568" spans="1:10" hidden="1">
      <c r="A568" s="869"/>
      <c r="B568" s="1168">
        <v>7804000005</v>
      </c>
      <c r="C568" s="902" t="s">
        <v>3347</v>
      </c>
      <c r="D568" s="1178">
        <f>+IFERROR(VLOOKUP(B568,'Balance Local'!$B$8:$D$564,3,0),0)</f>
        <v>17014254</v>
      </c>
      <c r="E568" s="1168">
        <v>5312200</v>
      </c>
      <c r="F568" s="1168" t="s">
        <v>604</v>
      </c>
      <c r="G568" s="1178">
        <f t="shared" si="8"/>
        <v>17014254</v>
      </c>
      <c r="H568" s="865">
        <f>+VLOOKUP(B568,'Balance Local'!$B$8:$B$560,1,0)</f>
        <v>7804000005</v>
      </c>
      <c r="I568" s="839"/>
      <c r="J568" s="839"/>
    </row>
    <row r="569" spans="1:10" hidden="1">
      <c r="A569" s="869"/>
      <c r="B569" s="1168">
        <v>7804000006</v>
      </c>
      <c r="C569" s="902" t="s">
        <v>3348</v>
      </c>
      <c r="D569" s="1178">
        <f>+IFERROR(VLOOKUP(B569,'Balance Local'!$B$8:$D$564,3,0),0)</f>
        <v>218764818</v>
      </c>
      <c r="E569" s="1168">
        <v>5312200</v>
      </c>
      <c r="F569" s="1168" t="s">
        <v>604</v>
      </c>
      <c r="G569" s="1178">
        <f t="shared" si="8"/>
        <v>218764818</v>
      </c>
      <c r="H569" s="865">
        <f>+VLOOKUP(B569,'Balance Local'!$B$8:$B$560,1,0)</f>
        <v>7804000006</v>
      </c>
      <c r="I569" s="839"/>
      <c r="J569" s="839"/>
    </row>
    <row r="570" spans="1:10" hidden="1">
      <c r="A570" s="869"/>
      <c r="B570" s="1168">
        <v>7804000008</v>
      </c>
      <c r="C570" s="902" t="s">
        <v>3349</v>
      </c>
      <c r="D570" s="1178">
        <f>+IFERROR(VLOOKUP(B570,'Balance Local'!$B$8:$D$564,3,0),0)</f>
        <v>66957745</v>
      </c>
      <c r="E570" s="1168">
        <v>5315200</v>
      </c>
      <c r="F570" s="1168" t="s">
        <v>604</v>
      </c>
      <c r="G570" s="1178">
        <f t="shared" si="8"/>
        <v>66957745</v>
      </c>
      <c r="H570" s="865">
        <f>+VLOOKUP(B570,'Balance Local'!$B$8:$B$560,1,0)</f>
        <v>7804000008</v>
      </c>
      <c r="I570" s="839"/>
      <c r="J570" s="839"/>
    </row>
    <row r="571" spans="1:10" hidden="1">
      <c r="A571" s="869"/>
      <c r="B571" s="1168">
        <v>7804000019</v>
      </c>
      <c r="C571" s="902" t="s">
        <v>3350</v>
      </c>
      <c r="D571" s="1178">
        <f>+IFERROR(VLOOKUP(B571,'Balance Local'!$B$8:$D$564,3,0),0)</f>
        <v>16241190</v>
      </c>
      <c r="E571" s="1168">
        <v>5315200</v>
      </c>
      <c r="F571" s="1168" t="s">
        <v>604</v>
      </c>
      <c r="G571" s="1178">
        <f t="shared" si="8"/>
        <v>16241190</v>
      </c>
      <c r="H571" s="865">
        <f>+VLOOKUP(B571,'Balance Local'!$B$8:$B$560,1,0)</f>
        <v>7804000019</v>
      </c>
      <c r="I571" s="839"/>
      <c r="J571" s="839"/>
    </row>
    <row r="572" spans="1:10" hidden="1">
      <c r="B572" s="844">
        <v>7804000025</v>
      </c>
      <c r="C572" s="867" t="s">
        <v>3754</v>
      </c>
      <c r="D572" s="1178">
        <f>+IFERROR(VLOOKUP(B572,'Balance Local'!$B$8:$D$564,3,0),0)</f>
        <v>242944709</v>
      </c>
      <c r="E572" s="1168">
        <v>5312200</v>
      </c>
      <c r="F572" s="1168" t="s">
        <v>604</v>
      </c>
      <c r="G572" s="1178">
        <f t="shared" si="8"/>
        <v>242944709</v>
      </c>
      <c r="H572" s="865">
        <f>+VLOOKUP(B572,'Balance Local'!$B$8:$B$560,1,0)</f>
        <v>7804000025</v>
      </c>
      <c r="I572" s="839"/>
    </row>
    <row r="573" spans="1:10" hidden="1">
      <c r="A573" s="869"/>
      <c r="B573" s="1168">
        <v>7834000000</v>
      </c>
      <c r="C573" s="902" t="s">
        <v>3351</v>
      </c>
      <c r="D573" s="1178">
        <f>+IFERROR(VLOOKUP(B573,'Balance Local'!$B$8:$D$564,3,0),0)</f>
        <v>105786846</v>
      </c>
      <c r="E573" s="1168">
        <v>5312200</v>
      </c>
      <c r="F573" s="1168" t="s">
        <v>604</v>
      </c>
      <c r="G573" s="1178">
        <f t="shared" si="8"/>
        <v>105786846</v>
      </c>
      <c r="H573" s="865">
        <f>+VLOOKUP(B573,'Balance Local'!$B$8:$B$560,1,0)</f>
        <v>7834000000</v>
      </c>
      <c r="I573" s="839"/>
      <c r="J573" s="839"/>
    </row>
    <row r="574" spans="1:10" hidden="1">
      <c r="A574" s="869"/>
      <c r="B574" s="1168">
        <v>7850000008</v>
      </c>
      <c r="C574" s="902" t="s">
        <v>3485</v>
      </c>
      <c r="D574" s="1178">
        <f>+IFERROR(VLOOKUP(B574,'Balance Local'!$B$8:$D$564,3,0),0)</f>
        <v>0</v>
      </c>
      <c r="E574" s="1168">
        <v>5312200</v>
      </c>
      <c r="F574" s="1168" t="s">
        <v>604</v>
      </c>
      <c r="G574" s="1178">
        <f t="shared" si="8"/>
        <v>0</v>
      </c>
      <c r="H574" s="865" t="e">
        <f>+VLOOKUP(B574,'Balance Local'!$B$8:$B$560,1,0)</f>
        <v>#N/A</v>
      </c>
      <c r="I574" s="839"/>
      <c r="J574" s="839"/>
    </row>
    <row r="575" spans="1:10" hidden="1">
      <c r="A575" s="869"/>
      <c r="B575" s="1168">
        <v>7861020000</v>
      </c>
      <c r="C575" s="902" t="s">
        <v>3352</v>
      </c>
      <c r="D575" s="1178">
        <f>+IFERROR(VLOOKUP(B575,'Balance Local'!$B$8:$D$564,3,0),0)</f>
        <v>0</v>
      </c>
      <c r="E575" s="1168">
        <v>5312100</v>
      </c>
      <c r="F575" s="1168" t="s">
        <v>594</v>
      </c>
      <c r="G575" s="1178">
        <f t="shared" si="8"/>
        <v>0</v>
      </c>
      <c r="H575" s="865">
        <f>+VLOOKUP(B575,'Balance Local'!$B$8:$B$560,1,0)</f>
        <v>7861020000</v>
      </c>
      <c r="I575" s="839"/>
      <c r="J575" s="839"/>
    </row>
    <row r="576" spans="1:10" hidden="1">
      <c r="A576" s="869"/>
      <c r="B576" s="1168">
        <v>7861080000</v>
      </c>
      <c r="C576" s="902" t="s">
        <v>3353</v>
      </c>
      <c r="D576" s="1178">
        <f>+IFERROR(VLOOKUP(B576,'Balance Local'!$B$8:$D$564,3,0),0)</f>
        <v>6403106</v>
      </c>
      <c r="E576" s="1168">
        <v>5312100</v>
      </c>
      <c r="F576" s="1168" t="s">
        <v>594</v>
      </c>
      <c r="G576" s="1178">
        <f t="shared" si="8"/>
        <v>6403106</v>
      </c>
      <c r="H576" s="865">
        <f>+VLOOKUP(B576,'Balance Local'!$B$8:$B$560,1,0)</f>
        <v>7861080000</v>
      </c>
      <c r="I576" s="839"/>
      <c r="J576" s="839"/>
    </row>
    <row r="577" spans="1:10" hidden="1">
      <c r="A577" s="869"/>
      <c r="B577" s="1168">
        <v>7861091000</v>
      </c>
      <c r="C577" s="902" t="s">
        <v>3354</v>
      </c>
      <c r="D577" s="1178">
        <f>+IFERROR(VLOOKUP(B577,'Balance Local'!$B$8:$D$564,3,0),0)</f>
        <v>151811299</v>
      </c>
      <c r="E577" s="1168">
        <v>5312100</v>
      </c>
      <c r="F577" s="1168" t="s">
        <v>594</v>
      </c>
      <c r="G577" s="1178">
        <f t="shared" si="8"/>
        <v>151811299</v>
      </c>
      <c r="H577" s="865">
        <f>+VLOOKUP(B577,'Balance Local'!$B$8:$B$560,1,0)</f>
        <v>7861091000</v>
      </c>
      <c r="I577" s="839"/>
      <c r="J577" s="839"/>
    </row>
    <row r="578" spans="1:10" hidden="1">
      <c r="A578" s="869"/>
      <c r="B578" s="1168">
        <v>7861092000</v>
      </c>
      <c r="C578" s="902" t="s">
        <v>3355</v>
      </c>
      <c r="D578" s="1178">
        <f>+IFERROR(VLOOKUP(B578,'Balance Local'!$B$8:$D$564,3,0),0)</f>
        <v>-48573528</v>
      </c>
      <c r="E578" s="1168">
        <v>5312100</v>
      </c>
      <c r="F578" s="1168" t="s">
        <v>594</v>
      </c>
      <c r="G578" s="1178">
        <f t="shared" si="8"/>
        <v>-48573528</v>
      </c>
      <c r="H578" s="865">
        <f>+VLOOKUP(B578,'Balance Local'!$B$8:$B$560,1,0)</f>
        <v>7861092000</v>
      </c>
      <c r="I578" s="839"/>
      <c r="J578" s="839"/>
    </row>
    <row r="579" spans="1:10" hidden="1">
      <c r="A579" s="869"/>
      <c r="B579" s="1168">
        <v>7861100000</v>
      </c>
      <c r="C579" s="902" t="s">
        <v>3356</v>
      </c>
      <c r="D579" s="1178">
        <f>+IFERROR(VLOOKUP(B579,'Balance Local'!$B$8:$D$564,3,0),0)</f>
        <v>30229349</v>
      </c>
      <c r="E579" s="1168">
        <v>5312200</v>
      </c>
      <c r="F579" s="1168" t="s">
        <v>604</v>
      </c>
      <c r="G579" s="1178">
        <f t="shared" si="8"/>
        <v>30229349</v>
      </c>
      <c r="H579" s="865">
        <f>+VLOOKUP(B579,'Balance Local'!$B$8:$B$560,1,0)</f>
        <v>7861100000</v>
      </c>
      <c r="I579" s="839"/>
      <c r="J579" s="839"/>
    </row>
    <row r="580" spans="1:10" hidden="1">
      <c r="A580" s="869"/>
      <c r="B580" s="1168">
        <v>7861110000</v>
      </c>
      <c r="C580" s="902" t="s">
        <v>3357</v>
      </c>
      <c r="D580" s="1178">
        <f>+IFERROR(VLOOKUP(B580,'Balance Local'!$B$8:$D$564,3,0),0)</f>
        <v>675000</v>
      </c>
      <c r="E580" s="1168">
        <v>5312200</v>
      </c>
      <c r="F580" s="1168" t="s">
        <v>604</v>
      </c>
      <c r="G580" s="1178">
        <f t="shared" si="8"/>
        <v>675000</v>
      </c>
      <c r="H580" s="865">
        <f>+VLOOKUP(B580,'Balance Local'!$B$8:$B$560,1,0)</f>
        <v>7861110000</v>
      </c>
      <c r="I580" s="839"/>
      <c r="J580" s="839"/>
    </row>
    <row r="581" spans="1:10" hidden="1">
      <c r="B581" s="1168">
        <v>7861140001</v>
      </c>
      <c r="C581" s="902" t="s">
        <v>3358</v>
      </c>
      <c r="D581" s="1178">
        <f>+IFERROR(VLOOKUP(B581,'Balance Local'!$B$8:$D$564,3,0),0)</f>
        <v>0</v>
      </c>
      <c r="E581" s="1168">
        <v>5312200</v>
      </c>
      <c r="F581" s="1168" t="s">
        <v>604</v>
      </c>
      <c r="G581" s="1178">
        <f t="shared" si="8"/>
        <v>0</v>
      </c>
      <c r="H581" s="865">
        <f>+VLOOKUP(B581,'Balance Local'!$B$8:$B$560,1,0)</f>
        <v>7861140001</v>
      </c>
      <c r="I581" s="839"/>
      <c r="J581" s="839"/>
    </row>
    <row r="582" spans="1:10" hidden="1">
      <c r="A582" s="869"/>
      <c r="B582" s="1168">
        <v>7861150110</v>
      </c>
      <c r="C582" s="902" t="s">
        <v>3359</v>
      </c>
      <c r="D582" s="1178">
        <f>+IFERROR(VLOOKUP(B582,'Balance Local'!$B$8:$D$564,3,0),0)</f>
        <v>103147913</v>
      </c>
      <c r="E582" s="1168">
        <v>5312200</v>
      </c>
      <c r="F582" s="1168" t="s">
        <v>604</v>
      </c>
      <c r="G582" s="1178">
        <f t="shared" si="8"/>
        <v>103147913</v>
      </c>
      <c r="H582" s="865">
        <f>+VLOOKUP(B582,'Balance Local'!$B$8:$B$560,1,0)</f>
        <v>7861150110</v>
      </c>
      <c r="I582" s="839"/>
      <c r="J582" s="839"/>
    </row>
    <row r="583" spans="1:10" hidden="1">
      <c r="A583" s="869"/>
      <c r="B583" s="1168">
        <v>7861150410</v>
      </c>
      <c r="C583" s="902" t="s">
        <v>3360</v>
      </c>
      <c r="D583" s="1178">
        <f>+IFERROR(VLOOKUP(B583,'Balance Local'!$B$8:$D$564,3,0),0)</f>
        <v>437234861</v>
      </c>
      <c r="E583" s="1168">
        <v>5313330</v>
      </c>
      <c r="F583" s="1168" t="s">
        <v>3486</v>
      </c>
      <c r="G583" s="1178">
        <f t="shared" si="8"/>
        <v>437234861</v>
      </c>
      <c r="H583" s="865">
        <f>+VLOOKUP(B583,'Balance Local'!$B$8:$B$560,1,0)</f>
        <v>7861150410</v>
      </c>
      <c r="I583" s="839"/>
      <c r="J583" s="839"/>
    </row>
    <row r="584" spans="1:10" hidden="1">
      <c r="A584" s="869"/>
      <c r="B584" s="1168">
        <v>7861151110</v>
      </c>
      <c r="C584" s="902" t="s">
        <v>3361</v>
      </c>
      <c r="D584" s="1178">
        <f>+IFERROR(VLOOKUP(B584,'Balance Local'!$B$8:$D$564,3,0),0)</f>
        <v>102081813</v>
      </c>
      <c r="E584" s="1168">
        <v>5312200</v>
      </c>
      <c r="F584" s="1168" t="s">
        <v>604</v>
      </c>
      <c r="G584" s="1178">
        <f t="shared" si="8"/>
        <v>102081813</v>
      </c>
      <c r="H584" s="865">
        <f>+VLOOKUP(B584,'Balance Local'!$B$8:$B$560,1,0)</f>
        <v>7861151110</v>
      </c>
      <c r="I584" s="839"/>
      <c r="J584" s="839"/>
    </row>
    <row r="585" spans="1:10" hidden="1">
      <c r="B585" s="1168">
        <v>7861151210</v>
      </c>
      <c r="C585" s="902" t="s">
        <v>3362</v>
      </c>
      <c r="D585" s="1178">
        <f>+IFERROR(VLOOKUP(B585,'Balance Local'!$B$8:$D$564,3,0),0)</f>
        <v>540162</v>
      </c>
      <c r="E585" s="1168">
        <v>5312200</v>
      </c>
      <c r="F585" s="1168" t="s">
        <v>604</v>
      </c>
      <c r="G585" s="1178">
        <f t="shared" si="8"/>
        <v>540162</v>
      </c>
      <c r="H585" s="865">
        <f>+VLOOKUP(B585,'Balance Local'!$B$8:$B$560,1,0)</f>
        <v>7861151210</v>
      </c>
      <c r="I585" s="839"/>
      <c r="J585" s="839"/>
    </row>
    <row r="586" spans="1:10" hidden="1">
      <c r="B586" s="1168">
        <v>7861151350</v>
      </c>
      <c r="C586" s="902" t="s">
        <v>3363</v>
      </c>
      <c r="D586" s="1178">
        <f>+IFERROR(VLOOKUP(B586,'Balance Local'!$B$8:$D$564,3,0),0)</f>
        <v>19520055</v>
      </c>
      <c r="E586" s="1168">
        <v>5312200</v>
      </c>
      <c r="F586" s="1168" t="s">
        <v>604</v>
      </c>
      <c r="G586" s="1178">
        <f t="shared" ref="G586:G601" si="9">+D586</f>
        <v>19520055</v>
      </c>
      <c r="H586" s="865">
        <f>+VLOOKUP(B586,'Balance Local'!$B$8:$B$560,1,0)</f>
        <v>7861151350</v>
      </c>
      <c r="I586" s="839"/>
      <c r="J586" s="839"/>
    </row>
    <row r="587" spans="1:10" hidden="1">
      <c r="B587" s="1168">
        <v>7861151360</v>
      </c>
      <c r="C587" s="902" t="s">
        <v>3364</v>
      </c>
      <c r="D587" s="1178">
        <f>+IFERROR(VLOOKUP(B587,'Balance Local'!$B$8:$D$564,3,0),0)</f>
        <v>7625885</v>
      </c>
      <c r="E587" s="1168">
        <v>5312200</v>
      </c>
      <c r="F587" s="1168" t="s">
        <v>604</v>
      </c>
      <c r="G587" s="1178">
        <f t="shared" si="9"/>
        <v>7625885</v>
      </c>
      <c r="H587" s="865">
        <f>+VLOOKUP(B587,'Balance Local'!$B$8:$B$560,1,0)</f>
        <v>7861151360</v>
      </c>
      <c r="I587" s="839"/>
      <c r="J587" s="839"/>
    </row>
    <row r="588" spans="1:10" hidden="1">
      <c r="B588" s="1168">
        <v>7861151370</v>
      </c>
      <c r="C588" s="902" t="s">
        <v>3365</v>
      </c>
      <c r="D588" s="1178">
        <f>+IFERROR(VLOOKUP(B588,'Balance Local'!$B$8:$D$564,3,0),0)</f>
        <v>21298506</v>
      </c>
      <c r="E588" s="1168">
        <v>5312200</v>
      </c>
      <c r="F588" s="1168" t="s">
        <v>604</v>
      </c>
      <c r="G588" s="1178">
        <f t="shared" si="9"/>
        <v>21298506</v>
      </c>
      <c r="H588" s="865">
        <f>+VLOOKUP(B588,'Balance Local'!$B$8:$B$560,1,0)</f>
        <v>7861151370</v>
      </c>
      <c r="I588" s="839"/>
      <c r="J588" s="839"/>
    </row>
    <row r="589" spans="1:10" hidden="1">
      <c r="B589" s="1168">
        <v>7861151520</v>
      </c>
      <c r="C589" s="902" t="s">
        <v>3366</v>
      </c>
      <c r="D589" s="1178">
        <f>+IFERROR(VLOOKUP(B589,'Balance Local'!$B$8:$D$564,3,0),0)</f>
        <v>18438</v>
      </c>
      <c r="E589" s="1168">
        <v>5312200</v>
      </c>
      <c r="F589" s="1168" t="s">
        <v>604</v>
      </c>
      <c r="G589" s="1178">
        <f t="shared" si="9"/>
        <v>18438</v>
      </c>
      <c r="H589" s="865">
        <f>+VLOOKUP(B589,'Balance Local'!$B$8:$B$560,1,0)</f>
        <v>7861151520</v>
      </c>
      <c r="I589" s="839"/>
      <c r="J589" s="839"/>
    </row>
    <row r="590" spans="1:10" hidden="1">
      <c r="B590" s="1168">
        <v>7861161100</v>
      </c>
      <c r="C590" s="902" t="s">
        <v>3367</v>
      </c>
      <c r="D590" s="1178">
        <f>+IFERROR(VLOOKUP(B590,'Balance Local'!$B$8:$D$564,3,0),0)</f>
        <v>26697153</v>
      </c>
      <c r="E590" s="1168">
        <v>5312200</v>
      </c>
      <c r="F590" s="1168" t="s">
        <v>604</v>
      </c>
      <c r="G590" s="1178">
        <f t="shared" si="9"/>
        <v>26697153</v>
      </c>
      <c r="H590" s="865">
        <f>+VLOOKUP(B590,'Balance Local'!$B$8:$B$560,1,0)</f>
        <v>7861161100</v>
      </c>
      <c r="I590" s="839"/>
      <c r="J590" s="839"/>
    </row>
    <row r="591" spans="1:10" hidden="1">
      <c r="B591" s="1168">
        <v>9200100004</v>
      </c>
      <c r="C591" s="902" t="s">
        <v>3368</v>
      </c>
      <c r="D591" s="1178">
        <f>+IFERROR(VLOOKUP(B591,'Balance Local'!$B$8:$D$564,3,0),0)</f>
        <v>0</v>
      </c>
      <c r="E591" s="1168">
        <v>5153500</v>
      </c>
      <c r="F591" s="1168" t="s">
        <v>3415</v>
      </c>
      <c r="G591" s="1178">
        <f t="shared" si="9"/>
        <v>0</v>
      </c>
      <c r="H591" s="865">
        <f>+VLOOKUP(B591,'Balance Local'!$B$8:$B$560,1,0)</f>
        <v>9200100004</v>
      </c>
      <c r="I591" s="839"/>
      <c r="J591" s="839"/>
    </row>
    <row r="592" spans="1:10" hidden="1">
      <c r="B592" s="1168">
        <v>9200100011</v>
      </c>
      <c r="C592" s="902" t="s">
        <v>3369</v>
      </c>
      <c r="D592" s="1178">
        <f>+IFERROR(VLOOKUP(B592,'Balance Local'!$B$8:$D$564,3,0),0)</f>
        <v>0</v>
      </c>
      <c r="E592" s="1168">
        <v>5153500</v>
      </c>
      <c r="F592" s="1168" t="s">
        <v>3415</v>
      </c>
      <c r="G592" s="1178">
        <f t="shared" si="9"/>
        <v>0</v>
      </c>
      <c r="H592" s="865">
        <f>+VLOOKUP(B592,'Balance Local'!$B$8:$B$560,1,0)</f>
        <v>9200100011</v>
      </c>
      <c r="I592" s="839"/>
      <c r="J592" s="839"/>
    </row>
    <row r="593" spans="2:10" hidden="1">
      <c r="B593" s="1168">
        <v>9200100012</v>
      </c>
      <c r="C593" s="902" t="s">
        <v>3370</v>
      </c>
      <c r="D593" s="1178">
        <f>+IFERROR(VLOOKUP(B593,'Balance Local'!$B$8:$D$564,3,0),0)</f>
        <v>0</v>
      </c>
      <c r="E593" s="1168">
        <v>5153500</v>
      </c>
      <c r="F593" s="1168" t="s">
        <v>3415</v>
      </c>
      <c r="G593" s="1178">
        <f t="shared" si="9"/>
        <v>0</v>
      </c>
      <c r="H593" s="865">
        <f>+VLOOKUP(B593,'Balance Local'!$B$8:$B$560,1,0)</f>
        <v>9200100012</v>
      </c>
      <c r="I593" s="839"/>
      <c r="J593" s="839"/>
    </row>
    <row r="594" spans="2:10" hidden="1">
      <c r="B594" s="1168">
        <v>9200100019</v>
      </c>
      <c r="C594" s="902" t="s">
        <v>3371</v>
      </c>
      <c r="D594" s="1178">
        <f>+IFERROR(VLOOKUP(B594,'Balance Local'!$B$8:$D$564,3,0),0)</f>
        <v>0</v>
      </c>
      <c r="E594" s="1168">
        <v>5153500</v>
      </c>
      <c r="F594" s="1168" t="s">
        <v>3415</v>
      </c>
      <c r="G594" s="1178">
        <f t="shared" si="9"/>
        <v>0</v>
      </c>
      <c r="H594" s="865" t="e">
        <f>+VLOOKUP(B594,'Balance Local'!$B$8:$B$560,1,0)</f>
        <v>#N/A</v>
      </c>
      <c r="I594" s="839"/>
      <c r="J594" s="839"/>
    </row>
    <row r="595" spans="2:10" hidden="1">
      <c r="B595" s="1168">
        <v>9200100025</v>
      </c>
      <c r="C595" s="902" t="s">
        <v>3372</v>
      </c>
      <c r="D595" s="1178">
        <f>+IFERROR(VLOOKUP(B595,'Balance Local'!$B$8:$D$564,3,0),0)</f>
        <v>0</v>
      </c>
      <c r="E595" s="1168">
        <v>5153500</v>
      </c>
      <c r="F595" s="1168" t="s">
        <v>3415</v>
      </c>
      <c r="G595" s="1178">
        <f t="shared" si="9"/>
        <v>0</v>
      </c>
      <c r="H595" s="865" t="e">
        <f>+VLOOKUP(B595,'Balance Local'!$B$8:$B$560,1,0)</f>
        <v>#N/A</v>
      </c>
      <c r="I595" s="839"/>
      <c r="J595" s="839"/>
    </row>
    <row r="596" spans="2:10" hidden="1">
      <c r="B596" s="1168">
        <v>9200100039</v>
      </c>
      <c r="C596" s="902" t="s">
        <v>3373</v>
      </c>
      <c r="D596" s="1178">
        <f>+IFERROR(VLOOKUP(B596,'Balance Local'!$B$8:$D$564,3,0),0)</f>
        <v>0</v>
      </c>
      <c r="E596" s="1168">
        <v>5153500</v>
      </c>
      <c r="F596" s="1168" t="s">
        <v>3415</v>
      </c>
      <c r="G596" s="1178">
        <f t="shared" si="9"/>
        <v>0</v>
      </c>
      <c r="H596" s="865" t="e">
        <f>+VLOOKUP(B596,'Balance Local'!$B$8:$B$560,1,0)</f>
        <v>#N/A</v>
      </c>
      <c r="I596" s="839"/>
      <c r="J596" s="839"/>
    </row>
    <row r="597" spans="2:10" hidden="1">
      <c r="B597" s="1168">
        <v>9911000000</v>
      </c>
      <c r="C597" s="902" t="s">
        <v>3374</v>
      </c>
      <c r="D597" s="1178">
        <f>+IFERROR(VLOOKUP(B597,'Balance Local'!$B$8:$D$564,3,0),0)</f>
        <v>-30</v>
      </c>
      <c r="E597" s="1168">
        <v>5312200</v>
      </c>
      <c r="F597" s="1168" t="s">
        <v>604</v>
      </c>
      <c r="G597" s="1178">
        <f t="shared" si="9"/>
        <v>-30</v>
      </c>
      <c r="H597" s="865" t="e">
        <f>+VLOOKUP(B597,'Balance Local'!$B$8:$B$560,1,0)</f>
        <v>#N/A</v>
      </c>
      <c r="I597" s="839"/>
      <c r="J597" s="839"/>
    </row>
    <row r="598" spans="2:10" hidden="1">
      <c r="B598" s="1168">
        <v>9921000000</v>
      </c>
      <c r="C598" s="902" t="s">
        <v>3487</v>
      </c>
      <c r="D598" s="1178">
        <f>+IFERROR(VLOOKUP(B598,'Balance Local'!$B$8:$D$564,3,0),0)</f>
        <v>0</v>
      </c>
      <c r="E598" s="1168">
        <v>5312200</v>
      </c>
      <c r="F598" s="1168" t="s">
        <v>604</v>
      </c>
      <c r="G598" s="1178">
        <f t="shared" si="9"/>
        <v>0</v>
      </c>
      <c r="H598" s="865" t="e">
        <f>+VLOOKUP(B598,'Balance Local'!$B$8:$B$560,1,0)</f>
        <v>#N/A</v>
      </c>
      <c r="I598" s="839"/>
      <c r="J598" s="839"/>
    </row>
    <row r="599" spans="2:10" hidden="1">
      <c r="B599" s="1168">
        <v>9921000002</v>
      </c>
      <c r="C599" s="902" t="s">
        <v>3488</v>
      </c>
      <c r="D599" s="1178">
        <f>+IFERROR(VLOOKUP(B599,'Balance Local'!$B$8:$D$564,3,0),0)</f>
        <v>0</v>
      </c>
      <c r="E599" s="1168">
        <v>5312200</v>
      </c>
      <c r="F599" s="1168" t="s">
        <v>604</v>
      </c>
      <c r="G599" s="1178">
        <f t="shared" si="9"/>
        <v>0</v>
      </c>
      <c r="H599" s="865" t="e">
        <f>+VLOOKUP(B599,'Balance Local'!$B$8:$B$560,1,0)</f>
        <v>#N/A</v>
      </c>
      <c r="I599" s="839"/>
      <c r="J599" s="839"/>
    </row>
    <row r="600" spans="2:10" hidden="1">
      <c r="B600" s="1168">
        <v>9921000003</v>
      </c>
      <c r="C600" s="902" t="s">
        <v>3489</v>
      </c>
      <c r="D600" s="1178">
        <f>+IFERROR(VLOOKUP(B600,'Balance Local'!$B$8:$D$564,3,0),0)</f>
        <v>0</v>
      </c>
      <c r="E600" s="1168">
        <v>5312200</v>
      </c>
      <c r="F600" s="1168" t="s">
        <v>604</v>
      </c>
      <c r="G600" s="1178">
        <f t="shared" si="9"/>
        <v>0</v>
      </c>
      <c r="H600" s="865" t="e">
        <f>+VLOOKUP(B600,'Balance Local'!$B$8:$B$560,1,0)</f>
        <v>#N/A</v>
      </c>
      <c r="I600" s="839"/>
    </row>
    <row r="601" spans="2:10" hidden="1">
      <c r="B601" s="1168">
        <v>9921000004</v>
      </c>
      <c r="C601" s="902" t="s">
        <v>3490</v>
      </c>
      <c r="D601" s="1178">
        <f>+IFERROR(VLOOKUP(B601,'Balance Local'!$B$8:$D$564,3,0),0)</f>
        <v>0</v>
      </c>
      <c r="E601" s="1168">
        <v>5312200</v>
      </c>
      <c r="F601" s="1168" t="s">
        <v>604</v>
      </c>
      <c r="G601" s="1178">
        <f t="shared" si="9"/>
        <v>0</v>
      </c>
      <c r="H601" s="865" t="e">
        <f>+VLOOKUP(B601,'Balance Local'!$B$8:$B$560,1,0)</f>
        <v>#N/A</v>
      </c>
      <c r="I601" s="839"/>
    </row>
    <row r="602" spans="2:10">
      <c r="B602" s="844"/>
      <c r="C602" s="867"/>
      <c r="D602" s="845"/>
      <c r="E602" s="844"/>
      <c r="F602" s="844"/>
      <c r="G602" s="845"/>
      <c r="I602" s="839"/>
    </row>
    <row r="603" spans="2:10" ht="12.75">
      <c r="D603" s="870"/>
    </row>
    <row r="604" spans="2:10" ht="12.75">
      <c r="C604" s="847" t="s">
        <v>3491</v>
      </c>
      <c r="D604" s="848">
        <f>SUM(D9:D603)</f>
        <v>0</v>
      </c>
      <c r="G604" s="848">
        <f>SUM(G9:G603)</f>
        <v>0</v>
      </c>
    </row>
    <row r="605" spans="2:10" ht="12.75">
      <c r="F605" s="873"/>
      <c r="G605" s="873"/>
      <c r="H605" s="873"/>
    </row>
    <row r="606" spans="2:10" ht="12.75">
      <c r="B606" s="869"/>
      <c r="C606" s="874"/>
      <c r="D606" s="848">
        <f>SUM(D277:D601)</f>
        <v>-3197726285</v>
      </c>
      <c r="E606" s="875"/>
      <c r="F606" s="876"/>
      <c r="G606" s="876"/>
    </row>
    <row r="607" spans="2:10" ht="12.75">
      <c r="B607" s="869"/>
      <c r="C607" s="874"/>
      <c r="D607" s="875"/>
      <c r="E607" s="875"/>
      <c r="F607" s="876"/>
      <c r="G607" s="876"/>
    </row>
    <row r="608" spans="2:10" ht="12.75">
      <c r="B608" s="869"/>
      <c r="C608" s="874"/>
      <c r="D608" s="875"/>
      <c r="E608" s="875"/>
      <c r="F608" s="876"/>
      <c r="G608" s="876"/>
    </row>
    <row r="609" spans="2:7" ht="12.75">
      <c r="B609" s="869"/>
      <c r="C609" s="874"/>
      <c r="D609" s="875"/>
      <c r="E609" s="875"/>
      <c r="F609" s="876"/>
      <c r="G609" s="876"/>
    </row>
    <row r="610" spans="2:7" ht="15" customHeight="1">
      <c r="B610" s="869"/>
      <c r="C610" s="874"/>
      <c r="D610" s="877"/>
      <c r="E610" s="875"/>
      <c r="F610" s="876"/>
      <c r="G610" s="876"/>
    </row>
  </sheetData>
  <autoFilter ref="A8:J601">
    <filterColumn colId="4">
      <filters>
        <filter val="5213140"/>
      </filters>
    </filterColumn>
  </autoFilter>
  <pageMargins left="0.7" right="0.7" top="0.75" bottom="0.75" header="0.3" footer="0.3"/>
  <pageSetup paperSize="256" scale="53" fitToHeight="13"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heetPr>
  <dimension ref="B1:E25"/>
  <sheetViews>
    <sheetView showGridLines="0" topLeftCell="A4" workbookViewId="0"/>
  </sheetViews>
  <sheetFormatPr baseColWidth="10" defaultRowHeight="15"/>
  <cols>
    <col min="1" max="3" width="2.42578125" customWidth="1"/>
    <col min="4" max="4" width="47.5703125" customWidth="1"/>
    <col min="5" max="5" width="85.7109375" customWidth="1"/>
    <col min="6" max="10" width="10" customWidth="1"/>
  </cols>
  <sheetData>
    <row r="1" spans="2:5" ht="15" customHeight="1"/>
    <row r="2" spans="2:5" s="1" customFormat="1" ht="15" customHeight="1"/>
    <row r="3" spans="2:5" ht="15" customHeight="1"/>
    <row r="4" spans="2:5" ht="23.25" customHeight="1">
      <c r="B4" s="1567"/>
      <c r="C4" s="1567"/>
      <c r="D4" s="1567"/>
      <c r="E4" s="3"/>
    </row>
    <row r="5" spans="2:5" ht="12" customHeight="1">
      <c r="B5" s="1584" t="s">
        <v>869</v>
      </c>
      <c r="C5" s="1584"/>
      <c r="D5" s="1584"/>
      <c r="E5" s="11"/>
    </row>
    <row r="6" spans="2:5" ht="12" customHeight="1">
      <c r="B6" s="4"/>
      <c r="C6" s="1566" t="s">
        <v>225</v>
      </c>
      <c r="D6" s="1566"/>
      <c r="E6" s="26" t="s">
        <v>2771</v>
      </c>
    </row>
    <row r="7" spans="2:5" ht="12" customHeight="1">
      <c r="B7" s="4"/>
      <c r="C7" s="1566" t="s">
        <v>226</v>
      </c>
      <c r="D7" s="1566"/>
      <c r="E7" s="26" t="s">
        <v>2772</v>
      </c>
    </row>
    <row r="8" spans="2:5" ht="12" customHeight="1">
      <c r="B8" s="4"/>
      <c r="C8" s="1566" t="s">
        <v>227</v>
      </c>
      <c r="D8" s="1566"/>
      <c r="E8" s="26" t="s">
        <v>2773</v>
      </c>
    </row>
    <row r="9" spans="2:5" ht="157.5" customHeight="1">
      <c r="B9" s="4"/>
      <c r="C9" s="1555" t="s">
        <v>228</v>
      </c>
      <c r="D9" s="1555"/>
      <c r="E9" s="33"/>
    </row>
    <row r="10" spans="2:5" ht="12" customHeight="1">
      <c r="B10" s="4"/>
      <c r="C10" s="1566" t="s">
        <v>229</v>
      </c>
      <c r="D10" s="1566"/>
      <c r="E10" s="26" t="s">
        <v>3810</v>
      </c>
    </row>
    <row r="11" spans="2:5" ht="12" customHeight="1">
      <c r="B11" s="4"/>
      <c r="C11" s="4"/>
      <c r="D11" s="6" t="s">
        <v>230</v>
      </c>
      <c r="E11" s="26" t="s">
        <v>3806</v>
      </c>
    </row>
    <row r="12" spans="2:5" ht="12" customHeight="1">
      <c r="B12" s="4"/>
      <c r="C12" s="4"/>
      <c r="D12" s="6" t="s">
        <v>231</v>
      </c>
      <c r="E12" s="26" t="s">
        <v>3806</v>
      </c>
    </row>
    <row r="13" spans="2:5" ht="12" customHeight="1">
      <c r="B13" s="4"/>
      <c r="C13" s="1566" t="s">
        <v>232</v>
      </c>
      <c r="D13" s="1566"/>
      <c r="E13" s="26" t="s">
        <v>3807</v>
      </c>
    </row>
    <row r="14" spans="2:5" ht="12" customHeight="1">
      <c r="B14" s="4"/>
      <c r="C14" s="1566" t="s">
        <v>233</v>
      </c>
      <c r="D14" s="1566"/>
      <c r="E14" s="26"/>
    </row>
    <row r="15" spans="2:5" ht="12" customHeight="1">
      <c r="B15" s="4"/>
      <c r="C15" s="6"/>
      <c r="D15" s="6" t="s">
        <v>234</v>
      </c>
      <c r="E15" s="26"/>
    </row>
    <row r="16" spans="2:5" ht="12" customHeight="1">
      <c r="B16" s="4"/>
      <c r="C16" s="1566" t="s">
        <v>235</v>
      </c>
      <c r="D16" s="1566"/>
      <c r="E16" s="26">
        <v>38</v>
      </c>
    </row>
    <row r="17" spans="2:5" ht="12" customHeight="1">
      <c r="B17" s="4"/>
      <c r="C17" s="1566" t="s">
        <v>236</v>
      </c>
      <c r="D17" s="1566"/>
      <c r="E17" s="26">
        <v>1346</v>
      </c>
    </row>
    <row r="18" spans="2:5" ht="12" customHeight="1">
      <c r="B18" s="4"/>
      <c r="C18" s="1585" t="s">
        <v>871</v>
      </c>
      <c r="D18" s="1585"/>
      <c r="E18" s="34"/>
    </row>
    <row r="19" spans="2:5" ht="12" customHeight="1">
      <c r="B19" s="4"/>
      <c r="C19" s="4"/>
      <c r="D19" s="6" t="s">
        <v>237</v>
      </c>
      <c r="E19" s="26" t="s">
        <v>875</v>
      </c>
    </row>
    <row r="20" spans="2:5" ht="12" customHeight="1">
      <c r="B20" s="4"/>
      <c r="C20" s="4"/>
      <c r="D20" s="6" t="s">
        <v>238</v>
      </c>
      <c r="E20" s="26">
        <v>24</v>
      </c>
    </row>
    <row r="21" spans="2:5" ht="12" customHeight="1">
      <c r="B21" s="4"/>
      <c r="C21" s="4"/>
      <c r="D21" s="6" t="s">
        <v>239</v>
      </c>
      <c r="E21" s="26" t="s">
        <v>3808</v>
      </c>
    </row>
    <row r="22" spans="2:5" ht="12" customHeight="1">
      <c r="B22" s="4"/>
      <c r="C22" s="4"/>
      <c r="D22" s="6" t="s">
        <v>240</v>
      </c>
      <c r="E22" s="26" t="s">
        <v>3809</v>
      </c>
    </row>
    <row r="23" spans="2:5" ht="12" customHeight="1">
      <c r="B23" s="4"/>
      <c r="C23" s="4"/>
      <c r="D23" s="6" t="s">
        <v>241</v>
      </c>
      <c r="E23" s="26" t="s">
        <v>876</v>
      </c>
    </row>
    <row r="24" spans="2:5" ht="12" customHeight="1">
      <c r="B24" s="4"/>
      <c r="C24" s="4"/>
      <c r="D24" s="6" t="s">
        <v>242</v>
      </c>
      <c r="E24" s="26"/>
    </row>
    <row r="25" spans="2:5" ht="12" customHeight="1">
      <c r="B25" s="4"/>
      <c r="C25" s="1566" t="s">
        <v>243</v>
      </c>
      <c r="D25" s="1566"/>
      <c r="E25" s="26"/>
    </row>
  </sheetData>
  <mergeCells count="13">
    <mergeCell ref="C25:D25"/>
    <mergeCell ref="B4:D4"/>
    <mergeCell ref="B5:D5"/>
    <mergeCell ref="C6:D6"/>
    <mergeCell ref="C7:D7"/>
    <mergeCell ref="C8:D8"/>
    <mergeCell ref="C9:D9"/>
    <mergeCell ref="C10:D10"/>
    <mergeCell ref="C13:D13"/>
    <mergeCell ref="C14:D14"/>
    <mergeCell ref="C16:D16"/>
    <mergeCell ref="C17:D17"/>
    <mergeCell ref="C18:D18"/>
  </mergeCell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14:formula1>
            <xm:f>'1. Carátula'!$C$20:$C$23</xm:f>
          </x14:formula1>
          <xm:sqref>E19</xm:sqref>
        </x14:dataValidation>
        <x14:dataValidation type="list" allowBlank="1" showInputMessage="1" showErrorMessage="1">
          <x14:formula1>
            <xm:f>'1. Carátula'!$C$24:$C$28</xm:f>
          </x14:formula1>
          <xm:sqref>E23</xm:sqref>
        </x14:dataValidation>
      </x14:dataValidations>
    </ext>
  </extLs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B1:K53"/>
  <sheetViews>
    <sheetView zoomScaleNormal="100" workbookViewId="0"/>
  </sheetViews>
  <sheetFormatPr baseColWidth="10" defaultRowHeight="15"/>
  <cols>
    <col min="1" max="16384" width="11.42578125" style="801"/>
  </cols>
  <sheetData>
    <row r="1" spans="2:11" ht="15.75" thickBot="1"/>
    <row r="2" spans="2:11" ht="15.75" thickTop="1">
      <c r="B2" s="878"/>
      <c r="C2" s="879"/>
      <c r="D2" s="879"/>
      <c r="E2" s="879"/>
      <c r="F2" s="879"/>
      <c r="G2" s="879"/>
      <c r="H2" s="879"/>
      <c r="I2" s="879"/>
      <c r="J2" s="879"/>
      <c r="K2" s="880"/>
    </row>
    <row r="3" spans="2:11">
      <c r="B3" s="881"/>
      <c r="C3" s="882"/>
      <c r="D3" s="882"/>
      <c r="E3" s="882"/>
      <c r="F3" s="882"/>
      <c r="G3" s="882"/>
      <c r="H3" s="882"/>
      <c r="I3" s="882"/>
      <c r="J3" s="882"/>
      <c r="K3" s="883"/>
    </row>
    <row r="4" spans="2:11">
      <c r="B4" s="881"/>
      <c r="C4" s="882"/>
      <c r="D4" s="882"/>
      <c r="E4" s="882"/>
      <c r="F4" s="882"/>
      <c r="G4" s="882"/>
      <c r="H4" s="882"/>
      <c r="I4" s="882"/>
      <c r="J4" s="882"/>
      <c r="K4" s="883"/>
    </row>
    <row r="5" spans="2:11">
      <c r="B5" s="881"/>
      <c r="C5" s="882"/>
      <c r="D5" s="882"/>
      <c r="E5" s="882"/>
      <c r="F5" s="882"/>
      <c r="G5" s="882"/>
      <c r="H5" s="882"/>
      <c r="I5" s="882"/>
      <c r="J5" s="882"/>
      <c r="K5" s="883"/>
    </row>
    <row r="6" spans="2:11">
      <c r="B6" s="881"/>
      <c r="C6" s="882"/>
      <c r="D6" s="882"/>
      <c r="E6" s="882"/>
      <c r="F6" s="882"/>
      <c r="G6" s="882"/>
      <c r="H6" s="882"/>
      <c r="I6" s="882"/>
      <c r="J6" s="882"/>
      <c r="K6" s="883"/>
    </row>
    <row r="7" spans="2:11">
      <c r="B7" s="881"/>
      <c r="C7" s="882"/>
      <c r="D7" s="882"/>
      <c r="E7" s="882"/>
      <c r="F7" s="882"/>
      <c r="G7" s="882"/>
      <c r="H7" s="882"/>
      <c r="I7" s="882"/>
      <c r="J7" s="882"/>
      <c r="K7" s="883"/>
    </row>
    <row r="8" spans="2:11">
      <c r="B8" s="881"/>
      <c r="C8" s="882"/>
      <c r="D8" s="882"/>
      <c r="E8" s="882"/>
      <c r="F8" s="882"/>
      <c r="G8" s="882"/>
      <c r="H8" s="882"/>
      <c r="I8" s="882"/>
      <c r="J8" s="882"/>
      <c r="K8" s="883"/>
    </row>
    <row r="9" spans="2:11">
      <c r="B9" s="881"/>
      <c r="C9" s="882"/>
      <c r="D9" s="882"/>
      <c r="E9" s="882"/>
      <c r="F9" s="882"/>
      <c r="G9" s="882"/>
      <c r="H9" s="882"/>
      <c r="I9" s="882"/>
      <c r="J9" s="882"/>
      <c r="K9" s="883"/>
    </row>
    <row r="10" spans="2:11">
      <c r="B10" s="881"/>
      <c r="C10" s="882"/>
      <c r="D10" s="882"/>
      <c r="E10" s="882"/>
      <c r="F10" s="882"/>
      <c r="G10" s="882"/>
      <c r="H10" s="882"/>
      <c r="I10" s="882"/>
      <c r="J10" s="882"/>
      <c r="K10" s="883"/>
    </row>
    <row r="11" spans="2:11">
      <c r="B11" s="881"/>
      <c r="C11" s="882"/>
      <c r="D11" s="882"/>
      <c r="E11" s="882"/>
      <c r="F11" s="882"/>
      <c r="G11" s="882"/>
      <c r="H11" s="882"/>
      <c r="I11" s="882"/>
      <c r="J11" s="882"/>
      <c r="K11" s="883"/>
    </row>
    <row r="12" spans="2:11">
      <c r="B12" s="881"/>
      <c r="C12" s="882"/>
      <c r="D12" s="882"/>
      <c r="E12" s="882"/>
      <c r="F12" s="882"/>
      <c r="G12" s="882"/>
      <c r="H12" s="882"/>
      <c r="I12" s="882"/>
      <c r="J12" s="882"/>
      <c r="K12" s="883"/>
    </row>
    <row r="13" spans="2:11">
      <c r="B13" s="881"/>
      <c r="C13" s="882"/>
      <c r="D13" s="882"/>
      <c r="E13" s="882"/>
      <c r="F13" s="882"/>
      <c r="G13" s="882"/>
      <c r="H13" s="882"/>
      <c r="I13" s="882"/>
      <c r="J13" s="882"/>
      <c r="K13" s="883"/>
    </row>
    <row r="14" spans="2:11" s="884" customFormat="1" ht="23.25">
      <c r="B14" s="1773" t="s">
        <v>3492</v>
      </c>
      <c r="C14" s="1774"/>
      <c r="D14" s="1774"/>
      <c r="E14" s="1774"/>
      <c r="F14" s="1774"/>
      <c r="G14" s="1774"/>
      <c r="H14" s="1774"/>
      <c r="I14" s="1774"/>
      <c r="J14" s="1774"/>
      <c r="K14" s="1775"/>
    </row>
    <row r="15" spans="2:11" s="884" customFormat="1">
      <c r="B15" s="885"/>
      <c r="C15" s="886"/>
      <c r="D15" s="886"/>
      <c r="E15" s="886"/>
      <c r="F15" s="886"/>
      <c r="G15" s="886"/>
      <c r="H15" s="886"/>
      <c r="I15" s="886"/>
      <c r="J15" s="886"/>
      <c r="K15" s="887"/>
    </row>
    <row r="16" spans="2:11" s="884" customFormat="1">
      <c r="B16" s="885"/>
      <c r="C16" s="886"/>
      <c r="D16" s="886"/>
      <c r="E16" s="886"/>
      <c r="F16" s="886"/>
      <c r="G16" s="886"/>
      <c r="H16" s="886"/>
      <c r="I16" s="886"/>
      <c r="J16" s="886"/>
      <c r="K16" s="887"/>
    </row>
    <row r="17" spans="2:11" s="884" customFormat="1">
      <c r="B17" s="885"/>
      <c r="C17" s="886"/>
      <c r="D17" s="886"/>
      <c r="E17" s="886"/>
      <c r="F17" s="886"/>
      <c r="G17" s="886"/>
      <c r="H17" s="886"/>
      <c r="I17" s="886"/>
      <c r="J17" s="886"/>
      <c r="K17" s="887"/>
    </row>
    <row r="18" spans="2:11" s="884" customFormat="1" ht="22.5">
      <c r="B18" s="1776" t="s">
        <v>2791</v>
      </c>
      <c r="C18" s="1777"/>
      <c r="D18" s="1777"/>
      <c r="E18" s="1777"/>
      <c r="F18" s="1777"/>
      <c r="G18" s="1777"/>
      <c r="H18" s="1777"/>
      <c r="I18" s="1777"/>
      <c r="J18" s="1777"/>
      <c r="K18" s="1778"/>
    </row>
    <row r="19" spans="2:11" s="884" customFormat="1" ht="22.5">
      <c r="B19" s="1776" t="s">
        <v>3758</v>
      </c>
      <c r="C19" s="1777"/>
      <c r="D19" s="1777"/>
      <c r="E19" s="1777"/>
      <c r="F19" s="1777"/>
      <c r="G19" s="1777"/>
      <c r="H19" s="1777"/>
      <c r="I19" s="1777"/>
      <c r="J19" s="1777"/>
      <c r="K19" s="1778"/>
    </row>
    <row r="20" spans="2:11">
      <c r="B20" s="881"/>
      <c r="C20" s="882"/>
      <c r="D20" s="882"/>
      <c r="E20" s="882"/>
      <c r="F20" s="882"/>
      <c r="G20" s="882"/>
      <c r="H20" s="882"/>
      <c r="I20" s="882"/>
      <c r="J20" s="882"/>
      <c r="K20" s="883"/>
    </row>
    <row r="21" spans="2:11">
      <c r="B21" s="881"/>
      <c r="C21" s="882"/>
      <c r="D21" s="882"/>
      <c r="E21" s="882"/>
      <c r="F21" s="882"/>
      <c r="G21" s="882"/>
      <c r="H21" s="882"/>
      <c r="I21" s="882"/>
      <c r="J21" s="882"/>
      <c r="K21" s="883"/>
    </row>
    <row r="22" spans="2:11">
      <c r="B22" s="881"/>
      <c r="C22" s="882"/>
      <c r="D22" s="882"/>
      <c r="E22" s="882"/>
      <c r="F22" s="882"/>
      <c r="G22" s="882"/>
      <c r="H22" s="882"/>
      <c r="I22" s="882"/>
      <c r="J22" s="882"/>
      <c r="K22" s="883"/>
    </row>
    <row r="23" spans="2:11">
      <c r="B23" s="881"/>
      <c r="C23" s="882"/>
      <c r="D23" s="882"/>
      <c r="E23" s="882"/>
      <c r="F23" s="882"/>
      <c r="G23" s="882"/>
      <c r="H23" s="882"/>
      <c r="I23" s="882"/>
      <c r="J23" s="882"/>
      <c r="K23" s="883"/>
    </row>
    <row r="24" spans="2:11">
      <c r="B24" s="881"/>
      <c r="C24" s="882"/>
      <c r="D24" s="882"/>
      <c r="E24" s="882"/>
      <c r="F24" s="882"/>
      <c r="G24" s="882"/>
      <c r="H24" s="882"/>
      <c r="I24" s="882"/>
      <c r="J24" s="882"/>
      <c r="K24" s="883"/>
    </row>
    <row r="25" spans="2:11">
      <c r="B25" s="881"/>
      <c r="C25" s="882"/>
      <c r="D25" s="882"/>
      <c r="E25" s="882"/>
      <c r="F25" s="882"/>
      <c r="G25" s="882"/>
      <c r="H25" s="882"/>
      <c r="I25" s="882"/>
      <c r="J25" s="882"/>
      <c r="K25" s="883"/>
    </row>
    <row r="26" spans="2:11">
      <c r="B26" s="881"/>
      <c r="C26" s="882"/>
      <c r="D26" s="882"/>
      <c r="E26" s="882"/>
      <c r="F26" s="882"/>
      <c r="G26" s="882"/>
      <c r="H26" s="882"/>
      <c r="I26" s="882"/>
      <c r="J26" s="882"/>
      <c r="K26" s="883"/>
    </row>
    <row r="27" spans="2:11">
      <c r="B27" s="881"/>
      <c r="C27" s="882"/>
      <c r="D27" s="882"/>
      <c r="E27" s="882"/>
      <c r="F27" s="882"/>
      <c r="G27" s="882"/>
      <c r="H27" s="882"/>
      <c r="I27" s="882"/>
      <c r="J27" s="882"/>
      <c r="K27" s="883"/>
    </row>
    <row r="28" spans="2:11">
      <c r="B28" s="881"/>
      <c r="C28" s="882"/>
      <c r="D28" s="882"/>
      <c r="E28" s="882"/>
      <c r="F28" s="882"/>
      <c r="G28" s="882"/>
      <c r="H28" s="882"/>
      <c r="I28" s="882"/>
      <c r="J28" s="882"/>
      <c r="K28" s="883"/>
    </row>
    <row r="29" spans="2:11">
      <c r="B29" s="881"/>
      <c r="C29" s="882"/>
      <c r="D29" s="882"/>
      <c r="E29" s="882"/>
      <c r="F29" s="882"/>
      <c r="G29" s="882"/>
      <c r="H29" s="882"/>
      <c r="I29" s="882"/>
      <c r="J29" s="882"/>
      <c r="K29" s="883"/>
    </row>
    <row r="30" spans="2:11">
      <c r="B30" s="881"/>
      <c r="C30" s="882"/>
      <c r="D30" s="882"/>
      <c r="E30" s="882"/>
      <c r="F30" s="882"/>
      <c r="G30" s="882"/>
      <c r="H30" s="882"/>
      <c r="I30" s="882"/>
      <c r="J30" s="882"/>
      <c r="K30" s="883"/>
    </row>
    <row r="31" spans="2:11">
      <c r="B31" s="881"/>
      <c r="C31" s="882"/>
      <c r="D31" s="882"/>
      <c r="E31" s="882"/>
      <c r="F31" s="882"/>
      <c r="G31" s="882"/>
      <c r="H31" s="882"/>
      <c r="I31" s="882"/>
      <c r="J31" s="882"/>
      <c r="K31" s="883"/>
    </row>
    <row r="32" spans="2:11">
      <c r="B32" s="881"/>
      <c r="C32" s="882"/>
      <c r="D32" s="882"/>
      <c r="E32" s="882"/>
      <c r="F32" s="882"/>
      <c r="G32" s="882"/>
      <c r="H32" s="882"/>
      <c r="I32" s="882"/>
      <c r="J32" s="882"/>
      <c r="K32" s="883"/>
    </row>
    <row r="33" spans="2:11">
      <c r="B33" s="881"/>
      <c r="C33" s="882"/>
      <c r="D33" s="882"/>
      <c r="E33" s="882"/>
      <c r="F33" s="882"/>
      <c r="G33" s="882"/>
      <c r="H33" s="882"/>
      <c r="I33" s="882"/>
      <c r="J33" s="882"/>
      <c r="K33" s="883"/>
    </row>
    <row r="34" spans="2:11" ht="22.5" customHeight="1">
      <c r="B34" s="888"/>
      <c r="C34" s="889"/>
      <c r="D34" s="889"/>
      <c r="E34" s="889"/>
      <c r="F34" s="890" t="s">
        <v>3493</v>
      </c>
      <c r="G34" s="889"/>
      <c r="H34" s="889"/>
      <c r="I34" s="889"/>
      <c r="J34" s="889"/>
      <c r="K34" s="891"/>
    </row>
    <row r="35" spans="2:11" ht="22.5" customHeight="1">
      <c r="B35" s="881"/>
      <c r="C35" s="882"/>
      <c r="D35" s="882"/>
      <c r="E35" s="882"/>
      <c r="F35" s="890" t="s">
        <v>3494</v>
      </c>
      <c r="G35" s="889"/>
      <c r="H35" s="882"/>
      <c r="I35" s="882"/>
      <c r="J35" s="882"/>
      <c r="K35" s="883"/>
    </row>
    <row r="36" spans="2:11" ht="22.5" customHeight="1">
      <c r="B36" s="881"/>
      <c r="C36" s="882"/>
      <c r="D36" s="882"/>
      <c r="E36" s="882"/>
      <c r="F36" s="890" t="s">
        <v>3495</v>
      </c>
      <c r="G36" s="889"/>
      <c r="H36" s="882"/>
      <c r="I36" s="882"/>
      <c r="J36" s="882"/>
      <c r="K36" s="883"/>
    </row>
    <row r="37" spans="2:11" ht="22.5" customHeight="1">
      <c r="B37" s="881"/>
      <c r="C37" s="882"/>
      <c r="D37" s="882"/>
      <c r="E37" s="882"/>
      <c r="F37" s="890" t="s">
        <v>3496</v>
      </c>
      <c r="G37" s="889"/>
      <c r="H37" s="882"/>
      <c r="I37" s="882"/>
      <c r="J37" s="882"/>
      <c r="K37" s="883"/>
    </row>
    <row r="38" spans="2:11" ht="22.5" customHeight="1">
      <c r="B38" s="881"/>
      <c r="C38" s="882"/>
      <c r="D38" s="882"/>
      <c r="E38" s="882"/>
      <c r="F38" s="890" t="s">
        <v>3497</v>
      </c>
      <c r="G38" s="882"/>
      <c r="H38" s="882"/>
      <c r="I38" s="882"/>
      <c r="J38" s="882"/>
      <c r="K38" s="883"/>
    </row>
    <row r="39" spans="2:11" ht="22.5" customHeight="1">
      <c r="B39" s="881"/>
      <c r="C39" s="882"/>
      <c r="D39" s="882"/>
      <c r="E39" s="882"/>
      <c r="F39" s="890" t="s">
        <v>3498</v>
      </c>
      <c r="G39" s="882"/>
      <c r="H39" s="882"/>
      <c r="I39" s="882"/>
      <c r="J39" s="882"/>
      <c r="K39" s="883"/>
    </row>
    <row r="40" spans="2:11" ht="21" customHeight="1">
      <c r="B40" s="881"/>
      <c r="C40" s="882"/>
      <c r="D40" s="882"/>
      <c r="E40" s="882"/>
      <c r="F40" s="892" t="s">
        <v>3499</v>
      </c>
      <c r="G40" s="882"/>
      <c r="H40" s="882"/>
      <c r="I40" s="882"/>
      <c r="J40" s="882"/>
      <c r="K40" s="883"/>
    </row>
    <row r="41" spans="2:11">
      <c r="B41" s="881"/>
      <c r="C41" s="882"/>
      <c r="D41" s="882"/>
      <c r="E41" s="882"/>
      <c r="F41" s="882"/>
      <c r="G41" s="882"/>
      <c r="H41" s="882"/>
      <c r="I41" s="882"/>
      <c r="J41" s="882"/>
      <c r="K41" s="883"/>
    </row>
    <row r="42" spans="2:11">
      <c r="B42" s="881"/>
      <c r="C42" s="882"/>
      <c r="D42" s="882"/>
      <c r="E42" s="882"/>
      <c r="F42" s="882"/>
      <c r="G42" s="882"/>
      <c r="H42" s="882"/>
      <c r="I42" s="882"/>
      <c r="J42" s="882"/>
      <c r="K42" s="883"/>
    </row>
    <row r="43" spans="2:11">
      <c r="B43" s="881"/>
      <c r="C43" s="882"/>
      <c r="D43" s="882"/>
      <c r="E43" s="882"/>
      <c r="F43" s="882"/>
      <c r="G43" s="882"/>
      <c r="H43" s="882"/>
      <c r="I43" s="882"/>
      <c r="J43" s="882"/>
      <c r="K43" s="883"/>
    </row>
    <row r="44" spans="2:11">
      <c r="B44" s="881"/>
      <c r="C44" s="882"/>
      <c r="D44" s="882"/>
      <c r="E44" s="882"/>
      <c r="F44" s="882"/>
      <c r="G44" s="882"/>
      <c r="H44" s="882"/>
      <c r="I44" s="882"/>
      <c r="J44" s="882"/>
      <c r="K44" s="883"/>
    </row>
    <row r="45" spans="2:11">
      <c r="B45" s="881"/>
      <c r="C45" s="882"/>
      <c r="D45" s="882"/>
      <c r="E45" s="882"/>
      <c r="F45" s="882"/>
      <c r="G45" s="882"/>
      <c r="H45" s="882"/>
      <c r="I45" s="882"/>
      <c r="J45" s="882"/>
      <c r="K45" s="883"/>
    </row>
    <row r="46" spans="2:11">
      <c r="B46" s="881"/>
      <c r="C46" s="882"/>
      <c r="D46" s="882"/>
      <c r="E46" s="882"/>
      <c r="F46" s="882"/>
      <c r="G46" s="882"/>
      <c r="H46" s="882"/>
      <c r="I46" s="882"/>
      <c r="J46" s="882"/>
      <c r="K46" s="883"/>
    </row>
    <row r="47" spans="2:11">
      <c r="B47" s="881"/>
      <c r="C47" s="882"/>
      <c r="D47" s="882"/>
      <c r="E47" s="882"/>
      <c r="F47" s="882"/>
      <c r="G47" s="882"/>
      <c r="H47" s="882"/>
      <c r="I47" s="882"/>
      <c r="J47" s="882"/>
      <c r="K47" s="883"/>
    </row>
    <row r="48" spans="2:11">
      <c r="B48" s="881"/>
      <c r="C48" s="882"/>
      <c r="D48" s="882"/>
      <c r="E48" s="882"/>
      <c r="F48" s="882"/>
      <c r="G48" s="882"/>
      <c r="H48" s="882"/>
      <c r="I48" s="882"/>
      <c r="J48" s="882"/>
      <c r="K48" s="883"/>
    </row>
    <row r="49" spans="2:11">
      <c r="B49" s="881"/>
      <c r="C49" s="882"/>
      <c r="D49" s="882"/>
      <c r="E49" s="882"/>
      <c r="F49" s="882"/>
      <c r="G49" s="882"/>
      <c r="H49" s="882"/>
      <c r="I49" s="882"/>
      <c r="J49" s="882"/>
      <c r="K49" s="883"/>
    </row>
    <row r="50" spans="2:11">
      <c r="B50" s="881"/>
      <c r="C50" s="882"/>
      <c r="D50" s="882"/>
      <c r="E50" s="882"/>
      <c r="F50" s="882"/>
      <c r="G50" s="882"/>
      <c r="H50" s="882"/>
      <c r="I50" s="882"/>
      <c r="J50" s="882"/>
      <c r="K50" s="883"/>
    </row>
    <row r="51" spans="2:11">
      <c r="B51" s="881"/>
      <c r="C51" s="882"/>
      <c r="D51" s="882"/>
      <c r="E51" s="882"/>
      <c r="F51" s="882"/>
      <c r="G51" s="882"/>
      <c r="H51" s="882"/>
      <c r="I51" s="882"/>
      <c r="J51" s="882"/>
      <c r="K51" s="883"/>
    </row>
    <row r="52" spans="2:11" ht="15.75" thickBot="1">
      <c r="B52" s="893"/>
      <c r="C52" s="894"/>
      <c r="D52" s="894"/>
      <c r="E52" s="894"/>
      <c r="F52" s="894"/>
      <c r="G52" s="894"/>
      <c r="H52" s="894"/>
      <c r="I52" s="894"/>
      <c r="J52" s="894"/>
      <c r="K52" s="895"/>
    </row>
    <row r="53" spans="2:11" ht="15.75" thickTop="1"/>
  </sheetData>
  <mergeCells count="3">
    <mergeCell ref="B14:K14"/>
    <mergeCell ref="B18:K18"/>
    <mergeCell ref="B19:K19"/>
  </mergeCells>
  <hyperlinks>
    <hyperlink ref="F34" location="Activo!A1" display="Estado de Situación Financiera (Activos)"/>
    <hyperlink ref="F35" location="Pasivo!A1" display="Estado de Situación Financiera (Pasivo)"/>
    <hyperlink ref="F36" location="'Resultado Integral'!A1" display="Estado de Resultados Integral"/>
    <hyperlink ref="F37" location="ECPat!A1" display="Estado de Cambio en el Patrimonio"/>
    <hyperlink ref="F38" location="EFE!A1" display="Estado de Flujo de Efectivo"/>
    <hyperlink ref="F39" location="'Nota 48'!A1" display="solvencia"/>
    <hyperlink ref="F40" location="'Nota 46 '!A1" display="Margen de Solvencia"/>
  </hyperlinks>
  <pageMargins left="0.70866141732283472" right="0.70866141732283472" top="0.74803149606299213" bottom="0.74803149606299213" header="0.31496062992125984" footer="0.31496062992125984"/>
  <pageSetup scale="79" orientation="portrait" r:id="rId1"/>
  <drawing r:id="rId2"/>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B2:BB222"/>
  <sheetViews>
    <sheetView zoomScale="70" zoomScaleNormal="70" zoomScaleSheetLayoutView="90" workbookViewId="0">
      <pane xSplit="7" ySplit="7" topLeftCell="S8" activePane="bottomRight" state="frozen"/>
      <selection activeCell="A18" sqref="A18"/>
      <selection pane="topRight" activeCell="A18" sqref="A18"/>
      <selection pane="bottomLeft" activeCell="A18" sqref="A18"/>
      <selection pane="bottomRight" activeCell="U12" sqref="U12"/>
    </sheetView>
  </sheetViews>
  <sheetFormatPr baseColWidth="10" defaultRowHeight="12.75" customHeight="1" outlineLevelCol="1"/>
  <cols>
    <col min="1" max="1" width="3" style="1001" customWidth="1"/>
    <col min="2" max="3" width="2.7109375" style="1001" customWidth="1"/>
    <col min="4" max="4" width="12.28515625" style="1001" customWidth="1"/>
    <col min="5" max="5" width="11.85546875" style="1001" bestFit="1" customWidth="1"/>
    <col min="6" max="6" width="2.5703125" style="1001" customWidth="1"/>
    <col min="7" max="7" width="74" style="1001" customWidth="1"/>
    <col min="8" max="8" width="23.140625" style="1001" customWidth="1"/>
    <col min="9" max="9" width="17.7109375" style="1001" customWidth="1" outlineLevel="1"/>
    <col min="10" max="10" width="20.5703125" style="1001" customWidth="1" outlineLevel="1"/>
    <col min="11" max="11" width="26.28515625" style="1001" customWidth="1" outlineLevel="1"/>
    <col min="12" max="12" width="24.140625" style="1001" customWidth="1" outlineLevel="1"/>
    <col min="13" max="14" width="22.28515625" style="1001" customWidth="1" outlineLevel="1"/>
    <col min="15" max="16" width="20.5703125" style="1001" customWidth="1" outlineLevel="1"/>
    <col min="17" max="17" width="20" style="1001" customWidth="1" outlineLevel="1"/>
    <col min="18" max="18" width="17.85546875" style="1001" customWidth="1" outlineLevel="1"/>
    <col min="19" max="19" width="18" style="1001" customWidth="1" outlineLevel="1"/>
    <col min="20" max="23" width="24.28515625" style="1001" customWidth="1" outlineLevel="1"/>
    <col min="24" max="24" width="21.7109375" style="1001" customWidth="1"/>
    <col min="25" max="25" width="2.42578125" style="1001" customWidth="1"/>
    <col min="26" max="26" width="23.42578125" style="1001" customWidth="1"/>
    <col min="27" max="27" width="3.28515625" style="1001" customWidth="1"/>
    <col min="28" max="28" width="6.7109375" style="1001" bestFit="1" customWidth="1"/>
    <col min="29" max="29" width="39.140625" style="1001" customWidth="1"/>
    <col min="30" max="30" width="18.7109375" style="1001" bestFit="1" customWidth="1"/>
    <col min="31" max="31" width="9.5703125" style="1001" bestFit="1" customWidth="1"/>
    <col min="32" max="32" width="22.140625" style="1001" customWidth="1"/>
    <col min="33" max="33" width="16.5703125" style="1001" bestFit="1" customWidth="1"/>
    <col min="34" max="34" width="14.140625" style="1001" bestFit="1" customWidth="1"/>
    <col min="35" max="16384" width="11.42578125" style="1001"/>
  </cols>
  <sheetData>
    <row r="2" spans="2:54" ht="17.25" customHeight="1">
      <c r="AC2" s="1036"/>
    </row>
    <row r="3" spans="2:54" ht="19.5">
      <c r="G3" s="986" t="s">
        <v>2791</v>
      </c>
    </row>
    <row r="4" spans="2:54" ht="12.75" customHeight="1">
      <c r="H4" s="1006"/>
      <c r="I4" s="1007"/>
    </row>
    <row r="5" spans="2:54" ht="10.5" customHeight="1"/>
    <row r="6" spans="2:54" ht="12.75" customHeight="1">
      <c r="B6" s="1779" t="s">
        <v>3533</v>
      </c>
      <c r="C6" s="1779"/>
      <c r="D6" s="1779"/>
      <c r="E6" s="1779"/>
      <c r="F6" s="1779"/>
      <c r="G6" s="1780"/>
      <c r="H6" s="1009" t="s">
        <v>2795</v>
      </c>
      <c r="I6" s="1088"/>
      <c r="J6" s="1088"/>
      <c r="K6" s="1089"/>
      <c r="L6" s="1089"/>
      <c r="M6" s="1089"/>
      <c r="N6" s="1089"/>
      <c r="O6" s="1089"/>
      <c r="P6" s="1089"/>
      <c r="Q6" s="1089"/>
      <c r="R6" s="1089"/>
      <c r="S6" s="1089"/>
      <c r="T6" s="1089"/>
      <c r="U6" s="1089"/>
      <c r="V6" s="1089"/>
      <c r="W6" s="1089"/>
      <c r="X6" s="1009" t="s">
        <v>2795</v>
      </c>
      <c r="Z6" s="1013" t="s">
        <v>3534</v>
      </c>
    </row>
    <row r="7" spans="2:54" ht="57.75" customHeight="1">
      <c r="B7" s="1781"/>
      <c r="C7" s="1781"/>
      <c r="D7" s="1781"/>
      <c r="E7" s="1781"/>
      <c r="F7" s="1781"/>
      <c r="G7" s="1782"/>
      <c r="H7" s="1090">
        <v>43190</v>
      </c>
      <c r="I7" s="1091" t="s">
        <v>3535</v>
      </c>
      <c r="J7" s="1091" t="s">
        <v>3536</v>
      </c>
      <c r="K7" s="1011" t="s">
        <v>3537</v>
      </c>
      <c r="L7" s="1011" t="s">
        <v>3538</v>
      </c>
      <c r="M7" s="1011" t="s">
        <v>3539</v>
      </c>
      <c r="N7" s="1011" t="s">
        <v>3540</v>
      </c>
      <c r="O7" s="1011" t="s">
        <v>3541</v>
      </c>
      <c r="P7" s="1011" t="s">
        <v>3542</v>
      </c>
      <c r="Q7" s="1011" t="s">
        <v>3543</v>
      </c>
      <c r="R7" s="1011" t="s">
        <v>3544</v>
      </c>
      <c r="S7" s="1087" t="s">
        <v>3545</v>
      </c>
      <c r="T7" s="1087" t="s">
        <v>3546</v>
      </c>
      <c r="U7" s="1087" t="s">
        <v>3547</v>
      </c>
      <c r="V7" s="1087" t="s">
        <v>3548</v>
      </c>
      <c r="W7" s="1087" t="s">
        <v>3938</v>
      </c>
      <c r="X7" s="1016">
        <f>+H7</f>
        <v>43190</v>
      </c>
      <c r="Y7" s="1092" t="s">
        <v>2674</v>
      </c>
      <c r="Z7" s="1016">
        <f>+X7</f>
        <v>43190</v>
      </c>
      <c r="AA7" s="1093"/>
      <c r="AB7" s="1094"/>
      <c r="AC7" s="1020" t="s">
        <v>3549</v>
      </c>
      <c r="AD7" s="1019" t="s">
        <v>3534</v>
      </c>
      <c r="AE7" s="1020" t="s">
        <v>3550</v>
      </c>
      <c r="AF7" s="1020" t="s">
        <v>3551</v>
      </c>
      <c r="BB7" s="1079"/>
    </row>
    <row r="8" spans="2:54" s="1027" customFormat="1" ht="15" customHeight="1">
      <c r="B8" s="1095"/>
      <c r="C8" s="1096"/>
      <c r="D8" s="1096"/>
      <c r="E8" s="1096"/>
      <c r="F8" s="1096"/>
      <c r="G8" s="1096"/>
      <c r="H8" s="1097"/>
      <c r="I8" s="1097"/>
      <c r="J8" s="1097"/>
      <c r="K8" s="1098"/>
      <c r="L8" s="1099"/>
      <c r="M8" s="1099"/>
      <c r="N8" s="1099"/>
      <c r="O8" s="1099"/>
      <c r="P8" s="1099"/>
      <c r="Q8" s="1099"/>
      <c r="R8" s="1099"/>
      <c r="S8" s="1099"/>
      <c r="T8" s="1099"/>
      <c r="U8" s="1099"/>
      <c r="V8" s="1099"/>
      <c r="W8" s="1099"/>
      <c r="X8" s="1099"/>
      <c r="Y8" s="1100"/>
      <c r="Z8" s="1099"/>
      <c r="AA8" s="1100"/>
      <c r="AB8" s="1101"/>
    </row>
    <row r="9" spans="2:54" s="1027" customFormat="1" ht="15" customHeight="1">
      <c r="B9" s="1783" t="s">
        <v>3552</v>
      </c>
      <c r="C9" s="1561"/>
      <c r="D9" s="1561"/>
      <c r="E9" s="1561"/>
      <c r="F9" s="1561"/>
      <c r="G9" s="1561"/>
      <c r="H9" s="1031">
        <f ca="1">+H11+H29+H37+H39+H65</f>
        <v>2141162168336</v>
      </c>
      <c r="I9" s="1031">
        <f>+I11+I29+I37+I39+I65</f>
        <v>0</v>
      </c>
      <c r="J9" s="1031">
        <f>+J11+J29+J37+J39+J65</f>
        <v>0</v>
      </c>
      <c r="K9" s="1031">
        <f>+K11+K29+K37+K39+K65</f>
        <v>0</v>
      </c>
      <c r="L9" s="1031">
        <f>+L11+L29+L37+L39+L65</f>
        <v>0</v>
      </c>
      <c r="M9" s="1031"/>
      <c r="N9" s="1031"/>
      <c r="O9" s="1031">
        <f>+O11+O29+O37+O39+O65</f>
        <v>0</v>
      </c>
      <c r="P9" s="1031"/>
      <c r="Q9" s="1031">
        <f>+Q11+Q29+Q37+Q39+Q65</f>
        <v>0</v>
      </c>
      <c r="R9" s="1031">
        <f>+R11+R29+R37+R39+R65</f>
        <v>0</v>
      </c>
      <c r="S9" s="1031">
        <f>+S11+S29+S37+S39+S65</f>
        <v>0</v>
      </c>
      <c r="T9" s="1031">
        <f>+T11+T29+T37+T39+T65</f>
        <v>0</v>
      </c>
      <c r="U9" s="1031"/>
      <c r="V9" s="1031">
        <f>+V11+V29+V37+V39+V65</f>
        <v>0</v>
      </c>
      <c r="W9" s="1031">
        <f>+W11+W29+W37+W39+W65</f>
        <v>0</v>
      </c>
      <c r="X9" s="1031">
        <f ca="1">+X11+X29+X37+X39+X65</f>
        <v>2125954314187</v>
      </c>
      <c r="Y9" s="1036"/>
      <c r="Z9" s="1057">
        <f ca="1">+Z11+Z29+Z37+Z39+Z65</f>
        <v>2125954317</v>
      </c>
      <c r="AB9" s="1102"/>
      <c r="AD9" s="1054"/>
      <c r="AE9" s="1064"/>
    </row>
    <row r="10" spans="2:54" s="1027" customFormat="1" ht="15" customHeight="1">
      <c r="B10" s="1103"/>
      <c r="C10" s="1055"/>
      <c r="D10" s="1055"/>
      <c r="E10" s="1055"/>
      <c r="F10" s="1055"/>
      <c r="G10" s="1051"/>
      <c r="H10" s="1037"/>
      <c r="I10" s="1037"/>
      <c r="J10" s="1037"/>
      <c r="K10" s="1038"/>
      <c r="L10" s="1038"/>
      <c r="M10" s="1038"/>
      <c r="N10" s="1038"/>
      <c r="O10" s="1038"/>
      <c r="P10" s="1038"/>
      <c r="Q10" s="1038"/>
      <c r="R10" s="1038"/>
      <c r="S10" s="1038"/>
      <c r="T10" s="1038"/>
      <c r="U10" s="1038"/>
      <c r="V10" s="1038"/>
      <c r="W10" s="1038"/>
      <c r="X10" s="1038"/>
      <c r="Y10" s="1100"/>
      <c r="Z10" s="1104"/>
      <c r="AA10" s="1100"/>
      <c r="AB10" s="1101"/>
    </row>
    <row r="11" spans="2:54" s="1027" customFormat="1" ht="15" customHeight="1">
      <c r="B11" s="1105"/>
      <c r="C11" s="1106" t="s">
        <v>3553</v>
      </c>
      <c r="D11" s="1106"/>
      <c r="E11" s="1106"/>
      <c r="F11" s="1561" t="s">
        <v>3554</v>
      </c>
      <c r="G11" s="1561"/>
      <c r="H11" s="1031">
        <f ca="1">+H13+H15+H17+H19+H23+H25</f>
        <v>1687858261253</v>
      </c>
      <c r="I11" s="1031">
        <f>+I13+I15+I17+I19+I23+I25</f>
        <v>0</v>
      </c>
      <c r="J11" s="1031">
        <f>+J13+J15+J17+J19+J23+J25</f>
        <v>-12937955</v>
      </c>
      <c r="K11" s="1031">
        <f>+K13+K15+K17+K19+K23+K25</f>
        <v>0</v>
      </c>
      <c r="L11" s="1031">
        <f>+L13+L15+L17+L19+L23+L25</f>
        <v>0</v>
      </c>
      <c r="M11" s="1031"/>
      <c r="N11" s="1031"/>
      <c r="O11" s="1031">
        <f>+O13+O15+O17+O19+O23+O25</f>
        <v>0</v>
      </c>
      <c r="P11" s="1031"/>
      <c r="Q11" s="1031">
        <f>+Q13+Q15+Q17+Q19+Q23+Q25</f>
        <v>0</v>
      </c>
      <c r="R11" s="1031">
        <f>+R13+R15+R17+R19+R23+R25</f>
        <v>0</v>
      </c>
      <c r="S11" s="1031">
        <f>+S13+S15+S17+S19+S23+S25</f>
        <v>0</v>
      </c>
      <c r="T11" s="1031">
        <f>+T13+T15+T17+T19+T23+T25</f>
        <v>0</v>
      </c>
      <c r="U11" s="1031"/>
      <c r="V11" s="1031">
        <f>+V13+V15+V17+V19+V23+V25</f>
        <v>0</v>
      </c>
      <c r="W11" s="1031">
        <f>+W13+W15+W17+W19+W23+W25</f>
        <v>-36000</v>
      </c>
      <c r="X11" s="1031">
        <f ca="1">+X13+X15+X17+X19+X23+X25</f>
        <v>1687845287298</v>
      </c>
      <c r="Y11" s="1100"/>
      <c r="Z11" s="1057">
        <f ca="1">ROUND((+Z13+Z15+Z17+Z19+Z23+Z25),0)</f>
        <v>1687845288</v>
      </c>
      <c r="AA11" s="1100"/>
      <c r="AB11" s="1107">
        <v>35</v>
      </c>
      <c r="AC11" s="1108" t="s">
        <v>3555</v>
      </c>
      <c r="AD11" s="1053">
        <f>+'Nota 35'!E79</f>
        <v>1980759433</v>
      </c>
      <c r="AE11" s="1035" t="str">
        <f ca="1">IF((Z11+Z29-Pasivo!X13)-AD11=0,"Ok","Error")</f>
        <v>Ok</v>
      </c>
      <c r="AF11" s="1036">
        <f ca="1">+Z11+Z29-AD11</f>
        <v>0</v>
      </c>
      <c r="AG11" s="1054"/>
      <c r="AH11" s="1054"/>
    </row>
    <row r="12" spans="2:54" s="1027" customFormat="1" ht="15" customHeight="1">
      <c r="B12" s="1105"/>
      <c r="C12" s="1106"/>
      <c r="D12" s="1106"/>
      <c r="E12" s="1106"/>
      <c r="F12" s="1050"/>
      <c r="G12" s="1050"/>
      <c r="H12" s="1044"/>
      <c r="I12" s="1044"/>
      <c r="J12" s="1044"/>
      <c r="K12" s="1044"/>
      <c r="L12" s="1044"/>
      <c r="M12" s="1044"/>
      <c r="N12" s="1044"/>
      <c r="O12" s="1044"/>
      <c r="P12" s="1044"/>
      <c r="Q12" s="1044"/>
      <c r="R12" s="1044"/>
      <c r="S12" s="1044"/>
      <c r="T12" s="1044"/>
      <c r="U12" s="1044"/>
      <c r="V12" s="1044"/>
      <c r="W12" s="1044"/>
      <c r="X12" s="1044"/>
      <c r="Y12" s="1100"/>
      <c r="Z12" s="1057"/>
      <c r="AA12" s="1100"/>
      <c r="AB12" s="1107"/>
      <c r="AC12" s="1108"/>
      <c r="AD12" s="1053"/>
      <c r="AE12" s="1035"/>
      <c r="AF12" s="1131"/>
      <c r="AI12" s="1109"/>
    </row>
    <row r="13" spans="2:54" s="1027" customFormat="1" ht="15" customHeight="1">
      <c r="B13" s="1105"/>
      <c r="C13" s="1106"/>
      <c r="E13" s="1022">
        <v>5111000</v>
      </c>
      <c r="F13" s="1561" t="s">
        <v>3388</v>
      </c>
      <c r="G13" s="1561"/>
      <c r="H13" s="1045">
        <f ca="1">+SUMIF('Mapping FECU'!$E$9:$G$601,Activo!E13,'Mapping FECU'!$G$9:$G$601)</f>
        <v>6996169669</v>
      </c>
      <c r="I13" s="1045"/>
      <c r="J13" s="1045"/>
      <c r="K13" s="1045"/>
      <c r="L13" s="1045"/>
      <c r="M13" s="1045"/>
      <c r="N13" s="1045"/>
      <c r="O13" s="1045"/>
      <c r="P13" s="1045"/>
      <c r="Q13" s="1056">
        <f>-487802000</f>
        <v>-487802000</v>
      </c>
      <c r="R13" s="1045"/>
      <c r="S13" s="1045"/>
      <c r="T13" s="1045"/>
      <c r="U13" s="1045"/>
      <c r="V13" s="1045"/>
      <c r="W13" s="1045"/>
      <c r="X13" s="1045">
        <f ca="1">SUM(H13:W13)</f>
        <v>6508367669</v>
      </c>
      <c r="Y13" s="1110">
        <f>+E13</f>
        <v>5111000</v>
      </c>
      <c r="Z13" s="1045">
        <f ca="1">ROUND(X13/1000,0)</f>
        <v>6508368</v>
      </c>
      <c r="AA13" s="1111"/>
      <c r="AB13" s="1107">
        <v>7</v>
      </c>
      <c r="AC13" s="1247" t="s">
        <v>3556</v>
      </c>
      <c r="AD13" s="1053">
        <f>+'Nota 7'!I11</f>
        <v>6508368</v>
      </c>
      <c r="AE13" s="1035" t="str">
        <f ca="1">IF(Z13-AD13=0,"Ok","Error")</f>
        <v>Ok</v>
      </c>
      <c r="AF13" s="1036">
        <f ca="1">ROUND((+AD13-Z13),0)</f>
        <v>0</v>
      </c>
    </row>
    <row r="14" spans="2:54" s="1027" customFormat="1" ht="15" customHeight="1">
      <c r="B14" s="1105"/>
      <c r="C14" s="1106"/>
      <c r="E14" s="1022"/>
      <c r="F14" s="1050"/>
      <c r="G14" s="1050"/>
      <c r="H14" s="1045"/>
      <c r="I14" s="1045"/>
      <c r="J14" s="1045"/>
      <c r="K14" s="1045"/>
      <c r="L14" s="1045"/>
      <c r="M14" s="1045"/>
      <c r="N14" s="1045"/>
      <c r="O14" s="1045"/>
      <c r="P14" s="1045"/>
      <c r="Q14" s="1045"/>
      <c r="R14" s="1045"/>
      <c r="S14" s="1045"/>
      <c r="T14" s="1045"/>
      <c r="U14" s="1045"/>
      <c r="V14" s="1045"/>
      <c r="W14" s="1045"/>
      <c r="X14" s="1045"/>
      <c r="Y14" s="1110"/>
      <c r="Z14" s="1045"/>
      <c r="AA14" s="1111"/>
      <c r="AB14" s="1107"/>
      <c r="AC14" s="1247" t="s">
        <v>3557</v>
      </c>
      <c r="AD14" s="1053">
        <f>+'4. Estado de flujo'!F70</f>
        <v>6508368</v>
      </c>
      <c r="AE14" s="1035" t="str">
        <f ca="1">IF(Z13-AD14=0,"Ok","Error")</f>
        <v>Ok</v>
      </c>
      <c r="AF14" s="1036">
        <f ca="1">ROUND((+AD14-Z13),0)</f>
        <v>0</v>
      </c>
      <c r="AH14" s="1054"/>
    </row>
    <row r="15" spans="2:54" s="1027" customFormat="1" ht="15" customHeight="1">
      <c r="B15" s="1105"/>
      <c r="C15" s="1106"/>
      <c r="E15" s="1022">
        <v>5112000</v>
      </c>
      <c r="F15" s="1561" t="s">
        <v>3391</v>
      </c>
      <c r="G15" s="1561"/>
      <c r="H15" s="1045">
        <f ca="1">+SUMIF('Mapping FECU'!$E$9:$G$601,Activo!E15,'Mapping FECU'!$G$9:$G$601)</f>
        <v>37127946569</v>
      </c>
      <c r="I15" s="1045"/>
      <c r="J15" s="1045"/>
      <c r="K15" s="1045"/>
      <c r="L15" s="1045"/>
      <c r="M15" s="1045"/>
      <c r="N15" s="1045"/>
      <c r="O15" s="1045"/>
      <c r="P15" s="1045"/>
      <c r="Q15" s="1045"/>
      <c r="R15" s="1045"/>
      <c r="S15" s="1113"/>
      <c r="T15" s="1113"/>
      <c r="U15" s="1113"/>
      <c r="V15" s="1113"/>
      <c r="W15" s="1113">
        <v>1000</v>
      </c>
      <c r="X15" s="1045">
        <f ca="1">SUM(H15:W15)</f>
        <v>37127947569</v>
      </c>
      <c r="Y15" s="1110">
        <f>+E15</f>
        <v>5112000</v>
      </c>
      <c r="Z15" s="1164">
        <f ca="1">ROUND(X15/1000,0)</f>
        <v>37127948</v>
      </c>
      <c r="AA15" s="1111"/>
      <c r="AB15" s="1107" t="s">
        <v>3558</v>
      </c>
      <c r="AC15" s="1108" t="s">
        <v>3559</v>
      </c>
      <c r="AD15" s="1053">
        <f>+'Nota  8'!J38</f>
        <v>37127948</v>
      </c>
      <c r="AE15" s="1035" t="str">
        <f ca="1">IF(Z15-AD15=0,"Ok","Error")</f>
        <v>Ok</v>
      </c>
      <c r="AF15" s="1036">
        <f ca="1">ROUND((+AD15-Z15),0)</f>
        <v>0</v>
      </c>
    </row>
    <row r="16" spans="2:54" s="1027" customFormat="1" ht="15" customHeight="1">
      <c r="B16" s="1105"/>
      <c r="C16" s="1106"/>
      <c r="E16" s="1022"/>
      <c r="F16" s="1050"/>
      <c r="G16" s="1050"/>
      <c r="H16" s="1045"/>
      <c r="I16" s="1045"/>
      <c r="J16" s="1045"/>
      <c r="K16" s="1045"/>
      <c r="L16" s="1045"/>
      <c r="M16" s="1045"/>
      <c r="N16" s="1045"/>
      <c r="O16" s="1045"/>
      <c r="P16" s="1045"/>
      <c r="Q16" s="1045"/>
      <c r="R16" s="1045"/>
      <c r="S16" s="1045"/>
      <c r="T16" s="1045"/>
      <c r="U16" s="1045"/>
      <c r="V16" s="1045"/>
      <c r="W16" s="1045"/>
      <c r="X16" s="1045"/>
      <c r="Y16" s="1036"/>
      <c r="Z16" s="1045"/>
      <c r="AA16" s="1111"/>
      <c r="AB16" s="1107" t="s">
        <v>3560</v>
      </c>
      <c r="AC16" s="1114" t="s">
        <v>3561</v>
      </c>
      <c r="AD16" s="1053">
        <f>+'Nota 13'!D22</f>
        <v>37127948</v>
      </c>
      <c r="AE16" s="1035" t="str">
        <f ca="1">IF(Z15-AD16=0,"Ok","Error")</f>
        <v>Ok</v>
      </c>
      <c r="AF16" s="1036">
        <f ca="1">ROUND((+AD16-Z15+Pasivo!AA13),0)</f>
        <v>0</v>
      </c>
    </row>
    <row r="17" spans="2:34" s="1027" customFormat="1" ht="15" customHeight="1">
      <c r="B17" s="1105"/>
      <c r="C17" s="1106"/>
      <c r="E17" s="1022">
        <v>5113000</v>
      </c>
      <c r="F17" s="1561" t="s">
        <v>3386</v>
      </c>
      <c r="G17" s="1561"/>
      <c r="H17" s="1045">
        <f ca="1">+SUMIF('Mapping FECU'!$E$9:$G$601,Activo!E17,'Mapping FECU'!$G$9:$G$601)</f>
        <v>1387151690479</v>
      </c>
      <c r="I17" s="1045"/>
      <c r="J17" s="1045"/>
      <c r="K17" s="1045"/>
      <c r="L17" s="1045"/>
      <c r="M17" s="1045"/>
      <c r="N17" s="1045">
        <f>8490870</f>
        <v>8490870</v>
      </c>
      <c r="O17" s="1045"/>
      <c r="P17" s="1045"/>
      <c r="Q17" s="1045"/>
      <c r="R17" s="1045"/>
      <c r="S17" s="1113"/>
      <c r="T17" s="1169"/>
      <c r="U17" s="1169"/>
      <c r="V17" s="1045"/>
      <c r="W17" s="1045">
        <f>-1000-19000</f>
        <v>-20000</v>
      </c>
      <c r="X17" s="1045">
        <f ca="1">SUM(H17:W17)</f>
        <v>1387160161349</v>
      </c>
      <c r="Y17" s="1110">
        <f>+E17</f>
        <v>5113000</v>
      </c>
      <c r="Z17" s="1164">
        <f ca="1">ROUND(X17/1000,0)</f>
        <v>1387160161</v>
      </c>
      <c r="AA17" s="1036"/>
      <c r="AB17" s="1107" t="s">
        <v>3560</v>
      </c>
      <c r="AC17" s="1114" t="s">
        <v>3561</v>
      </c>
      <c r="AD17" s="1053">
        <f>+'Nota 13'!E22</f>
        <v>1387160161</v>
      </c>
      <c r="AE17" s="1035" t="str">
        <f ca="1">IF(Z17-AD17=0,"Ok","Error")</f>
        <v>Ok</v>
      </c>
      <c r="AF17" s="1036">
        <f ca="1">+AD17-Z17</f>
        <v>0</v>
      </c>
    </row>
    <row r="18" spans="2:34" s="1027" customFormat="1" ht="15" customHeight="1">
      <c r="B18" s="1105"/>
      <c r="C18" s="1106"/>
      <c r="E18" s="1022"/>
      <c r="F18" s="1050"/>
      <c r="G18" s="1050"/>
      <c r="H18" s="1045"/>
      <c r="I18" s="1045"/>
      <c r="J18" s="1045"/>
      <c r="K18" s="1045"/>
      <c r="L18" s="1045"/>
      <c r="M18" s="1045"/>
      <c r="N18" s="1045"/>
      <c r="O18" s="1045"/>
      <c r="P18" s="1045"/>
      <c r="Q18" s="1045"/>
      <c r="R18" s="1045"/>
      <c r="S18" s="1045"/>
      <c r="T18" s="1045"/>
      <c r="U18" s="1045"/>
      <c r="V18" s="1045"/>
      <c r="W18" s="1045"/>
      <c r="X18" s="1045"/>
      <c r="Y18" s="1036"/>
      <c r="Z18" s="1045"/>
      <c r="AA18" s="1036"/>
      <c r="AB18" s="1107">
        <v>9</v>
      </c>
      <c r="AC18" s="1114" t="s">
        <v>3394</v>
      </c>
      <c r="AD18" s="1053">
        <f>+'Nota 9'!H22</f>
        <v>1387160161</v>
      </c>
      <c r="AE18" s="1035" t="str">
        <f ca="1">IF(Z17-AD18=0,"Ok","Error")</f>
        <v>Ok</v>
      </c>
      <c r="AF18" s="1036">
        <f ca="1">+AD18-Z17</f>
        <v>0</v>
      </c>
    </row>
    <row r="19" spans="2:34" s="1027" customFormat="1" ht="15" customHeight="1">
      <c r="B19" s="1105"/>
      <c r="C19" s="1106"/>
      <c r="D19" s="1106">
        <v>5114000</v>
      </c>
      <c r="E19" s="1106"/>
      <c r="F19" s="1561" t="s">
        <v>388</v>
      </c>
      <c r="G19" s="1561"/>
      <c r="H19" s="1045">
        <f ca="1">SUM(H20:H21)</f>
        <v>10600244099</v>
      </c>
      <c r="I19" s="1045"/>
      <c r="J19" s="1045"/>
      <c r="K19" s="1045">
        <f>SUM(K20:K21)</f>
        <v>0</v>
      </c>
      <c r="L19" s="1045"/>
      <c r="M19" s="1045"/>
      <c r="N19" s="1045"/>
      <c r="O19" s="1045"/>
      <c r="P19" s="1045"/>
      <c r="Q19" s="1045"/>
      <c r="R19" s="1045"/>
      <c r="S19" s="1045"/>
      <c r="T19" s="1045"/>
      <c r="U19" s="1045"/>
      <c r="V19" s="1045"/>
      <c r="W19" s="1045"/>
      <c r="X19" s="1045">
        <f ca="1">SUM(H19:W19)</f>
        <v>10600244099</v>
      </c>
      <c r="Y19" s="1027">
        <f>+D19</f>
        <v>5114000</v>
      </c>
      <c r="Z19" s="1044">
        <f ca="1">SUM(Z20:Z21)</f>
        <v>10600244</v>
      </c>
      <c r="AA19" s="1100"/>
      <c r="AB19" s="1102"/>
      <c r="AC19" s="1036"/>
      <c r="AD19" s="1053"/>
      <c r="AE19" s="1036"/>
      <c r="AF19" s="1036"/>
    </row>
    <row r="20" spans="2:34" s="1027" customFormat="1" ht="15" customHeight="1">
      <c r="B20" s="1105"/>
      <c r="C20" s="1022"/>
      <c r="D20" s="1022"/>
      <c r="E20" s="1022">
        <v>5114100</v>
      </c>
      <c r="F20" s="1560" t="s">
        <v>3397</v>
      </c>
      <c r="G20" s="1560"/>
      <c r="H20" s="1045">
        <f ca="1">+SUMIF('Mapping FECU'!$E$9:$G$601,Activo!E20,'Mapping FECU'!$G$9:$G$601)</f>
        <v>2508900048</v>
      </c>
      <c r="I20" s="1045"/>
      <c r="J20" s="1045"/>
      <c r="K20" s="1045">
        <v>0</v>
      </c>
      <c r="L20" s="1045"/>
      <c r="M20" s="1045"/>
      <c r="N20" s="1045"/>
      <c r="O20" s="1045"/>
      <c r="P20" s="1045"/>
      <c r="Q20" s="1045"/>
      <c r="R20" s="1045"/>
      <c r="S20" s="1045"/>
      <c r="T20" s="1045"/>
      <c r="U20" s="1045"/>
      <c r="V20" s="1045"/>
      <c r="W20" s="1045"/>
      <c r="X20" s="1045">
        <f ca="1">SUM(H20:W20)</f>
        <v>2508900048</v>
      </c>
      <c r="Y20" s="1110">
        <f t="shared" ref="Y20:Y23" si="0">+E20</f>
        <v>5114100</v>
      </c>
      <c r="Z20" s="1045">
        <f ca="1">ROUND(X20/1000,0)</f>
        <v>2508900</v>
      </c>
      <c r="AA20" s="1100"/>
      <c r="AB20" s="1107">
        <v>10</v>
      </c>
      <c r="AC20" s="1114" t="s">
        <v>3562</v>
      </c>
      <c r="AD20" s="1053">
        <f>+'Nota 10'!G7</f>
        <v>2508900</v>
      </c>
      <c r="AE20" s="1035" t="str">
        <f ca="1">IF(Z20-AD20=0,"Ok","Error")</f>
        <v>Ok</v>
      </c>
      <c r="AF20" s="1036">
        <f ca="1">+AD20-Z20</f>
        <v>0</v>
      </c>
    </row>
    <row r="21" spans="2:34" s="1027" customFormat="1" ht="15" customHeight="1">
      <c r="B21" s="1105"/>
      <c r="C21" s="1022"/>
      <c r="D21" s="1022"/>
      <c r="E21" s="1022">
        <v>5114200</v>
      </c>
      <c r="F21" s="1560" t="s">
        <v>3398</v>
      </c>
      <c r="G21" s="1560"/>
      <c r="H21" s="1045">
        <f ca="1">+SUMIF('Mapping FECU'!$E$9:$G$601,Activo!E21,'Mapping FECU'!$G$9:$G$601)</f>
        <v>8091344051</v>
      </c>
      <c r="I21" s="1045"/>
      <c r="J21" s="1045"/>
      <c r="K21" s="1045">
        <v>0</v>
      </c>
      <c r="L21" s="1045"/>
      <c r="M21" s="1045"/>
      <c r="N21" s="1045"/>
      <c r="O21" s="1045"/>
      <c r="P21" s="1045"/>
      <c r="Q21" s="1045"/>
      <c r="R21" s="1045"/>
      <c r="S21" s="1045"/>
      <c r="T21" s="1045"/>
      <c r="U21" s="1045"/>
      <c r="V21" s="1045"/>
      <c r="W21" s="1045"/>
      <c r="X21" s="1045">
        <f ca="1">SUM(H21:W21)</f>
        <v>8091344051</v>
      </c>
      <c r="Y21" s="1110">
        <f t="shared" si="0"/>
        <v>5114200</v>
      </c>
      <c r="Z21" s="1045">
        <f ca="1">ROUND(X21/1000,0)</f>
        <v>8091344</v>
      </c>
      <c r="AA21" s="1100"/>
      <c r="AB21" s="1107">
        <v>10</v>
      </c>
      <c r="AC21" s="1114" t="s">
        <v>3563</v>
      </c>
      <c r="AD21" s="1053">
        <f>+'Nota 10'!H8</f>
        <v>8091344</v>
      </c>
      <c r="AE21" s="1035" t="str">
        <f ca="1">IF(Z21-AD21=0,"Ok","Error")</f>
        <v>Ok</v>
      </c>
      <c r="AF21" s="1036">
        <f ca="1">+AD21-Z21</f>
        <v>0</v>
      </c>
    </row>
    <row r="22" spans="2:34" s="1027" customFormat="1" ht="15" customHeight="1">
      <c r="B22" s="1105"/>
      <c r="C22" s="1022"/>
      <c r="D22" s="1022"/>
      <c r="E22" s="1022"/>
      <c r="F22" s="1055"/>
      <c r="G22" s="1055"/>
      <c r="H22" s="1045"/>
      <c r="I22" s="1045"/>
      <c r="J22" s="1045"/>
      <c r="K22" s="1045"/>
      <c r="L22" s="1045"/>
      <c r="M22" s="1045"/>
      <c r="N22" s="1045"/>
      <c r="O22" s="1045"/>
      <c r="P22" s="1045"/>
      <c r="Q22" s="1045"/>
      <c r="R22" s="1045"/>
      <c r="S22" s="1045"/>
      <c r="T22" s="1045"/>
      <c r="U22" s="1045"/>
      <c r="V22" s="1045"/>
      <c r="W22" s="1045"/>
      <c r="X22" s="1045"/>
      <c r="Y22" s="1036"/>
      <c r="Z22" s="1045"/>
      <c r="AA22" s="1100"/>
      <c r="AB22" s="1107"/>
      <c r="AC22" s="1114"/>
      <c r="AD22" s="1053"/>
      <c r="AE22" s="1035"/>
      <c r="AF22" s="1036"/>
    </row>
    <row r="23" spans="2:34" s="1027" customFormat="1" ht="15" customHeight="1">
      <c r="B23" s="1105"/>
      <c r="C23" s="1106"/>
      <c r="E23" s="1022">
        <v>5115000</v>
      </c>
      <c r="F23" s="1561" t="s">
        <v>3500</v>
      </c>
      <c r="G23" s="1561"/>
      <c r="H23" s="1045">
        <f ca="1">+SUMIF('Mapping FECU'!$E$9:$G$601,Activo!E23,'Mapping FECU'!$G$9:$G$601)</f>
        <v>240518620326</v>
      </c>
      <c r="I23" s="1045"/>
      <c r="J23" s="1153">
        <v>-12937955</v>
      </c>
      <c r="K23" s="1045"/>
      <c r="L23" s="1045">
        <f>-L17</f>
        <v>0</v>
      </c>
      <c r="M23" s="1045"/>
      <c r="N23" s="1045">
        <f>-N17</f>
        <v>-8490870</v>
      </c>
      <c r="O23" s="1045"/>
      <c r="P23" s="1045"/>
      <c r="Q23" s="1056">
        <f>-Q13</f>
        <v>487802000</v>
      </c>
      <c r="R23" s="1045"/>
      <c r="S23" s="1113"/>
      <c r="T23" s="1169"/>
      <c r="U23" s="1169"/>
      <c r="V23" s="1045"/>
      <c r="W23" s="1045">
        <v>-17000</v>
      </c>
      <c r="X23" s="1044">
        <f ca="1">SUM(H23:W23)</f>
        <v>240984976501</v>
      </c>
      <c r="Y23" s="1110">
        <f t="shared" si="0"/>
        <v>5115000</v>
      </c>
      <c r="Z23" s="1185">
        <f ca="1">ROUND(X23/1000,0)</f>
        <v>240984977</v>
      </c>
      <c r="AA23" s="1036"/>
      <c r="AB23" s="1107">
        <v>11</v>
      </c>
      <c r="AC23" s="1114" t="s">
        <v>3564</v>
      </c>
      <c r="AD23" s="1053">
        <f>+'Nota 11'!V41</f>
        <v>240984977</v>
      </c>
      <c r="AE23" s="1035" t="str">
        <f ca="1">IF(Z23-AD23=0,"Ok","Error")</f>
        <v>Ok</v>
      </c>
      <c r="AF23" s="1148">
        <f ca="1">+AD23-Z23</f>
        <v>0</v>
      </c>
    </row>
    <row r="24" spans="2:34" s="1027" customFormat="1" ht="15" customHeight="1">
      <c r="B24" s="1105"/>
      <c r="C24" s="1106"/>
      <c r="E24" s="1022"/>
      <c r="F24" s="1050"/>
      <c r="G24" s="1050"/>
      <c r="H24" s="1045"/>
      <c r="I24" s="1045"/>
      <c r="J24" s="1045"/>
      <c r="K24" s="1045"/>
      <c r="L24" s="1045"/>
      <c r="M24" s="1045"/>
      <c r="N24" s="1045"/>
      <c r="O24" s="1045"/>
      <c r="P24" s="1045"/>
      <c r="Q24" s="1045"/>
      <c r="R24" s="1045"/>
      <c r="S24" s="1045"/>
      <c r="T24" s="1045"/>
      <c r="U24" s="1045"/>
      <c r="V24" s="1045"/>
      <c r="W24" s="1045"/>
      <c r="X24" s="1044"/>
      <c r="Y24" s="1036"/>
      <c r="Z24" s="1044"/>
      <c r="AA24" s="1036"/>
      <c r="AB24" s="1102"/>
      <c r="AC24" s="1036"/>
      <c r="AD24" s="1053"/>
      <c r="AE24" s="1036"/>
      <c r="AF24" s="1036"/>
    </row>
    <row r="25" spans="2:34" s="1027" customFormat="1" ht="15" customHeight="1">
      <c r="B25" s="1105"/>
      <c r="C25" s="1106"/>
      <c r="D25" s="1106">
        <v>5116000</v>
      </c>
      <c r="E25" s="1106"/>
      <c r="F25" s="1561" t="s">
        <v>3501</v>
      </c>
      <c r="G25" s="1561"/>
      <c r="H25" s="1045">
        <f ca="1">+H26+H27</f>
        <v>5463590111</v>
      </c>
      <c r="I25" s="1044">
        <f t="shared" ref="I25:W25" si="1">+I26+I27</f>
        <v>0</v>
      </c>
      <c r="J25" s="1044">
        <f t="shared" si="1"/>
        <v>0</v>
      </c>
      <c r="K25" s="1044">
        <f t="shared" si="1"/>
        <v>0</v>
      </c>
      <c r="L25" s="1044">
        <f t="shared" si="1"/>
        <v>0</v>
      </c>
      <c r="M25" s="1044"/>
      <c r="N25" s="1044"/>
      <c r="O25" s="1044">
        <f>+O26+O27</f>
        <v>0</v>
      </c>
      <c r="P25" s="1044"/>
      <c r="Q25" s="1044">
        <f t="shared" si="1"/>
        <v>0</v>
      </c>
      <c r="R25" s="1044">
        <f t="shared" si="1"/>
        <v>0</v>
      </c>
      <c r="S25" s="1044">
        <f t="shared" si="1"/>
        <v>0</v>
      </c>
      <c r="T25" s="1044">
        <f t="shared" si="1"/>
        <v>0</v>
      </c>
      <c r="U25" s="1044"/>
      <c r="V25" s="1044">
        <f t="shared" si="1"/>
        <v>0</v>
      </c>
      <c r="W25" s="1044">
        <f t="shared" si="1"/>
        <v>0</v>
      </c>
      <c r="X25" s="1044">
        <f ca="1">+X26+X27</f>
        <v>5463590111</v>
      </c>
      <c r="Y25" s="1027">
        <f>+D25</f>
        <v>5116000</v>
      </c>
      <c r="Z25" s="1044">
        <f ca="1">SUM(Z26:Z27)</f>
        <v>5463590</v>
      </c>
      <c r="AA25" s="1111"/>
      <c r="AB25" s="1101"/>
      <c r="AC25" s="1100"/>
      <c r="AD25" s="1053"/>
      <c r="AE25" s="1100"/>
      <c r="AF25" s="1036"/>
      <c r="AH25" s="1054"/>
    </row>
    <row r="26" spans="2:34" s="1027" customFormat="1" ht="15" customHeight="1">
      <c r="B26" s="1105"/>
      <c r="C26" s="1022"/>
      <c r="D26" s="1022"/>
      <c r="E26" s="1022">
        <v>5116100</v>
      </c>
      <c r="F26" s="1560" t="s">
        <v>3502</v>
      </c>
      <c r="G26" s="1560"/>
      <c r="H26" s="1045">
        <f ca="1">+SUMIF('Mapping FECU'!$E$9:$G$601,Activo!E26,'Mapping FECU'!$G$9:$G$601)</f>
        <v>5463590111</v>
      </c>
      <c r="I26" s="1045"/>
      <c r="J26" s="1045"/>
      <c r="K26" s="1045"/>
      <c r="L26" s="1045"/>
      <c r="M26" s="1045"/>
      <c r="N26" s="1045"/>
      <c r="O26" s="1056">
        <f>-2530151000+672000</f>
        <v>-2529479000</v>
      </c>
      <c r="P26" s="1056"/>
      <c r="Q26" s="1045"/>
      <c r="R26" s="1045"/>
      <c r="S26" s="1045"/>
      <c r="T26" s="1045"/>
      <c r="U26" s="1045"/>
      <c r="V26" s="1045"/>
      <c r="W26" s="1045"/>
      <c r="X26" s="1045">
        <f ca="1">SUM(H26:W26)</f>
        <v>2934111111</v>
      </c>
      <c r="Y26" s="1110">
        <f t="shared" ref="Y26:Y27" si="2">+E26</f>
        <v>5116100</v>
      </c>
      <c r="Z26" s="1045">
        <f ca="1">ROUND(X26/1000,0)</f>
        <v>2934111</v>
      </c>
      <c r="AA26" s="1111"/>
      <c r="AB26" s="1115" t="s">
        <v>3565</v>
      </c>
      <c r="AC26" s="1247" t="s">
        <v>3566</v>
      </c>
      <c r="AD26" s="1053">
        <f>+'Nota 12'!N28</f>
        <v>2934111</v>
      </c>
      <c r="AE26" s="1035" t="str">
        <f ca="1">IF(Z26-AD26=0,"Ok","Error")</f>
        <v>Ok</v>
      </c>
      <c r="AF26" s="1036">
        <f ca="1">+AD26-Z26</f>
        <v>0</v>
      </c>
    </row>
    <row r="27" spans="2:34" s="1027" customFormat="1" ht="15" customHeight="1">
      <c r="B27" s="1105"/>
      <c r="C27" s="1022"/>
      <c r="D27" s="1022"/>
      <c r="E27" s="1022">
        <v>5116200</v>
      </c>
      <c r="F27" s="1560" t="s">
        <v>3503</v>
      </c>
      <c r="G27" s="1560"/>
      <c r="H27" s="1045">
        <f ca="1">+SUMIF('Mapping FECU'!$E$9:$G$601,Activo!E27,'Mapping FECU'!$G$9:$G$601)</f>
        <v>0</v>
      </c>
      <c r="I27" s="1045"/>
      <c r="J27" s="1045"/>
      <c r="K27" s="1045"/>
      <c r="L27" s="1045"/>
      <c r="M27" s="1045"/>
      <c r="N27" s="1045"/>
      <c r="O27" s="1056">
        <f>-O26</f>
        <v>2529479000</v>
      </c>
      <c r="P27" s="1056"/>
      <c r="Q27" s="1045"/>
      <c r="R27" s="1045"/>
      <c r="S27" s="1045"/>
      <c r="T27" s="1045"/>
      <c r="U27" s="1045"/>
      <c r="V27" s="1045"/>
      <c r="W27" s="1045"/>
      <c r="X27" s="1045">
        <f ca="1">SUM(H27:W27)</f>
        <v>2529479000</v>
      </c>
      <c r="Y27" s="1110">
        <f t="shared" si="2"/>
        <v>5116200</v>
      </c>
      <c r="Z27" s="1045">
        <f ca="1">ROUND(X27/1000,0)</f>
        <v>2529479</v>
      </c>
      <c r="AA27" s="1111"/>
      <c r="AB27" s="1115" t="s">
        <v>3567</v>
      </c>
      <c r="AC27" s="1247" t="s">
        <v>3568</v>
      </c>
      <c r="AD27" s="1053">
        <f>+'Nota 12'!N86</f>
        <v>2529479</v>
      </c>
      <c r="AE27" s="1035" t="str">
        <f ca="1">IF(Z27-AD27=0,"Ok","Error")</f>
        <v>Ok</v>
      </c>
      <c r="AF27" s="1036">
        <f ca="1">+AD27-Z27</f>
        <v>0</v>
      </c>
    </row>
    <row r="28" spans="2:34" s="1027" customFormat="1" ht="15" customHeight="1">
      <c r="B28" s="1105"/>
      <c r="C28" s="1022"/>
      <c r="D28" s="1022"/>
      <c r="E28" s="1022"/>
      <c r="F28" s="1055"/>
      <c r="G28" s="1055"/>
      <c r="H28" s="1037"/>
      <c r="I28" s="1037"/>
      <c r="J28" s="1037"/>
      <c r="K28" s="1038"/>
      <c r="L28" s="1038"/>
      <c r="M28" s="1038"/>
      <c r="N28" s="1038"/>
      <c r="O28" s="1038"/>
      <c r="P28" s="1038"/>
      <c r="Q28" s="1038"/>
      <c r="R28" s="1038"/>
      <c r="S28" s="1038"/>
      <c r="T28" s="1038"/>
      <c r="U28" s="1038"/>
      <c r="V28" s="1038"/>
      <c r="W28" s="1038"/>
      <c r="X28" s="1038"/>
      <c r="Y28" s="1100"/>
      <c r="Z28" s="1038"/>
      <c r="AA28" s="1111"/>
      <c r="AB28" s="1101"/>
      <c r="AC28" s="1100"/>
      <c r="AD28" s="1053"/>
      <c r="AE28" s="1100"/>
      <c r="AF28" s="1036"/>
    </row>
    <row r="29" spans="2:34" s="1027" customFormat="1" ht="15" customHeight="1">
      <c r="B29" s="1105"/>
      <c r="C29" s="1106" t="s">
        <v>3569</v>
      </c>
      <c r="D29" s="1106"/>
      <c r="E29" s="1106"/>
      <c r="F29" s="1561" t="s">
        <v>3504</v>
      </c>
      <c r="G29" s="1561"/>
      <c r="H29" s="1031">
        <f ca="1">+H31+H32+H33</f>
        <v>292901206689</v>
      </c>
      <c r="I29" s="1031">
        <f t="shared" ref="I29:W29" si="3">+I31+I32+I33</f>
        <v>0</v>
      </c>
      <c r="J29" s="1031">
        <f t="shared" si="3"/>
        <v>12937955</v>
      </c>
      <c r="K29" s="1031">
        <f t="shared" si="3"/>
        <v>0</v>
      </c>
      <c r="L29" s="1031">
        <f t="shared" si="3"/>
        <v>0</v>
      </c>
      <c r="M29" s="1031"/>
      <c r="N29" s="1031"/>
      <c r="O29" s="1031">
        <f t="shared" si="3"/>
        <v>0</v>
      </c>
      <c r="P29" s="1031"/>
      <c r="Q29" s="1031">
        <f t="shared" si="3"/>
        <v>0</v>
      </c>
      <c r="R29" s="1031">
        <f t="shared" si="3"/>
        <v>0</v>
      </c>
      <c r="S29" s="1031">
        <f t="shared" si="3"/>
        <v>0</v>
      </c>
      <c r="T29" s="1031">
        <f t="shared" si="3"/>
        <v>0</v>
      </c>
      <c r="U29" s="1031"/>
      <c r="V29" s="1031">
        <f t="shared" si="3"/>
        <v>0</v>
      </c>
      <c r="W29" s="1031">
        <f t="shared" si="3"/>
        <v>1000</v>
      </c>
      <c r="X29" s="1031">
        <f ca="1">+X31+X32+X33</f>
        <v>292914145644</v>
      </c>
      <c r="Y29" s="1100"/>
      <c r="Z29" s="1044">
        <f ca="1">+Z31+Z32+Z33</f>
        <v>292914145</v>
      </c>
      <c r="AA29" s="1111"/>
      <c r="AB29" s="1101"/>
      <c r="AC29" s="1100"/>
      <c r="AD29" s="1053"/>
      <c r="AE29" s="1100"/>
      <c r="AF29" s="1036"/>
    </row>
    <row r="30" spans="2:34" s="1027" customFormat="1" ht="15" customHeight="1">
      <c r="B30" s="1105"/>
      <c r="C30" s="1106"/>
      <c r="D30" s="1106"/>
      <c r="E30" s="1106"/>
      <c r="F30" s="1050"/>
      <c r="G30" s="1050"/>
      <c r="H30" s="1116"/>
      <c r="I30" s="1116"/>
      <c r="J30" s="1116"/>
      <c r="K30" s="1116"/>
      <c r="L30" s="1116"/>
      <c r="M30" s="1116"/>
      <c r="N30" s="1116"/>
      <c r="O30" s="1116"/>
      <c r="P30" s="1116"/>
      <c r="Q30" s="1116"/>
      <c r="R30" s="1116"/>
      <c r="S30" s="1116"/>
      <c r="T30" s="1116"/>
      <c r="U30" s="1116"/>
      <c r="V30" s="1116"/>
      <c r="W30" s="1116"/>
      <c r="X30" s="1116"/>
      <c r="Y30" s="1117"/>
      <c r="Z30" s="1116"/>
      <c r="AA30" s="1111"/>
      <c r="AB30" s="1101"/>
      <c r="AC30" s="1100"/>
      <c r="AD30" s="1053"/>
      <c r="AE30" s="1100"/>
      <c r="AF30" s="1036"/>
    </row>
    <row r="31" spans="2:34" s="1027" customFormat="1" ht="15" customHeight="1">
      <c r="B31" s="1105"/>
      <c r="C31" s="1022"/>
      <c r="E31" s="1137">
        <v>5121000</v>
      </c>
      <c r="F31" s="1562" t="s">
        <v>3396</v>
      </c>
      <c r="G31" s="1562"/>
      <c r="H31" s="1045">
        <f ca="1">+SUMIF('Mapping FECU'!$E$9:$G$601,Activo!E31,'Mapping FECU'!$G$9:$G$601)</f>
        <v>153329844440</v>
      </c>
      <c r="I31" s="1045"/>
      <c r="J31" s="1045"/>
      <c r="K31" s="1045">
        <f>-K34</f>
        <v>0</v>
      </c>
      <c r="L31" s="1045"/>
      <c r="M31" s="1045"/>
      <c r="N31" s="1045"/>
      <c r="O31" s="1045"/>
      <c r="P31" s="1045"/>
      <c r="Q31" s="1045"/>
      <c r="R31" s="1045"/>
      <c r="S31" s="1045"/>
      <c r="T31" s="1045"/>
      <c r="U31" s="1045"/>
      <c r="V31" s="1045"/>
      <c r="W31" s="1045"/>
      <c r="X31" s="1045">
        <f ca="1">SUM(H31:W31)</f>
        <v>153329844440</v>
      </c>
      <c r="Y31" s="1110">
        <f t="shared" ref="Y31:Y35" si="4">+E31</f>
        <v>5121000</v>
      </c>
      <c r="Z31" s="1045">
        <f ca="1">ROUND(X31/1000,0)</f>
        <v>153329844</v>
      </c>
      <c r="AA31" s="1111"/>
      <c r="AB31" s="1115" t="s">
        <v>3570</v>
      </c>
      <c r="AC31" s="1247" t="s">
        <v>3571</v>
      </c>
      <c r="AD31" s="1053">
        <f>+'Nota 14'!H19</f>
        <v>153329844</v>
      </c>
      <c r="AE31" s="1035" t="str">
        <f ca="1">IF(Z31-AD31=0,"Ok","Error")</f>
        <v>Ok</v>
      </c>
      <c r="AF31" s="1036">
        <f ca="1">+AD31-Z31</f>
        <v>0</v>
      </c>
    </row>
    <row r="32" spans="2:34" s="1027" customFormat="1" ht="15" customHeight="1">
      <c r="B32" s="1105"/>
      <c r="C32" s="1022"/>
      <c r="E32" s="1022">
        <v>5122000</v>
      </c>
      <c r="F32" s="1560" t="s">
        <v>3399</v>
      </c>
      <c r="G32" s="1560"/>
      <c r="H32" s="1045">
        <f ca="1">+SUMIF('Mapping FECU'!$E$9:$G$601,Activo!E32,'Mapping FECU'!$G$9:$G$601)</f>
        <v>137812927908</v>
      </c>
      <c r="I32" s="1045">
        <v>0</v>
      </c>
      <c r="J32" s="1153">
        <f>-J23</f>
        <v>12937955</v>
      </c>
      <c r="K32" s="1045"/>
      <c r="L32" s="1045"/>
      <c r="M32" s="1045"/>
      <c r="N32" s="1045"/>
      <c r="O32" s="1045"/>
      <c r="P32" s="1045"/>
      <c r="Q32" s="1045"/>
      <c r="R32" s="1045"/>
      <c r="S32" s="1045"/>
      <c r="T32" s="1045"/>
      <c r="U32" s="1045"/>
      <c r="V32" s="1045"/>
      <c r="W32" s="1045">
        <v>1000</v>
      </c>
      <c r="X32" s="1045">
        <f ca="1">SUM(H32:W32)</f>
        <v>137825866863</v>
      </c>
      <c r="Y32" s="1110">
        <f t="shared" si="4"/>
        <v>5122000</v>
      </c>
      <c r="Z32" s="1045">
        <f ca="1">ROUND(X32/1000,0)</f>
        <v>137825867</v>
      </c>
      <c r="AA32" s="1111"/>
      <c r="AB32" s="1115" t="s">
        <v>3572</v>
      </c>
      <c r="AC32" s="1247" t="s">
        <v>3571</v>
      </c>
      <c r="AD32" s="1053">
        <f>+'Nota 14'!L31</f>
        <v>137825867</v>
      </c>
      <c r="AE32" s="1035" t="str">
        <f ca="1">IF(Z32-AD32=0,"Ok","Error")</f>
        <v>Ok</v>
      </c>
      <c r="AF32" s="1036">
        <f ca="1">+AD32-Z32</f>
        <v>0</v>
      </c>
      <c r="AH32" s="1054"/>
    </row>
    <row r="33" spans="2:32" s="1027" customFormat="1" ht="15" customHeight="1">
      <c r="B33" s="1105"/>
      <c r="C33" s="1022"/>
      <c r="D33" s="1106">
        <v>5123000</v>
      </c>
      <c r="E33" s="1022"/>
      <c r="F33" s="1560" t="s">
        <v>3505</v>
      </c>
      <c r="G33" s="1560"/>
      <c r="H33" s="1044">
        <f ca="1">SUM(H34:H35)</f>
        <v>1758434341</v>
      </c>
      <c r="I33" s="1044">
        <f t="shared" ref="I33:W33" si="5">SUM(I34:I35)</f>
        <v>0</v>
      </c>
      <c r="J33" s="1044">
        <f t="shared" si="5"/>
        <v>0</v>
      </c>
      <c r="K33" s="1044">
        <f t="shared" si="5"/>
        <v>0</v>
      </c>
      <c r="L33" s="1044">
        <f t="shared" si="5"/>
        <v>0</v>
      </c>
      <c r="M33" s="1044"/>
      <c r="N33" s="1044"/>
      <c r="O33" s="1044">
        <f t="shared" si="5"/>
        <v>0</v>
      </c>
      <c r="P33" s="1044"/>
      <c r="Q33" s="1044">
        <f t="shared" si="5"/>
        <v>0</v>
      </c>
      <c r="R33" s="1044">
        <f t="shared" si="5"/>
        <v>0</v>
      </c>
      <c r="S33" s="1044">
        <f t="shared" si="5"/>
        <v>0</v>
      </c>
      <c r="T33" s="1044">
        <f t="shared" si="5"/>
        <v>0</v>
      </c>
      <c r="U33" s="1044"/>
      <c r="V33" s="1044">
        <f t="shared" si="5"/>
        <v>0</v>
      </c>
      <c r="W33" s="1044">
        <f t="shared" si="5"/>
        <v>0</v>
      </c>
      <c r="X33" s="1044">
        <f ca="1">+X34+X35</f>
        <v>1758434341</v>
      </c>
      <c r="Y33" s="1027">
        <f>+D33</f>
        <v>5123000</v>
      </c>
      <c r="Z33" s="1044">
        <f ca="1">ROUND((+Z34+Z35),0)</f>
        <v>1758434</v>
      </c>
      <c r="AA33" s="1111"/>
      <c r="AB33" s="1115" t="s">
        <v>3573</v>
      </c>
      <c r="AC33" s="1247" t="s">
        <v>3574</v>
      </c>
      <c r="AD33" s="1053">
        <f>+'Nota 14'!H57</f>
        <v>0</v>
      </c>
      <c r="AE33" s="1035" t="str">
        <f ca="1">IF(Z34-AD33=0,"Ok","Error")</f>
        <v>Ok</v>
      </c>
      <c r="AF33" s="1036">
        <f ca="1">+AD33-Z34</f>
        <v>0</v>
      </c>
    </row>
    <row r="34" spans="2:32" s="1027" customFormat="1" ht="15" customHeight="1">
      <c r="B34" s="1105"/>
      <c r="C34" s="1022"/>
      <c r="D34" s="1118"/>
      <c r="E34" s="1022">
        <v>5123100</v>
      </c>
      <c r="F34" s="1022"/>
      <c r="G34" s="1055" t="s">
        <v>3506</v>
      </c>
      <c r="H34" s="1045">
        <f ca="1">+SUMIF('Mapping FECU'!$E$9:$G$601,Activo!E34,'Mapping FECU'!$G$9:$G$601)</f>
        <v>0</v>
      </c>
      <c r="I34" s="1045"/>
      <c r="J34" s="1045">
        <f>-J31</f>
        <v>0</v>
      </c>
      <c r="K34" s="1045"/>
      <c r="L34" s="1045"/>
      <c r="M34" s="1045"/>
      <c r="N34" s="1045"/>
      <c r="O34" s="1045"/>
      <c r="P34" s="1045"/>
      <c r="Q34" s="1045"/>
      <c r="R34" s="1045"/>
      <c r="S34" s="1045"/>
      <c r="T34" s="1045"/>
      <c r="U34" s="1045"/>
      <c r="V34" s="1045"/>
      <c r="W34" s="1045"/>
      <c r="X34" s="1045">
        <f ca="1">SUM(H34:W34)</f>
        <v>0</v>
      </c>
      <c r="Y34" s="1110">
        <f t="shared" si="4"/>
        <v>5123100</v>
      </c>
      <c r="Z34" s="1045">
        <f ca="1">ROUND(X34/1000,0)</f>
        <v>0</v>
      </c>
      <c r="AA34" s="1111"/>
      <c r="AB34" s="1115" t="s">
        <v>3573</v>
      </c>
      <c r="AC34" s="1247" t="s">
        <v>3574</v>
      </c>
      <c r="AD34" s="1053">
        <f>+'Nota 14'!H57</f>
        <v>0</v>
      </c>
      <c r="AE34" s="1035" t="str">
        <f ca="1">IF(Z34-AD34=0,"Ok","Error")</f>
        <v>Ok</v>
      </c>
      <c r="AF34" s="1036">
        <f ca="1">+AD34-Z34</f>
        <v>0</v>
      </c>
    </row>
    <row r="35" spans="2:32" s="1027" customFormat="1" ht="15" customHeight="1">
      <c r="B35" s="1105"/>
      <c r="C35" s="1022"/>
      <c r="D35" s="1118"/>
      <c r="E35" s="1022">
        <v>5123200</v>
      </c>
      <c r="F35" s="1022"/>
      <c r="G35" s="1055" t="s">
        <v>3422</v>
      </c>
      <c r="H35" s="1045">
        <f ca="1">+SUMIF('Mapping FECU'!$E$9:$G$601,Activo!E35,'Mapping FECU'!$G$9:$G$601)</f>
        <v>1758434341</v>
      </c>
      <c r="I35" s="1045"/>
      <c r="J35" s="1045"/>
      <c r="K35" s="1045"/>
      <c r="L35" s="1045"/>
      <c r="M35" s="1045"/>
      <c r="N35" s="1045"/>
      <c r="O35" s="1045"/>
      <c r="P35" s="1045"/>
      <c r="Q35" s="1045"/>
      <c r="R35" s="1045"/>
      <c r="S35" s="1045"/>
      <c r="T35" s="1045"/>
      <c r="U35" s="1045"/>
      <c r="V35" s="1045"/>
      <c r="W35" s="1045"/>
      <c r="X35" s="1045">
        <f ca="1">SUM(H35:W35)</f>
        <v>1758434341</v>
      </c>
      <c r="Y35" s="1110">
        <f t="shared" si="4"/>
        <v>5123200</v>
      </c>
      <c r="Z35" s="1045">
        <f ca="1">ROUND(X35/1000,0)</f>
        <v>1758434</v>
      </c>
      <c r="AA35" s="1111"/>
      <c r="AB35" s="1115"/>
      <c r="AC35" s="1112"/>
      <c r="AD35" s="1053"/>
      <c r="AE35" s="1035"/>
      <c r="AF35" s="1036"/>
    </row>
    <row r="36" spans="2:32" s="1027" customFormat="1" ht="15" customHeight="1">
      <c r="B36" s="1105"/>
      <c r="C36" s="1022"/>
      <c r="D36" s="1022"/>
      <c r="E36" s="1022"/>
      <c r="F36" s="1022"/>
      <c r="G36" s="1055"/>
      <c r="H36" s="1037"/>
      <c r="I36" s="1037"/>
      <c r="J36" s="1037"/>
      <c r="K36" s="1038"/>
      <c r="L36" s="1038"/>
      <c r="M36" s="1038"/>
      <c r="N36" s="1038"/>
      <c r="O36" s="1038"/>
      <c r="P36" s="1038"/>
      <c r="Q36" s="1038"/>
      <c r="R36" s="1038"/>
      <c r="S36" s="1038"/>
      <c r="T36" s="1038"/>
      <c r="U36" s="1038"/>
      <c r="V36" s="1038"/>
      <c r="W36" s="1038"/>
      <c r="X36" s="1038"/>
      <c r="Z36" s="1038"/>
      <c r="AA36" s="1119"/>
      <c r="AB36" s="1120"/>
      <c r="AD36" s="1053"/>
      <c r="AF36" s="1054"/>
    </row>
    <row r="37" spans="2:32" s="1027" customFormat="1" ht="15" customHeight="1">
      <c r="B37" s="1105"/>
      <c r="C37" s="1047" t="s">
        <v>3575</v>
      </c>
      <c r="D37" s="1047"/>
      <c r="E37" s="1047"/>
      <c r="F37" s="1563" t="s">
        <v>3507</v>
      </c>
      <c r="G37" s="1563"/>
      <c r="H37" s="1044">
        <v>0</v>
      </c>
      <c r="I37" s="1044"/>
      <c r="J37" s="1044"/>
      <c r="K37" s="1045"/>
      <c r="L37" s="1045"/>
      <c r="M37" s="1045"/>
      <c r="N37" s="1045"/>
      <c r="O37" s="1045"/>
      <c r="P37" s="1045"/>
      <c r="Q37" s="1045"/>
      <c r="R37" s="1045"/>
      <c r="S37" s="1045"/>
      <c r="T37" s="1045"/>
      <c r="U37" s="1045"/>
      <c r="V37" s="1045"/>
      <c r="W37" s="1045"/>
      <c r="X37" s="1044">
        <f>SUM(H37:T37)</f>
        <v>0</v>
      </c>
      <c r="Z37" s="1174">
        <f>ROUND(X37/1000,0)</f>
        <v>0</v>
      </c>
      <c r="AA37" s="1119"/>
      <c r="AB37" s="1115">
        <v>15</v>
      </c>
      <c r="AC37" s="1108" t="s">
        <v>3576</v>
      </c>
      <c r="AD37" s="1053">
        <f>+'Nota 15'!E8</f>
        <v>0</v>
      </c>
      <c r="AE37" s="1035" t="str">
        <f>IF(Z37-AD37=0,"Ok","Error")</f>
        <v>Ok</v>
      </c>
      <c r="AF37" s="1036">
        <f>+AD37-Z37</f>
        <v>0</v>
      </c>
    </row>
    <row r="38" spans="2:32" s="1027" customFormat="1" ht="15" customHeight="1">
      <c r="B38" s="1105"/>
      <c r="C38" s="1047"/>
      <c r="D38" s="1047"/>
      <c r="E38" s="1047"/>
      <c r="F38" s="1047"/>
      <c r="G38" s="1047"/>
      <c r="H38" s="1037"/>
      <c r="I38" s="1037"/>
      <c r="J38" s="1037"/>
      <c r="K38" s="1038"/>
      <c r="L38" s="1038"/>
      <c r="M38" s="1038"/>
      <c r="N38" s="1038"/>
      <c r="O38" s="1038"/>
      <c r="P38" s="1038"/>
      <c r="Q38" s="1038"/>
      <c r="R38" s="1038"/>
      <c r="S38" s="1038"/>
      <c r="T38" s="1038"/>
      <c r="U38" s="1038"/>
      <c r="V38" s="1038"/>
      <c r="W38" s="1038"/>
      <c r="X38" s="1038"/>
      <c r="Z38" s="1038"/>
      <c r="AB38" s="1120"/>
      <c r="AD38" s="1053"/>
      <c r="AF38" s="1054"/>
    </row>
    <row r="39" spans="2:32" s="1027" customFormat="1" ht="15" customHeight="1">
      <c r="B39" s="1105"/>
      <c r="C39" s="1047" t="s">
        <v>3577</v>
      </c>
      <c r="D39" s="1122"/>
      <c r="E39" s="1122"/>
      <c r="F39" s="1563" t="s">
        <v>3508</v>
      </c>
      <c r="G39" s="1563"/>
      <c r="H39" s="1044">
        <f ca="1">+H41+H53</f>
        <v>131855406104</v>
      </c>
      <c r="I39" s="1044">
        <f t="shared" ref="I39:W39" si="6">+I41+I53</f>
        <v>0</v>
      </c>
      <c r="J39" s="1044">
        <f t="shared" si="6"/>
        <v>0</v>
      </c>
      <c r="K39" s="1044">
        <f t="shared" si="6"/>
        <v>0</v>
      </c>
      <c r="L39" s="1044">
        <f t="shared" si="6"/>
        <v>0</v>
      </c>
      <c r="M39" s="1044"/>
      <c r="N39" s="1044"/>
      <c r="O39" s="1044">
        <f t="shared" si="6"/>
        <v>0</v>
      </c>
      <c r="P39" s="1044"/>
      <c r="Q39" s="1044">
        <f t="shared" si="6"/>
        <v>0</v>
      </c>
      <c r="R39" s="1044">
        <f t="shared" si="6"/>
        <v>0</v>
      </c>
      <c r="S39" s="1044">
        <f t="shared" si="6"/>
        <v>0</v>
      </c>
      <c r="T39" s="1044">
        <f t="shared" si="6"/>
        <v>0</v>
      </c>
      <c r="U39" s="1044"/>
      <c r="V39" s="1044">
        <f t="shared" si="6"/>
        <v>0</v>
      </c>
      <c r="W39" s="1044">
        <f t="shared" si="6"/>
        <v>0</v>
      </c>
      <c r="X39" s="1044">
        <f ca="1">+X41+X53</f>
        <v>116535879490</v>
      </c>
      <c r="Z39" s="1044">
        <f ca="1">ROUND((+Z41+Z53),0)</f>
        <v>116535880</v>
      </c>
      <c r="AA39" s="1117"/>
      <c r="AB39" s="1120"/>
      <c r="AD39" s="1053"/>
      <c r="AF39" s="1124"/>
    </row>
    <row r="40" spans="2:32" s="1027" customFormat="1" ht="15" customHeight="1">
      <c r="B40" s="1105"/>
      <c r="C40" s="1047"/>
      <c r="D40" s="1122"/>
      <c r="E40" s="1122"/>
      <c r="F40" s="1047"/>
      <c r="G40" s="1047"/>
      <c r="H40" s="1044"/>
      <c r="I40" s="1044"/>
      <c r="J40" s="1044"/>
      <c r="K40" s="1044"/>
      <c r="L40" s="1044"/>
      <c r="M40" s="1044"/>
      <c r="N40" s="1044"/>
      <c r="O40" s="1044"/>
      <c r="P40" s="1044"/>
      <c r="Q40" s="1044"/>
      <c r="R40" s="1044"/>
      <c r="S40" s="1044"/>
      <c r="T40" s="1044"/>
      <c r="U40" s="1044"/>
      <c r="V40" s="1044"/>
      <c r="W40" s="1044"/>
      <c r="X40" s="1044"/>
      <c r="Z40" s="1044"/>
      <c r="AA40" s="1117"/>
      <c r="AB40" s="1120"/>
      <c r="AD40" s="1053"/>
      <c r="AF40" s="1124"/>
    </row>
    <row r="41" spans="2:32" s="1027" customFormat="1" ht="15" customHeight="1">
      <c r="B41" s="1105"/>
      <c r="C41" s="1118"/>
      <c r="D41" s="1106">
        <v>5141000</v>
      </c>
      <c r="E41" s="1106"/>
      <c r="F41" s="1561" t="s">
        <v>3509</v>
      </c>
      <c r="G41" s="1561"/>
      <c r="H41" s="1045">
        <f ca="1">+H42+H43+H48</f>
        <v>63334581580</v>
      </c>
      <c r="I41" s="1045">
        <f t="shared" ref="I41:W41" si="7">+I42+I43+I48</f>
        <v>0</v>
      </c>
      <c r="J41" s="1045">
        <f t="shared" si="7"/>
        <v>0</v>
      </c>
      <c r="K41" s="1045">
        <f t="shared" si="7"/>
        <v>0</v>
      </c>
      <c r="L41" s="1045">
        <f t="shared" si="7"/>
        <v>0</v>
      </c>
      <c r="M41" s="1045">
        <f>+M42+M43+M48</f>
        <v>-15319526614</v>
      </c>
      <c r="N41" s="1045"/>
      <c r="O41" s="1045">
        <f t="shared" si="7"/>
        <v>0</v>
      </c>
      <c r="P41" s="1045"/>
      <c r="Q41" s="1045">
        <f t="shared" si="7"/>
        <v>0</v>
      </c>
      <c r="R41" s="1045">
        <f t="shared" si="7"/>
        <v>0</v>
      </c>
      <c r="S41" s="1045">
        <f t="shared" si="7"/>
        <v>0</v>
      </c>
      <c r="T41" s="1045">
        <f t="shared" si="7"/>
        <v>0</v>
      </c>
      <c r="U41" s="1045"/>
      <c r="V41" s="1045">
        <f t="shared" si="7"/>
        <v>0</v>
      </c>
      <c r="W41" s="1045">
        <f t="shared" si="7"/>
        <v>0</v>
      </c>
      <c r="X41" s="1045">
        <f ca="1">SUM(H41:W41)</f>
        <v>48015054966</v>
      </c>
      <c r="Y41" s="1027">
        <f>+D41</f>
        <v>5141000</v>
      </c>
      <c r="Z41" s="1044">
        <f ca="1">ROUND((+Z42+Z43+Z48+Z51),0)</f>
        <v>48015056</v>
      </c>
      <c r="AA41" s="1117"/>
      <c r="AB41" s="1120"/>
      <c r="AD41" s="1053"/>
      <c r="AF41" s="1124"/>
    </row>
    <row r="42" spans="2:32" s="1027" customFormat="1" ht="15" customHeight="1">
      <c r="B42" s="1105"/>
      <c r="C42" s="1118"/>
      <c r="D42" s="1118"/>
      <c r="E42" s="1022">
        <v>5141100</v>
      </c>
      <c r="F42" s="1560" t="s">
        <v>3409</v>
      </c>
      <c r="G42" s="1560"/>
      <c r="H42" s="1045">
        <f ca="1">+SUMIF('Mapping FECU'!$E$9:$G$601,Activo!E42,'Mapping FECU'!$G$9:$G$601)</f>
        <v>47148058544</v>
      </c>
      <c r="I42" s="1045"/>
      <c r="J42" s="1045"/>
      <c r="K42" s="1045"/>
      <c r="L42" s="1045"/>
      <c r="M42" s="1045"/>
      <c r="N42" s="1045"/>
      <c r="O42" s="1045"/>
      <c r="P42" s="1045"/>
      <c r="Q42" s="1045"/>
      <c r="R42" s="1045"/>
      <c r="S42" s="1045"/>
      <c r="T42" s="1045"/>
      <c r="U42" s="1045"/>
      <c r="V42" s="1045"/>
      <c r="W42" s="1045"/>
      <c r="X42" s="1045">
        <f ca="1">SUM(H42:W42)</f>
        <v>47148058544</v>
      </c>
      <c r="Y42" s="1110">
        <f t="shared" ref="Y42:Y51" si="8">+E42</f>
        <v>5141100</v>
      </c>
      <c r="Z42" s="1044">
        <f t="shared" ref="Z42:Z47" ca="1" si="9">ROUND(X42/1000,0)</f>
        <v>47148059</v>
      </c>
      <c r="AA42" s="1117"/>
      <c r="AB42" s="1123" t="s">
        <v>3578</v>
      </c>
      <c r="AC42" s="1246" t="s">
        <v>3579</v>
      </c>
      <c r="AD42" s="1053">
        <f>+'Nota 16'!F9</f>
        <v>47148059</v>
      </c>
      <c r="AE42" s="1035" t="str">
        <f ca="1">IF(Z42-AD42=0,"Ok","Error")</f>
        <v>Ok</v>
      </c>
      <c r="AF42" s="1036">
        <f ca="1">+AD42-Z42</f>
        <v>0</v>
      </c>
    </row>
    <row r="43" spans="2:32" s="1027" customFormat="1" ht="15" customHeight="1">
      <c r="B43" s="1105"/>
      <c r="C43" s="1118"/>
      <c r="D43" s="1118"/>
      <c r="E43" s="1106">
        <v>5141200</v>
      </c>
      <c r="F43" s="1561" t="s">
        <v>3510</v>
      </c>
      <c r="G43" s="1561"/>
      <c r="H43" s="1045">
        <f ca="1">SUM(H44:H47)</f>
        <v>16170702480</v>
      </c>
      <c r="I43" s="1045">
        <f>+I44</f>
        <v>0</v>
      </c>
      <c r="J43" s="1045">
        <f t="shared" ref="J43:W43" si="10">+J44</f>
        <v>0</v>
      </c>
      <c r="K43" s="1045">
        <f t="shared" si="10"/>
        <v>0</v>
      </c>
      <c r="L43" s="1045">
        <f t="shared" si="10"/>
        <v>0</v>
      </c>
      <c r="M43" s="1045">
        <f t="shared" si="10"/>
        <v>-15319526614</v>
      </c>
      <c r="N43" s="1045"/>
      <c r="O43" s="1045">
        <f t="shared" si="10"/>
        <v>0</v>
      </c>
      <c r="P43" s="1045"/>
      <c r="Q43" s="1045">
        <f t="shared" si="10"/>
        <v>0</v>
      </c>
      <c r="R43" s="1045">
        <f t="shared" si="10"/>
        <v>0</v>
      </c>
      <c r="S43" s="1045">
        <f t="shared" si="10"/>
        <v>0</v>
      </c>
      <c r="T43" s="1045">
        <f t="shared" si="10"/>
        <v>0</v>
      </c>
      <c r="U43" s="1045"/>
      <c r="V43" s="1045">
        <f t="shared" si="10"/>
        <v>0</v>
      </c>
      <c r="W43" s="1045">
        <f t="shared" si="10"/>
        <v>0</v>
      </c>
      <c r="X43" s="1045">
        <f ca="1">SUM(H43:W43)</f>
        <v>851175866</v>
      </c>
      <c r="Y43" s="1110">
        <f t="shared" si="8"/>
        <v>5141200</v>
      </c>
      <c r="Z43" s="1044">
        <f t="shared" ca="1" si="9"/>
        <v>851176</v>
      </c>
      <c r="AA43" s="1117"/>
      <c r="AB43" s="1123" t="s">
        <v>3580</v>
      </c>
      <c r="AC43" s="1108" t="s">
        <v>3581</v>
      </c>
      <c r="AD43" s="1053">
        <f>+'Nota 16.1'!F44</f>
        <v>47148059</v>
      </c>
      <c r="AE43" s="1035" t="str">
        <f ca="1">IF(Z42-AD43=0,"Ok","Error")</f>
        <v>Ok</v>
      </c>
      <c r="AF43" s="1036">
        <f ca="1">+AD43-Z42</f>
        <v>0</v>
      </c>
    </row>
    <row r="44" spans="2:32" s="1027" customFormat="1" ht="15" customHeight="1">
      <c r="B44" s="1105"/>
      <c r="C44" s="1118"/>
      <c r="D44" s="1118"/>
      <c r="E44" s="1022">
        <v>5141210</v>
      </c>
      <c r="F44" s="1022"/>
      <c r="G44" s="1055" t="s">
        <v>3414</v>
      </c>
      <c r="H44" s="1045">
        <f ca="1">+SUMIF('Mapping FECU'!$E$9:$G$601,Activo!E44,'Mapping FECU'!$G$9:$G$601)</f>
        <v>16170702480</v>
      </c>
      <c r="I44" s="1045"/>
      <c r="J44" s="1045"/>
      <c r="K44" s="1045"/>
      <c r="L44" s="1045"/>
      <c r="M44" s="1045">
        <v>-15319526614</v>
      </c>
      <c r="N44" s="1045"/>
      <c r="O44" s="1045"/>
      <c r="P44" s="1045"/>
      <c r="Q44" s="1045"/>
      <c r="R44" s="1045"/>
      <c r="S44" s="1045"/>
      <c r="T44" s="1045"/>
      <c r="U44" s="1045"/>
      <c r="V44" s="1045"/>
      <c r="W44" s="1045"/>
      <c r="X44" s="1113">
        <f ca="1">SUM(H44:W44)</f>
        <v>851175866</v>
      </c>
      <c r="Y44" s="1110">
        <f t="shared" si="8"/>
        <v>5141210</v>
      </c>
      <c r="Z44" s="1045">
        <f t="shared" ca="1" si="9"/>
        <v>851176</v>
      </c>
      <c r="AA44" s="1124"/>
      <c r="AB44" s="1107" t="s">
        <v>3582</v>
      </c>
      <c r="AC44" s="1246" t="s">
        <v>3583</v>
      </c>
      <c r="AD44" s="1053">
        <f>+'Nota 17'!G13</f>
        <v>851176</v>
      </c>
      <c r="AE44" s="1035" t="str">
        <f ca="1">IF(Z43-AD44=0,"Ok","Error")</f>
        <v>Ok</v>
      </c>
      <c r="AF44" s="1036">
        <f ca="1">+AD44-Z43</f>
        <v>0</v>
      </c>
    </row>
    <row r="45" spans="2:32" s="1027" customFormat="1" ht="15" customHeight="1">
      <c r="B45" s="1105"/>
      <c r="C45" s="1118"/>
      <c r="D45" s="1118"/>
      <c r="E45" s="1022">
        <v>5141220</v>
      </c>
      <c r="F45" s="1022"/>
      <c r="G45" s="1055" t="s">
        <v>3511</v>
      </c>
      <c r="H45" s="1045">
        <f ca="1">+SUMIF('Mapping FECU'!$E$9:$G$601,Activo!E45,'Mapping FECU'!$G$9:$G$601)</f>
        <v>0</v>
      </c>
      <c r="I45" s="1045"/>
      <c r="J45" s="1045"/>
      <c r="K45" s="1045"/>
      <c r="L45" s="1045"/>
      <c r="M45" s="1045"/>
      <c r="N45" s="1045"/>
      <c r="O45" s="1045"/>
      <c r="P45" s="1045"/>
      <c r="Q45" s="1045"/>
      <c r="R45" s="1045"/>
      <c r="S45" s="1045"/>
      <c r="T45" s="1045"/>
      <c r="U45" s="1045"/>
      <c r="V45" s="1045"/>
      <c r="W45" s="1045"/>
      <c r="X45" s="1045">
        <f ca="1">SUM(H45:T45)</f>
        <v>0</v>
      </c>
      <c r="Y45" s="1110">
        <f t="shared" si="8"/>
        <v>5141220</v>
      </c>
      <c r="Z45" s="1175">
        <f t="shared" ca="1" si="9"/>
        <v>0</v>
      </c>
      <c r="AA45" s="1117"/>
      <c r="AB45" s="1107" t="s">
        <v>3584</v>
      </c>
      <c r="AC45" s="1108" t="s">
        <v>3585</v>
      </c>
      <c r="AD45" s="1053">
        <f>+'Nota 17.1'!F81</f>
        <v>851176</v>
      </c>
      <c r="AE45" s="1035" t="str">
        <f ca="1">IF(Z44-AD45=0,"Ok","Error")</f>
        <v>Ok</v>
      </c>
      <c r="AF45" s="1036">
        <f ca="1">+AD45-Z44</f>
        <v>0</v>
      </c>
    </row>
    <row r="46" spans="2:32" s="1027" customFormat="1" ht="15" customHeight="1">
      <c r="B46" s="1105"/>
      <c r="C46" s="1118"/>
      <c r="D46" s="1118"/>
      <c r="E46" s="1022">
        <v>5141230</v>
      </c>
      <c r="F46" s="1022"/>
      <c r="G46" s="1055" t="s">
        <v>3512</v>
      </c>
      <c r="H46" s="1045">
        <f ca="1">+SUMIF('Mapping FECU'!$E$9:$G$601,Activo!E46,'Mapping FECU'!$G$9:$G$601)</f>
        <v>0</v>
      </c>
      <c r="I46" s="1045"/>
      <c r="J46" s="1045"/>
      <c r="K46" s="1045"/>
      <c r="L46" s="1045"/>
      <c r="M46" s="1045"/>
      <c r="N46" s="1045"/>
      <c r="O46" s="1045"/>
      <c r="P46" s="1045"/>
      <c r="Q46" s="1045"/>
      <c r="R46" s="1045"/>
      <c r="S46" s="1045"/>
      <c r="T46" s="1045"/>
      <c r="U46" s="1045"/>
      <c r="V46" s="1045"/>
      <c r="W46" s="1045"/>
      <c r="X46" s="1045">
        <f ca="1">SUM(H46:T46)</f>
        <v>0</v>
      </c>
      <c r="Y46" s="1110">
        <f t="shared" si="8"/>
        <v>5141230</v>
      </c>
      <c r="Z46" s="1175">
        <f t="shared" ca="1" si="9"/>
        <v>0</v>
      </c>
      <c r="AA46" s="1117"/>
      <c r="AB46" s="1107"/>
      <c r="AD46" s="1053"/>
      <c r="AF46" s="1124"/>
    </row>
    <row r="47" spans="2:32" s="1027" customFormat="1" ht="15" customHeight="1">
      <c r="B47" s="1105"/>
      <c r="C47" s="1118"/>
      <c r="D47" s="1118"/>
      <c r="E47" s="1022">
        <v>5141240</v>
      </c>
      <c r="F47" s="1022"/>
      <c r="G47" s="1055" t="s">
        <v>3513</v>
      </c>
      <c r="H47" s="1045">
        <f ca="1">+SUMIF('Mapping FECU'!$E$9:$G$601,Activo!E47,'Mapping FECU'!$G$9:$G$601)</f>
        <v>0</v>
      </c>
      <c r="I47" s="1045"/>
      <c r="J47" s="1045"/>
      <c r="K47" s="1045"/>
      <c r="L47" s="1045"/>
      <c r="M47" s="1045"/>
      <c r="N47" s="1045"/>
      <c r="O47" s="1045"/>
      <c r="P47" s="1045"/>
      <c r="Q47" s="1045"/>
      <c r="R47" s="1045"/>
      <c r="S47" s="1045"/>
      <c r="T47" s="1045"/>
      <c r="U47" s="1045"/>
      <c r="V47" s="1045"/>
      <c r="W47" s="1045"/>
      <c r="X47" s="1045">
        <f ca="1">SUM(H47:T47)</f>
        <v>0</v>
      </c>
      <c r="Y47" s="1110">
        <f t="shared" si="8"/>
        <v>5141240</v>
      </c>
      <c r="Z47" s="1175">
        <f t="shared" ca="1" si="9"/>
        <v>0</v>
      </c>
      <c r="AA47" s="1117"/>
      <c r="AB47" s="1107"/>
      <c r="AD47" s="1053"/>
      <c r="AF47" s="1124"/>
    </row>
    <row r="48" spans="2:32" s="1027" customFormat="1" ht="15" customHeight="1">
      <c r="B48" s="1105"/>
      <c r="C48" s="1118"/>
      <c r="D48" s="1118"/>
      <c r="E48" s="1106">
        <v>5141300</v>
      </c>
      <c r="F48" s="1561" t="s">
        <v>3514</v>
      </c>
      <c r="G48" s="1561"/>
      <c r="H48" s="1045">
        <f ca="1">SUM(H49:H50)</f>
        <v>15820556</v>
      </c>
      <c r="I48" s="1045"/>
      <c r="J48" s="1045"/>
      <c r="K48" s="1045"/>
      <c r="L48" s="1045"/>
      <c r="M48" s="1045"/>
      <c r="N48" s="1045"/>
      <c r="O48" s="1045"/>
      <c r="P48" s="1045"/>
      <c r="Q48" s="1045"/>
      <c r="R48" s="1045"/>
      <c r="S48" s="1045"/>
      <c r="T48" s="1045"/>
      <c r="U48" s="1045"/>
      <c r="V48" s="1045"/>
      <c r="W48" s="1045"/>
      <c r="X48" s="1045">
        <f ca="1">SUM(X49:X50)</f>
        <v>15820556</v>
      </c>
      <c r="Y48" s="1110">
        <f t="shared" si="8"/>
        <v>5141300</v>
      </c>
      <c r="Z48" s="1174">
        <f ca="1">SUM(Z49:Z50)</f>
        <v>15821</v>
      </c>
      <c r="AA48" s="1117"/>
      <c r="AB48" s="1107">
        <v>18</v>
      </c>
      <c r="AC48" s="1246" t="s">
        <v>3586</v>
      </c>
      <c r="AD48" s="1053">
        <f>+'Nota 18'!G12</f>
        <v>15820</v>
      </c>
      <c r="AE48" s="1035" t="str">
        <f ca="1">IF(Z48-AD48=0,"Ok","Error")</f>
        <v>Error</v>
      </c>
      <c r="AF48" s="1036">
        <f ca="1">+AD48-Z48</f>
        <v>-1</v>
      </c>
    </row>
    <row r="49" spans="2:33" s="1027" customFormat="1" ht="15" customHeight="1">
      <c r="B49" s="1105"/>
      <c r="C49" s="1118"/>
      <c r="D49" s="1118"/>
      <c r="E49" s="1022">
        <v>5141310</v>
      </c>
      <c r="F49" s="1022"/>
      <c r="G49" s="1055" t="s">
        <v>3515</v>
      </c>
      <c r="H49" s="1045">
        <f ca="1">+SUMIF('Mapping FECU'!$E$9:$G$601,Activo!E49,'Mapping FECU'!$G$9:$G$601)</f>
        <v>27387</v>
      </c>
      <c r="I49" s="1045">
        <v>-27387</v>
      </c>
      <c r="J49" s="1045"/>
      <c r="K49" s="1045"/>
      <c r="L49" s="1045"/>
      <c r="M49" s="1045"/>
      <c r="N49" s="1045"/>
      <c r="O49" s="1045"/>
      <c r="P49" s="1045"/>
      <c r="Q49" s="1045"/>
      <c r="R49" s="1045"/>
      <c r="S49" s="1045"/>
      <c r="T49" s="1045"/>
      <c r="U49" s="1045"/>
      <c r="V49" s="1045"/>
      <c r="W49" s="1045"/>
      <c r="X49" s="1045">
        <f ca="1">SUM(H49:T49)</f>
        <v>0</v>
      </c>
      <c r="Y49" s="1110">
        <f t="shared" si="8"/>
        <v>5141310</v>
      </c>
      <c r="Z49" s="1175">
        <f ca="1">ROUND(X49/1000,0)</f>
        <v>0</v>
      </c>
      <c r="AA49" s="1117"/>
      <c r="AB49" s="1107"/>
      <c r="AD49" s="1053"/>
      <c r="AF49" s="1124"/>
    </row>
    <row r="50" spans="2:33" s="1027" customFormat="1" ht="15" customHeight="1">
      <c r="B50" s="1105"/>
      <c r="C50" s="1118"/>
      <c r="D50" s="1118"/>
      <c r="E50" s="1022">
        <v>5141320</v>
      </c>
      <c r="F50" s="1022"/>
      <c r="G50" s="1055" t="s">
        <v>3516</v>
      </c>
      <c r="H50" s="1045">
        <f ca="1">+SUMIF('Mapping FECU'!$E$9:$G$601,Activo!E50,'Mapping FECU'!$G$9:$G$601)</f>
        <v>15793169</v>
      </c>
      <c r="I50" s="1045">
        <f>-I49</f>
        <v>27387</v>
      </c>
      <c r="J50" s="1045"/>
      <c r="K50" s="1045"/>
      <c r="L50" s="1045"/>
      <c r="M50" s="1045"/>
      <c r="N50" s="1045"/>
      <c r="O50" s="1045"/>
      <c r="P50" s="1045"/>
      <c r="Q50" s="1045"/>
      <c r="R50" s="1045"/>
      <c r="S50" s="1045"/>
      <c r="T50" s="1045"/>
      <c r="U50" s="1045"/>
      <c r="V50" s="1045"/>
      <c r="W50" s="1045"/>
      <c r="X50" s="1113">
        <f ca="1">SUM(H50:W50)</f>
        <v>15820556</v>
      </c>
      <c r="Y50" s="1110">
        <f t="shared" si="8"/>
        <v>5141320</v>
      </c>
      <c r="Z50" s="1175">
        <f ca="1">ROUND(X50/1000,0)</f>
        <v>15821</v>
      </c>
      <c r="AA50" s="1117"/>
      <c r="AB50" s="1107"/>
      <c r="AD50" s="1053"/>
      <c r="AF50" s="1124"/>
    </row>
    <row r="51" spans="2:33" s="1027" customFormat="1" ht="15" customHeight="1">
      <c r="B51" s="1105"/>
      <c r="C51" s="1118"/>
      <c r="D51" s="1118"/>
      <c r="E51" s="1022">
        <v>5141400</v>
      </c>
      <c r="F51" s="1022"/>
      <c r="G51" s="1055" t="s">
        <v>3517</v>
      </c>
      <c r="H51" s="1045">
        <f ca="1">+SUMIF('Mapping FECU'!$E$9:$G$601,Activo!E51,'Mapping FECU'!$G$9:$G$601)</f>
        <v>0</v>
      </c>
      <c r="I51" s="1045"/>
      <c r="J51" s="1045"/>
      <c r="K51" s="1045"/>
      <c r="L51" s="1045"/>
      <c r="M51" s="1045"/>
      <c r="N51" s="1045"/>
      <c r="O51" s="1045"/>
      <c r="P51" s="1045"/>
      <c r="Q51" s="1045"/>
      <c r="R51" s="1045"/>
      <c r="S51" s="1045"/>
      <c r="T51" s="1045"/>
      <c r="U51" s="1045"/>
      <c r="V51" s="1045"/>
      <c r="W51" s="1045"/>
      <c r="X51" s="1045"/>
      <c r="Y51" s="1110">
        <f t="shared" si="8"/>
        <v>5141400</v>
      </c>
      <c r="Z51" s="1175"/>
      <c r="AA51" s="1117"/>
      <c r="AB51" s="1107"/>
      <c r="AD51" s="1053"/>
      <c r="AF51" s="1124"/>
    </row>
    <row r="52" spans="2:33" s="1027" customFormat="1" ht="15" customHeight="1">
      <c r="B52" s="1105"/>
      <c r="C52" s="1118"/>
      <c r="D52" s="1118"/>
      <c r="E52" s="1022"/>
      <c r="F52" s="1022"/>
      <c r="G52" s="1055"/>
      <c r="H52" s="1045"/>
      <c r="I52" s="1045"/>
      <c r="J52" s="1045"/>
      <c r="K52" s="1045"/>
      <c r="L52" s="1045"/>
      <c r="M52" s="1045"/>
      <c r="N52" s="1045"/>
      <c r="O52" s="1045"/>
      <c r="P52" s="1045"/>
      <c r="Q52" s="1045"/>
      <c r="R52" s="1045"/>
      <c r="S52" s="1045"/>
      <c r="T52" s="1045"/>
      <c r="U52" s="1045"/>
      <c r="V52" s="1045"/>
      <c r="W52" s="1045"/>
      <c r="X52" s="1045"/>
      <c r="Z52" s="1045"/>
      <c r="AA52" s="1117"/>
      <c r="AB52" s="1107"/>
      <c r="AD52" s="1053"/>
      <c r="AF52" s="1124"/>
    </row>
    <row r="53" spans="2:33" s="1027" customFormat="1" ht="15" customHeight="1">
      <c r="B53" s="1105"/>
      <c r="C53" s="1118"/>
      <c r="D53" s="1106">
        <v>5142000</v>
      </c>
      <c r="E53" s="1106"/>
      <c r="F53" s="1561" t="s">
        <v>3518</v>
      </c>
      <c r="G53" s="1561"/>
      <c r="H53" s="1044">
        <f ca="1">+H54+H55+H58+H59+H60+H61</f>
        <v>68520824524</v>
      </c>
      <c r="I53" s="1044">
        <f t="shared" ref="I53:V53" si="11">+I54+I55+I58+I59+I60+I61</f>
        <v>0</v>
      </c>
      <c r="J53" s="1044">
        <f t="shared" si="11"/>
        <v>0</v>
      </c>
      <c r="K53" s="1044">
        <f t="shared" si="11"/>
        <v>0</v>
      </c>
      <c r="L53" s="1044">
        <f t="shared" si="11"/>
        <v>0</v>
      </c>
      <c r="M53" s="1044"/>
      <c r="N53" s="1044"/>
      <c r="O53" s="1044">
        <f t="shared" si="11"/>
        <v>0</v>
      </c>
      <c r="P53" s="1044"/>
      <c r="Q53" s="1044">
        <f t="shared" si="11"/>
        <v>0</v>
      </c>
      <c r="R53" s="1044">
        <f t="shared" si="11"/>
        <v>0</v>
      </c>
      <c r="S53" s="1044">
        <f t="shared" si="11"/>
        <v>0</v>
      </c>
      <c r="T53" s="1044">
        <f t="shared" si="11"/>
        <v>0</v>
      </c>
      <c r="U53" s="1044"/>
      <c r="V53" s="1044">
        <f t="shared" si="11"/>
        <v>0</v>
      </c>
      <c r="W53" s="1044">
        <f>+W54+W55+W58+W59+W60+W61</f>
        <v>0</v>
      </c>
      <c r="X53" s="1044">
        <f ca="1">+X55+X60+X54+X61</f>
        <v>68520824524</v>
      </c>
      <c r="Y53" s="1027">
        <f>+D53</f>
        <v>5142000</v>
      </c>
      <c r="Z53" s="1044">
        <f ca="1">+Z54+Z55+Z58+Z59+Z60+Z61</f>
        <v>68520824</v>
      </c>
      <c r="AA53" s="1117"/>
      <c r="AB53" s="1107"/>
      <c r="AD53" s="1053"/>
      <c r="AF53" s="1124"/>
    </row>
    <row r="54" spans="2:33" s="1027" customFormat="1" ht="15" customHeight="1">
      <c r="B54" s="1105"/>
      <c r="C54" s="1118"/>
      <c r="D54" s="1118"/>
      <c r="E54" s="1022">
        <v>5142100</v>
      </c>
      <c r="F54" s="1560" t="s">
        <v>3433</v>
      </c>
      <c r="G54" s="1560"/>
      <c r="H54" s="1045">
        <f ca="1">+SUMIF('Mapping FECU'!$E$9:$G$601,Activo!E54,'Mapping FECU'!$G$9:$G$601)</f>
        <v>367717007</v>
      </c>
      <c r="I54" s="1045"/>
      <c r="J54" s="1045"/>
      <c r="K54" s="1045"/>
      <c r="L54" s="1045"/>
      <c r="M54" s="1045"/>
      <c r="N54" s="1045"/>
      <c r="O54" s="1045"/>
      <c r="P54" s="1045"/>
      <c r="Q54" s="1045"/>
      <c r="R54" s="1045"/>
      <c r="S54" s="1045"/>
      <c r="T54" s="1045"/>
      <c r="U54" s="1045"/>
      <c r="V54" s="1045"/>
      <c r="W54" s="1045"/>
      <c r="X54" s="1045">
        <f ca="1">SUM(H54:W54)</f>
        <v>367717007</v>
      </c>
      <c r="Y54" s="1110">
        <f t="shared" ref="Y54:Y62" si="12">+E54</f>
        <v>5142100</v>
      </c>
      <c r="Z54" s="1113">
        <f ca="1">ROUND(X54/1000,0)</f>
        <v>367717</v>
      </c>
      <c r="AA54" s="1127"/>
      <c r="AB54" s="1107">
        <v>19</v>
      </c>
      <c r="AC54" s="1246" t="s">
        <v>3587</v>
      </c>
      <c r="AD54" s="1053">
        <f>+'Nota 19'!J8</f>
        <v>367717</v>
      </c>
      <c r="AE54" s="1035" t="str">
        <f t="shared" ref="AE54:AE61" ca="1" si="13">IF(Z54-AD54=0,"Ok","Error")</f>
        <v>Ok</v>
      </c>
      <c r="AF54" s="1036">
        <f t="shared" ref="AF54:AF61" ca="1" si="14">+AD54-Z54</f>
        <v>0</v>
      </c>
    </row>
    <row r="55" spans="2:33" s="1027" customFormat="1" ht="15" customHeight="1">
      <c r="B55" s="1105"/>
      <c r="C55" s="1118"/>
      <c r="D55" s="1118"/>
      <c r="E55" s="1106">
        <v>5142200</v>
      </c>
      <c r="F55" s="1561" t="s">
        <v>3519</v>
      </c>
      <c r="G55" s="1561"/>
      <c r="H55" s="1044">
        <f ca="1">SUM(H56:H57)</f>
        <v>20502789206</v>
      </c>
      <c r="I55" s="1044">
        <f t="shared" ref="I55:J55" si="15">SUM(I56:I57)</f>
        <v>0</v>
      </c>
      <c r="J55" s="1044">
        <f t="shared" si="15"/>
        <v>0</v>
      </c>
      <c r="K55" s="1044">
        <f>SUM(K56:K57)</f>
        <v>0</v>
      </c>
      <c r="L55" s="1044">
        <f>SUM(L56:L57)</f>
        <v>46199873476</v>
      </c>
      <c r="M55" s="1044"/>
      <c r="N55" s="1044"/>
      <c r="O55" s="1044">
        <f t="shared" ref="O55:W55" si="16">SUM(O56:O57)</f>
        <v>0</v>
      </c>
      <c r="P55" s="1044"/>
      <c r="Q55" s="1044">
        <f t="shared" si="16"/>
        <v>0</v>
      </c>
      <c r="R55" s="1044">
        <f t="shared" si="16"/>
        <v>0</v>
      </c>
      <c r="S55" s="1044">
        <f t="shared" si="16"/>
        <v>0</v>
      </c>
      <c r="T55" s="1044">
        <f t="shared" si="16"/>
        <v>0</v>
      </c>
      <c r="U55" s="1044"/>
      <c r="V55" s="1044">
        <f t="shared" si="16"/>
        <v>-172803562</v>
      </c>
      <c r="W55" s="1044">
        <f t="shared" si="16"/>
        <v>0</v>
      </c>
      <c r="X55" s="1044">
        <f ca="1">SUM(H55:W55)</f>
        <v>66529859120</v>
      </c>
      <c r="Y55" s="1110">
        <f t="shared" si="12"/>
        <v>5142200</v>
      </c>
      <c r="Z55" s="1044">
        <f ca="1">SUM(Z56:Z57)</f>
        <v>66529859</v>
      </c>
      <c r="AA55" s="1126"/>
      <c r="AB55" s="1107">
        <v>19</v>
      </c>
      <c r="AC55" s="1246" t="s">
        <v>3587</v>
      </c>
      <c r="AD55" s="1053">
        <f>+'Nota 19'!J9</f>
        <v>66529859</v>
      </c>
      <c r="AE55" s="1035" t="str">
        <f t="shared" ca="1" si="13"/>
        <v>Ok</v>
      </c>
      <c r="AF55" s="1036">
        <f t="shared" ca="1" si="14"/>
        <v>0</v>
      </c>
    </row>
    <row r="56" spans="2:33" s="1027" customFormat="1" ht="15" customHeight="1">
      <c r="B56" s="1105"/>
      <c r="C56" s="1118"/>
      <c r="D56" s="1118"/>
      <c r="E56" s="1022">
        <v>5142210</v>
      </c>
      <c r="F56" s="1022"/>
      <c r="G56" s="1055" t="s">
        <v>3520</v>
      </c>
      <c r="H56" s="1045">
        <f ca="1">+SUMIF('Mapping FECU'!$E$9:$G$601,Activo!E56,'Mapping FECU'!$G$9:$G$601)</f>
        <v>20502789206</v>
      </c>
      <c r="I56" s="1044"/>
      <c r="J56" s="1045"/>
      <c r="K56" s="1045"/>
      <c r="L56" s="1045"/>
      <c r="M56" s="1045"/>
      <c r="N56" s="1045"/>
      <c r="O56" s="1045"/>
      <c r="P56" s="1045"/>
      <c r="Q56" s="1045"/>
      <c r="R56" s="1045"/>
      <c r="S56" s="1045"/>
      <c r="T56" s="1045"/>
      <c r="U56" s="1045"/>
      <c r="V56" s="1045">
        <f>-V60</f>
        <v>-172803562</v>
      </c>
      <c r="W56" s="1045"/>
      <c r="X56" s="1045">
        <f ca="1">SUM(H56:W56)</f>
        <v>20329985644</v>
      </c>
      <c r="Y56" s="1110">
        <f t="shared" si="12"/>
        <v>5142210</v>
      </c>
      <c r="Z56" s="1113">
        <f t="shared" ref="Z56:Z62" ca="1" si="17">ROUND(X56/1000,0)</f>
        <v>20329986</v>
      </c>
      <c r="AA56" s="1126"/>
      <c r="AB56" s="1107">
        <v>19</v>
      </c>
      <c r="AC56" s="1246" t="s">
        <v>3587</v>
      </c>
      <c r="AD56" s="1053">
        <f>+'Nota 19'!J10</f>
        <v>20329986</v>
      </c>
      <c r="AE56" s="1035" t="str">
        <f t="shared" ca="1" si="13"/>
        <v>Ok</v>
      </c>
      <c r="AF56" s="1036">
        <f t="shared" ca="1" si="14"/>
        <v>0</v>
      </c>
    </row>
    <row r="57" spans="2:33" s="1027" customFormat="1" ht="15" customHeight="1">
      <c r="B57" s="1105"/>
      <c r="C57" s="1118"/>
      <c r="D57" s="1118"/>
      <c r="E57" s="1022">
        <v>5142220</v>
      </c>
      <c r="F57" s="1022"/>
      <c r="G57" s="1055" t="s">
        <v>3521</v>
      </c>
      <c r="H57" s="1045">
        <f ca="1">+SUMIF('Mapping FECU'!$E$9:$G$601,Activo!E57,'Mapping FECU'!$G$9:$G$601)</f>
        <v>0</v>
      </c>
      <c r="I57" s="1045"/>
      <c r="J57" s="1045"/>
      <c r="K57" s="1045"/>
      <c r="L57" s="1260">
        <v>46199873476</v>
      </c>
      <c r="M57" s="1045"/>
      <c r="N57" s="1045"/>
      <c r="O57" s="1045"/>
      <c r="P57" s="1045"/>
      <c r="Q57" s="1045"/>
      <c r="R57" s="1045">
        <f>-R60</f>
        <v>0</v>
      </c>
      <c r="S57" s="1045"/>
      <c r="T57" s="1045"/>
      <c r="U57" s="1045"/>
      <c r="V57" s="1045"/>
      <c r="W57" s="1045"/>
      <c r="X57" s="1045">
        <f ca="1">SUM(H57:W57)</f>
        <v>46199873476</v>
      </c>
      <c r="Y57" s="1110">
        <f t="shared" si="12"/>
        <v>5142220</v>
      </c>
      <c r="Z57" s="1182">
        <f t="shared" ca="1" si="17"/>
        <v>46199873</v>
      </c>
      <c r="AA57" s="1126"/>
      <c r="AB57" s="1107">
        <v>19</v>
      </c>
      <c r="AC57" s="1246" t="s">
        <v>3587</v>
      </c>
      <c r="AD57" s="1053">
        <f>+'Nota 19'!J11</f>
        <v>46199873</v>
      </c>
      <c r="AE57" s="1035" t="str">
        <f t="shared" ca="1" si="13"/>
        <v>Ok</v>
      </c>
      <c r="AF57" s="1036">
        <f t="shared" ca="1" si="14"/>
        <v>0</v>
      </c>
    </row>
    <row r="58" spans="2:33" s="1027" customFormat="1" ht="15" customHeight="1">
      <c r="B58" s="1105"/>
      <c r="C58" s="1118"/>
      <c r="D58" s="1118"/>
      <c r="E58" s="1022">
        <v>5142300</v>
      </c>
      <c r="F58" s="1560" t="s">
        <v>3522</v>
      </c>
      <c r="G58" s="1560"/>
      <c r="H58" s="1045">
        <f ca="1">+SUMIF('Mapping FECU'!$E$9:$G$601,Activo!E58,'Mapping FECU'!$G$9:$G$601)</f>
        <v>0</v>
      </c>
      <c r="I58" s="1045"/>
      <c r="J58" s="1045"/>
      <c r="K58" s="1045"/>
      <c r="L58" s="1045"/>
      <c r="M58" s="1045"/>
      <c r="N58" s="1045"/>
      <c r="O58" s="1045"/>
      <c r="P58" s="1045"/>
      <c r="Q58" s="1045"/>
      <c r="R58" s="1045"/>
      <c r="S58" s="1045"/>
      <c r="T58" s="1045"/>
      <c r="U58" s="1045"/>
      <c r="V58" s="1045"/>
      <c r="W58" s="1045"/>
      <c r="X58" s="1045">
        <f ca="1">SUM(H58:W58)</f>
        <v>0</v>
      </c>
      <c r="Y58" s="1110">
        <f t="shared" si="12"/>
        <v>5142300</v>
      </c>
      <c r="Z58" s="1125">
        <f t="shared" ca="1" si="17"/>
        <v>0</v>
      </c>
      <c r="AA58" s="1117"/>
      <c r="AB58" s="1107">
        <v>19</v>
      </c>
      <c r="AC58" s="1246" t="s">
        <v>3587</v>
      </c>
      <c r="AD58" s="1053">
        <f>+'Nota 19'!J12</f>
        <v>0</v>
      </c>
      <c r="AE58" s="1035" t="str">
        <f t="shared" ca="1" si="13"/>
        <v>Ok</v>
      </c>
      <c r="AF58" s="1036">
        <f t="shared" ca="1" si="14"/>
        <v>0</v>
      </c>
    </row>
    <row r="59" spans="2:33" s="1027" customFormat="1" ht="15" customHeight="1">
      <c r="B59" s="1105"/>
      <c r="C59" s="1118"/>
      <c r="D59" s="1118"/>
      <c r="E59" s="1022">
        <v>5142400</v>
      </c>
      <c r="F59" s="1560" t="s">
        <v>3523</v>
      </c>
      <c r="G59" s="1560"/>
      <c r="H59" s="1045">
        <f ca="1">+SUMIF('Mapping FECU'!$E$9:$G$601,Activo!E59,'Mapping FECU'!$G$9:$G$601)</f>
        <v>0</v>
      </c>
      <c r="I59" s="1045"/>
      <c r="J59" s="1045"/>
      <c r="K59" s="1045"/>
      <c r="L59" s="1045"/>
      <c r="M59" s="1045"/>
      <c r="N59" s="1045"/>
      <c r="O59" s="1045"/>
      <c r="P59" s="1045"/>
      <c r="Q59" s="1045"/>
      <c r="R59" s="1045"/>
      <c r="S59" s="1045"/>
      <c r="T59" s="1045"/>
      <c r="U59" s="1045"/>
      <c r="V59" s="1045"/>
      <c r="W59" s="1045"/>
      <c r="X59" s="1045">
        <f ca="1">SUM(H59:T59)</f>
        <v>0</v>
      </c>
      <c r="Y59" s="1110">
        <f t="shared" si="12"/>
        <v>5142400</v>
      </c>
      <c r="Z59" s="1175">
        <f t="shared" ca="1" si="17"/>
        <v>0</v>
      </c>
      <c r="AA59" s="1117"/>
      <c r="AB59" s="1107">
        <v>19</v>
      </c>
      <c r="AC59" s="1246" t="s">
        <v>3587</v>
      </c>
      <c r="AD59" s="1053">
        <f>+'Nota 19'!J13</f>
        <v>0</v>
      </c>
      <c r="AE59" s="1035" t="str">
        <f t="shared" ca="1" si="13"/>
        <v>Ok</v>
      </c>
      <c r="AF59" s="1036">
        <f t="shared" ca="1" si="14"/>
        <v>0</v>
      </c>
    </row>
    <row r="60" spans="2:33" s="1027" customFormat="1" ht="15" customHeight="1">
      <c r="B60" s="1105"/>
      <c r="C60" s="1118"/>
      <c r="D60" s="1118"/>
      <c r="E60" s="1022">
        <v>5142500</v>
      </c>
      <c r="F60" s="1560" t="s">
        <v>3524</v>
      </c>
      <c r="G60" s="1560"/>
      <c r="H60" s="1045">
        <f ca="1">+SUMIF('Mapping FECU'!$E$9:$G$601,Activo!E60,'Mapping FECU'!$G$9:$G$601)</f>
        <v>46938851931</v>
      </c>
      <c r="I60" s="1045"/>
      <c r="J60" s="1045"/>
      <c r="K60" s="1045"/>
      <c r="L60" s="1045">
        <f>-L57</f>
        <v>-46199873476</v>
      </c>
      <c r="M60" s="1045"/>
      <c r="N60" s="1045"/>
      <c r="O60" s="1045"/>
      <c r="P60" s="1045"/>
      <c r="Q60" s="1045"/>
      <c r="R60" s="1176"/>
      <c r="S60" s="1045"/>
      <c r="T60" s="1045"/>
      <c r="U60" s="1045"/>
      <c r="V60" s="1261">
        <v>172803562</v>
      </c>
      <c r="W60" s="1045">
        <f>-W56</f>
        <v>0</v>
      </c>
      <c r="X60" s="1045">
        <f ca="1">SUM(H60:W60)</f>
        <v>911782017</v>
      </c>
      <c r="Y60" s="1110">
        <f t="shared" si="12"/>
        <v>5142500</v>
      </c>
      <c r="Z60" s="1177">
        <f t="shared" ca="1" si="17"/>
        <v>911782</v>
      </c>
      <c r="AA60" s="1126"/>
      <c r="AB60" s="1107">
        <v>19</v>
      </c>
      <c r="AC60" s="1246" t="s">
        <v>3587</v>
      </c>
      <c r="AD60" s="1053">
        <f>+'Nota 19'!J14</f>
        <v>911782</v>
      </c>
      <c r="AE60" s="1035" t="str">
        <f t="shared" ca="1" si="13"/>
        <v>Ok</v>
      </c>
      <c r="AF60" s="1148">
        <f t="shared" ca="1" si="14"/>
        <v>0</v>
      </c>
      <c r="AG60" s="1186"/>
    </row>
    <row r="61" spans="2:33" s="1027" customFormat="1" ht="15" customHeight="1">
      <c r="B61" s="1105"/>
      <c r="C61" s="1118"/>
      <c r="D61" s="1118"/>
      <c r="E61" s="1022">
        <v>5142700</v>
      </c>
      <c r="F61" s="1055" t="s">
        <v>3436</v>
      </c>
      <c r="G61" s="1055"/>
      <c r="H61" s="1045">
        <f ca="1">+SUMIF('Mapping FECU'!$E$9:$G$601,Activo!E61,'Mapping FECU'!$G$9:$G$601)</f>
        <v>711466380</v>
      </c>
      <c r="I61" s="1045"/>
      <c r="J61" s="1037"/>
      <c r="K61" s="1045"/>
      <c r="L61" s="1045"/>
      <c r="M61" s="1045"/>
      <c r="N61" s="1045"/>
      <c r="O61" s="1045"/>
      <c r="P61" s="1045"/>
      <c r="Q61" s="1045"/>
      <c r="R61" s="1045"/>
      <c r="S61" s="1045"/>
      <c r="T61" s="1045"/>
      <c r="U61" s="1045"/>
      <c r="V61" s="1045"/>
      <c r="W61" s="1045"/>
      <c r="X61" s="1045">
        <f ca="1">SUM(H61:T61)</f>
        <v>711466380</v>
      </c>
      <c r="Y61" s="1110">
        <f t="shared" si="12"/>
        <v>5142700</v>
      </c>
      <c r="Z61" s="1181">
        <f t="shared" ca="1" si="17"/>
        <v>711466</v>
      </c>
      <c r="AA61" s="1128"/>
      <c r="AB61" s="1107">
        <v>19</v>
      </c>
      <c r="AC61" s="1246" t="s">
        <v>3587</v>
      </c>
      <c r="AD61" s="1053">
        <f>+'Nota 19'!J15</f>
        <v>174335</v>
      </c>
      <c r="AE61" s="1035" t="str">
        <f t="shared" ca="1" si="13"/>
        <v>Error</v>
      </c>
      <c r="AF61" s="1036">
        <f t="shared" ca="1" si="14"/>
        <v>-537131</v>
      </c>
    </row>
    <row r="62" spans="2:33" s="1027" customFormat="1" ht="15" customHeight="1">
      <c r="B62" s="1105"/>
      <c r="C62" s="1118"/>
      <c r="D62" s="1118"/>
      <c r="E62" s="1022">
        <v>5142800</v>
      </c>
      <c r="F62" s="1560" t="s">
        <v>3525</v>
      </c>
      <c r="G62" s="1560"/>
      <c r="H62" s="1045">
        <f ca="1">+SUMIF('Mapping FECU'!$E$9:$G$601,Activo!E62,'Mapping FECU'!$G$9:$G$601)</f>
        <v>0</v>
      </c>
      <c r="I62" s="1045"/>
      <c r="J62" s="1037"/>
      <c r="K62" s="1045"/>
      <c r="L62" s="1038"/>
      <c r="M62" s="1038"/>
      <c r="N62" s="1038"/>
      <c r="O62" s="1038"/>
      <c r="P62" s="1038"/>
      <c r="Q62" s="1038"/>
      <c r="R62" s="1038"/>
      <c r="S62" s="1038"/>
      <c r="T62" s="1038"/>
      <c r="U62" s="1038"/>
      <c r="V62" s="1038"/>
      <c r="W62" s="1038"/>
      <c r="X62" s="1038"/>
      <c r="Y62" s="1110">
        <f t="shared" si="12"/>
        <v>5142800</v>
      </c>
      <c r="Z62" s="1125">
        <f t="shared" si="17"/>
        <v>0</v>
      </c>
      <c r="AA62" s="1128"/>
      <c r="AB62" s="1107"/>
      <c r="AC62" s="1108"/>
      <c r="AD62" s="1053">
        <f>+'Nota 19'!J21</f>
        <v>711466</v>
      </c>
      <c r="AE62" s="1035"/>
      <c r="AF62" s="1036"/>
    </row>
    <row r="63" spans="2:33" s="1027" customFormat="1" ht="15" customHeight="1">
      <c r="B63" s="1105"/>
      <c r="C63" s="1118"/>
      <c r="D63" s="1118"/>
      <c r="H63" s="1173"/>
      <c r="I63" s="1045"/>
      <c r="J63" s="1037"/>
      <c r="K63" s="1045"/>
      <c r="L63" s="1038"/>
      <c r="M63" s="1038"/>
      <c r="N63" s="1038"/>
      <c r="O63" s="1038"/>
      <c r="P63" s="1038"/>
      <c r="Q63" s="1038"/>
      <c r="R63" s="1038"/>
      <c r="S63" s="1038"/>
      <c r="T63" s="1038"/>
      <c r="U63" s="1038"/>
      <c r="V63" s="1038"/>
      <c r="W63" s="1038"/>
      <c r="X63" s="1038"/>
      <c r="Z63" s="1125"/>
      <c r="AA63" s="1128"/>
      <c r="AB63" s="1107"/>
      <c r="AC63" s="1108"/>
      <c r="AD63" s="1053"/>
      <c r="AE63" s="1035"/>
      <c r="AF63" s="1036"/>
    </row>
    <row r="64" spans="2:33" s="1027" customFormat="1" ht="15" customHeight="1">
      <c r="B64" s="1105"/>
      <c r="C64" s="1022"/>
      <c r="D64" s="1022"/>
      <c r="E64" s="1022"/>
      <c r="F64" s="1055"/>
      <c r="G64" s="1055"/>
      <c r="H64" s="1037"/>
      <c r="I64" s="1037"/>
      <c r="J64" s="1037"/>
      <c r="K64" s="1038"/>
      <c r="L64" s="1038"/>
      <c r="M64" s="1038"/>
      <c r="N64" s="1038"/>
      <c r="O64" s="1038"/>
      <c r="P64" s="1038"/>
      <c r="Q64" s="1038"/>
      <c r="R64" s="1038"/>
      <c r="S64" s="1038"/>
      <c r="T64" s="1038"/>
      <c r="U64" s="1038"/>
      <c r="V64" s="1038"/>
      <c r="W64" s="1038"/>
      <c r="X64" s="1038"/>
      <c r="Z64" s="1062"/>
      <c r="AA64" s="1117"/>
      <c r="AB64" s="1107" t="s">
        <v>3588</v>
      </c>
      <c r="AC64" s="1108" t="s">
        <v>3589</v>
      </c>
      <c r="AD64" s="1053">
        <f>+'Nota 17.1'!F128</f>
        <v>47111655</v>
      </c>
      <c r="AE64" s="1035" t="str">
        <f ca="1">IF(Z57+Z60-AD64=0,"Ok","Error")</f>
        <v>Ok</v>
      </c>
      <c r="AF64" s="1036">
        <f ca="1">+AD64-Z57-Z60</f>
        <v>0</v>
      </c>
    </row>
    <row r="65" spans="2:33" s="1027" customFormat="1" ht="15" customHeight="1">
      <c r="B65" s="1105"/>
      <c r="C65" s="1106" t="s">
        <v>3590</v>
      </c>
      <c r="D65" s="1106"/>
      <c r="E65" s="1106"/>
      <c r="F65" s="1561" t="s">
        <v>3415</v>
      </c>
      <c r="G65" s="1561"/>
      <c r="H65" s="1031">
        <f ca="1">+H67+H71+H75</f>
        <v>28547294290</v>
      </c>
      <c r="I65" s="1031">
        <f t="shared" ref="I65:W65" si="18">+I67+I71+I75</f>
        <v>0</v>
      </c>
      <c r="J65" s="1031">
        <f t="shared" si="18"/>
        <v>0</v>
      </c>
      <c r="K65" s="1031">
        <f>+K67+K71+K75</f>
        <v>0</v>
      </c>
      <c r="L65" s="1031">
        <f t="shared" si="18"/>
        <v>0</v>
      </c>
      <c r="M65" s="1031"/>
      <c r="N65" s="1031"/>
      <c r="O65" s="1031">
        <f t="shared" si="18"/>
        <v>0</v>
      </c>
      <c r="P65" s="1031"/>
      <c r="Q65" s="1031">
        <f t="shared" si="18"/>
        <v>0</v>
      </c>
      <c r="R65" s="1031">
        <f t="shared" si="18"/>
        <v>0</v>
      </c>
      <c r="S65" s="1031">
        <f t="shared" si="18"/>
        <v>0</v>
      </c>
      <c r="T65" s="1031">
        <f t="shared" si="18"/>
        <v>0</v>
      </c>
      <c r="U65" s="1031"/>
      <c r="V65" s="1031">
        <f t="shared" si="18"/>
        <v>0</v>
      </c>
      <c r="W65" s="1031">
        <f t="shared" si="18"/>
        <v>35000</v>
      </c>
      <c r="X65" s="1031">
        <f ca="1">+X67+X71+X75</f>
        <v>28659001755</v>
      </c>
      <c r="Z65" s="1057">
        <f ca="1">+Z67+Z71+Z75</f>
        <v>28659004</v>
      </c>
      <c r="AA65" s="1117"/>
      <c r="AB65" s="1107" t="s">
        <v>3591</v>
      </c>
      <c r="AC65" s="1108" t="s">
        <v>3592</v>
      </c>
      <c r="AD65" s="1053">
        <f>+'Nota 17.1'!F175</f>
        <v>367717</v>
      </c>
      <c r="AE65" s="1035" t="str">
        <f ca="1">IF(Z54-AD65=0,"Ok","Error")</f>
        <v>Ok</v>
      </c>
      <c r="AF65" s="1036">
        <f ca="1">+AD65-Z54</f>
        <v>0</v>
      </c>
    </row>
    <row r="66" spans="2:33" s="1027" customFormat="1" ht="15" customHeight="1">
      <c r="B66" s="1105"/>
      <c r="C66" s="1106"/>
      <c r="D66" s="1106"/>
      <c r="E66" s="1106"/>
      <c r="F66" s="1050"/>
      <c r="G66" s="1050"/>
      <c r="H66" s="1044"/>
      <c r="I66" s="1044"/>
      <c r="J66" s="1044"/>
      <c r="K66" s="1044"/>
      <c r="L66" s="1044"/>
      <c r="M66" s="1044"/>
      <c r="N66" s="1044"/>
      <c r="O66" s="1044"/>
      <c r="P66" s="1044"/>
      <c r="Q66" s="1044"/>
      <c r="R66" s="1044"/>
      <c r="S66" s="1044"/>
      <c r="T66" s="1044"/>
      <c r="U66" s="1044"/>
      <c r="V66" s="1044"/>
      <c r="W66" s="1044"/>
      <c r="X66" s="1044"/>
      <c r="Z66" s="1057"/>
      <c r="AA66" s="1117"/>
      <c r="AB66" s="1107"/>
      <c r="AD66" s="1053"/>
      <c r="AF66" s="1124"/>
    </row>
    <row r="67" spans="2:33" s="1027" customFormat="1" ht="15" customHeight="1">
      <c r="B67" s="1105"/>
      <c r="C67" s="1118"/>
      <c r="D67" s="1106">
        <v>5151000</v>
      </c>
      <c r="E67" s="1106"/>
      <c r="F67" s="1561" t="s">
        <v>3526</v>
      </c>
      <c r="G67" s="1561"/>
      <c r="H67" s="1044">
        <f ca="1">SUM(H68:H69)</f>
        <v>0</v>
      </c>
      <c r="I67" s="1044">
        <f t="shared" ref="I67:W67" si="19">SUM(I68:I69)</f>
        <v>0</v>
      </c>
      <c r="J67" s="1044">
        <f t="shared" si="19"/>
        <v>0</v>
      </c>
      <c r="K67" s="1044">
        <f t="shared" si="19"/>
        <v>0</v>
      </c>
      <c r="L67" s="1044">
        <f t="shared" si="19"/>
        <v>0</v>
      </c>
      <c r="M67" s="1044"/>
      <c r="N67" s="1044"/>
      <c r="O67" s="1044">
        <f t="shared" si="19"/>
        <v>0</v>
      </c>
      <c r="P67" s="1044"/>
      <c r="Q67" s="1044">
        <f t="shared" si="19"/>
        <v>0</v>
      </c>
      <c r="R67" s="1044">
        <f t="shared" si="19"/>
        <v>0</v>
      </c>
      <c r="S67" s="1044">
        <f t="shared" si="19"/>
        <v>0</v>
      </c>
      <c r="T67" s="1044">
        <f t="shared" si="19"/>
        <v>0</v>
      </c>
      <c r="U67" s="1044"/>
      <c r="V67" s="1044">
        <f t="shared" si="19"/>
        <v>0</v>
      </c>
      <c r="W67" s="1044">
        <f t="shared" si="19"/>
        <v>0</v>
      </c>
      <c r="X67" s="1044">
        <f ca="1">SUM(X68:X69)</f>
        <v>0</v>
      </c>
      <c r="Y67" s="1027">
        <f>+D67</f>
        <v>5151000</v>
      </c>
      <c r="Z67" s="1121">
        <f ca="1">SUM(Z68:Z69)</f>
        <v>0</v>
      </c>
      <c r="AA67" s="1117"/>
      <c r="AB67" s="1107"/>
      <c r="AD67" s="1053"/>
      <c r="AF67" s="1124"/>
    </row>
    <row r="68" spans="2:33" s="1027" customFormat="1" ht="15" customHeight="1">
      <c r="B68" s="1105"/>
      <c r="C68" s="1118"/>
      <c r="D68" s="1118"/>
      <c r="E68" s="1022">
        <v>5151100</v>
      </c>
      <c r="F68" s="1560" t="s">
        <v>3527</v>
      </c>
      <c r="G68" s="1560"/>
      <c r="H68" s="1045">
        <f ca="1">+SUMIF('Mapping FECU'!$E$9:$G$601,Activo!E68,'Mapping FECU'!$G$9:$G$601)</f>
        <v>0</v>
      </c>
      <c r="I68" s="1045"/>
      <c r="J68" s="1045"/>
      <c r="K68" s="1045"/>
      <c r="L68" s="1045"/>
      <c r="M68" s="1045"/>
      <c r="N68" s="1045"/>
      <c r="O68" s="1045"/>
      <c r="P68" s="1045"/>
      <c r="Q68" s="1045"/>
      <c r="R68" s="1045"/>
      <c r="S68" s="1045"/>
      <c r="T68" s="1045"/>
      <c r="U68" s="1045"/>
      <c r="V68" s="1045"/>
      <c r="W68" s="1045"/>
      <c r="X68" s="1045">
        <f ca="1">SUM(H68:T68)</f>
        <v>0</v>
      </c>
      <c r="Y68" s="1110">
        <f t="shared" ref="Y68:Y69" si="20">+E68</f>
        <v>5151100</v>
      </c>
      <c r="Z68" s="1125">
        <f ca="1">ROUND(X68/1000,0)</f>
        <v>0</v>
      </c>
      <c r="AA68" s="1117"/>
      <c r="AB68" s="1107">
        <v>20</v>
      </c>
      <c r="AC68" s="1108" t="s">
        <v>3593</v>
      </c>
      <c r="AD68" s="1053">
        <v>0</v>
      </c>
      <c r="AE68" s="1035" t="str">
        <f ca="1">IF(Z68-AD68=0,"Ok","Error")</f>
        <v>Ok</v>
      </c>
      <c r="AF68" s="1036">
        <f ca="1">+AD68-Z68</f>
        <v>0</v>
      </c>
    </row>
    <row r="69" spans="2:33" s="1027" customFormat="1" ht="15" customHeight="1">
      <c r="B69" s="1105"/>
      <c r="C69" s="1118"/>
      <c r="D69" s="1118"/>
      <c r="E69" s="1022">
        <v>5151200</v>
      </c>
      <c r="F69" s="1560" t="s">
        <v>3528</v>
      </c>
      <c r="G69" s="1560"/>
      <c r="H69" s="1045">
        <f ca="1">+SUMIF('Mapping FECU'!$E$9:$G$601,Activo!E69,'Mapping FECU'!$G$9:$G$601)</f>
        <v>0</v>
      </c>
      <c r="I69" s="1045"/>
      <c r="J69" s="1045"/>
      <c r="K69" s="1045"/>
      <c r="L69" s="1045"/>
      <c r="M69" s="1045"/>
      <c r="N69" s="1045"/>
      <c r="O69" s="1045"/>
      <c r="P69" s="1045"/>
      <c r="Q69" s="1045"/>
      <c r="R69" s="1045"/>
      <c r="S69" s="1045"/>
      <c r="T69" s="1045"/>
      <c r="U69" s="1045"/>
      <c r="V69" s="1045"/>
      <c r="W69" s="1045"/>
      <c r="X69" s="1045">
        <f ca="1">SUM(H69:T69)</f>
        <v>0</v>
      </c>
      <c r="Y69" s="1110">
        <f t="shared" si="20"/>
        <v>5151200</v>
      </c>
      <c r="Z69" s="1125">
        <f ca="1">ROUND(X69/1000,0)</f>
        <v>0</v>
      </c>
      <c r="AA69" s="1117"/>
      <c r="AB69" s="1107">
        <v>20</v>
      </c>
      <c r="AC69" s="1108" t="s">
        <v>3594</v>
      </c>
      <c r="AD69" s="1053">
        <v>0</v>
      </c>
      <c r="AE69" s="1035" t="str">
        <f ca="1">IF(Z69-AD69=0,"Ok","Error")</f>
        <v>Ok</v>
      </c>
      <c r="AF69" s="1036">
        <f ca="1">+AD69-Z69</f>
        <v>0</v>
      </c>
    </row>
    <row r="70" spans="2:33" s="1027" customFormat="1" ht="15" customHeight="1">
      <c r="B70" s="1105"/>
      <c r="C70" s="1118"/>
      <c r="D70" s="1118"/>
      <c r="E70" s="1022"/>
      <c r="F70" s="1055"/>
      <c r="G70" s="1055"/>
      <c r="H70" s="1045"/>
      <c r="I70" s="1045"/>
      <c r="J70" s="1045"/>
      <c r="K70" s="1045"/>
      <c r="L70" s="1045"/>
      <c r="M70" s="1045"/>
      <c r="N70" s="1045"/>
      <c r="O70" s="1045"/>
      <c r="P70" s="1045"/>
      <c r="Q70" s="1045"/>
      <c r="R70" s="1045"/>
      <c r="S70" s="1045"/>
      <c r="T70" s="1045"/>
      <c r="U70" s="1045"/>
      <c r="V70" s="1045"/>
      <c r="W70" s="1045"/>
      <c r="X70" s="1045"/>
      <c r="Z70" s="1062"/>
      <c r="AA70" s="1117"/>
      <c r="AB70" s="1107"/>
      <c r="AC70" s="1108"/>
      <c r="AD70" s="1053"/>
      <c r="AE70" s="1035"/>
      <c r="AF70" s="1036"/>
    </row>
    <row r="71" spans="2:33" s="1027" customFormat="1" ht="15" customHeight="1">
      <c r="B71" s="1105"/>
      <c r="C71" s="1118"/>
      <c r="D71" s="1106">
        <v>5152000</v>
      </c>
      <c r="E71" s="1106"/>
      <c r="F71" s="1561" t="s">
        <v>3529</v>
      </c>
      <c r="G71" s="1561"/>
      <c r="H71" s="1044">
        <f ca="1">SUM(H72:H73)</f>
        <v>19177060058</v>
      </c>
      <c r="I71" s="1044">
        <f t="shared" ref="I71:W71" si="21">SUM(I72:I73)</f>
        <v>0</v>
      </c>
      <c r="J71" s="1044">
        <f t="shared" si="21"/>
        <v>0</v>
      </c>
      <c r="K71" s="1044">
        <f t="shared" si="21"/>
        <v>0</v>
      </c>
      <c r="L71" s="1044">
        <f t="shared" si="21"/>
        <v>0</v>
      </c>
      <c r="M71" s="1044"/>
      <c r="N71" s="1044"/>
      <c r="O71" s="1044">
        <f t="shared" si="21"/>
        <v>0</v>
      </c>
      <c r="P71" s="1044"/>
      <c r="Q71" s="1044">
        <f t="shared" si="21"/>
        <v>0</v>
      </c>
      <c r="R71" s="1044">
        <f t="shared" si="21"/>
        <v>0</v>
      </c>
      <c r="S71" s="1044">
        <f t="shared" si="21"/>
        <v>0</v>
      </c>
      <c r="T71" s="1044">
        <f t="shared" si="21"/>
        <v>0</v>
      </c>
      <c r="U71" s="1044"/>
      <c r="V71" s="1044">
        <f t="shared" si="21"/>
        <v>0</v>
      </c>
      <c r="W71" s="1044">
        <f t="shared" si="21"/>
        <v>0</v>
      </c>
      <c r="X71" s="1044">
        <f ca="1">SUM(X72:X73)</f>
        <v>19177060058</v>
      </c>
      <c r="Y71" s="1027">
        <f>+D71</f>
        <v>5152000</v>
      </c>
      <c r="Z71" s="1057">
        <f ca="1">SUM(Z72:Z73)</f>
        <v>19177060</v>
      </c>
      <c r="AA71" s="1117"/>
      <c r="AB71" s="1107"/>
      <c r="AD71" s="1053"/>
      <c r="AF71" s="1124"/>
    </row>
    <row r="72" spans="2:33" s="1027" customFormat="1" ht="15" customHeight="1">
      <c r="B72" s="1105"/>
      <c r="C72" s="1118"/>
      <c r="D72" s="1118"/>
      <c r="E72" s="1022">
        <v>5152100</v>
      </c>
      <c r="F72" s="1560" t="s">
        <v>3530</v>
      </c>
      <c r="G72" s="1560"/>
      <c r="H72" s="1045">
        <f ca="1">+SUMIF('Mapping FECU'!$E$9:$G$601,Activo!E72,'Mapping FECU'!$G$9:$G$601)</f>
        <v>6426997877</v>
      </c>
      <c r="I72" s="1045"/>
      <c r="J72" s="1045"/>
      <c r="K72" s="1045"/>
      <c r="L72" s="1045"/>
      <c r="M72" s="1045"/>
      <c r="N72" s="1045"/>
      <c r="O72" s="1045"/>
      <c r="P72" s="1045"/>
      <c r="Q72" s="1045"/>
      <c r="R72" s="1045"/>
      <c r="S72" s="1045"/>
      <c r="T72" s="1045"/>
      <c r="U72" s="1045"/>
      <c r="V72" s="1045"/>
      <c r="W72" s="1045"/>
      <c r="X72" s="1045">
        <f ca="1">SUM(H72:W72)</f>
        <v>6426997877</v>
      </c>
      <c r="Y72" s="1110">
        <f t="shared" ref="Y72:Y73" si="22">+E72</f>
        <v>5152100</v>
      </c>
      <c r="Z72" s="1062">
        <f ca="1">ROUND(X72/1000,0)</f>
        <v>6426998</v>
      </c>
      <c r="AA72" s="1117"/>
      <c r="AB72" s="1107" t="s">
        <v>3595</v>
      </c>
      <c r="AC72" s="1108" t="s">
        <v>3596</v>
      </c>
      <c r="AD72" s="1053">
        <f>+'Nota 21'!E14</f>
        <v>6426998</v>
      </c>
      <c r="AE72" s="1035" t="str">
        <f ca="1">IF(Z72-AD72=0,"Ok","Error")</f>
        <v>Ok</v>
      </c>
      <c r="AF72" s="1036">
        <f ca="1">+AD72-Z72</f>
        <v>0</v>
      </c>
    </row>
    <row r="73" spans="2:33" s="1027" customFormat="1" ht="15" customHeight="1">
      <c r="B73" s="1105"/>
      <c r="C73" s="1118"/>
      <c r="D73" s="1118"/>
      <c r="E73" s="1022">
        <v>5152200</v>
      </c>
      <c r="F73" s="1560" t="s">
        <v>3426</v>
      </c>
      <c r="G73" s="1560"/>
      <c r="H73" s="1045">
        <f ca="1">+SUMIF('Mapping FECU'!$E$9:$G$601,Activo!E73,'Mapping FECU'!$G$9:$G$601)</f>
        <v>12750062181</v>
      </c>
      <c r="I73" s="1045"/>
      <c r="J73" s="1045"/>
      <c r="K73" s="1056"/>
      <c r="L73" s="1045"/>
      <c r="M73" s="1045"/>
      <c r="N73" s="1045"/>
      <c r="O73" s="1045"/>
      <c r="P73" s="1045"/>
      <c r="Q73" s="1045"/>
      <c r="R73" s="1045"/>
      <c r="S73" s="1045"/>
      <c r="T73" s="1045"/>
      <c r="U73" s="1045"/>
      <c r="V73" s="1045"/>
      <c r="W73" s="1045"/>
      <c r="X73" s="1045">
        <f ca="1">SUM(H73:W73)</f>
        <v>12750062181</v>
      </c>
      <c r="Y73" s="1110">
        <f t="shared" si="22"/>
        <v>5152200</v>
      </c>
      <c r="Z73" s="1062">
        <f ca="1">ROUND(X73/1000,0)</f>
        <v>12750062</v>
      </c>
      <c r="AA73" s="1117"/>
      <c r="AB73" s="1107" t="s">
        <v>3597</v>
      </c>
      <c r="AC73" s="1108" t="s">
        <v>3598</v>
      </c>
      <c r="AD73" s="1053">
        <f>+'Nota 21'!G50</f>
        <v>12750062</v>
      </c>
      <c r="AE73" s="1035" t="str">
        <f ca="1">IF(Z73-AD73=0,"Ok","Error")</f>
        <v>Ok</v>
      </c>
      <c r="AF73" s="1036">
        <f ca="1">+AD73-Z73</f>
        <v>0</v>
      </c>
    </row>
    <row r="74" spans="2:33" s="1027" customFormat="1" ht="15" customHeight="1">
      <c r="B74" s="1105"/>
      <c r="C74" s="1118"/>
      <c r="D74" s="1118"/>
      <c r="E74" s="1022"/>
      <c r="F74" s="1055"/>
      <c r="G74" s="1055"/>
      <c r="H74" s="1045"/>
      <c r="I74" s="1045"/>
      <c r="J74" s="1045"/>
      <c r="K74" s="1045"/>
      <c r="L74" s="1045"/>
      <c r="M74" s="1045"/>
      <c r="N74" s="1045"/>
      <c r="O74" s="1045"/>
      <c r="P74" s="1045"/>
      <c r="Q74" s="1045"/>
      <c r="R74" s="1045"/>
      <c r="S74" s="1045"/>
      <c r="T74" s="1045"/>
      <c r="U74" s="1045"/>
      <c r="V74" s="1045"/>
      <c r="W74" s="1045"/>
      <c r="X74" s="1045"/>
      <c r="Z74" s="1062"/>
      <c r="AA74" s="1117"/>
      <c r="AB74" s="1107"/>
      <c r="AC74" s="1108"/>
      <c r="AD74" s="1053"/>
      <c r="AE74" s="1035"/>
      <c r="AF74" s="1036"/>
    </row>
    <row r="75" spans="2:33" s="1027" customFormat="1" ht="15" customHeight="1">
      <c r="B75" s="1105"/>
      <c r="C75" s="1118"/>
      <c r="D75" s="1106">
        <v>5153000</v>
      </c>
      <c r="E75" s="1118"/>
      <c r="F75" s="1561" t="s">
        <v>3531</v>
      </c>
      <c r="G75" s="1561"/>
      <c r="H75" s="1044">
        <f ca="1">SUM(H76:H80)</f>
        <v>9370234232</v>
      </c>
      <c r="I75" s="1044">
        <f t="shared" ref="I75:W75" si="23">SUM(I76:I80)</f>
        <v>0</v>
      </c>
      <c r="J75" s="1044">
        <f t="shared" si="23"/>
        <v>0</v>
      </c>
      <c r="K75" s="1044">
        <f t="shared" si="23"/>
        <v>0</v>
      </c>
      <c r="L75" s="1044">
        <f t="shared" si="23"/>
        <v>0</v>
      </c>
      <c r="M75" s="1044"/>
      <c r="N75" s="1044"/>
      <c r="O75" s="1044">
        <f t="shared" si="23"/>
        <v>0</v>
      </c>
      <c r="P75" s="1044"/>
      <c r="Q75" s="1044">
        <f t="shared" si="23"/>
        <v>0</v>
      </c>
      <c r="R75" s="1044">
        <f t="shared" si="23"/>
        <v>0</v>
      </c>
      <c r="S75" s="1044">
        <f t="shared" si="23"/>
        <v>0</v>
      </c>
      <c r="T75" s="1044">
        <v>0</v>
      </c>
      <c r="U75" s="1044"/>
      <c r="V75" s="1044">
        <f t="shared" si="23"/>
        <v>0</v>
      </c>
      <c r="W75" s="1044">
        <f t="shared" si="23"/>
        <v>35000</v>
      </c>
      <c r="X75" s="1044">
        <f ca="1">SUM(X76:X80)</f>
        <v>9481941697</v>
      </c>
      <c r="Y75" s="1027">
        <f>+D75</f>
        <v>5153000</v>
      </c>
      <c r="Z75" s="1057">
        <f ca="1">SUM(Z76:Z80)</f>
        <v>9481944</v>
      </c>
      <c r="AB75" s="1107"/>
      <c r="AD75" s="1053"/>
      <c r="AF75" s="1054"/>
    </row>
    <row r="76" spans="2:33" s="1027" customFormat="1" ht="15" customHeight="1">
      <c r="B76" s="1105"/>
      <c r="C76" s="1118"/>
      <c r="D76" s="1118"/>
      <c r="E76" s="1022">
        <v>5153100</v>
      </c>
      <c r="F76" s="1560" t="s">
        <v>3389</v>
      </c>
      <c r="G76" s="1560"/>
      <c r="H76" s="1045">
        <f ca="1">+SUMIF('Mapping FECU'!$E$9:$G$601,Activo!E76,'Mapping FECU'!$G$9:$G$601)</f>
        <v>551918092</v>
      </c>
      <c r="I76" s="1045"/>
      <c r="J76" s="1045"/>
      <c r="K76" s="1045"/>
      <c r="L76" s="1045"/>
      <c r="M76" s="1045"/>
      <c r="N76" s="1045"/>
      <c r="O76" s="1045"/>
      <c r="P76" s="1045"/>
      <c r="Q76" s="1045"/>
      <c r="R76" s="1045"/>
      <c r="S76" s="1045"/>
      <c r="T76" s="1045"/>
      <c r="U76" s="1045"/>
      <c r="V76" s="1045"/>
      <c r="W76" s="1045"/>
      <c r="X76" s="1045">
        <f ca="1">SUM(H76:W76)</f>
        <v>551918092</v>
      </c>
      <c r="Y76" s="1110">
        <f t="shared" ref="Y76:Y80" si="24">+E76</f>
        <v>5153100</v>
      </c>
      <c r="Z76" s="1062">
        <f ca="1">ROUND(X76/1000,0)</f>
        <v>551918</v>
      </c>
      <c r="AB76" s="1107" t="s">
        <v>3599</v>
      </c>
      <c r="AC76" s="1112" t="s">
        <v>3600</v>
      </c>
      <c r="AD76" s="1053">
        <f>+'Nota 22'!M10</f>
        <v>551918</v>
      </c>
      <c r="AE76" s="1035" t="str">
        <f ca="1">IF(Z76-AD76=0,"Ok","Error")</f>
        <v>Ok</v>
      </c>
      <c r="AF76" s="1036">
        <f ca="1">+AD76-Z76</f>
        <v>0</v>
      </c>
    </row>
    <row r="77" spans="2:33" s="1027" customFormat="1" ht="15" customHeight="1">
      <c r="B77" s="1105"/>
      <c r="C77" s="1118"/>
      <c r="D77" s="1118"/>
      <c r="E77" s="1022">
        <v>5153200</v>
      </c>
      <c r="F77" s="1560" t="s">
        <v>3411</v>
      </c>
      <c r="G77" s="1560"/>
      <c r="H77" s="1045">
        <f ca="1">+SUMIF('Mapping FECU'!$E$9:$G$601,Activo!E77,'Mapping FECU'!$G$9:$G$601)</f>
        <v>76723117</v>
      </c>
      <c r="I77" s="1045"/>
      <c r="J77" s="1045"/>
      <c r="K77" s="1045"/>
      <c r="L77" s="1045"/>
      <c r="M77" s="1045"/>
      <c r="N77" s="1045"/>
      <c r="O77" s="1045"/>
      <c r="P77" s="1045"/>
      <c r="Q77" s="1045"/>
      <c r="R77" s="1045"/>
      <c r="S77" s="1056"/>
      <c r="T77" s="1113"/>
      <c r="U77" s="1113"/>
      <c r="V77" s="1113"/>
      <c r="W77" s="1113"/>
      <c r="X77" s="1045">
        <f ca="1">SUM(H77:W77)</f>
        <v>76723117</v>
      </c>
      <c r="Y77" s="1110">
        <f t="shared" si="24"/>
        <v>5153200</v>
      </c>
      <c r="Z77" s="1062">
        <f ca="1">ROUND(X77/1000,0)</f>
        <v>76723</v>
      </c>
      <c r="AB77" s="1107" t="s">
        <v>3601</v>
      </c>
      <c r="AC77" s="1108" t="s">
        <v>3602</v>
      </c>
      <c r="AD77" s="1053">
        <f>+'Nota 22'!G12</f>
        <v>76723</v>
      </c>
      <c r="AE77" s="1035" t="str">
        <f ca="1">IF(Z77-AD77=0,"Ok","Error")</f>
        <v>Ok</v>
      </c>
      <c r="AF77" s="1036">
        <f ca="1">+AD77-Z77</f>
        <v>0</v>
      </c>
    </row>
    <row r="78" spans="2:33" s="1027" customFormat="1" ht="15" customHeight="1">
      <c r="B78" s="1105"/>
      <c r="C78" s="1118"/>
      <c r="D78" s="1118"/>
      <c r="E78" s="1022">
        <v>5153300</v>
      </c>
      <c r="F78" s="1560" t="s">
        <v>3418</v>
      </c>
      <c r="G78" s="1560"/>
      <c r="H78" s="1045">
        <f ca="1">+SUMIF('Mapping FECU'!$E$9:$G$601,Activo!E78,'Mapping FECU'!$G$9:$G$601)</f>
        <v>940594611</v>
      </c>
      <c r="I78" s="1045"/>
      <c r="J78" s="1045"/>
      <c r="K78" s="1045"/>
      <c r="L78" s="1045"/>
      <c r="M78" s="1045"/>
      <c r="N78" s="1045"/>
      <c r="O78" s="1045"/>
      <c r="P78" s="1045">
        <f>-P80</f>
        <v>0</v>
      </c>
      <c r="Q78" s="1045"/>
      <c r="R78" s="1045"/>
      <c r="S78" s="1045"/>
      <c r="T78" s="1045"/>
      <c r="U78" s="1045">
        <f>Pasivo!P49</f>
        <v>111672465</v>
      </c>
      <c r="V78" s="1045"/>
      <c r="W78" s="1045"/>
      <c r="X78" s="1045">
        <f ca="1">SUM(H78:W78)</f>
        <v>1052267076</v>
      </c>
      <c r="Y78" s="1110">
        <f t="shared" si="24"/>
        <v>5153300</v>
      </c>
      <c r="Z78" s="1062">
        <f ca="1">ROUND(X78/1000,0)</f>
        <v>1052267</v>
      </c>
      <c r="AB78" s="1107" t="s">
        <v>3603</v>
      </c>
      <c r="AC78" s="1108" t="s">
        <v>3604</v>
      </c>
      <c r="AD78" s="1053">
        <f>+'Nota 49'!K27</f>
        <v>1052267</v>
      </c>
      <c r="AE78" s="1035" t="str">
        <f ca="1">IF(Z78-AD78=0,"Ok","Error")</f>
        <v>Ok</v>
      </c>
      <c r="AF78" s="1036">
        <f ca="1">+AD78-Z78</f>
        <v>0</v>
      </c>
    </row>
    <row r="79" spans="2:33" s="1027" customFormat="1" ht="15" customHeight="1">
      <c r="B79" s="1105"/>
      <c r="C79" s="1118"/>
      <c r="D79" s="1118"/>
      <c r="E79" s="1022">
        <v>5153400</v>
      </c>
      <c r="F79" s="1560" t="s">
        <v>3532</v>
      </c>
      <c r="G79" s="1560"/>
      <c r="H79" s="1045">
        <f ca="1">+SUMIF('Mapping FECU'!$E$9:$G$601,Activo!E79,'Mapping FECU'!$G$9:$G$601)</f>
        <v>0</v>
      </c>
      <c r="I79" s="1045"/>
      <c r="J79" s="1045"/>
      <c r="K79" s="1045"/>
      <c r="L79" s="1045"/>
      <c r="M79" s="1045"/>
      <c r="N79" s="1045"/>
      <c r="O79" s="1045"/>
      <c r="Q79" s="1045"/>
      <c r="R79" s="1045"/>
      <c r="S79" s="1045"/>
      <c r="T79" s="1045"/>
      <c r="U79" s="1045"/>
      <c r="V79" s="1045"/>
      <c r="W79" s="1045"/>
      <c r="X79" s="1045">
        <f ca="1">SUM(H79:W79)</f>
        <v>0</v>
      </c>
      <c r="Y79" s="1110">
        <f t="shared" si="24"/>
        <v>5153400</v>
      </c>
      <c r="Z79" s="1062">
        <f ca="1">ROUND(X79/1000,0)</f>
        <v>0</v>
      </c>
      <c r="AB79" s="1107" t="s">
        <v>3605</v>
      </c>
      <c r="AC79" s="1108" t="s">
        <v>3606</v>
      </c>
      <c r="AD79" s="1053">
        <v>0</v>
      </c>
      <c r="AE79" s="1035" t="str">
        <f ca="1">IF(Z79-AD79=0,"Ok","Error")</f>
        <v>Ok</v>
      </c>
      <c r="AF79" s="1036">
        <f ca="1">+AD79-Z79</f>
        <v>0</v>
      </c>
    </row>
    <row r="80" spans="2:33" s="1027" customFormat="1" ht="15" customHeight="1">
      <c r="B80" s="1105"/>
      <c r="C80" s="1022"/>
      <c r="D80" s="1022"/>
      <c r="E80" s="1022">
        <v>5153500</v>
      </c>
      <c r="F80" s="1560" t="s">
        <v>3531</v>
      </c>
      <c r="G80" s="1560"/>
      <c r="H80" s="1045">
        <f ca="1">+SUMIF('Mapping FECU'!$E$9:$G$601,Activo!E80,'Mapping FECU'!$G$9:$G$601)</f>
        <v>7800998412</v>
      </c>
      <c r="I80" s="1045">
        <f>-I32</f>
        <v>0</v>
      </c>
      <c r="J80" s="1045"/>
      <c r="K80" s="1045">
        <f>-K20-K21</f>
        <v>0</v>
      </c>
      <c r="L80" s="1045"/>
      <c r="M80" s="1045"/>
      <c r="N80" s="1045"/>
      <c r="O80" s="1045"/>
      <c r="P80" s="1045"/>
      <c r="Q80" s="1045"/>
      <c r="R80" s="1045"/>
      <c r="S80" s="1045"/>
      <c r="T80" s="1045">
        <v>0</v>
      </c>
      <c r="U80" s="1045">
        <f>-U17</f>
        <v>0</v>
      </c>
      <c r="V80" s="1045"/>
      <c r="W80" s="1045">
        <f>36000+1000-2000</f>
        <v>35000</v>
      </c>
      <c r="X80" s="1045">
        <f ca="1">SUM(H80:W80)</f>
        <v>7801033412</v>
      </c>
      <c r="Y80" s="1110">
        <f t="shared" si="24"/>
        <v>5153500</v>
      </c>
      <c r="Z80" s="1062">
        <f ca="1">ROUND(X80/1000,0)+3</f>
        <v>7801036</v>
      </c>
      <c r="AB80" s="1107" t="s">
        <v>3607</v>
      </c>
      <c r="AC80" s="1068" t="s">
        <v>3415</v>
      </c>
      <c r="AD80" s="1053">
        <f>+'Nota 22'!E36</f>
        <v>7801036</v>
      </c>
      <c r="AE80" s="1035" t="str">
        <f ca="1">IF(Z80-AD80=0,"Ok","Error")</f>
        <v>Ok</v>
      </c>
      <c r="AF80" s="1036">
        <f ca="1">+AD80-Z80</f>
        <v>0</v>
      </c>
      <c r="AG80" s="1054"/>
    </row>
    <row r="81" spans="2:32" s="1027" customFormat="1" ht="15" customHeight="1">
      <c r="B81" s="1069"/>
      <c r="C81" s="1073"/>
      <c r="D81" s="1073"/>
      <c r="E81" s="1073"/>
      <c r="F81" s="1073"/>
      <c r="G81" s="1073"/>
      <c r="H81" s="1073"/>
      <c r="I81" s="1073"/>
      <c r="J81" s="1073"/>
      <c r="K81" s="1073"/>
      <c r="L81" s="1073"/>
      <c r="M81" s="1073"/>
      <c r="N81" s="1073"/>
      <c r="O81" s="1073"/>
      <c r="P81" s="1073"/>
      <c r="Q81" s="1073"/>
      <c r="R81" s="1073"/>
      <c r="S81" s="1073"/>
      <c r="T81" s="1073"/>
      <c r="U81" s="1073"/>
      <c r="V81" s="1073"/>
      <c r="W81" s="1073"/>
      <c r="X81" s="1073"/>
      <c r="Y81" s="1073"/>
      <c r="Z81" s="1129"/>
      <c r="AD81" s="1064"/>
      <c r="AF81" s="1054"/>
    </row>
    <row r="82" spans="2:32" s="1027" customFormat="1" ht="15" customHeight="1">
      <c r="AF82" s="1054"/>
    </row>
    <row r="83" spans="2:32" s="1027" customFormat="1" ht="15" customHeight="1">
      <c r="H83" s="1054"/>
      <c r="AF83" s="1054"/>
    </row>
    <row r="84" spans="2:32" s="1027" customFormat="1" ht="15" customHeight="1">
      <c r="H84" s="1130"/>
      <c r="I84" s="1130"/>
      <c r="AF84" s="1054"/>
    </row>
    <row r="85" spans="2:32" s="1027" customFormat="1" ht="15" customHeight="1">
      <c r="H85" s="1077"/>
      <c r="I85" s="1077"/>
      <c r="AF85" s="1054"/>
    </row>
    <row r="86" spans="2:32" s="1027" customFormat="1" ht="15" customHeight="1">
      <c r="H86" s="1130"/>
      <c r="I86" s="1130"/>
      <c r="J86" s="1054"/>
      <c r="AF86" s="1054"/>
    </row>
    <row r="87" spans="2:32" s="1027" customFormat="1" ht="15" customHeight="1">
      <c r="H87" s="1130"/>
      <c r="I87" s="1130"/>
      <c r="AF87" s="1054"/>
    </row>
    <row r="88" spans="2:32" s="1027" customFormat="1" ht="15" customHeight="1">
      <c r="H88" s="1130"/>
      <c r="I88" s="1130"/>
      <c r="AF88" s="1054"/>
    </row>
    <row r="89" spans="2:32" s="1027" customFormat="1" ht="15" customHeight="1">
      <c r="H89" s="1077"/>
      <c r="I89" s="1077"/>
      <c r="K89" s="1119"/>
      <c r="AF89" s="1054"/>
    </row>
    <row r="90" spans="2:32" s="1027" customFormat="1" ht="15" customHeight="1">
      <c r="K90" s="1119"/>
      <c r="AF90" s="1054"/>
    </row>
    <row r="91" spans="2:32" s="1027" customFormat="1" ht="15" customHeight="1">
      <c r="K91" s="1119"/>
      <c r="AF91" s="1054"/>
    </row>
    <row r="92" spans="2:32" s="1027" customFormat="1" ht="15" customHeight="1">
      <c r="AF92" s="1054"/>
    </row>
    <row r="93" spans="2:32" s="1027" customFormat="1" ht="15" customHeight="1">
      <c r="AF93" s="1054"/>
    </row>
    <row r="94" spans="2:32" s="1027" customFormat="1" ht="15" customHeight="1">
      <c r="AF94" s="1054"/>
    </row>
    <row r="95" spans="2:32" s="1027" customFormat="1" ht="15" customHeight="1">
      <c r="AF95" s="1054"/>
    </row>
    <row r="96" spans="2:32" s="1027" customFormat="1" ht="15" customHeight="1">
      <c r="AF96" s="1054"/>
    </row>
    <row r="97" spans="32:32" s="1027" customFormat="1" ht="15" customHeight="1">
      <c r="AF97" s="1054"/>
    </row>
    <row r="98" spans="32:32" s="1027" customFormat="1" ht="15" customHeight="1">
      <c r="AF98" s="1054"/>
    </row>
    <row r="99" spans="32:32" s="1027" customFormat="1" ht="15" customHeight="1">
      <c r="AF99" s="1054"/>
    </row>
    <row r="100" spans="32:32" s="1027" customFormat="1" ht="15" customHeight="1">
      <c r="AF100" s="1054"/>
    </row>
    <row r="101" spans="32:32" s="1027" customFormat="1" ht="15" customHeight="1">
      <c r="AF101" s="1054"/>
    </row>
    <row r="102" spans="32:32" s="1027" customFormat="1" ht="15" customHeight="1">
      <c r="AF102" s="1054"/>
    </row>
    <row r="103" spans="32:32" s="1027" customFormat="1" ht="15" customHeight="1">
      <c r="AF103" s="1054"/>
    </row>
    <row r="104" spans="32:32" s="1027" customFormat="1" ht="15" customHeight="1">
      <c r="AF104" s="1054"/>
    </row>
    <row r="105" spans="32:32" s="1027" customFormat="1" ht="15" customHeight="1">
      <c r="AF105" s="1054"/>
    </row>
    <row r="106" spans="32:32" s="1027" customFormat="1" ht="15" customHeight="1">
      <c r="AF106" s="1054"/>
    </row>
    <row r="107" spans="32:32" s="1027" customFormat="1" ht="15" customHeight="1">
      <c r="AF107" s="1054"/>
    </row>
    <row r="108" spans="32:32" s="1027" customFormat="1" ht="15" customHeight="1">
      <c r="AF108" s="1054"/>
    </row>
    <row r="109" spans="32:32" s="1027" customFormat="1" ht="15" customHeight="1">
      <c r="AF109" s="1054"/>
    </row>
    <row r="110" spans="32:32" s="1027" customFormat="1" ht="15" customHeight="1">
      <c r="AF110" s="1054"/>
    </row>
    <row r="111" spans="32:32" s="1027" customFormat="1" ht="15" customHeight="1">
      <c r="AF111" s="1054"/>
    </row>
    <row r="112" spans="32:32" s="1027" customFormat="1" ht="15" customHeight="1">
      <c r="AF112" s="1054"/>
    </row>
    <row r="113" spans="32:32" s="1027" customFormat="1" ht="15" customHeight="1">
      <c r="AF113" s="1054"/>
    </row>
    <row r="114" spans="32:32" s="1027" customFormat="1" ht="15" customHeight="1">
      <c r="AF114" s="1054"/>
    </row>
    <row r="115" spans="32:32" s="1027" customFormat="1" ht="15" customHeight="1">
      <c r="AF115" s="1054"/>
    </row>
    <row r="116" spans="32:32" s="1027" customFormat="1" ht="15" customHeight="1">
      <c r="AF116" s="1054"/>
    </row>
    <row r="117" spans="32:32" s="1027" customFormat="1" ht="15" customHeight="1">
      <c r="AF117" s="1054"/>
    </row>
    <row r="118" spans="32:32" s="1027" customFormat="1" ht="15" customHeight="1">
      <c r="AF118" s="1054"/>
    </row>
    <row r="119" spans="32:32" s="1027" customFormat="1" ht="15" customHeight="1">
      <c r="AF119" s="1054"/>
    </row>
    <row r="120" spans="32:32" s="1027" customFormat="1" ht="15" customHeight="1">
      <c r="AF120" s="1054"/>
    </row>
    <row r="121" spans="32:32" s="1027" customFormat="1" ht="15" customHeight="1">
      <c r="AF121" s="1054"/>
    </row>
    <row r="122" spans="32:32" s="1027" customFormat="1" ht="15" customHeight="1">
      <c r="AF122" s="1054"/>
    </row>
    <row r="123" spans="32:32" s="1027" customFormat="1" ht="15" customHeight="1">
      <c r="AF123" s="1054"/>
    </row>
    <row r="124" spans="32:32" s="1027" customFormat="1" ht="15" customHeight="1">
      <c r="AF124" s="1054"/>
    </row>
    <row r="125" spans="32:32" s="1027" customFormat="1" ht="15" customHeight="1">
      <c r="AF125" s="1054"/>
    </row>
    <row r="126" spans="32:32" s="1027" customFormat="1" ht="15" customHeight="1">
      <c r="AF126" s="1054"/>
    </row>
    <row r="127" spans="32:32" s="1027" customFormat="1" ht="15" customHeight="1">
      <c r="AF127" s="1054"/>
    </row>
    <row r="128" spans="32:32" s="1027" customFormat="1" ht="15" customHeight="1">
      <c r="AF128" s="1054"/>
    </row>
    <row r="129" spans="32:32" s="1027" customFormat="1" ht="15" customHeight="1">
      <c r="AF129" s="1054"/>
    </row>
    <row r="130" spans="32:32" s="1027" customFormat="1" ht="15" customHeight="1">
      <c r="AF130" s="1054"/>
    </row>
    <row r="131" spans="32:32" s="1027" customFormat="1" ht="15" customHeight="1">
      <c r="AF131" s="1054"/>
    </row>
    <row r="132" spans="32:32" s="1027" customFormat="1" ht="15" customHeight="1">
      <c r="AF132" s="1054"/>
    </row>
    <row r="133" spans="32:32" s="1027" customFormat="1" ht="15" customHeight="1">
      <c r="AF133" s="1054"/>
    </row>
    <row r="134" spans="32:32" s="1027" customFormat="1" ht="15" customHeight="1">
      <c r="AF134" s="1054"/>
    </row>
    <row r="135" spans="32:32" s="1027" customFormat="1" ht="15" customHeight="1">
      <c r="AF135" s="1054"/>
    </row>
    <row r="136" spans="32:32" s="1027" customFormat="1" ht="15" customHeight="1">
      <c r="AF136" s="1054"/>
    </row>
    <row r="137" spans="32:32" s="1027" customFormat="1" ht="15" customHeight="1">
      <c r="AF137" s="1054"/>
    </row>
    <row r="138" spans="32:32" s="1027" customFormat="1" ht="15" customHeight="1">
      <c r="AF138" s="1054"/>
    </row>
    <row r="139" spans="32:32" s="1027" customFormat="1" ht="15" customHeight="1">
      <c r="AF139" s="1054"/>
    </row>
    <row r="140" spans="32:32" s="1027" customFormat="1" ht="15" customHeight="1">
      <c r="AF140" s="1054"/>
    </row>
    <row r="141" spans="32:32" s="1027" customFormat="1" ht="15" customHeight="1">
      <c r="AF141" s="1054"/>
    </row>
    <row r="142" spans="32:32" s="1027" customFormat="1" ht="15" customHeight="1">
      <c r="AF142" s="1054"/>
    </row>
    <row r="143" spans="32:32" s="1027" customFormat="1" ht="15" customHeight="1">
      <c r="AF143" s="1054"/>
    </row>
    <row r="144" spans="32:32" s="1027" customFormat="1" ht="15" customHeight="1">
      <c r="AF144" s="1054"/>
    </row>
    <row r="145" spans="32:32" s="1027" customFormat="1" ht="15" customHeight="1">
      <c r="AF145" s="1054"/>
    </row>
    <row r="146" spans="32:32" s="1027" customFormat="1" ht="15" customHeight="1">
      <c r="AF146" s="1054"/>
    </row>
    <row r="147" spans="32:32" s="1027" customFormat="1" ht="15" customHeight="1">
      <c r="AF147" s="1054"/>
    </row>
    <row r="148" spans="32:32" s="1027" customFormat="1" ht="15" customHeight="1">
      <c r="AF148" s="1054"/>
    </row>
    <row r="149" spans="32:32" s="1027" customFormat="1" ht="15" customHeight="1">
      <c r="AF149" s="1054"/>
    </row>
    <row r="150" spans="32:32" s="1027" customFormat="1" ht="15" customHeight="1">
      <c r="AF150" s="1054"/>
    </row>
    <row r="151" spans="32:32" s="1027" customFormat="1" ht="15" customHeight="1">
      <c r="AF151" s="1054"/>
    </row>
    <row r="152" spans="32:32" s="1027" customFormat="1" ht="15" customHeight="1">
      <c r="AF152" s="1054"/>
    </row>
    <row r="153" spans="32:32" s="1027" customFormat="1" ht="15" customHeight="1">
      <c r="AF153" s="1054"/>
    </row>
    <row r="154" spans="32:32" s="1027" customFormat="1" ht="15" customHeight="1">
      <c r="AF154" s="1054"/>
    </row>
    <row r="155" spans="32:32" s="1027" customFormat="1" ht="15" customHeight="1">
      <c r="AF155" s="1054"/>
    </row>
    <row r="156" spans="32:32" s="1027" customFormat="1" ht="15" customHeight="1">
      <c r="AF156" s="1054"/>
    </row>
    <row r="157" spans="32:32" s="1027" customFormat="1" ht="15" customHeight="1">
      <c r="AF157" s="1054"/>
    </row>
    <row r="158" spans="32:32" s="1027" customFormat="1" ht="15" customHeight="1">
      <c r="AF158" s="1054"/>
    </row>
    <row r="159" spans="32:32" s="1027" customFormat="1" ht="15" customHeight="1">
      <c r="AF159" s="1054"/>
    </row>
    <row r="160" spans="32:32" s="1027" customFormat="1" ht="15" customHeight="1">
      <c r="AF160" s="1054"/>
    </row>
    <row r="161" spans="32:32" s="1027" customFormat="1" ht="15" customHeight="1">
      <c r="AF161" s="1054"/>
    </row>
    <row r="162" spans="32:32" s="1027" customFormat="1" ht="15" customHeight="1">
      <c r="AF162" s="1054"/>
    </row>
    <row r="163" spans="32:32" s="1027" customFormat="1" ht="15" customHeight="1">
      <c r="AF163" s="1054"/>
    </row>
    <row r="164" spans="32:32" s="1027" customFormat="1" ht="15" customHeight="1">
      <c r="AF164" s="1054"/>
    </row>
    <row r="165" spans="32:32" s="1027" customFormat="1" ht="15" customHeight="1">
      <c r="AF165" s="1054"/>
    </row>
    <row r="166" spans="32:32" s="1027" customFormat="1" ht="15" customHeight="1">
      <c r="AF166" s="1054"/>
    </row>
    <row r="167" spans="32:32" s="1027" customFormat="1" ht="15" customHeight="1">
      <c r="AF167" s="1054"/>
    </row>
    <row r="168" spans="32:32" s="1027" customFormat="1" ht="15" customHeight="1">
      <c r="AF168" s="1054"/>
    </row>
    <row r="169" spans="32:32" s="1027" customFormat="1" ht="15" customHeight="1">
      <c r="AF169" s="1054"/>
    </row>
    <row r="170" spans="32:32" s="1027" customFormat="1" ht="15" customHeight="1">
      <c r="AF170" s="1054"/>
    </row>
    <row r="171" spans="32:32" s="1027" customFormat="1" ht="15" customHeight="1">
      <c r="AF171" s="1054"/>
    </row>
    <row r="172" spans="32:32" s="1027" customFormat="1" ht="15" customHeight="1">
      <c r="AF172" s="1054"/>
    </row>
    <row r="173" spans="32:32" s="1027" customFormat="1" ht="15" customHeight="1">
      <c r="AF173" s="1054"/>
    </row>
    <row r="174" spans="32:32" s="1027" customFormat="1" ht="15" customHeight="1"/>
    <row r="175" spans="32:32" s="1027" customFormat="1" ht="15" customHeight="1"/>
    <row r="176" spans="32:32" s="1027" customFormat="1" ht="15" customHeight="1"/>
    <row r="177" s="1027" customFormat="1" ht="15" customHeight="1"/>
    <row r="178" s="1027" customFormat="1" ht="15" customHeight="1"/>
    <row r="179" s="1027" customFormat="1" ht="15" customHeight="1"/>
    <row r="180" s="1027" customFormat="1" ht="15" customHeight="1"/>
    <row r="181" s="1027" customFormat="1" ht="15" customHeight="1"/>
    <row r="182" s="1027" customFormat="1" ht="15" customHeight="1"/>
    <row r="183" s="1027" customFormat="1" ht="15" customHeight="1"/>
    <row r="184" s="1027" customFormat="1" ht="15" customHeight="1"/>
    <row r="185" s="1027" customFormat="1" ht="15" customHeight="1"/>
    <row r="186" s="1027" customFormat="1" ht="15" customHeight="1"/>
    <row r="187" s="1027" customFormat="1" ht="15" customHeight="1"/>
    <row r="188" s="1027" customFormat="1" ht="15" customHeight="1"/>
    <row r="189" s="1027" customFormat="1" ht="15" customHeight="1"/>
    <row r="190" s="1027" customFormat="1" ht="15" customHeight="1"/>
    <row r="191" s="1027" customFormat="1" ht="15" customHeight="1"/>
    <row r="192" s="1027" customFormat="1" ht="15" customHeight="1"/>
    <row r="193" s="1027" customFormat="1" ht="15" customHeight="1"/>
    <row r="194" s="1027" customFormat="1" ht="15" customHeight="1"/>
    <row r="195" s="1027" customFormat="1" ht="15" customHeight="1"/>
    <row r="196" s="1027" customFormat="1" ht="15" customHeight="1"/>
    <row r="197" s="1027" customFormat="1" ht="15" customHeight="1"/>
    <row r="198" s="1027" customFormat="1" ht="15" customHeight="1"/>
    <row r="199" s="1027" customFormat="1" ht="15" customHeight="1"/>
    <row r="200" s="1027" customFormat="1" ht="15" customHeight="1"/>
    <row r="201" s="1027" customFormat="1" ht="15" customHeight="1"/>
    <row r="202" s="1027" customFormat="1" ht="15" customHeight="1"/>
    <row r="203" s="1027" customFormat="1" ht="15" customHeight="1"/>
    <row r="204" s="1027" customFormat="1" ht="15" customHeight="1"/>
    <row r="205" s="1027" customFormat="1" ht="15" customHeight="1"/>
    <row r="206" s="1027" customFormat="1" ht="15" customHeight="1"/>
    <row r="207" s="1027" customFormat="1" ht="15" customHeight="1"/>
    <row r="208" s="1027" customFormat="1" ht="15" customHeight="1"/>
    <row r="209" s="1027" customFormat="1" ht="15" customHeight="1"/>
    <row r="210" s="1027" customFormat="1" ht="15" customHeight="1"/>
    <row r="211" s="1027" customFormat="1" ht="15" customHeight="1"/>
    <row r="212" s="1027" customFormat="1" ht="15" customHeight="1"/>
    <row r="213" s="1027" customFormat="1" ht="15" customHeight="1"/>
    <row r="214" s="1027" customFormat="1" ht="12.75" customHeight="1"/>
    <row r="215" s="1027" customFormat="1" ht="12.75" customHeight="1"/>
    <row r="216" s="1027" customFormat="1" ht="12.75" customHeight="1"/>
    <row r="217" s="1027" customFormat="1" ht="12.75" customHeight="1"/>
    <row r="218" s="1027" customFormat="1" ht="12.75" customHeight="1"/>
    <row r="219" s="1027" customFormat="1" ht="12.75" customHeight="1"/>
    <row r="220" s="1027" customFormat="1" ht="12.75" customHeight="1"/>
    <row r="221" s="1027" customFormat="1" ht="12.75" customHeight="1"/>
    <row r="222" s="1027" customFormat="1" ht="12.75" customHeight="1"/>
  </sheetData>
  <mergeCells count="43">
    <mergeCell ref="F80:G80"/>
    <mergeCell ref="F73:G73"/>
    <mergeCell ref="F75:G75"/>
    <mergeCell ref="F76:G76"/>
    <mergeCell ref="F77:G77"/>
    <mergeCell ref="F78:G78"/>
    <mergeCell ref="F79:G79"/>
    <mergeCell ref="F72:G72"/>
    <mergeCell ref="F54:G54"/>
    <mergeCell ref="F55:G55"/>
    <mergeCell ref="F58:G58"/>
    <mergeCell ref="F59:G59"/>
    <mergeCell ref="F60:G60"/>
    <mergeCell ref="F62:G62"/>
    <mergeCell ref="F65:G65"/>
    <mergeCell ref="F67:G67"/>
    <mergeCell ref="F68:G68"/>
    <mergeCell ref="F69:G69"/>
    <mergeCell ref="F71:G71"/>
    <mergeCell ref="F53:G53"/>
    <mergeCell ref="F27:G27"/>
    <mergeCell ref="F29:G29"/>
    <mergeCell ref="F31:G31"/>
    <mergeCell ref="F32:G32"/>
    <mergeCell ref="F33:G33"/>
    <mergeCell ref="F37:G37"/>
    <mergeCell ref="F39:G39"/>
    <mergeCell ref="F41:G41"/>
    <mergeCell ref="F42:G42"/>
    <mergeCell ref="F43:G43"/>
    <mergeCell ref="F48:G48"/>
    <mergeCell ref="F26:G26"/>
    <mergeCell ref="B6:G7"/>
    <mergeCell ref="B9:G9"/>
    <mergeCell ref="F11:G11"/>
    <mergeCell ref="F13:G13"/>
    <mergeCell ref="F15:G15"/>
    <mergeCell ref="F17:G17"/>
    <mergeCell ref="F19:G19"/>
    <mergeCell ref="F20:G20"/>
    <mergeCell ref="F21:G21"/>
    <mergeCell ref="F23:G23"/>
    <mergeCell ref="F25:G25"/>
  </mergeCells>
  <hyperlinks>
    <hyperlink ref="AC11" location="'Nota 35'!Área_de_impresión" display="RESULTADO DE INVERSIONES "/>
    <hyperlink ref="AC13" location="'Nota 7'!A1" display="EFECTIVO Y EFECTIVO EQUIVALENTE "/>
    <hyperlink ref="AC15" location="'Nota 8'!A1" display="INVERSIONES A VALOR RAZONABLE"/>
    <hyperlink ref="AC16" location="'Nota 13'!A1" display="MOVIMIENTO DE LA CARTERA DE INVERSIONES"/>
    <hyperlink ref="AC17" location="'Nota 13'!A1" display="MOVIMIENTO DE LA CARTERA DE INVERSIONES"/>
    <hyperlink ref="AC26" location="'Nota 12'!A1" display="PARTICIPACIÓN EN EMPRESAS SUBSIDIARIAS (FILIALES)"/>
    <hyperlink ref="AC27" location="'Nota 12'!A1" display="PARTICIPACIÓN EN EMPRESAS ASOCIADAS (COLIGADAS)"/>
    <hyperlink ref="AC42" location="'Nota 16'!A1" display="SALDOS ADEUDADOS POR ASEGURADOS"/>
    <hyperlink ref="AC43" location="'Nota 16 '!A1" display="DEUDORES POR PRIMAS POR VENCIMIENTO"/>
    <hyperlink ref="AC44" location="'Nota 17'!A1" display="SALDOS ADEUDADOS POR REASEGURO"/>
    <hyperlink ref="AC45" location="'Nota 17 '!A1" display="SINIESTROS POR COBRAR A REASEGURADORES"/>
    <hyperlink ref="AC64" location="'Nota 17 '!A1" display="SINIESTROS POR COBRAR REASEGURADORES"/>
    <hyperlink ref="AC72" location="'Nota 21'!A1" display="CUENTAS POR COBRAR POR IMPUESTOS "/>
    <hyperlink ref="AC73" location="'Nota 21'!Área_de_impresión" display="EFECTO DE IMPUESTOS DIFERIDOS EN RESULTADO"/>
    <hyperlink ref="AC76" location="'Nota 22'!A1" display="DEUDAS DEL PERSONAL"/>
    <hyperlink ref="AC77" location="'Nota 22'!A1" display="CUENTAS POR COBRAR INTERMEDIARIOS"/>
    <hyperlink ref="AC78" location="'Nota 49'!A1" display="SALDOS CON RELACIONADOS"/>
    <hyperlink ref="AC79" location="'Nota 22'!A1" display="GASTOS ANTICIPADOS"/>
    <hyperlink ref="AC37" location="'Nota 15'!A1" display="ACTIVOS NO CORRIENTES MANTENIDOS PARA LA VENTA "/>
    <hyperlink ref="AC20" location="'Nota 10'!A1" display="AVANCE TENEDORES DE POLIZAS"/>
    <hyperlink ref="AC21" location="'Nota 10'!A1" display="PRESTAMOS OTORGADOS"/>
    <hyperlink ref="AC68" location="'Nota 20'!A1" display="GOODWILL"/>
    <hyperlink ref="AC69" location="'Nota 20'!A1" display="ACTIVOS INTANGIBLES DISTINTOS DE GOODWILL"/>
    <hyperlink ref="AC14" location="'4. Estado de flujo'!A1" display="ESTADO DE FLUJOS DE EFECTIVO"/>
    <hyperlink ref="AC33" location="'Nota 14'!A1" display="PROPIEDADES DE USO PROPIO"/>
    <hyperlink ref="AC80" location="'Nota 22'!A1" display="OTROS ACTIVOS"/>
    <hyperlink ref="AC23" location="'Nota 11'!A1" display="INVERSIONES SEGUROS CON CUENTA ÚNICA DE INVERSIÓN (CUI) "/>
    <hyperlink ref="AC18" location="'Nota 9'!A1" display="MOVIMIENTO DE LA CARTERA DE INVERSIONES"/>
    <hyperlink ref="AC48" location="'Nota 18'!A1" display="DEDORES POR OPERACIONES DE COASEGURO"/>
    <hyperlink ref="AC65" location="'Nota 17 '!A1" display="RESERVAS RIESGO EN CURSO REASEGURADORES"/>
    <hyperlink ref="AC31" location="'Nota 14'!A1" display="PROPIEDADES DE INVERSION"/>
    <hyperlink ref="AC32" location="'Nota 14'!A1" display="PROPIEDADES DE INVERSION"/>
    <hyperlink ref="AC34" location="'Nota 14'!A1" display="PROPIEDADES DE USO PROPIO"/>
    <hyperlink ref="AC54:AC61" location="'Nota 17 '!A1" display="SINIESTROS POR COBRAR REASEGURADORES"/>
    <hyperlink ref="AC54" location="'Nota 19'!A1" display="PARTICIPACIÓN DEL REASEGURADOR EN LAS RESERVAS TÉCNICAS (ACTIVO) Y RESERVAS TÉCNICAS (PASIVO)"/>
  </hyperlinks>
  <printOptions horizontalCentered="1"/>
  <pageMargins left="0.47244094488188981" right="0.31496062992125984" top="0.74803149606299213" bottom="0.35433070866141736" header="0.31496062992125984" footer="0.31496062992125984"/>
  <pageSetup scale="58" orientation="portrait" r:id="rId1"/>
  <drawing r:id="rId2"/>
  <legacyDrawing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1:AM85"/>
  <sheetViews>
    <sheetView showGridLines="0" topLeftCell="A4" zoomScale="70" zoomScaleNormal="70" zoomScaleSheetLayoutView="90" workbookViewId="0">
      <pane xSplit="6" ySplit="4" topLeftCell="R8" activePane="bottomRight" state="frozen"/>
      <selection activeCell="G3" sqref="G3"/>
      <selection pane="topRight" activeCell="G3" sqref="G3"/>
      <selection pane="bottomLeft" activeCell="G3" sqref="G3"/>
      <selection pane="bottomRight" activeCell="T62" sqref="T62"/>
    </sheetView>
  </sheetViews>
  <sheetFormatPr baseColWidth="10" defaultRowHeight="15.75" outlineLevelCol="1"/>
  <cols>
    <col min="1" max="1" width="3.5703125" style="1001" customWidth="1"/>
    <col min="2" max="2" width="2.85546875" style="1001" customWidth="1"/>
    <col min="3" max="4" width="10.28515625" style="1001" bestFit="1" customWidth="1"/>
    <col min="5" max="5" width="3.42578125" style="1001" customWidth="1"/>
    <col min="6" max="6" width="63.85546875" style="1001" bestFit="1" customWidth="1"/>
    <col min="7" max="7" width="21" style="1001" customWidth="1"/>
    <col min="8" max="8" width="20.42578125" style="1001" customWidth="1" outlineLevel="1"/>
    <col min="9" max="9" width="20.28515625" style="1001" customWidth="1" outlineLevel="1"/>
    <col min="10" max="10" width="19.28515625" style="1001" customWidth="1" outlineLevel="1"/>
    <col min="11" max="12" width="25.85546875" style="1001" customWidth="1" outlineLevel="1"/>
    <col min="13" max="13" width="22.5703125" style="1001" customWidth="1" outlineLevel="1"/>
    <col min="14" max="15" width="22.42578125" style="1001" customWidth="1" outlineLevel="1"/>
    <col min="16" max="16" width="25.28515625" style="1001" customWidth="1" outlineLevel="1"/>
    <col min="17" max="17" width="21.42578125" style="1001" customWidth="1" outlineLevel="1"/>
    <col min="18" max="18" width="18.28515625" style="1001" customWidth="1" outlineLevel="1"/>
    <col min="19" max="19" width="32.140625" style="1001" customWidth="1" outlineLevel="1"/>
    <col min="20" max="20" width="18.7109375" style="1001" customWidth="1" outlineLevel="1"/>
    <col min="21" max="21" width="21.140625" style="1001" customWidth="1" outlineLevel="1"/>
    <col min="22" max="22" width="28.140625" style="1381" customWidth="1"/>
    <col min="23" max="23" width="3.7109375" style="1003" customWidth="1"/>
    <col min="24" max="24" width="22" style="1001" bestFit="1" customWidth="1"/>
    <col min="25" max="25" width="16.140625" style="1001" customWidth="1"/>
    <col min="26" max="26" width="43.7109375" style="1001" customWidth="1"/>
    <col min="27" max="27" width="19.7109375" style="1001" bestFit="1" customWidth="1"/>
    <col min="28" max="28" width="18.140625" style="1001" bestFit="1" customWidth="1"/>
    <col min="29" max="29" width="20.28515625" style="1001" customWidth="1"/>
    <col min="30" max="30" width="11.42578125" style="1001"/>
    <col min="31" max="31" width="18.7109375" style="1001" bestFit="1" customWidth="1"/>
    <col min="32" max="32" width="16.42578125" style="1001" customWidth="1"/>
    <col min="33" max="33" width="18.85546875" style="1001" customWidth="1"/>
    <col min="34" max="34" width="19.85546875" style="1001" customWidth="1"/>
    <col min="35" max="35" width="11.42578125" style="1001"/>
    <col min="36" max="36" width="17.85546875" style="1001" bestFit="1" customWidth="1"/>
    <col min="37" max="38" width="12.28515625" style="1001" bestFit="1" customWidth="1"/>
    <col min="39" max="16384" width="11.42578125" style="1001"/>
  </cols>
  <sheetData>
    <row r="1" spans="2:31">
      <c r="R1" s="1002"/>
      <c r="S1" s="1002"/>
      <c r="T1" s="1002"/>
      <c r="U1" s="1002"/>
      <c r="X1" s="1004"/>
      <c r="Y1" s="1004"/>
    </row>
    <row r="2" spans="2:31">
      <c r="R2" s="1002"/>
      <c r="S2" s="1002"/>
      <c r="T2" s="1002"/>
      <c r="U2" s="1002"/>
      <c r="X2" s="1005"/>
      <c r="AB2" s="1006"/>
    </row>
    <row r="3" spans="2:31" ht="19.5">
      <c r="F3" s="986"/>
      <c r="R3" s="1002"/>
      <c r="S3" s="1002"/>
      <c r="T3" s="1002"/>
      <c r="U3" s="1002"/>
      <c r="X3" s="1005"/>
      <c r="AA3" s="1001">
        <f ca="1">+AA6/2</f>
        <v>2943.5</v>
      </c>
    </row>
    <row r="4" spans="2:31" ht="38.25" customHeight="1">
      <c r="F4" s="986" t="s">
        <v>2791</v>
      </c>
      <c r="G4" s="1157">
        <f ca="1">+Activo!H9-Pasivo!G9</f>
        <v>0</v>
      </c>
      <c r="R4" s="1002"/>
      <c r="S4" s="1002"/>
      <c r="T4" s="1002"/>
      <c r="U4" s="1002"/>
      <c r="X4" s="1004"/>
    </row>
    <row r="5" spans="2:31">
      <c r="G5" s="1006"/>
      <c r="H5" s="1006"/>
      <c r="I5" s="1006"/>
      <c r="J5" s="1008"/>
    </row>
    <row r="6" spans="2:31" ht="12.75" customHeight="1">
      <c r="B6" s="1784" t="s">
        <v>3533</v>
      </c>
      <c r="C6" s="1785"/>
      <c r="D6" s="1785"/>
      <c r="E6" s="1785"/>
      <c r="F6" s="1785"/>
      <c r="G6" s="1009" t="s">
        <v>2795</v>
      </c>
      <c r="H6" s="1010"/>
      <c r="I6" s="1010"/>
      <c r="J6" s="1010"/>
      <c r="K6" s="1010"/>
      <c r="L6" s="1010"/>
      <c r="M6" s="1010"/>
      <c r="N6" s="1010"/>
      <c r="O6" s="1179"/>
      <c r="P6" s="1011"/>
      <c r="Q6" s="1087"/>
      <c r="R6" s="1010"/>
      <c r="S6" s="1010"/>
      <c r="T6" s="1010"/>
      <c r="U6" s="1010"/>
      <c r="V6" s="1382" t="s">
        <v>2795</v>
      </c>
      <c r="W6" s="1012"/>
      <c r="X6" s="1013" t="s">
        <v>3534</v>
      </c>
      <c r="Z6" s="1014" t="s">
        <v>3608</v>
      </c>
      <c r="AA6" s="1015">
        <f ca="1">+Activo!Z9-Pasivo!X9</f>
        <v>5887</v>
      </c>
      <c r="AB6" s="1154">
        <f ca="1">+Activo!X9-V9</f>
        <v>5886000</v>
      </c>
      <c r="AC6" s="1015">
        <f ca="1">+Activo!Z9-X9</f>
        <v>5887</v>
      </c>
    </row>
    <row r="7" spans="2:31" ht="42.75" customHeight="1">
      <c r="B7" s="1786"/>
      <c r="C7" s="1781"/>
      <c r="D7" s="1781"/>
      <c r="E7" s="1781"/>
      <c r="F7" s="1781"/>
      <c r="G7" s="1016">
        <f>+Activo!H7</f>
        <v>43190</v>
      </c>
      <c r="H7" s="1011" t="s">
        <v>3609</v>
      </c>
      <c r="I7" s="1011" t="s">
        <v>3537</v>
      </c>
      <c r="J7" s="1011" t="s">
        <v>3610</v>
      </c>
      <c r="K7" s="1011" t="s">
        <v>3611</v>
      </c>
      <c r="L7" s="1011" t="s">
        <v>3539</v>
      </c>
      <c r="M7" s="1011" t="s">
        <v>3612</v>
      </c>
      <c r="N7" s="1011" t="s">
        <v>3613</v>
      </c>
      <c r="O7" s="1011" t="s">
        <v>3614</v>
      </c>
      <c r="P7" s="1011" t="s">
        <v>3945</v>
      </c>
      <c r="Q7" s="1011" t="s">
        <v>3615</v>
      </c>
      <c r="R7" s="1011" t="s">
        <v>610</v>
      </c>
      <c r="S7" s="1000" t="s">
        <v>3616</v>
      </c>
      <c r="T7" s="1000" t="s">
        <v>3617</v>
      </c>
      <c r="U7" s="1000" t="s">
        <v>3618</v>
      </c>
      <c r="V7" s="1383">
        <f>+G7</f>
        <v>43190</v>
      </c>
      <c r="W7" s="1017"/>
      <c r="X7" s="1016">
        <f>+V7</f>
        <v>43190</v>
      </c>
      <c r="Z7" s="1018" t="s">
        <v>3549</v>
      </c>
      <c r="AA7" s="1019" t="s">
        <v>3534</v>
      </c>
      <c r="AB7" s="1018" t="s">
        <v>3550</v>
      </c>
      <c r="AC7" s="1020" t="s">
        <v>3551</v>
      </c>
    </row>
    <row r="8" spans="2:31" s="1027" customFormat="1">
      <c r="B8" s="1021"/>
      <c r="C8" s="1022"/>
      <c r="D8" s="1022"/>
      <c r="E8" s="1022"/>
      <c r="F8" s="1023"/>
      <c r="G8" s="1024"/>
      <c r="H8" s="1025"/>
      <c r="I8" s="1025"/>
      <c r="J8" s="1025"/>
      <c r="K8" s="1025"/>
      <c r="L8" s="1025"/>
      <c r="M8" s="1025"/>
      <c r="N8" s="1025"/>
      <c r="O8" s="1025"/>
      <c r="P8" s="1025"/>
      <c r="Q8" s="1025"/>
      <c r="R8" s="1025"/>
      <c r="S8" s="1025"/>
      <c r="T8" s="1025"/>
      <c r="U8" s="1025"/>
      <c r="V8" s="1384"/>
      <c r="W8" s="1026"/>
      <c r="X8" s="1024"/>
    </row>
    <row r="9" spans="2:31" s="1027" customFormat="1">
      <c r="B9" s="1028" t="s">
        <v>3619</v>
      </c>
      <c r="C9" s="1029"/>
      <c r="D9" s="1030"/>
      <c r="E9" s="1030"/>
      <c r="F9" s="1030"/>
      <c r="G9" s="1031">
        <f ca="1">+G11+G55</f>
        <v>2141162168336</v>
      </c>
      <c r="H9" s="1031">
        <f t="shared" ref="H9:S9" si="0">+H11+H55</f>
        <v>0</v>
      </c>
      <c r="I9" s="1031">
        <f t="shared" si="0"/>
        <v>0</v>
      </c>
      <c r="J9" s="1031">
        <f t="shared" si="0"/>
        <v>0</v>
      </c>
      <c r="K9" s="1031">
        <f t="shared" si="0"/>
        <v>0</v>
      </c>
      <c r="L9" s="1031"/>
      <c r="M9" s="1031">
        <f t="shared" si="0"/>
        <v>0</v>
      </c>
      <c r="N9" s="1031">
        <f t="shared" si="0"/>
        <v>0</v>
      </c>
      <c r="O9" s="1031"/>
      <c r="P9" s="1031">
        <f t="shared" si="0"/>
        <v>111672465</v>
      </c>
      <c r="Q9" s="1031">
        <f t="shared" ca="1" si="0"/>
        <v>0</v>
      </c>
      <c r="R9" s="1031">
        <f t="shared" si="0"/>
        <v>0</v>
      </c>
      <c r="S9" s="1031">
        <f t="shared" si="0"/>
        <v>0</v>
      </c>
      <c r="T9" s="1031">
        <f>+T11+T55</f>
        <v>0</v>
      </c>
      <c r="U9" s="1031">
        <f>+U11+U55</f>
        <v>0</v>
      </c>
      <c r="V9" s="1385">
        <f ca="1">+V11+V55</f>
        <v>2125948428187</v>
      </c>
      <c r="W9" s="1026"/>
      <c r="X9" s="1031">
        <f ca="1">+X11+X55</f>
        <v>2125948430</v>
      </c>
      <c r="Y9" s="1032"/>
      <c r="Z9" s="1033"/>
      <c r="AA9" s="1034"/>
      <c r="AB9" s="1035"/>
      <c r="AC9" s="1036"/>
      <c r="AE9" s="1054"/>
    </row>
    <row r="10" spans="2:31" s="1027" customFormat="1">
      <c r="B10" s="1021"/>
      <c r="C10" s="1029"/>
      <c r="D10" s="1029"/>
      <c r="E10" s="1029"/>
      <c r="F10" s="1030"/>
      <c r="G10" s="1037"/>
      <c r="H10" s="1038"/>
      <c r="I10" s="1038"/>
      <c r="J10" s="1038"/>
      <c r="K10" s="1038"/>
      <c r="L10" s="1038"/>
      <c r="M10" s="1038"/>
      <c r="N10" s="1038"/>
      <c r="O10" s="1038"/>
      <c r="P10" s="1038"/>
      <c r="Q10" s="1038"/>
      <c r="R10" s="1038"/>
      <c r="S10" s="1038"/>
      <c r="T10" s="1038"/>
      <c r="U10" s="1038"/>
      <c r="V10" s="1386"/>
      <c r="W10" s="1039"/>
      <c r="X10" s="1040"/>
      <c r="Y10" s="1032"/>
      <c r="Z10" s="1034"/>
      <c r="AA10" s="1034"/>
      <c r="AB10" s="1034"/>
      <c r="AC10" s="1034"/>
    </row>
    <row r="11" spans="2:31" s="1027" customFormat="1">
      <c r="B11" s="1021"/>
      <c r="C11" s="1041" t="s">
        <v>3620</v>
      </c>
      <c r="D11" s="1023"/>
      <c r="E11" s="1023"/>
      <c r="F11" s="1042"/>
      <c r="G11" s="1031">
        <f ca="1">+G13+G15+G17+G40</f>
        <v>2001294008639</v>
      </c>
      <c r="H11" s="1031">
        <f t="shared" ref="H11:T11" si="1">+H13+H15+H17+H40</f>
        <v>0</v>
      </c>
      <c r="I11" s="1031">
        <f t="shared" si="1"/>
        <v>0</v>
      </c>
      <c r="J11" s="1031">
        <f t="shared" si="1"/>
        <v>0</v>
      </c>
      <c r="K11" s="1031">
        <f t="shared" si="1"/>
        <v>0</v>
      </c>
      <c r="L11" s="1031"/>
      <c r="M11" s="1031">
        <f t="shared" si="1"/>
        <v>0</v>
      </c>
      <c r="N11" s="1031">
        <f t="shared" si="1"/>
        <v>0</v>
      </c>
      <c r="O11" s="1031"/>
      <c r="P11" s="1031">
        <f t="shared" si="1"/>
        <v>111672465</v>
      </c>
      <c r="Q11" s="1031">
        <f t="shared" ca="1" si="1"/>
        <v>959317886</v>
      </c>
      <c r="R11" s="1031">
        <f t="shared" si="1"/>
        <v>0</v>
      </c>
      <c r="S11" s="1031">
        <f t="shared" si="1"/>
        <v>0</v>
      </c>
      <c r="T11" s="1031">
        <f t="shared" si="1"/>
        <v>58030000</v>
      </c>
      <c r="U11" s="1031">
        <f>+U13+U15+U17+U40</f>
        <v>63257244</v>
      </c>
      <c r="V11" s="1385">
        <f ca="1">+V13+V15+V17+V40</f>
        <v>1987160873620</v>
      </c>
      <c r="W11" s="1039" t="str">
        <f>+C11</f>
        <v>5210000 TOTAL PASIVO</v>
      </c>
      <c r="X11" s="1031">
        <f ca="1">+X13+X15+X17+X40</f>
        <v>1987160875</v>
      </c>
      <c r="Y11" s="1032"/>
      <c r="Z11" s="1034">
        <f ca="1">+X11-Activo!Z9</f>
        <v>-138793442</v>
      </c>
      <c r="AA11" s="1034"/>
      <c r="AB11" s="1034"/>
      <c r="AC11" s="1034"/>
    </row>
    <row r="12" spans="2:31" s="1027" customFormat="1">
      <c r="B12" s="1021"/>
      <c r="C12" s="1041"/>
      <c r="D12" s="1023"/>
      <c r="E12" s="1023"/>
      <c r="F12" s="1042"/>
      <c r="G12" s="1044"/>
      <c r="H12" s="1045"/>
      <c r="I12" s="1045"/>
      <c r="J12" s="1045"/>
      <c r="K12" s="1045"/>
      <c r="L12" s="1045"/>
      <c r="M12" s="1045"/>
      <c r="N12" s="1045"/>
      <c r="O12" s="1045"/>
      <c r="P12" s="1045"/>
      <c r="Q12" s="1045"/>
      <c r="R12" s="1045"/>
      <c r="S12" s="1045"/>
      <c r="T12" s="1045"/>
      <c r="U12" s="1045"/>
      <c r="V12" s="1387"/>
      <c r="W12" s="1039"/>
      <c r="X12" s="1044"/>
      <c r="Y12" s="1032"/>
      <c r="Z12" s="1034"/>
      <c r="AA12" s="1034"/>
      <c r="AB12" s="1034"/>
      <c r="AC12" s="1034"/>
    </row>
    <row r="13" spans="2:31" s="1027" customFormat="1">
      <c r="B13" s="1021"/>
      <c r="C13" s="1046"/>
      <c r="D13" s="1046">
        <v>5211000</v>
      </c>
      <c r="E13" s="1047" t="s">
        <v>3401</v>
      </c>
      <c r="F13" s="1047"/>
      <c r="G13" s="1043">
        <f ca="1">-SUMIF('Mapping FECU'!$E$9:$G$601,Pasivo!D13,'Mapping FECU'!$G$9:$G$601)</f>
        <v>0</v>
      </c>
      <c r="H13" s="1043"/>
      <c r="I13" s="1043"/>
      <c r="J13" s="1043"/>
      <c r="K13" s="1043"/>
      <c r="L13" s="1043"/>
      <c r="M13" s="1043"/>
      <c r="N13" s="1043"/>
      <c r="O13" s="1043"/>
      <c r="P13" s="1043"/>
      <c r="Q13" s="1043"/>
      <c r="R13" s="1043"/>
      <c r="S13" s="1043"/>
      <c r="T13" s="1043"/>
      <c r="U13" s="1043"/>
      <c r="V13" s="1385">
        <f ca="1">SUM(G13:S13)</f>
        <v>0</v>
      </c>
      <c r="W13" s="1026">
        <f>+D13</f>
        <v>5211000</v>
      </c>
      <c r="X13" s="1031">
        <f ca="1">ROUND(+V13/1000,0)</f>
        <v>0</v>
      </c>
      <c r="Y13" s="1032" t="s">
        <v>3621</v>
      </c>
      <c r="Z13" s="1033" t="s">
        <v>3622</v>
      </c>
      <c r="AA13" s="1048">
        <v>0</v>
      </c>
      <c r="AB13" s="1035" t="str">
        <f ca="1">IF(X13-AA13=0,"Ok","Error")</f>
        <v>Ok</v>
      </c>
      <c r="AC13" s="1036">
        <f ca="1">+AA13-X13</f>
        <v>0</v>
      </c>
    </row>
    <row r="14" spans="2:31" s="1027" customFormat="1">
      <c r="B14" s="1021"/>
      <c r="C14" s="1046"/>
      <c r="D14" s="1046"/>
      <c r="E14" s="1047"/>
      <c r="F14" s="1047"/>
      <c r="G14" s="1045"/>
      <c r="H14" s="1045"/>
      <c r="I14" s="1045"/>
      <c r="J14" s="1045"/>
      <c r="K14" s="1045"/>
      <c r="L14" s="1045"/>
      <c r="M14" s="1045"/>
      <c r="N14" s="1045"/>
      <c r="O14" s="1045"/>
      <c r="P14" s="1045"/>
      <c r="Q14" s="1045"/>
      <c r="R14" s="1045"/>
      <c r="S14" s="1045"/>
      <c r="T14" s="1045"/>
      <c r="U14" s="1045"/>
      <c r="V14" s="1387"/>
      <c r="W14" s="1026"/>
      <c r="X14" s="1044"/>
      <c r="Y14" s="1032"/>
      <c r="Z14" s="1033"/>
      <c r="AA14" s="1048"/>
      <c r="AB14" s="1035"/>
      <c r="AC14" s="1036"/>
    </row>
    <row r="15" spans="2:31" s="1027" customFormat="1">
      <c r="B15" s="1021"/>
      <c r="C15" s="1046"/>
      <c r="D15" s="1046">
        <v>5212000</v>
      </c>
      <c r="E15" s="1047" t="s">
        <v>3623</v>
      </c>
      <c r="F15" s="1047"/>
      <c r="G15" s="1043">
        <f ca="1">-SUMIF('Mapping FECU'!$E$9:$G$601,Pasivo!D15,'Mapping FECU'!$G$9:$G$601)</f>
        <v>0</v>
      </c>
      <c r="H15" s="1043"/>
      <c r="I15" s="1043"/>
      <c r="J15" s="1043"/>
      <c r="K15" s="1043"/>
      <c r="L15" s="1043"/>
      <c r="M15" s="1043"/>
      <c r="N15" s="1043"/>
      <c r="O15" s="1043"/>
      <c r="P15" s="1043"/>
      <c r="Q15" s="1043"/>
      <c r="R15" s="1043"/>
      <c r="S15" s="1043"/>
      <c r="T15" s="1043"/>
      <c r="U15" s="1043"/>
      <c r="V15" s="1385">
        <v>0</v>
      </c>
      <c r="W15" s="1026">
        <f>+D15</f>
        <v>5212000</v>
      </c>
      <c r="X15" s="1049">
        <f>ROUND(+V15/1000,0)</f>
        <v>0</v>
      </c>
      <c r="Y15" s="1032"/>
      <c r="Z15" s="1034"/>
      <c r="AA15" s="1034"/>
      <c r="AB15" s="1034"/>
      <c r="AC15" s="1034"/>
    </row>
    <row r="16" spans="2:31" s="1027" customFormat="1">
      <c r="B16" s="1021"/>
      <c r="C16" s="1046"/>
      <c r="D16" s="1046"/>
      <c r="E16" s="1047"/>
      <c r="F16" s="1047"/>
      <c r="G16" s="1045"/>
      <c r="H16" s="1045"/>
      <c r="I16" s="1045"/>
      <c r="J16" s="1045"/>
      <c r="K16" s="1045"/>
      <c r="L16" s="1045"/>
      <c r="M16" s="1045"/>
      <c r="N16" s="1045"/>
      <c r="O16" s="1045"/>
      <c r="P16" s="1045"/>
      <c r="Q16" s="1045"/>
      <c r="R16" s="1045"/>
      <c r="S16" s="1045"/>
      <c r="T16" s="1045"/>
      <c r="U16" s="1045"/>
      <c r="V16" s="1387"/>
      <c r="W16" s="1026"/>
      <c r="X16" s="1044"/>
      <c r="Y16" s="1032"/>
      <c r="Z16" s="1034">
        <f ca="1">+X19-Activo!Z53</f>
        <v>1862424127</v>
      </c>
      <c r="AA16" s="1034"/>
      <c r="AB16" s="1034"/>
      <c r="AC16" s="1034"/>
    </row>
    <row r="17" spans="2:39" s="1027" customFormat="1">
      <c r="B17" s="1021"/>
      <c r="C17" s="1047">
        <v>5213000</v>
      </c>
      <c r="D17" s="1022"/>
      <c r="E17" s="1047" t="s">
        <v>3624</v>
      </c>
      <c r="F17" s="1047"/>
      <c r="G17" s="1043">
        <f ca="1">+G19+G32</f>
        <v>1965126196040</v>
      </c>
      <c r="H17" s="1043">
        <f t="shared" ref="H17:U17" si="2">+H19+H32</f>
        <v>0</v>
      </c>
      <c r="I17" s="1043">
        <f t="shared" si="2"/>
        <v>0</v>
      </c>
      <c r="J17" s="1043">
        <f t="shared" si="2"/>
        <v>0</v>
      </c>
      <c r="K17" s="1043">
        <f t="shared" si="2"/>
        <v>0</v>
      </c>
      <c r="L17" s="1043"/>
      <c r="M17" s="1043">
        <f t="shared" si="2"/>
        <v>0</v>
      </c>
      <c r="N17" s="1043">
        <f t="shared" si="2"/>
        <v>0</v>
      </c>
      <c r="O17" s="1043"/>
      <c r="P17" s="1043">
        <f t="shared" si="2"/>
        <v>0</v>
      </c>
      <c r="Q17" s="1043">
        <f t="shared" si="2"/>
        <v>0</v>
      </c>
      <c r="R17" s="1043">
        <f t="shared" si="2"/>
        <v>0</v>
      </c>
      <c r="S17" s="1043">
        <f t="shared" si="2"/>
        <v>0</v>
      </c>
      <c r="T17" s="1043">
        <f t="shared" si="2"/>
        <v>0</v>
      </c>
      <c r="U17" s="1043">
        <f t="shared" si="2"/>
        <v>0</v>
      </c>
      <c r="V17" s="1385">
        <f ca="1">+V19+V32</f>
        <v>1949800783426</v>
      </c>
      <c r="W17" s="1039">
        <f>+C17</f>
        <v>5213000</v>
      </c>
      <c r="X17" s="1031">
        <f ca="1">+X19+X32</f>
        <v>1949800784</v>
      </c>
      <c r="Y17" s="1032"/>
      <c r="Z17" s="1034"/>
      <c r="AA17" s="1034"/>
      <c r="AB17" s="1034"/>
      <c r="AC17" s="1034"/>
    </row>
    <row r="18" spans="2:39" s="1027" customFormat="1">
      <c r="B18" s="1021"/>
      <c r="C18" s="1047"/>
      <c r="D18" s="1022"/>
      <c r="E18" s="1047"/>
      <c r="F18" s="1047"/>
      <c r="G18" s="1045"/>
      <c r="H18" s="1045"/>
      <c r="I18" s="1045"/>
      <c r="J18" s="1045"/>
      <c r="K18" s="1045"/>
      <c r="L18" s="1045"/>
      <c r="M18" s="1045"/>
      <c r="N18" s="1045"/>
      <c r="O18" s="1045"/>
      <c r="P18" s="1045"/>
      <c r="Q18" s="1045"/>
      <c r="R18" s="1045"/>
      <c r="S18" s="1045"/>
      <c r="T18" s="1045"/>
      <c r="U18" s="1045"/>
      <c r="V18" s="1387"/>
      <c r="W18" s="1039"/>
      <c r="X18" s="1044"/>
      <c r="Y18" s="1032" t="s">
        <v>3885</v>
      </c>
      <c r="Z18" s="1232" t="s">
        <v>3625</v>
      </c>
      <c r="AA18" s="1048">
        <f>+'Nota 25'!E13</f>
        <v>15621002</v>
      </c>
      <c r="AB18" s="1035" t="str">
        <f ca="1">IF(X20-AA18=0,"Ok","Error")</f>
        <v>Ok</v>
      </c>
      <c r="AC18" s="1036">
        <f ca="1">+AA18-X20</f>
        <v>0</v>
      </c>
    </row>
    <row r="19" spans="2:39" s="1027" customFormat="1">
      <c r="B19" s="1021"/>
      <c r="C19" s="1050">
        <v>5213100</v>
      </c>
      <c r="D19" s="1051"/>
      <c r="E19" s="1050" t="s">
        <v>3626</v>
      </c>
      <c r="F19" s="1050"/>
      <c r="G19" s="1044">
        <f t="shared" ref="G19:T19" ca="1" si="3">+G20+G21+G24+G25+G26+G27+G28+G29+G30</f>
        <v>1930950835961</v>
      </c>
      <c r="H19" s="1044">
        <f>+H20+H21+H24+H25+H26+H27+H28+H29+H30</f>
        <v>0</v>
      </c>
      <c r="I19" s="1044">
        <f t="shared" si="3"/>
        <v>0</v>
      </c>
      <c r="J19" s="1044">
        <f t="shared" si="3"/>
        <v>0</v>
      </c>
      <c r="K19" s="1044">
        <f t="shared" si="3"/>
        <v>0</v>
      </c>
      <c r="L19" s="1044"/>
      <c r="M19" s="1044">
        <f t="shared" si="3"/>
        <v>0</v>
      </c>
      <c r="N19" s="1044">
        <f t="shared" si="3"/>
        <v>0</v>
      </c>
      <c r="O19" s="1044"/>
      <c r="P19" s="1044">
        <f t="shared" si="3"/>
        <v>0</v>
      </c>
      <c r="Q19" s="1057">
        <f t="shared" si="3"/>
        <v>0</v>
      </c>
      <c r="R19" s="1044">
        <f t="shared" si="3"/>
        <v>0</v>
      </c>
      <c r="S19" s="1044">
        <f t="shared" si="3"/>
        <v>0</v>
      </c>
      <c r="T19" s="1044">
        <f t="shared" si="3"/>
        <v>0</v>
      </c>
      <c r="U19" s="1044"/>
      <c r="V19" s="1387">
        <f ca="1">+V20+V21+V24+V25+V26+V27+V28+V29+V30</f>
        <v>1930944949961</v>
      </c>
      <c r="W19" s="1052">
        <f>+C19</f>
        <v>5213100</v>
      </c>
      <c r="X19" s="1044">
        <f ca="1">+X20+X21+X24+X25+X26+X27+X28+X29+X30</f>
        <v>1930944951</v>
      </c>
      <c r="Y19" s="1032">
        <v>19</v>
      </c>
      <c r="Z19" s="1232" t="s">
        <v>3587</v>
      </c>
      <c r="AA19" s="1053">
        <f>+'Nota 19'!G24</f>
        <v>1930950837</v>
      </c>
      <c r="AB19" s="1035" t="str">
        <f t="shared" ref="AB19:AB27" ca="1" si="4">IF(X19-AA19=0,"Ok","Error")</f>
        <v>Error</v>
      </c>
      <c r="AC19" s="1036">
        <f t="shared" ref="AC19:AC26" ca="1" si="5">+AA19-X19</f>
        <v>5886</v>
      </c>
      <c r="AE19" s="1054"/>
    </row>
    <row r="20" spans="2:39" s="1027" customFormat="1">
      <c r="B20" s="1021"/>
      <c r="C20" s="1055"/>
      <c r="D20" s="1051">
        <v>5213110</v>
      </c>
      <c r="E20" s="1055" t="s">
        <v>644</v>
      </c>
      <c r="F20" s="1055"/>
      <c r="G20" s="1045">
        <f ca="1">-SUMIF('Mapping FECU'!$E$9:$G$601,Pasivo!D20,'Mapping FECU'!$G$9:$G$601)</f>
        <v>15621001909</v>
      </c>
      <c r="H20" s="1062"/>
      <c r="I20" s="1045"/>
      <c r="J20" s="1045"/>
      <c r="K20" s="1045"/>
      <c r="L20" s="1045"/>
      <c r="M20" s="1045"/>
      <c r="N20" s="1045"/>
      <c r="O20" s="1045"/>
      <c r="P20" s="1045"/>
      <c r="Q20" s="1062"/>
      <c r="R20" s="1045"/>
      <c r="S20" s="1045"/>
      <c r="T20" s="1045"/>
      <c r="U20" s="1045"/>
      <c r="V20" s="1388">
        <f ca="1">SUM(G20:U20)</f>
        <v>15621001909</v>
      </c>
      <c r="W20" s="1052">
        <f>+D20</f>
        <v>5213110</v>
      </c>
      <c r="X20" s="1057">
        <f ca="1">ROUND(+V20/1000,0)</f>
        <v>15621002</v>
      </c>
      <c r="Y20" s="1032">
        <v>19</v>
      </c>
      <c r="Z20" s="1232" t="s">
        <v>3587</v>
      </c>
      <c r="AA20" s="1053">
        <f>+'Nota 19'!G8</f>
        <v>15621002</v>
      </c>
      <c r="AB20" s="1035" t="str">
        <f t="shared" ca="1" si="4"/>
        <v>Ok</v>
      </c>
      <c r="AC20" s="1036">
        <f t="shared" ca="1" si="5"/>
        <v>0</v>
      </c>
      <c r="AE20" s="1054"/>
    </row>
    <row r="21" spans="2:39" s="1060" customFormat="1">
      <c r="B21" s="1058"/>
      <c r="C21" s="1050"/>
      <c r="D21" s="1059">
        <v>5213120</v>
      </c>
      <c r="E21" s="1050" t="s">
        <v>3627</v>
      </c>
      <c r="F21" s="1050"/>
      <c r="G21" s="1044">
        <f t="shared" ref="G21:S21" ca="1" si="6">SUM(G22:G23)</f>
        <v>1509823679515</v>
      </c>
      <c r="H21" s="1044">
        <f t="shared" si="6"/>
        <v>0</v>
      </c>
      <c r="I21" s="1044">
        <f t="shared" si="6"/>
        <v>0</v>
      </c>
      <c r="J21" s="1044">
        <f t="shared" si="6"/>
        <v>0</v>
      </c>
      <c r="K21" s="1044">
        <f t="shared" si="6"/>
        <v>117916218925</v>
      </c>
      <c r="L21" s="1044"/>
      <c r="M21" s="1044">
        <f t="shared" si="6"/>
        <v>-14763119933</v>
      </c>
      <c r="N21" s="1044">
        <f t="shared" si="6"/>
        <v>0</v>
      </c>
      <c r="O21" s="1044"/>
      <c r="P21" s="1044">
        <f t="shared" si="6"/>
        <v>-3710988000</v>
      </c>
      <c r="Q21" s="1057">
        <f t="shared" si="6"/>
        <v>0</v>
      </c>
      <c r="R21" s="1044">
        <f t="shared" si="6"/>
        <v>0</v>
      </c>
      <c r="S21" s="1044">
        <f t="shared" si="6"/>
        <v>0</v>
      </c>
      <c r="T21" s="1044">
        <f t="shared" ref="T21" si="7">SUM(T22:T23)</f>
        <v>0</v>
      </c>
      <c r="U21" s="1044"/>
      <c r="V21" s="1387">
        <f ca="1">SUM(G21:U21)</f>
        <v>1609265790507</v>
      </c>
      <c r="W21" s="1052">
        <f t="shared" ref="W21:W30" si="8">+D21</f>
        <v>5213120</v>
      </c>
      <c r="X21" s="1057">
        <f ca="1">ROUND(+V21/1000,0)</f>
        <v>1609265791</v>
      </c>
      <c r="Y21" s="1032">
        <v>19</v>
      </c>
      <c r="Z21" s="1232" t="s">
        <v>3587</v>
      </c>
      <c r="AA21" s="1053">
        <f>+'Nota 19'!G9</f>
        <v>1609271677</v>
      </c>
      <c r="AB21" s="1035" t="str">
        <f t="shared" ca="1" si="4"/>
        <v>Error</v>
      </c>
      <c r="AC21" s="1036">
        <f ca="1">+AA21-X21</f>
        <v>5886</v>
      </c>
      <c r="AE21" s="1061">
        <f ca="1">+X22</f>
        <v>1491349572</v>
      </c>
    </row>
    <row r="22" spans="2:39" s="1027" customFormat="1">
      <c r="B22" s="1021"/>
      <c r="C22" s="1055"/>
      <c r="D22" s="1051">
        <v>5213121</v>
      </c>
      <c r="E22" s="1051"/>
      <c r="F22" s="1055" t="s">
        <v>643</v>
      </c>
      <c r="G22" s="1045">
        <f ca="1">-SUMIF('Mapping FECU'!$E$9:$G$601,Pasivo!D22,'Mapping FECU'!$G$9:$G$601)</f>
        <v>1509823679515</v>
      </c>
      <c r="H22" s="1062"/>
      <c r="I22" s="1062"/>
      <c r="J22" s="1062"/>
      <c r="K22" s="1062"/>
      <c r="L22" s="1062"/>
      <c r="M22" s="1062">
        <f>-M26</f>
        <v>-14763119933</v>
      </c>
      <c r="N22" s="1062"/>
      <c r="O22" s="1062"/>
      <c r="P22" s="1282">
        <v>-3710988000</v>
      </c>
      <c r="Q22" s="1062"/>
      <c r="R22" s="1062"/>
      <c r="S22" s="1045"/>
      <c r="T22" s="1045"/>
      <c r="U22" s="1045"/>
      <c r="V22" s="1388">
        <f ca="1">SUM(G22:U22)</f>
        <v>1491349571582</v>
      </c>
      <c r="W22" s="1052">
        <f t="shared" si="8"/>
        <v>5213121</v>
      </c>
      <c r="X22" s="1057">
        <f ca="1">ROUND(+V22/1000,0)</f>
        <v>1491349572</v>
      </c>
      <c r="Y22" s="1032">
        <v>19</v>
      </c>
      <c r="Z22" s="1232" t="s">
        <v>3587</v>
      </c>
      <c r="AA22" s="1053">
        <f>+'Nota 19'!G10</f>
        <v>1491349572</v>
      </c>
      <c r="AB22" s="1035" t="str">
        <f t="shared" ca="1" si="4"/>
        <v>Ok</v>
      </c>
      <c r="AC22" s="1036">
        <f t="shared" ca="1" si="5"/>
        <v>0</v>
      </c>
      <c r="AE22" s="1054">
        <f ca="1">+X26</f>
        <v>14763120</v>
      </c>
    </row>
    <row r="23" spans="2:39" s="1027" customFormat="1">
      <c r="B23" s="1021"/>
      <c r="C23" s="1055"/>
      <c r="D23" s="1051">
        <v>5213122</v>
      </c>
      <c r="E23" s="1051"/>
      <c r="F23" s="1055" t="s">
        <v>648</v>
      </c>
      <c r="G23" s="1045">
        <f ca="1">-SUMIF('Mapping FECU'!$E$9:$G$601,Pasivo!D23,'Mapping FECU'!$G$9:$G$601)</f>
        <v>0</v>
      </c>
      <c r="H23" s="1062"/>
      <c r="I23" s="1062"/>
      <c r="J23" s="1062"/>
      <c r="K23" s="1262">
        <v>117916218925</v>
      </c>
      <c r="L23" s="1062"/>
      <c r="M23" s="1062"/>
      <c r="N23" s="1062"/>
      <c r="O23" s="1062"/>
      <c r="P23" s="1062"/>
      <c r="Q23" s="1062"/>
      <c r="R23" s="1062"/>
      <c r="S23" s="1045"/>
      <c r="T23" s="1045"/>
      <c r="U23" s="1045">
        <v>5886000</v>
      </c>
      <c r="V23" s="1388">
        <f t="shared" ref="V23:V26" ca="1" si="9">SUM(G23:U23)</f>
        <v>117922104925</v>
      </c>
      <c r="W23" s="1052">
        <f t="shared" si="8"/>
        <v>5213122</v>
      </c>
      <c r="X23" s="1057">
        <f ca="1">ROUND(+V23/1000,0)</f>
        <v>117922105</v>
      </c>
      <c r="Y23" s="1032">
        <v>19</v>
      </c>
      <c r="Z23" s="1232" t="s">
        <v>3587</v>
      </c>
      <c r="AA23" s="1053">
        <f>+'Nota 19'!G11</f>
        <v>117922105</v>
      </c>
      <c r="AB23" s="1035" t="str">
        <f t="shared" ca="1" si="4"/>
        <v>Ok</v>
      </c>
      <c r="AC23" s="1036">
        <f t="shared" ca="1" si="5"/>
        <v>0</v>
      </c>
      <c r="AE23" s="1160">
        <f ca="1">-Activo!Z56</f>
        <v>-20329986</v>
      </c>
      <c r="AM23" s="1064"/>
    </row>
    <row r="24" spans="2:39" s="1027" customFormat="1">
      <c r="B24" s="1021"/>
      <c r="C24" s="1055"/>
      <c r="D24" s="1051">
        <v>5213130</v>
      </c>
      <c r="E24" s="1055" t="s">
        <v>645</v>
      </c>
      <c r="F24" s="1055"/>
      <c r="G24" s="1045">
        <f ca="1">-SUMIF('Mapping FECU'!$E$9:$G$601,Pasivo!D24,'Mapping FECU'!$G$9:$G$601)</f>
        <v>34625495611</v>
      </c>
      <c r="H24" s="1062"/>
      <c r="I24" s="1062"/>
      <c r="J24" s="1062"/>
      <c r="K24" s="1062"/>
      <c r="L24" s="1062"/>
      <c r="M24" s="1062"/>
      <c r="N24" s="1062"/>
      <c r="O24" s="1062"/>
      <c r="P24" s="1062"/>
      <c r="Q24" s="1062"/>
      <c r="R24" s="1062"/>
      <c r="S24" s="1045"/>
      <c r="T24" s="1045"/>
      <c r="U24" s="1045"/>
      <c r="V24" s="1388">
        <f t="shared" ca="1" si="9"/>
        <v>34625495611</v>
      </c>
      <c r="W24" s="1052">
        <f t="shared" si="8"/>
        <v>5213130</v>
      </c>
      <c r="X24" s="1057">
        <f ca="1">ROUND(+V24/1000,0)</f>
        <v>34625496</v>
      </c>
      <c r="Y24" s="1032">
        <v>19</v>
      </c>
      <c r="Z24" s="1232" t="s">
        <v>3587</v>
      </c>
      <c r="AA24" s="1053">
        <f>+'Nota 19'!G12</f>
        <v>34625496</v>
      </c>
      <c r="AB24" s="1035" t="str">
        <f t="shared" ca="1" si="4"/>
        <v>Ok</v>
      </c>
      <c r="AC24" s="1036">
        <f t="shared" ca="1" si="5"/>
        <v>0</v>
      </c>
      <c r="AE24" s="1063">
        <f ca="1">SUM(AE21:AE23)</f>
        <v>1485782706</v>
      </c>
    </row>
    <row r="25" spans="2:39" s="1027" customFormat="1">
      <c r="B25" s="1021"/>
      <c r="C25" s="1055"/>
      <c r="D25" s="1051">
        <v>5213140</v>
      </c>
      <c r="E25" s="1055" t="s">
        <v>3429</v>
      </c>
      <c r="F25" s="1055"/>
      <c r="G25" s="1045">
        <f ca="1">-SUMIF('Mapping FECU'!$E$9:$G$601,Pasivo!D25,'Mapping FECU'!$G$9:$G$601)</f>
        <v>237638535464</v>
      </c>
      <c r="H25" s="1062"/>
      <c r="I25" s="1062"/>
      <c r="J25" s="1062"/>
      <c r="K25" s="1062"/>
      <c r="L25" s="1062"/>
      <c r="M25" s="1062"/>
      <c r="N25" s="1062"/>
      <c r="O25" s="1062"/>
      <c r="P25" s="1062"/>
      <c r="Q25" s="1062"/>
      <c r="R25" s="1062"/>
      <c r="S25" s="1045"/>
      <c r="T25" s="1045"/>
      <c r="U25" s="1045"/>
      <c r="V25" s="1388">
        <f t="shared" ca="1" si="9"/>
        <v>237638535464</v>
      </c>
      <c r="W25" s="1052">
        <f t="shared" si="8"/>
        <v>5213140</v>
      </c>
      <c r="X25" s="1057">
        <f t="shared" ref="X25:X30" ca="1" si="10">ROUND(+V25/1000,0)</f>
        <v>237638535</v>
      </c>
      <c r="Y25" s="1032">
        <v>19</v>
      </c>
      <c r="Z25" s="1232" t="s">
        <v>3587</v>
      </c>
      <c r="AA25" s="1053">
        <f>+'Nota 19'!G13</f>
        <v>14763120</v>
      </c>
      <c r="AB25" s="1035" t="str">
        <f t="shared" ca="1" si="4"/>
        <v>Error</v>
      </c>
      <c r="AC25" s="1036">
        <f t="shared" ca="1" si="5"/>
        <v>-222875415</v>
      </c>
      <c r="AE25" s="1160">
        <f>+'6. Cambios en el patrimonio'!H23</f>
        <v>-14009816</v>
      </c>
      <c r="AF25" s="1546">
        <f ca="1">SUM(AE24:AE25)</f>
        <v>1471772890</v>
      </c>
      <c r="AG25" s="1546">
        <f>+'604'!U14</f>
        <v>1471772890</v>
      </c>
      <c r="AH25" s="1060" t="s">
        <v>3628</v>
      </c>
    </row>
    <row r="26" spans="2:39" s="1027" customFormat="1">
      <c r="B26" s="1021"/>
      <c r="C26" s="1055"/>
      <c r="D26" s="1051">
        <v>5213150</v>
      </c>
      <c r="E26" s="1055" t="s">
        <v>647</v>
      </c>
      <c r="F26" s="1055"/>
      <c r="G26" s="1045">
        <f ca="1">-SUMIF('Mapping FECU'!$E$9:$G$601,Pasivo!D26,'Mapping FECU'!$G$9:$G$601)</f>
        <v>0</v>
      </c>
      <c r="H26" s="1062"/>
      <c r="I26" s="1062"/>
      <c r="J26" s="1062"/>
      <c r="K26" s="1062"/>
      <c r="L26" s="1062"/>
      <c r="M26" s="1263">
        <v>14763119933</v>
      </c>
      <c r="N26" s="1062"/>
      <c r="O26" s="1062"/>
      <c r="P26" s="1062"/>
      <c r="Q26" s="1062"/>
      <c r="R26" s="1062"/>
      <c r="S26" s="1045"/>
      <c r="T26" s="1045"/>
      <c r="U26" s="1045"/>
      <c r="V26" s="1388">
        <f t="shared" ca="1" si="9"/>
        <v>14763119933</v>
      </c>
      <c r="W26" s="1052">
        <f t="shared" si="8"/>
        <v>5213150</v>
      </c>
      <c r="X26" s="1057">
        <f t="shared" ca="1" si="10"/>
        <v>14763120</v>
      </c>
      <c r="Y26" s="1032">
        <v>19</v>
      </c>
      <c r="Z26" s="1232" t="s">
        <v>3587</v>
      </c>
      <c r="AA26" s="1053">
        <f>+'Nota 19'!G14</f>
        <v>17881158</v>
      </c>
      <c r="AB26" s="1035" t="str">
        <f t="shared" ca="1" si="4"/>
        <v>Error</v>
      </c>
      <c r="AC26" s="1036">
        <f t="shared" ca="1" si="5"/>
        <v>3118038</v>
      </c>
      <c r="AE26" s="1063"/>
      <c r="AF26" s="1060"/>
      <c r="AG26" s="1546">
        <f ca="1">+AF25-AG25</f>
        <v>0</v>
      </c>
    </row>
    <row r="27" spans="2:39" s="1027" customFormat="1">
      <c r="B27" s="1021"/>
      <c r="C27" s="1055"/>
      <c r="D27" s="1051">
        <v>5213160</v>
      </c>
      <c r="E27" s="1055" t="s">
        <v>1864</v>
      </c>
      <c r="F27" s="1055"/>
      <c r="G27" s="1045">
        <f ca="1">-SUMIF('Mapping FECU'!$E$9:$G$601,Pasivo!D27,'Mapping FECU'!$G$9:$G$601)</f>
        <v>132092274958</v>
      </c>
      <c r="H27" s="1062"/>
      <c r="I27" s="1062"/>
      <c r="J27" s="1062"/>
      <c r="K27" s="1062">
        <f>-K23</f>
        <v>-117916218925</v>
      </c>
      <c r="L27" s="1062"/>
      <c r="M27" s="1062"/>
      <c r="N27" s="1062">
        <f>-N23</f>
        <v>0</v>
      </c>
      <c r="O27" s="1062"/>
      <c r="P27" s="1062">
        <f>-P22</f>
        <v>3710988000</v>
      </c>
      <c r="Q27" s="1062">
        <f>-Q22</f>
        <v>0</v>
      </c>
      <c r="R27" s="1062"/>
      <c r="S27" s="1045">
        <v>0</v>
      </c>
      <c r="T27" s="1045">
        <v>0</v>
      </c>
      <c r="U27" s="1045">
        <f>-U23</f>
        <v>-5886000</v>
      </c>
      <c r="V27" s="1388">
        <f ca="1">SUM(G27:U27)</f>
        <v>17881158033</v>
      </c>
      <c r="W27" s="1052">
        <f t="shared" si="8"/>
        <v>5213160</v>
      </c>
      <c r="X27" s="1057">
        <f ca="1">ROUND(+V27/1000,0)</f>
        <v>17881158</v>
      </c>
      <c r="Y27" s="1032">
        <v>19</v>
      </c>
      <c r="Z27" s="1232" t="s">
        <v>3587</v>
      </c>
      <c r="AA27" s="1053">
        <f>+'Nota 19'!G15</f>
        <v>3710988</v>
      </c>
      <c r="AB27" s="1035" t="str">
        <f t="shared" ca="1" si="4"/>
        <v>Error</v>
      </c>
      <c r="AC27" s="1036">
        <f ca="1">+AA27-X27</f>
        <v>-14170170</v>
      </c>
      <c r="AE27" s="1063">
        <f ca="1">+X27</f>
        <v>17881158</v>
      </c>
    </row>
    <row r="28" spans="2:39" s="1027" customFormat="1">
      <c r="B28" s="1021"/>
      <c r="C28" s="1055"/>
      <c r="D28" s="1051">
        <v>5213170</v>
      </c>
      <c r="E28" s="1055" t="s">
        <v>3629</v>
      </c>
      <c r="F28" s="1055"/>
      <c r="G28" s="1045">
        <f ca="1">-SUMIF('Mapping FECU'!$E$9:$G$601,Pasivo!D28,'Mapping FECU'!$G$9:$G$601)</f>
        <v>0</v>
      </c>
      <c r="H28" s="1062"/>
      <c r="I28" s="1062"/>
      <c r="J28" s="1062"/>
      <c r="K28" s="1062"/>
      <c r="L28" s="1062"/>
      <c r="M28" s="1062"/>
      <c r="N28" s="1062"/>
      <c r="O28" s="1062"/>
      <c r="P28" s="1062"/>
      <c r="Q28" s="1062"/>
      <c r="R28" s="1062"/>
      <c r="S28" s="1045"/>
      <c r="T28" s="1045"/>
      <c r="U28" s="1045"/>
      <c r="V28" s="1388">
        <f t="shared" ref="V28:V30" ca="1" si="11">SUM(G28:R28)</f>
        <v>0</v>
      </c>
      <c r="W28" s="1052">
        <f t="shared" si="8"/>
        <v>5213170</v>
      </c>
      <c r="X28" s="1065">
        <f t="shared" ca="1" si="10"/>
        <v>0</v>
      </c>
      <c r="Y28" s="1032">
        <v>19</v>
      </c>
      <c r="Z28" s="1232" t="s">
        <v>3587</v>
      </c>
      <c r="AA28" s="1053">
        <f>+'Nota 19'!G16</f>
        <v>0</v>
      </c>
      <c r="AB28" s="1035" t="str">
        <f ca="1">IF(X29-AA28=0,"Ok","Error")</f>
        <v>Error</v>
      </c>
      <c r="AC28" s="1036">
        <f ca="1">+AA28-X29</f>
        <v>-1149849</v>
      </c>
      <c r="AE28" s="1160">
        <f ca="1">-Activo!Z60</f>
        <v>-911782</v>
      </c>
    </row>
    <row r="29" spans="2:39" s="1027" customFormat="1">
      <c r="B29" s="1021"/>
      <c r="C29" s="1055"/>
      <c r="D29" s="1051">
        <v>5213180</v>
      </c>
      <c r="E29" s="1055" t="s">
        <v>3435</v>
      </c>
      <c r="F29" s="1055"/>
      <c r="G29" s="1045">
        <f ca="1">-SUMIF('Mapping FECU'!$E$9:$G$601,Pasivo!D29,'Mapping FECU'!$G$9:$G$601)</f>
        <v>1149848504</v>
      </c>
      <c r="H29" s="1062"/>
      <c r="I29" s="1062"/>
      <c r="J29" s="1062"/>
      <c r="K29" s="1062"/>
      <c r="L29" s="1062"/>
      <c r="M29" s="1062"/>
      <c r="N29" s="1062"/>
      <c r="O29" s="1062"/>
      <c r="P29" s="1062"/>
      <c r="Q29" s="1062"/>
      <c r="R29" s="1062"/>
      <c r="S29" s="1045"/>
      <c r="T29" s="1045"/>
      <c r="U29" s="1045"/>
      <c r="V29" s="1388">
        <f t="shared" ca="1" si="11"/>
        <v>1149848504</v>
      </c>
      <c r="W29" s="1052">
        <f t="shared" si="8"/>
        <v>5213180</v>
      </c>
      <c r="X29" s="1172">
        <f t="shared" ca="1" si="10"/>
        <v>1149849</v>
      </c>
      <c r="Y29" s="1032">
        <v>19</v>
      </c>
      <c r="Z29" s="1232" t="s">
        <v>3587</v>
      </c>
      <c r="AA29" s="1053">
        <f>+'Nota 19'!G17</f>
        <v>5581070</v>
      </c>
      <c r="AB29" s="1035" t="str">
        <f ca="1">IF(X30-AA29=0,"Ok","Error")</f>
        <v>Error</v>
      </c>
      <c r="AC29" s="1036">
        <f ca="1">+AA29-X30</f>
        <v>5581070</v>
      </c>
      <c r="AE29" s="1063">
        <f ca="1">+AE27+AE28</f>
        <v>16969376</v>
      </c>
      <c r="AF29" s="1063">
        <v>0</v>
      </c>
      <c r="AG29" s="1063">
        <f ca="1">+AE29-AF29</f>
        <v>16969376</v>
      </c>
    </row>
    <row r="30" spans="2:39" s="1027" customFormat="1">
      <c r="B30" s="1021"/>
      <c r="C30" s="1055"/>
      <c r="D30" s="1051">
        <v>5213190</v>
      </c>
      <c r="E30" s="1055" t="s">
        <v>651</v>
      </c>
      <c r="F30" s="1055"/>
      <c r="G30" s="1045">
        <f ca="1">-SUMIF('Mapping FECU'!$E$9:$G$601,Pasivo!D30,'Mapping FECU'!$G$9:$G$601)</f>
        <v>0</v>
      </c>
      <c r="H30" s="1062"/>
      <c r="I30" s="1062"/>
      <c r="J30" s="1062"/>
      <c r="K30" s="1062"/>
      <c r="L30" s="1062"/>
      <c r="M30" s="1062"/>
      <c r="N30" s="1062"/>
      <c r="O30" s="1062"/>
      <c r="P30" s="1062"/>
      <c r="Q30" s="1062"/>
      <c r="R30" s="1062"/>
      <c r="S30" s="1045"/>
      <c r="T30" s="1045"/>
      <c r="U30" s="1045"/>
      <c r="V30" s="1388">
        <f t="shared" ca="1" si="11"/>
        <v>0</v>
      </c>
      <c r="W30" s="1052">
        <f t="shared" si="8"/>
        <v>5213190</v>
      </c>
      <c r="X30" s="1066">
        <f t="shared" ca="1" si="10"/>
        <v>0</v>
      </c>
      <c r="Z30" s="1187">
        <f ca="1">+X29-Activo!Z61</f>
        <v>438383</v>
      </c>
      <c r="AC30" s="1054"/>
      <c r="AE30" s="1063">
        <f ca="1">+X23</f>
        <v>117922105</v>
      </c>
    </row>
    <row r="31" spans="2:39" s="1027" customFormat="1">
      <c r="B31" s="1021"/>
      <c r="C31" s="1055"/>
      <c r="D31" s="1051"/>
      <c r="E31" s="1055"/>
      <c r="F31" s="1055"/>
      <c r="G31" s="1045"/>
      <c r="H31" s="1045"/>
      <c r="I31" s="1045"/>
      <c r="J31" s="1045"/>
      <c r="K31" s="1045"/>
      <c r="L31" s="1045"/>
      <c r="M31" s="1045"/>
      <c r="N31" s="1045"/>
      <c r="O31" s="1045"/>
      <c r="P31" s="1045"/>
      <c r="Q31" s="1045"/>
      <c r="R31" s="1045"/>
      <c r="S31" s="1045"/>
      <c r="T31" s="1045"/>
      <c r="U31" s="1045"/>
      <c r="V31" s="1388"/>
      <c r="W31" s="1052"/>
      <c r="X31" s="1044"/>
      <c r="Y31" s="1032"/>
      <c r="Z31" s="1033"/>
      <c r="AA31" s="1048"/>
      <c r="AB31" s="1067"/>
      <c r="AC31" s="1036"/>
      <c r="AE31" s="1160">
        <f ca="1">-Activo!Z57</f>
        <v>-46199873</v>
      </c>
    </row>
    <row r="32" spans="2:39" s="1027" customFormat="1">
      <c r="B32" s="1021"/>
      <c r="C32" s="1050">
        <v>5213200</v>
      </c>
      <c r="D32" s="1022"/>
      <c r="E32" s="1050" t="s">
        <v>3630</v>
      </c>
      <c r="F32" s="1050"/>
      <c r="G32" s="1044">
        <f ca="1">+G33+G34+G35+G38</f>
        <v>34175360079</v>
      </c>
      <c r="H32" s="1044">
        <f>+H33+H34+H35+H38</f>
        <v>0</v>
      </c>
      <c r="I32" s="1044">
        <f t="shared" ref="I32:T32" si="12">+I33+I34+I35+I38</f>
        <v>0</v>
      </c>
      <c r="J32" s="1044">
        <f t="shared" si="12"/>
        <v>0</v>
      </c>
      <c r="K32" s="1044">
        <f t="shared" si="12"/>
        <v>0</v>
      </c>
      <c r="L32" s="1044">
        <f>+L33+L34+L35+L38</f>
        <v>-15319526614</v>
      </c>
      <c r="M32" s="1044">
        <f t="shared" si="12"/>
        <v>0</v>
      </c>
      <c r="N32" s="1044">
        <f t="shared" si="12"/>
        <v>0</v>
      </c>
      <c r="O32" s="1044"/>
      <c r="P32" s="1044">
        <f t="shared" si="12"/>
        <v>0</v>
      </c>
      <c r="Q32" s="1044">
        <f t="shared" si="12"/>
        <v>0</v>
      </c>
      <c r="R32" s="1044">
        <f t="shared" si="12"/>
        <v>0</v>
      </c>
      <c r="S32" s="1044">
        <f t="shared" si="12"/>
        <v>0</v>
      </c>
      <c r="T32" s="1044">
        <f t="shared" si="12"/>
        <v>0</v>
      </c>
      <c r="U32" s="1044"/>
      <c r="V32" s="1387">
        <f ca="1">SUM(G32:S32)</f>
        <v>18855833465</v>
      </c>
      <c r="W32" s="1052">
        <f>+C32</f>
        <v>5213200</v>
      </c>
      <c r="X32" s="1044">
        <f ca="1">+X33+X34+X35+X38</f>
        <v>18855833</v>
      </c>
      <c r="Y32" s="1032"/>
      <c r="Z32" s="1034"/>
      <c r="AA32" s="1034"/>
      <c r="AB32" s="1034"/>
      <c r="AC32" s="1034"/>
      <c r="AE32" s="1063">
        <f ca="1">+AE30+AE31</f>
        <v>71722232</v>
      </c>
    </row>
    <row r="33" spans="2:31" s="1027" customFormat="1">
      <c r="B33" s="1021"/>
      <c r="C33" s="1055"/>
      <c r="D33" s="1051">
        <v>5213210</v>
      </c>
      <c r="E33" s="1055" t="s">
        <v>3434</v>
      </c>
      <c r="F33" s="1055"/>
      <c r="G33" s="1045">
        <f ca="1">-SUMIF('Mapping FECU'!$E$9:$G$601,Pasivo!D33,'Mapping FECU'!$G$9:$G$601)</f>
        <v>744785079</v>
      </c>
      <c r="H33" s="1045"/>
      <c r="I33" s="1045"/>
      <c r="J33" s="1045"/>
      <c r="K33" s="1045"/>
      <c r="L33" s="1045"/>
      <c r="M33" s="1045"/>
      <c r="N33" s="1045"/>
      <c r="O33" s="1045"/>
      <c r="P33" s="1045"/>
      <c r="Q33" s="1045"/>
      <c r="R33" s="1045"/>
      <c r="S33" s="1045"/>
      <c r="T33" s="1045"/>
      <c r="U33" s="1045"/>
      <c r="V33" s="1388">
        <f ca="1">SUM(G33:S33)</f>
        <v>744785079</v>
      </c>
      <c r="W33" s="1052">
        <f t="shared" ref="W33:W38" si="13">+D33</f>
        <v>5213210</v>
      </c>
      <c r="X33" s="1044">
        <f t="shared" ref="X33:X38" ca="1" si="14">ROUND(+V33/1000,0)</f>
        <v>744785</v>
      </c>
      <c r="Y33" s="1032" t="s">
        <v>3631</v>
      </c>
      <c r="Z33" s="1232" t="s">
        <v>3632</v>
      </c>
      <c r="AA33" s="1161">
        <f>+'Nota 26'!G7</f>
        <v>744785</v>
      </c>
      <c r="AB33" s="1035" t="str">
        <f ca="1">IF(X33-AA33=0,"Ok","Error")</f>
        <v>Ok</v>
      </c>
      <c r="AC33" s="1036">
        <f ca="1">+AA33-X33</f>
        <v>0</v>
      </c>
    </row>
    <row r="34" spans="2:31" s="1027" customFormat="1" ht="15" customHeight="1">
      <c r="B34" s="1021"/>
      <c r="C34" s="1055"/>
      <c r="D34" s="1051">
        <v>5213220</v>
      </c>
      <c r="E34" s="1055" t="s">
        <v>3427</v>
      </c>
      <c r="F34" s="1055"/>
      <c r="G34" s="1045">
        <f ca="1">-SUMIF('Mapping FECU'!$E$9:$G$601,Pasivo!D34,'Mapping FECU'!$G$9:$G$601)</f>
        <v>33384016914</v>
      </c>
      <c r="H34" s="1045"/>
      <c r="I34" s="1045"/>
      <c r="J34" s="1045"/>
      <c r="K34" s="1045"/>
      <c r="L34" s="1045">
        <f>+Activo!M44</f>
        <v>-15319526614</v>
      </c>
      <c r="M34" s="1045"/>
      <c r="N34" s="1045"/>
      <c r="O34" s="1045"/>
      <c r="P34" s="1045"/>
      <c r="Q34" s="1045"/>
      <c r="R34" s="1045"/>
      <c r="S34" s="1045"/>
      <c r="T34" s="1045"/>
      <c r="U34" s="1045"/>
      <c r="V34" s="1388">
        <f ca="1">SUM(G34:S34)</f>
        <v>18064490300</v>
      </c>
      <c r="W34" s="1052">
        <f t="shared" si="13"/>
        <v>5213220</v>
      </c>
      <c r="X34" s="1155">
        <f t="shared" ca="1" si="14"/>
        <v>18064490</v>
      </c>
      <c r="Y34" s="1032" t="s">
        <v>3633</v>
      </c>
      <c r="Z34" s="1232" t="s">
        <v>3632</v>
      </c>
      <c r="AA34" s="1161">
        <f>+'Nota 26'!E71</f>
        <v>18064490</v>
      </c>
      <c r="AB34" s="1035" t="str">
        <f ca="1">IF(X34-AA34=0,"Ok","Error")</f>
        <v>Ok</v>
      </c>
      <c r="AC34" s="1036">
        <f ca="1">+AA34-X34</f>
        <v>0</v>
      </c>
      <c r="AE34" s="1063">
        <f ca="1">+AE32+AE29</f>
        <v>88691608</v>
      </c>
    </row>
    <row r="35" spans="2:31" s="1027" customFormat="1" ht="15" customHeight="1">
      <c r="B35" s="1021"/>
      <c r="C35" s="1055"/>
      <c r="D35" s="1051">
        <v>5213230</v>
      </c>
      <c r="E35" s="1055" t="s">
        <v>3634</v>
      </c>
      <c r="F35" s="1055"/>
      <c r="G35" s="1044">
        <f ca="1">+G36+G37</f>
        <v>46558086</v>
      </c>
      <c r="H35" s="1044">
        <f t="shared" ref="H35:T35" si="15">+H36+H37</f>
        <v>0</v>
      </c>
      <c r="I35" s="1044">
        <f t="shared" si="15"/>
        <v>0</v>
      </c>
      <c r="J35" s="1044">
        <f t="shared" si="15"/>
        <v>0</v>
      </c>
      <c r="K35" s="1044">
        <f t="shared" si="15"/>
        <v>0</v>
      </c>
      <c r="L35" s="1044"/>
      <c r="M35" s="1044">
        <f t="shared" si="15"/>
        <v>0</v>
      </c>
      <c r="N35" s="1044">
        <f t="shared" si="15"/>
        <v>0</v>
      </c>
      <c r="O35" s="1044"/>
      <c r="P35" s="1044">
        <f t="shared" si="15"/>
        <v>0</v>
      </c>
      <c r="Q35" s="1044">
        <f t="shared" si="15"/>
        <v>0</v>
      </c>
      <c r="R35" s="1044">
        <f t="shared" si="15"/>
        <v>0</v>
      </c>
      <c r="S35" s="1044">
        <f t="shared" si="15"/>
        <v>0</v>
      </c>
      <c r="T35" s="1044">
        <f t="shared" si="15"/>
        <v>0</v>
      </c>
      <c r="U35" s="1044"/>
      <c r="V35" s="1387">
        <f ca="1">SUM(G35:S35)</f>
        <v>46558086</v>
      </c>
      <c r="W35" s="1052">
        <f t="shared" si="13"/>
        <v>5213230</v>
      </c>
      <c r="X35" s="1155">
        <f t="shared" ca="1" si="14"/>
        <v>46558</v>
      </c>
      <c r="Y35" s="1032" t="s">
        <v>3635</v>
      </c>
      <c r="Z35" s="1232" t="s">
        <v>3632</v>
      </c>
      <c r="AA35" s="1161">
        <f>+'Nota 26'!G81</f>
        <v>46558</v>
      </c>
      <c r="AB35" s="1035" t="str">
        <f ca="1">IF(X35-AA35=0,"Ok","Error")</f>
        <v>Ok</v>
      </c>
      <c r="AC35" s="1036">
        <f ca="1">+AA35-X35</f>
        <v>0</v>
      </c>
      <c r="AE35" s="1160">
        <v>81874552</v>
      </c>
    </row>
    <row r="36" spans="2:31" s="1027" customFormat="1">
      <c r="B36" s="1021"/>
      <c r="C36" s="1055"/>
      <c r="D36" s="1051">
        <v>5213231</v>
      </c>
      <c r="E36" s="1055" t="s">
        <v>3636</v>
      </c>
      <c r="F36" s="1055"/>
      <c r="G36" s="1045">
        <f ca="1">-SUMIF('Mapping FECU'!$E$9:$G$601,Pasivo!D36,'Mapping FECU'!$G$9:$G$601)</f>
        <v>46558086</v>
      </c>
      <c r="H36" s="1045"/>
      <c r="I36" s="1045"/>
      <c r="J36" s="1045"/>
      <c r="K36" s="1045"/>
      <c r="L36" s="1045"/>
      <c r="M36" s="1045"/>
      <c r="N36" s="1045"/>
      <c r="O36" s="1045"/>
      <c r="P36" s="1045"/>
      <c r="Q36" s="1045"/>
      <c r="R36" s="1045"/>
      <c r="S36" s="1045"/>
      <c r="T36" s="1045"/>
      <c r="U36" s="1045"/>
      <c r="V36" s="1388">
        <f ca="1">SUM(G36:S36)</f>
        <v>46558086</v>
      </c>
      <c r="W36" s="1052">
        <f t="shared" si="13"/>
        <v>5213231</v>
      </c>
      <c r="X36" s="1156">
        <f t="shared" ca="1" si="14"/>
        <v>46558</v>
      </c>
      <c r="Y36" s="1032"/>
      <c r="Z36" s="1048"/>
      <c r="AA36" s="1048"/>
      <c r="AB36" s="1048"/>
      <c r="AC36" s="1048"/>
      <c r="AE36" s="1063">
        <f ca="1">+AE34-AE35</f>
        <v>6817056</v>
      </c>
    </row>
    <row r="37" spans="2:31" s="1027" customFormat="1">
      <c r="B37" s="1021"/>
      <c r="C37" s="1055"/>
      <c r="D37" s="1051">
        <v>5213232</v>
      </c>
      <c r="E37" s="1055" t="s">
        <v>3637</v>
      </c>
      <c r="F37" s="1055"/>
      <c r="G37" s="1045">
        <f ca="1">-SUMIF('Mapping FECU'!$E$9:$G$601,Pasivo!D37,'Mapping FECU'!$G$9:$G$601)</f>
        <v>0</v>
      </c>
      <c r="H37" s="1045"/>
      <c r="I37" s="1045"/>
      <c r="J37" s="1045"/>
      <c r="K37" s="1045"/>
      <c r="L37" s="1045"/>
      <c r="M37" s="1045"/>
      <c r="N37" s="1045"/>
      <c r="O37" s="1045"/>
      <c r="P37" s="1045"/>
      <c r="Q37" s="1045"/>
      <c r="R37" s="1045"/>
      <c r="S37" s="1045"/>
      <c r="T37" s="1045"/>
      <c r="U37" s="1045"/>
      <c r="V37" s="1388">
        <v>0</v>
      </c>
      <c r="W37" s="1052">
        <f t="shared" si="13"/>
        <v>5213232</v>
      </c>
      <c r="X37" s="1155">
        <f t="shared" si="14"/>
        <v>0</v>
      </c>
      <c r="Y37" s="1032"/>
      <c r="Z37" s="1048"/>
      <c r="AA37" s="1048"/>
      <c r="AB37" s="1048"/>
      <c r="AC37" s="1048"/>
    </row>
    <row r="38" spans="2:31" s="1027" customFormat="1">
      <c r="B38" s="1021"/>
      <c r="C38" s="1055"/>
      <c r="D38" s="1051">
        <v>5213240</v>
      </c>
      <c r="E38" s="1055" t="s">
        <v>3638</v>
      </c>
      <c r="F38" s="1055"/>
      <c r="G38" s="1045">
        <f ca="1">-SUMIF('Mapping FECU'!$E$9:$G$601,Pasivo!D38,'Mapping FECU'!$G$9:$G$601)</f>
        <v>0</v>
      </c>
      <c r="H38" s="1045"/>
      <c r="I38" s="1045"/>
      <c r="J38" s="1045"/>
      <c r="K38" s="1045"/>
      <c r="L38" s="1045"/>
      <c r="M38" s="1045"/>
      <c r="N38" s="1045"/>
      <c r="O38" s="1045"/>
      <c r="P38" s="1045"/>
      <c r="Q38" s="1045"/>
      <c r="R38" s="1045"/>
      <c r="S38" s="1045"/>
      <c r="T38" s="1045"/>
      <c r="U38" s="1045"/>
      <c r="V38" s="1388">
        <v>0</v>
      </c>
      <c r="W38" s="1052">
        <f t="shared" si="13"/>
        <v>5213240</v>
      </c>
      <c r="X38" s="1066">
        <f t="shared" si="14"/>
        <v>0</v>
      </c>
      <c r="Y38" s="1032"/>
      <c r="Z38" s="1048"/>
      <c r="AA38" s="1048"/>
      <c r="AB38" s="1048"/>
      <c r="AC38" s="1048"/>
    </row>
    <row r="39" spans="2:31" s="1027" customFormat="1">
      <c r="B39" s="1021"/>
      <c r="C39" s="1055"/>
      <c r="D39" s="1051"/>
      <c r="E39" s="1055"/>
      <c r="F39" s="1055"/>
      <c r="G39" s="1045"/>
      <c r="H39" s="1045"/>
      <c r="I39" s="1045"/>
      <c r="J39" s="1045"/>
      <c r="K39" s="1045"/>
      <c r="L39" s="1045"/>
      <c r="M39" s="1045"/>
      <c r="N39" s="1045"/>
      <c r="O39" s="1045"/>
      <c r="P39" s="1045"/>
      <c r="Q39" s="1045"/>
      <c r="R39" s="1045"/>
      <c r="S39" s="1045"/>
      <c r="T39" s="1045"/>
      <c r="U39" s="1045"/>
      <c r="V39" s="1388"/>
      <c r="W39" s="1026"/>
      <c r="X39" s="1044"/>
      <c r="Y39" s="1032"/>
      <c r="Z39" s="1048"/>
      <c r="AA39" s="1048"/>
      <c r="AB39" s="1048"/>
      <c r="AC39" s="1048"/>
    </row>
    <row r="40" spans="2:31" s="1027" customFormat="1" ht="18.75" customHeight="1">
      <c r="B40" s="1021"/>
      <c r="C40" s="1047">
        <v>5214000</v>
      </c>
      <c r="D40" s="1022"/>
      <c r="E40" s="1047" t="s">
        <v>3639</v>
      </c>
      <c r="F40" s="1047"/>
      <c r="G40" s="1031">
        <f ca="1">+G42+G44</f>
        <v>36167812599</v>
      </c>
      <c r="H40" s="1031">
        <f t="shared" ref="H40:U40" si="16">+H42+H44</f>
        <v>0</v>
      </c>
      <c r="I40" s="1031">
        <f t="shared" si="16"/>
        <v>0</v>
      </c>
      <c r="J40" s="1031">
        <f t="shared" si="16"/>
        <v>0</v>
      </c>
      <c r="K40" s="1031">
        <f t="shared" si="16"/>
        <v>0</v>
      </c>
      <c r="L40" s="1031"/>
      <c r="M40" s="1031">
        <f t="shared" si="16"/>
        <v>0</v>
      </c>
      <c r="N40" s="1031">
        <f t="shared" si="16"/>
        <v>0</v>
      </c>
      <c r="O40" s="1031"/>
      <c r="P40" s="1031">
        <f t="shared" si="16"/>
        <v>111672465</v>
      </c>
      <c r="Q40" s="1031">
        <f t="shared" ca="1" si="16"/>
        <v>959317886</v>
      </c>
      <c r="R40" s="1031">
        <f t="shared" si="16"/>
        <v>0</v>
      </c>
      <c r="S40" s="1031">
        <f t="shared" si="16"/>
        <v>0</v>
      </c>
      <c r="T40" s="1031">
        <f t="shared" si="16"/>
        <v>58030000</v>
      </c>
      <c r="U40" s="1031">
        <f t="shared" si="16"/>
        <v>63257244</v>
      </c>
      <c r="V40" s="1385">
        <f ca="1">+V42+V44</f>
        <v>37360090194</v>
      </c>
      <c r="W40" s="1039">
        <f>+C40</f>
        <v>5214000</v>
      </c>
      <c r="X40" s="1031">
        <f ca="1">+X42+X44</f>
        <v>37360091</v>
      </c>
      <c r="Y40" s="1032"/>
      <c r="Z40" s="1034"/>
      <c r="AA40" s="1034"/>
      <c r="AB40" s="1034"/>
      <c r="AC40" s="1034"/>
    </row>
    <row r="41" spans="2:31" s="1027" customFormat="1" ht="12" customHeight="1">
      <c r="B41" s="1021"/>
      <c r="C41" s="1047"/>
      <c r="D41" s="1022"/>
      <c r="E41" s="1047"/>
      <c r="F41" s="1047"/>
      <c r="G41" s="1045"/>
      <c r="H41" s="1045"/>
      <c r="I41" s="1045"/>
      <c r="J41" s="1045"/>
      <c r="K41" s="1045"/>
      <c r="L41" s="1045"/>
      <c r="M41" s="1045"/>
      <c r="N41" s="1045"/>
      <c r="O41" s="1045"/>
      <c r="P41" s="1045"/>
      <c r="Q41" s="1045"/>
      <c r="R41" s="1045"/>
      <c r="S41" s="1045"/>
      <c r="T41" s="1045"/>
      <c r="U41" s="1045"/>
      <c r="V41" s="1387"/>
      <c r="W41" s="1039"/>
      <c r="X41" s="1044"/>
      <c r="Y41" s="1032"/>
      <c r="Z41" s="1034"/>
      <c r="AA41" s="1034"/>
      <c r="AB41" s="1034"/>
      <c r="AC41" s="1034"/>
    </row>
    <row r="42" spans="2:31" s="1027" customFormat="1">
      <c r="B42" s="1021"/>
      <c r="C42" s="1055"/>
      <c r="D42" s="1051">
        <v>5214100</v>
      </c>
      <c r="E42" s="1050" t="s">
        <v>3640</v>
      </c>
      <c r="F42" s="1050"/>
      <c r="G42" s="1045">
        <f ca="1">-SUMIF('Mapping FECU'!$E$9:$G$601,Pasivo!D42,'Mapping FECU'!$G$9:$G$601)</f>
        <v>3572532692</v>
      </c>
      <c r="H42" s="1044"/>
      <c r="I42" s="1044"/>
      <c r="J42" s="1044"/>
      <c r="K42" s="1044"/>
      <c r="L42" s="1044"/>
      <c r="M42" s="1044"/>
      <c r="N42" s="1044">
        <v>4961296000</v>
      </c>
      <c r="O42" s="1044"/>
      <c r="P42" s="1044"/>
      <c r="Q42" s="1044"/>
      <c r="R42" s="1044"/>
      <c r="S42" s="1044"/>
      <c r="T42" s="1044"/>
      <c r="U42" s="1044"/>
      <c r="V42" s="1387">
        <f ca="1">SUM(G42:S42)</f>
        <v>8533828692</v>
      </c>
      <c r="W42" s="1052">
        <f t="shared" ref="W42" si="17">+D42</f>
        <v>5214100</v>
      </c>
      <c r="X42" s="1066">
        <f ca="1">ROUND(+V42/1000,0)</f>
        <v>8533829</v>
      </c>
      <c r="Y42" s="1032">
        <v>27</v>
      </c>
      <c r="Z42" s="1033" t="s">
        <v>3641</v>
      </c>
      <c r="AA42" s="1048">
        <f>+'Nota 27'!K28</f>
        <v>8533829</v>
      </c>
      <c r="AB42" s="1035" t="str">
        <f ca="1">IF(X42-AA42=0,"Ok","Error")</f>
        <v>Ok</v>
      </c>
      <c r="AC42" s="1036">
        <f ca="1">+AA42-X42</f>
        <v>0</v>
      </c>
    </row>
    <row r="43" spans="2:31" s="1027" customFormat="1">
      <c r="B43" s="1021"/>
      <c r="C43" s="1055"/>
      <c r="D43" s="1051"/>
      <c r="E43" s="1050"/>
      <c r="F43" s="1050"/>
      <c r="G43" s="1045"/>
      <c r="H43" s="1045"/>
      <c r="I43" s="1045"/>
      <c r="J43" s="1045"/>
      <c r="K43" s="1045"/>
      <c r="L43" s="1045"/>
      <c r="M43" s="1045"/>
      <c r="N43" s="1045"/>
      <c r="O43" s="1045"/>
      <c r="P43" s="1045"/>
      <c r="Q43" s="1045"/>
      <c r="R43" s="1045"/>
      <c r="S43" s="1045"/>
      <c r="T43" s="1045"/>
      <c r="U43" s="1045"/>
      <c r="V43" s="1387"/>
      <c r="W43" s="1026"/>
      <c r="X43" s="1044"/>
      <c r="Y43" s="1032"/>
      <c r="Z43" s="1033"/>
      <c r="AA43" s="1048"/>
      <c r="AB43" s="1035"/>
      <c r="AC43" s="1132"/>
    </row>
    <row r="44" spans="2:31" s="1027" customFormat="1">
      <c r="B44" s="1021"/>
      <c r="C44" s="1050">
        <v>5214200</v>
      </c>
      <c r="D44" s="1051"/>
      <c r="E44" s="1059" t="s">
        <v>3642</v>
      </c>
      <c r="F44" s="1051"/>
      <c r="G44" s="1044">
        <f ca="1">+G46+G49+G50+G51+G52+G53</f>
        <v>32595279907</v>
      </c>
      <c r="H44" s="1044">
        <f t="shared" ref="H44:U44" si="18">+H46+H49+H50+H51+H52+H53</f>
        <v>0</v>
      </c>
      <c r="I44" s="1044">
        <f t="shared" si="18"/>
        <v>0</v>
      </c>
      <c r="J44" s="1044">
        <f t="shared" si="18"/>
        <v>0</v>
      </c>
      <c r="K44" s="1044">
        <f t="shared" si="18"/>
        <v>0</v>
      </c>
      <c r="L44" s="1044"/>
      <c r="M44" s="1044">
        <f t="shared" si="18"/>
        <v>0</v>
      </c>
      <c r="N44" s="1044">
        <f t="shared" si="18"/>
        <v>-4961296000</v>
      </c>
      <c r="O44" s="1044"/>
      <c r="P44" s="1044">
        <f t="shared" si="18"/>
        <v>111672465</v>
      </c>
      <c r="Q44" s="1044">
        <f t="shared" ca="1" si="18"/>
        <v>959317886</v>
      </c>
      <c r="R44" s="1044">
        <f t="shared" si="18"/>
        <v>0</v>
      </c>
      <c r="S44" s="1044">
        <f t="shared" si="18"/>
        <v>0</v>
      </c>
      <c r="T44" s="1044">
        <f t="shared" si="18"/>
        <v>58030000</v>
      </c>
      <c r="U44" s="1044">
        <f t="shared" si="18"/>
        <v>63257244</v>
      </c>
      <c r="V44" s="1387">
        <f ca="1">+V46+V49+V50+V51+V52+V53</f>
        <v>28826261502</v>
      </c>
      <c r="W44" s="1039">
        <f>+C44</f>
        <v>5214200</v>
      </c>
      <c r="X44" s="1044">
        <f ca="1">+X46+X49+X50+X51+X52+X53</f>
        <v>28826262</v>
      </c>
      <c r="Y44" s="1032"/>
      <c r="Z44" s="1034"/>
      <c r="AA44" s="1034"/>
      <c r="AB44" s="1034"/>
      <c r="AC44" s="1133"/>
    </row>
    <row r="45" spans="2:31" s="1027" customFormat="1">
      <c r="B45" s="1021"/>
      <c r="C45" s="1050"/>
      <c r="D45" s="1051"/>
      <c r="E45" s="1059"/>
      <c r="F45" s="1051"/>
      <c r="G45" s="1044"/>
      <c r="H45" s="1044"/>
      <c r="I45" s="1044"/>
      <c r="J45" s="1044"/>
      <c r="K45" s="1044"/>
      <c r="L45" s="1044"/>
      <c r="M45" s="1044"/>
      <c r="N45" s="1044"/>
      <c r="O45" s="1044"/>
      <c r="P45" s="1044"/>
      <c r="Q45" s="1044"/>
      <c r="R45" s="1044"/>
      <c r="S45" s="1044"/>
      <c r="T45" s="1044"/>
      <c r="U45" s="1044"/>
      <c r="V45" s="1387"/>
      <c r="W45" s="1026"/>
      <c r="X45" s="1044"/>
      <c r="Y45" s="1032"/>
      <c r="Z45" s="1034"/>
      <c r="AA45" s="1034"/>
      <c r="AB45" s="1034"/>
      <c r="AC45" s="1133"/>
    </row>
    <row r="46" spans="2:31" s="1027" customFormat="1" ht="15" customHeight="1">
      <c r="B46" s="1021"/>
      <c r="C46" s="1055"/>
      <c r="D46" s="1051">
        <v>5214210</v>
      </c>
      <c r="E46" s="1055" t="s">
        <v>3440</v>
      </c>
      <c r="F46" s="1055"/>
      <c r="G46" s="1045">
        <f ca="1">SUM(G47:G48)</f>
        <v>3533710587</v>
      </c>
      <c r="H46" s="1045">
        <f t="shared" ref="H46:T46" si="19">SUM(H47:H48)</f>
        <v>0</v>
      </c>
      <c r="I46" s="1045">
        <f t="shared" si="19"/>
        <v>0</v>
      </c>
      <c r="J46" s="1045">
        <f t="shared" si="19"/>
        <v>0</v>
      </c>
      <c r="K46" s="1045">
        <f t="shared" si="19"/>
        <v>0</v>
      </c>
      <c r="L46" s="1045"/>
      <c r="M46" s="1045">
        <f t="shared" si="19"/>
        <v>0</v>
      </c>
      <c r="N46" s="1045">
        <f t="shared" si="19"/>
        <v>0</v>
      </c>
      <c r="O46" s="1045"/>
      <c r="P46" s="1045">
        <f t="shared" si="19"/>
        <v>0</v>
      </c>
      <c r="Q46" s="1045">
        <f t="shared" si="19"/>
        <v>0</v>
      </c>
      <c r="R46" s="1045">
        <f t="shared" si="19"/>
        <v>0</v>
      </c>
      <c r="S46" s="1045">
        <f t="shared" si="19"/>
        <v>0</v>
      </c>
      <c r="T46" s="1045">
        <f t="shared" si="19"/>
        <v>0</v>
      </c>
      <c r="U46" s="1045"/>
      <c r="V46" s="1388">
        <f ca="1">SUM(V47:V48)</f>
        <v>3533710587</v>
      </c>
      <c r="W46" s="1052">
        <f t="shared" ref="W46:W53" si="20">+D46</f>
        <v>5214210</v>
      </c>
      <c r="X46" s="1044">
        <f t="shared" ref="X46:X52" ca="1" si="21">ROUND(+V46/1000,0)</f>
        <v>3533711</v>
      </c>
      <c r="Y46" s="1032"/>
      <c r="Z46" s="1048"/>
      <c r="AA46" s="1048"/>
      <c r="AB46" s="1048"/>
      <c r="AC46" s="1048"/>
    </row>
    <row r="47" spans="2:31" s="1027" customFormat="1">
      <c r="B47" s="1021"/>
      <c r="C47" s="1055"/>
      <c r="D47" s="1051">
        <v>5214211</v>
      </c>
      <c r="E47" s="1051"/>
      <c r="F47" s="1055" t="s">
        <v>3447</v>
      </c>
      <c r="G47" s="1045">
        <f ca="1">-SUMIF('Mapping FECU'!$E$9:$G$601,Pasivo!D47,'Mapping FECU'!$G$9:$G$601)</f>
        <v>3533710587</v>
      </c>
      <c r="H47" s="1045"/>
      <c r="I47" s="1045"/>
      <c r="J47" s="1045"/>
      <c r="K47" s="1045"/>
      <c r="L47" s="1045"/>
      <c r="M47" s="1045"/>
      <c r="N47" s="1045"/>
      <c r="O47" s="1045"/>
      <c r="P47" s="1045"/>
      <c r="Q47" s="1045"/>
      <c r="R47" s="1045"/>
      <c r="S47" s="1045"/>
      <c r="T47" s="1045"/>
      <c r="U47" s="1045"/>
      <c r="V47" s="1388">
        <f t="shared" ref="V47:V52" ca="1" si="22">SUM(G47:S47)</f>
        <v>3533710587</v>
      </c>
      <c r="W47" s="1052">
        <f t="shared" si="20"/>
        <v>5214211</v>
      </c>
      <c r="X47" s="1044">
        <f t="shared" ca="1" si="21"/>
        <v>3533711</v>
      </c>
      <c r="Y47" s="1032" t="s">
        <v>3643</v>
      </c>
      <c r="Z47" s="1033" t="s">
        <v>3644</v>
      </c>
      <c r="AA47" s="1048">
        <f>+'Nota 28'!E10</f>
        <v>3533711</v>
      </c>
      <c r="AB47" s="1035" t="str">
        <f t="shared" ref="AB47:AB53" ca="1" si="23">IF(X47-AA47=0,"Ok","Error")</f>
        <v>Ok</v>
      </c>
      <c r="AC47" s="1036">
        <f t="shared" ref="AC47:AC52" ca="1" si="24">+AA47-X47</f>
        <v>0</v>
      </c>
    </row>
    <row r="48" spans="2:31" s="1027" customFormat="1">
      <c r="B48" s="1021"/>
      <c r="C48" s="1055"/>
      <c r="D48" s="1051">
        <v>5214212</v>
      </c>
      <c r="E48" s="1051"/>
      <c r="F48" s="1055" t="s">
        <v>3645</v>
      </c>
      <c r="G48" s="1045">
        <f ca="1">-SUMIF('Mapping FECU'!$E$9:$G$601,Pasivo!D48,'Mapping FECU'!$G$9:$G$601)</f>
        <v>0</v>
      </c>
      <c r="H48" s="1045"/>
      <c r="I48" s="1062"/>
      <c r="J48" s="1062"/>
      <c r="K48" s="1045"/>
      <c r="L48" s="1045"/>
      <c r="M48" s="1045"/>
      <c r="N48" s="1045"/>
      <c r="O48" s="1045"/>
      <c r="P48" s="1045"/>
      <c r="Q48" s="1045"/>
      <c r="R48" s="1045"/>
      <c r="S48" s="1045"/>
      <c r="T48" s="1045"/>
      <c r="U48" s="1045"/>
      <c r="V48" s="1388">
        <f t="shared" ca="1" si="22"/>
        <v>0</v>
      </c>
      <c r="W48" s="1052">
        <f t="shared" si="20"/>
        <v>5214212</v>
      </c>
      <c r="X48" s="1044">
        <f t="shared" ca="1" si="21"/>
        <v>0</v>
      </c>
      <c r="Y48" s="1032" t="s">
        <v>3597</v>
      </c>
      <c r="Z48" s="1033" t="s">
        <v>3598</v>
      </c>
      <c r="AA48" s="1048" t="e">
        <f>+#REF!</f>
        <v>#REF!</v>
      </c>
      <c r="AB48" s="1035" t="e">
        <f t="shared" ca="1" si="23"/>
        <v>#REF!</v>
      </c>
      <c r="AC48" s="1036" t="e">
        <f t="shared" ca="1" si="24"/>
        <v>#REF!</v>
      </c>
    </row>
    <row r="49" spans="2:29" s="1027" customFormat="1" ht="15" customHeight="1">
      <c r="B49" s="1021"/>
      <c r="C49" s="1055"/>
      <c r="D49" s="1051">
        <v>5214220</v>
      </c>
      <c r="E49" s="1055" t="s">
        <v>3442</v>
      </c>
      <c r="F49" s="1055"/>
      <c r="G49" s="1045">
        <f ca="1">-SUMIF('Mapping FECU'!$E$9:$G$601,Pasivo!D49,'Mapping FECU'!$G$9:$G$601)</f>
        <v>1014038724</v>
      </c>
      <c r="H49" s="1045"/>
      <c r="I49" s="1062"/>
      <c r="J49" s="1062"/>
      <c r="K49" s="1045"/>
      <c r="L49" s="1045"/>
      <c r="M49" s="1045"/>
      <c r="N49" s="1045"/>
      <c r="O49" s="1045"/>
      <c r="P49" s="1045">
        <v>111672465</v>
      </c>
      <c r="Q49" s="1062"/>
      <c r="R49" s="1062"/>
      <c r="S49" s="1062"/>
      <c r="T49" s="1062"/>
      <c r="U49" s="1062"/>
      <c r="V49" s="1388">
        <f t="shared" ca="1" si="22"/>
        <v>1125711189</v>
      </c>
      <c r="W49" s="1052">
        <f t="shared" si="20"/>
        <v>5214220</v>
      </c>
      <c r="X49" s="1044">
        <f t="shared" ca="1" si="21"/>
        <v>1125711</v>
      </c>
      <c r="Y49" s="1032" t="s">
        <v>3646</v>
      </c>
      <c r="Z49" s="927" t="s">
        <v>3604</v>
      </c>
      <c r="AA49" s="1048">
        <f>+'Nota 49'!K54</f>
        <v>1125711</v>
      </c>
      <c r="AB49" s="1035" t="str">
        <f ca="1">IF(X49-AA49=0,"Ok","Error")</f>
        <v>Ok</v>
      </c>
      <c r="AC49" s="1036">
        <f t="shared" ca="1" si="24"/>
        <v>0</v>
      </c>
    </row>
    <row r="50" spans="2:29" s="1027" customFormat="1">
      <c r="B50" s="1021"/>
      <c r="C50" s="1055"/>
      <c r="D50" s="1051">
        <v>5214230</v>
      </c>
      <c r="E50" s="1055" t="s">
        <v>3439</v>
      </c>
      <c r="F50" s="1055"/>
      <c r="G50" s="1045">
        <f ca="1">-SUMIF('Mapping FECU'!$E$9:$G$601,Pasivo!D50,'Mapping FECU'!$G$9:$G$601)</f>
        <v>1578353536</v>
      </c>
      <c r="H50" s="1045"/>
      <c r="I50" s="1062"/>
      <c r="J50" s="1062"/>
      <c r="K50" s="1045"/>
      <c r="L50" s="1045"/>
      <c r="M50" s="1045"/>
      <c r="N50" s="1045"/>
      <c r="O50" s="1045"/>
      <c r="P50" s="1045"/>
      <c r="Q50" s="1062">
        <f>+Activo!S77</f>
        <v>0</v>
      </c>
      <c r="R50" s="1062"/>
      <c r="S50" s="1062"/>
      <c r="T50" s="1062"/>
      <c r="U50" s="1062"/>
      <c r="V50" s="1388">
        <f t="shared" ca="1" si="22"/>
        <v>1578353536</v>
      </c>
      <c r="W50" s="1052">
        <f t="shared" si="20"/>
        <v>5214230</v>
      </c>
      <c r="X50" s="1044">
        <f t="shared" ca="1" si="21"/>
        <v>1578354</v>
      </c>
      <c r="Y50" s="1032" t="s">
        <v>3647</v>
      </c>
      <c r="Z50" s="1033" t="s">
        <v>3648</v>
      </c>
      <c r="AA50" s="1048">
        <f>+'Nota 28'!G22</f>
        <v>1578354</v>
      </c>
      <c r="AB50" s="1035" t="str">
        <f t="shared" ca="1" si="23"/>
        <v>Ok</v>
      </c>
      <c r="AC50" s="1036">
        <f ca="1">+AA50-X50</f>
        <v>0</v>
      </c>
    </row>
    <row r="51" spans="2:29" s="1027" customFormat="1">
      <c r="B51" s="1021"/>
      <c r="C51" s="1055"/>
      <c r="D51" s="1051">
        <v>5214240</v>
      </c>
      <c r="E51" s="1055" t="s">
        <v>3441</v>
      </c>
      <c r="F51" s="1055"/>
      <c r="G51" s="1045">
        <f ca="1">-SUMIF('Mapping FECU'!$E$9:$G$601,Pasivo!D51,'Mapping FECU'!$G$9:$G$601)</f>
        <v>1114869178</v>
      </c>
      <c r="H51" s="1045"/>
      <c r="I51" s="1062"/>
      <c r="J51" s="1062"/>
      <c r="K51" s="1045"/>
      <c r="L51" s="1045"/>
      <c r="M51" s="1045"/>
      <c r="N51" s="1045"/>
      <c r="O51" s="1045">
        <v>5723010653</v>
      </c>
      <c r="P51" s="1045"/>
      <c r="Q51" s="1062"/>
      <c r="R51" s="1062"/>
      <c r="S51" s="1062"/>
      <c r="T51" s="1062"/>
      <c r="U51" s="1062"/>
      <c r="V51" s="1388">
        <f ca="1">SUM(G51:S51)</f>
        <v>6837879831</v>
      </c>
      <c r="W51" s="1052">
        <f t="shared" si="20"/>
        <v>5214240</v>
      </c>
      <c r="X51" s="1044">
        <f t="shared" ca="1" si="21"/>
        <v>6837880</v>
      </c>
      <c r="Y51" s="1032" t="s">
        <v>3649</v>
      </c>
      <c r="Z51" s="1033" t="s">
        <v>3650</v>
      </c>
      <c r="AA51" s="1048">
        <f>+'Nota 28'!E36</f>
        <v>6837880</v>
      </c>
      <c r="AB51" s="1035" t="str">
        <f t="shared" ca="1" si="23"/>
        <v>Ok</v>
      </c>
      <c r="AC51" s="1036">
        <f t="shared" ca="1" si="24"/>
        <v>0</v>
      </c>
    </row>
    <row r="52" spans="2:29" s="1027" customFormat="1">
      <c r="B52" s="1021"/>
      <c r="C52" s="1055"/>
      <c r="D52" s="1051">
        <v>5214250</v>
      </c>
      <c r="E52" s="1055" t="s">
        <v>3651</v>
      </c>
      <c r="F52" s="1055"/>
      <c r="G52" s="1045">
        <f ca="1">-SUMIF('Mapping FECU'!$E$9:$G$601,Pasivo!D52,'Mapping FECU'!$G$9:$G$601)</f>
        <v>0</v>
      </c>
      <c r="H52" s="1045"/>
      <c r="I52" s="1062"/>
      <c r="J52" s="1062"/>
      <c r="K52" s="1045"/>
      <c r="L52" s="1045"/>
      <c r="M52" s="1045"/>
      <c r="N52" s="1045"/>
      <c r="O52" s="1045"/>
      <c r="P52" s="1045"/>
      <c r="Q52" s="1062"/>
      <c r="R52" s="1062"/>
      <c r="S52" s="1062"/>
      <c r="T52" s="1062"/>
      <c r="U52" s="1062"/>
      <c r="V52" s="1388">
        <f t="shared" ca="1" si="22"/>
        <v>0</v>
      </c>
      <c r="W52" s="1052">
        <f t="shared" si="20"/>
        <v>5214250</v>
      </c>
      <c r="X52" s="1066">
        <f t="shared" ca="1" si="21"/>
        <v>0</v>
      </c>
      <c r="Y52" s="1032"/>
      <c r="Z52" s="1033" t="s">
        <v>3653</v>
      </c>
      <c r="AA52" s="1048">
        <v>0</v>
      </c>
      <c r="AB52" s="1035" t="str">
        <f t="shared" ca="1" si="23"/>
        <v>Ok</v>
      </c>
      <c r="AC52" s="1036">
        <f t="shared" ca="1" si="24"/>
        <v>0</v>
      </c>
    </row>
    <row r="53" spans="2:29" s="1027" customFormat="1">
      <c r="B53" s="1021"/>
      <c r="C53" s="1055"/>
      <c r="D53" s="1051">
        <v>5214260</v>
      </c>
      <c r="E53" s="1055" t="s">
        <v>3438</v>
      </c>
      <c r="F53" s="1055"/>
      <c r="G53" s="1045">
        <f ca="1">-SUMIF('Mapping FECU'!$E$9:$G$601,Pasivo!D53,'Mapping FECU'!$G$9:$G$601)</f>
        <v>25354307882</v>
      </c>
      <c r="H53" s="1378">
        <f>-H49</f>
        <v>0</v>
      </c>
      <c r="I53" s="1379"/>
      <c r="J53" s="1379">
        <f>-J20</f>
        <v>0</v>
      </c>
      <c r="K53" s="1380"/>
      <c r="L53" s="1380"/>
      <c r="M53" s="1380"/>
      <c r="N53" s="1380">
        <f>-N42</f>
        <v>-4961296000</v>
      </c>
      <c r="O53" s="1380">
        <f>-O51</f>
        <v>-5723010653</v>
      </c>
      <c r="P53" s="1380"/>
      <c r="Q53" s="1379">
        <f ca="1">-Q64</f>
        <v>959317886</v>
      </c>
      <c r="R53" s="1379">
        <f>-R64</f>
        <v>0</v>
      </c>
      <c r="S53" s="1379"/>
      <c r="T53" s="1379">
        <f>-T62</f>
        <v>58030000</v>
      </c>
      <c r="U53" s="1379">
        <f>-U59</f>
        <v>63257244</v>
      </c>
      <c r="V53" s="1388">
        <f ca="1">SUM(G53:U53)</f>
        <v>15750606359</v>
      </c>
      <c r="W53" s="1052">
        <f t="shared" si="20"/>
        <v>5214260</v>
      </c>
      <c r="X53" s="1057">
        <f ca="1">ROUND(+V53/1000,0)</f>
        <v>15750606</v>
      </c>
      <c r="Y53" s="1032" t="s">
        <v>3652</v>
      </c>
      <c r="Z53" s="1033" t="s">
        <v>3448</v>
      </c>
      <c r="AA53" s="1048">
        <f>+'Nota 28'!E57</f>
        <v>15834082</v>
      </c>
      <c r="AB53" s="1035" t="str">
        <f t="shared" ca="1" si="23"/>
        <v>Error</v>
      </c>
      <c r="AC53" s="1036">
        <f ca="1">+AA53-X53</f>
        <v>83476</v>
      </c>
    </row>
    <row r="54" spans="2:29" s="1027" customFormat="1">
      <c r="B54" s="1021"/>
      <c r="C54" s="1055"/>
      <c r="D54" s="1022"/>
      <c r="E54" s="1055"/>
      <c r="F54" s="1055"/>
      <c r="G54" s="1037"/>
      <c r="H54" s="1038"/>
      <c r="I54" s="1038"/>
      <c r="J54" s="1038"/>
      <c r="K54" s="1038"/>
      <c r="L54" s="1038"/>
      <c r="M54" s="1038"/>
      <c r="N54" s="1038"/>
      <c r="O54" s="1038"/>
      <c r="P54" s="1038"/>
      <c r="Q54" s="1038"/>
      <c r="R54" s="1038"/>
      <c r="S54" s="1038"/>
      <c r="T54" s="1038"/>
      <c r="U54" s="1038"/>
      <c r="V54" s="1386"/>
      <c r="W54" s="1026"/>
      <c r="X54" s="1040"/>
      <c r="Y54" s="1032"/>
      <c r="Z54" s="1048"/>
      <c r="AA54" s="1048"/>
      <c r="AB54" s="1048"/>
      <c r="AC54" s="1048"/>
    </row>
    <row r="55" spans="2:29" s="1027" customFormat="1">
      <c r="B55" s="1021"/>
      <c r="C55" s="1047">
        <v>5220000</v>
      </c>
      <c r="D55" s="1022"/>
      <c r="E55" s="1047" t="s">
        <v>3654</v>
      </c>
      <c r="F55" s="1047"/>
      <c r="G55" s="1031">
        <f ca="1">+G57+G59+G61+G66</f>
        <v>139868159697</v>
      </c>
      <c r="H55" s="1031">
        <f t="shared" ref="H55:S55" si="25">+H57+H59+H61+H66</f>
        <v>0</v>
      </c>
      <c r="I55" s="1031">
        <f t="shared" si="25"/>
        <v>0</v>
      </c>
      <c r="J55" s="1031">
        <f t="shared" si="25"/>
        <v>0</v>
      </c>
      <c r="K55" s="1031">
        <f t="shared" si="25"/>
        <v>0</v>
      </c>
      <c r="L55" s="1031"/>
      <c r="M55" s="1031">
        <f t="shared" si="25"/>
        <v>0</v>
      </c>
      <c r="N55" s="1031">
        <f t="shared" si="25"/>
        <v>0</v>
      </c>
      <c r="O55" s="1031"/>
      <c r="P55" s="1031">
        <f t="shared" si="25"/>
        <v>0</v>
      </c>
      <c r="Q55" s="1031">
        <f t="shared" ca="1" si="25"/>
        <v>-959317886</v>
      </c>
      <c r="R55" s="1031">
        <f t="shared" si="25"/>
        <v>0</v>
      </c>
      <c r="S55" s="1031">
        <f t="shared" si="25"/>
        <v>0</v>
      </c>
      <c r="T55" s="1031">
        <f>+T57+T59+T61+T66</f>
        <v>-58030000</v>
      </c>
      <c r="U55" s="1031">
        <f>+U57+U59+U61+U66</f>
        <v>-63257244</v>
      </c>
      <c r="V55" s="1385">
        <f ca="1">ROUND((+V57+V59+V61+V66),0)</f>
        <v>138787554567</v>
      </c>
      <c r="W55" s="1039">
        <f>+C55</f>
        <v>5220000</v>
      </c>
      <c r="X55" s="1031">
        <f ca="1">ROUND((+X57+X59+X61+X66),0)</f>
        <v>138787555</v>
      </c>
      <c r="Y55" s="1032"/>
      <c r="Z55" s="1033" t="s">
        <v>3655</v>
      </c>
      <c r="AA55" s="1048"/>
      <c r="AB55" s="1035" t="str">
        <f ca="1">IF(X55-AA55=0,"Ok","Error")</f>
        <v>Error</v>
      </c>
      <c r="AC55" s="1036">
        <f ca="1">+AA55-X55</f>
        <v>-138787555</v>
      </c>
    </row>
    <row r="56" spans="2:29" s="1027" customFormat="1">
      <c r="B56" s="1021"/>
      <c r="C56" s="1047"/>
      <c r="D56" s="1022"/>
      <c r="E56" s="1047"/>
      <c r="F56" s="1047"/>
      <c r="G56" s="1044"/>
      <c r="H56" s="1045"/>
      <c r="I56" s="1045"/>
      <c r="J56" s="1045"/>
      <c r="K56" s="1045"/>
      <c r="L56" s="1045"/>
      <c r="M56" s="1045"/>
      <c r="N56" s="1045"/>
      <c r="O56" s="1045"/>
      <c r="P56" s="1045"/>
      <c r="Q56" s="1045"/>
      <c r="R56" s="1045"/>
      <c r="S56" s="1045"/>
      <c r="T56" s="1045"/>
      <c r="U56" s="1045"/>
      <c r="V56" s="1387"/>
      <c r="W56" s="1039"/>
      <c r="X56" s="1044"/>
      <c r="Y56" s="1032"/>
      <c r="Z56" s="1034"/>
      <c r="AA56" s="1048"/>
      <c r="AB56" s="1035"/>
      <c r="AC56" s="1036"/>
    </row>
    <row r="57" spans="2:29" s="1027" customFormat="1">
      <c r="B57" s="1021"/>
      <c r="C57" s="1055"/>
      <c r="D57" s="1046">
        <v>5221000</v>
      </c>
      <c r="E57" s="1047" t="s">
        <v>3449</v>
      </c>
      <c r="F57" s="1047"/>
      <c r="G57" s="1031">
        <f ca="1">-SUMIF('Mapping FECU'!$E$9:$G$601,Pasivo!D57,'Mapping FECU'!$G$9:$G$601)</f>
        <v>47032213922</v>
      </c>
      <c r="H57" s="1031"/>
      <c r="I57" s="1031"/>
      <c r="J57" s="1031"/>
      <c r="K57" s="1031"/>
      <c r="L57" s="1031"/>
      <c r="M57" s="1031"/>
      <c r="N57" s="1031"/>
      <c r="O57" s="1031"/>
      <c r="P57" s="1031"/>
      <c r="Q57" s="1031"/>
      <c r="R57" s="1031"/>
      <c r="S57" s="1288">
        <v>-2313414618</v>
      </c>
      <c r="T57" s="1031"/>
      <c r="U57" s="1031"/>
      <c r="V57" s="1385">
        <f ca="1">SUM(G57:U57)</f>
        <v>44718799304</v>
      </c>
      <c r="W57" s="1052">
        <f t="shared" ref="W57:W59" si="26">+D57</f>
        <v>5221000</v>
      </c>
      <c r="X57" s="1031">
        <f ca="1">ROUND(+V57/1000,0)</f>
        <v>44718799</v>
      </c>
      <c r="Y57" s="1032"/>
      <c r="Z57" s="1033" t="s">
        <v>3655</v>
      </c>
      <c r="AA57" s="1048" t="e">
        <f>+#REF!</f>
        <v>#REF!</v>
      </c>
      <c r="AB57" s="1035" t="e">
        <f ca="1">IF(X57-AA57=0,"Ok","Error")</f>
        <v>#REF!</v>
      </c>
      <c r="AC57" s="1036" t="e">
        <f ca="1">+AA57-X57</f>
        <v>#REF!</v>
      </c>
    </row>
    <row r="58" spans="2:29" s="1027" customFormat="1">
      <c r="B58" s="1021"/>
      <c r="C58" s="1055"/>
      <c r="D58" s="1046"/>
      <c r="E58" s="1047"/>
      <c r="F58" s="1047"/>
      <c r="G58" s="1045"/>
      <c r="H58" s="1045"/>
      <c r="I58" s="1045"/>
      <c r="J58" s="1045"/>
      <c r="K58" s="1045"/>
      <c r="L58" s="1045"/>
      <c r="M58" s="1045"/>
      <c r="N58" s="1045"/>
      <c r="O58" s="1045"/>
      <c r="P58" s="1045"/>
      <c r="Q58" s="1045"/>
      <c r="R58" s="1045"/>
      <c r="S58" s="1045"/>
      <c r="T58" s="1045"/>
      <c r="U58" s="1045"/>
      <c r="V58" s="1387"/>
      <c r="W58" s="1026"/>
      <c r="X58" s="1044"/>
      <c r="Y58" s="1032"/>
      <c r="Z58" s="1034"/>
      <c r="AA58" s="1048"/>
      <c r="AB58" s="1035"/>
      <c r="AC58" s="1036"/>
    </row>
    <row r="59" spans="2:29" s="1027" customFormat="1">
      <c r="B59" s="1021"/>
      <c r="C59" s="1055"/>
      <c r="D59" s="1046">
        <v>5222000</v>
      </c>
      <c r="E59" s="1047" t="s">
        <v>691</v>
      </c>
      <c r="F59" s="1047"/>
      <c r="G59" s="1031">
        <f ca="1">-SUMIF('Mapping FECU'!$E$9:$G$601,Pasivo!D59,'Mapping FECU'!$G$9:$G$601)</f>
        <v>-14358581422</v>
      </c>
      <c r="H59" s="1031"/>
      <c r="I59" s="1031"/>
      <c r="J59" s="1031"/>
      <c r="K59" s="1031"/>
      <c r="L59" s="1031"/>
      <c r="M59" s="1031"/>
      <c r="N59" s="1031"/>
      <c r="O59" s="1031"/>
      <c r="P59" s="1031"/>
      <c r="Q59" s="1031"/>
      <c r="R59" s="1031"/>
      <c r="S59" s="1031">
        <v>0</v>
      </c>
      <c r="T59" s="1031"/>
      <c r="U59" s="1031">
        <v>-63257244</v>
      </c>
      <c r="V59" s="1385">
        <f ca="1">SUM(G59:U59)</f>
        <v>-14421838666</v>
      </c>
      <c r="W59" s="1052">
        <f t="shared" si="26"/>
        <v>5222000</v>
      </c>
      <c r="X59" s="1031">
        <f ca="1">ROUND(+V59/1000,0)</f>
        <v>-14421839</v>
      </c>
      <c r="Y59" s="1032"/>
      <c r="Z59" s="1033" t="s">
        <v>3655</v>
      </c>
      <c r="AA59" s="1048" t="e">
        <f>+#REF!+#REF!</f>
        <v>#REF!</v>
      </c>
      <c r="AB59" s="1035" t="e">
        <f ca="1">IF(X59-AA59=0,"Ok","Error")</f>
        <v>#REF!</v>
      </c>
      <c r="AC59" s="1036" t="e">
        <f ca="1">+AA59-X59</f>
        <v>#REF!</v>
      </c>
    </row>
    <row r="60" spans="2:29" s="1027" customFormat="1">
      <c r="B60" s="1021"/>
      <c r="C60" s="1055"/>
      <c r="D60" s="1046"/>
      <c r="E60" s="1047"/>
      <c r="F60" s="1047"/>
      <c r="G60" s="1045"/>
      <c r="H60" s="1045"/>
      <c r="I60" s="1045"/>
      <c r="J60" s="1045"/>
      <c r="K60" s="1045"/>
      <c r="L60" s="1045"/>
      <c r="M60" s="1045"/>
      <c r="N60" s="1045"/>
      <c r="O60" s="1045"/>
      <c r="P60" s="1045"/>
      <c r="Q60" s="1045"/>
      <c r="R60" s="1045"/>
      <c r="S60" s="1045"/>
      <c r="T60" s="1045"/>
      <c r="U60" s="1045"/>
      <c r="V60" s="1387"/>
      <c r="W60" s="1026"/>
      <c r="X60" s="1044"/>
      <c r="Y60" s="1032"/>
      <c r="Z60" s="1034"/>
      <c r="AA60" s="1048"/>
      <c r="AB60" s="1035"/>
      <c r="AC60" s="1149"/>
    </row>
    <row r="61" spans="2:29" s="1027" customFormat="1">
      <c r="B61" s="1021"/>
      <c r="C61" s="1047">
        <v>5223000</v>
      </c>
      <c r="D61" s="1022"/>
      <c r="E61" s="1047" t="s">
        <v>3656</v>
      </c>
      <c r="F61" s="1047"/>
      <c r="G61" s="1031">
        <f ca="1">SUM(G62:G64)</f>
        <v>107194527197</v>
      </c>
      <c r="H61" s="1031">
        <f t="shared" ref="H61:U61" si="27">SUM(H62:H64)</f>
        <v>0</v>
      </c>
      <c r="I61" s="1031">
        <f t="shared" si="27"/>
        <v>0</v>
      </c>
      <c r="J61" s="1031">
        <f t="shared" si="27"/>
        <v>0</v>
      </c>
      <c r="K61" s="1031">
        <f t="shared" si="27"/>
        <v>0</v>
      </c>
      <c r="L61" s="1031"/>
      <c r="M61" s="1031">
        <f t="shared" si="27"/>
        <v>0</v>
      </c>
      <c r="N61" s="1031">
        <f t="shared" si="27"/>
        <v>0</v>
      </c>
      <c r="O61" s="1031"/>
      <c r="P61" s="1031">
        <f t="shared" si="27"/>
        <v>0</v>
      </c>
      <c r="Q61" s="1031">
        <f t="shared" ca="1" si="27"/>
        <v>-959317886</v>
      </c>
      <c r="R61" s="1031">
        <f t="shared" si="27"/>
        <v>0</v>
      </c>
      <c r="S61" s="1031">
        <f t="shared" si="27"/>
        <v>2313414618</v>
      </c>
      <c r="T61" s="1031">
        <f t="shared" si="27"/>
        <v>-58030000</v>
      </c>
      <c r="U61" s="1031">
        <f t="shared" si="27"/>
        <v>0</v>
      </c>
      <c r="V61" s="1385">
        <f ca="1">SUM(V62:V64)</f>
        <v>108490593929</v>
      </c>
      <c r="W61" s="1026">
        <f>+C61</f>
        <v>5223000</v>
      </c>
      <c r="X61" s="1031">
        <f ca="1">+X62+X63-X64</f>
        <v>108490595</v>
      </c>
      <c r="Y61" s="1032"/>
      <c r="Z61" s="1034"/>
      <c r="AA61" s="1048"/>
      <c r="AB61" s="1035"/>
      <c r="AC61" s="1149"/>
    </row>
    <row r="62" spans="2:29" s="1027" customFormat="1">
      <c r="B62" s="1021"/>
      <c r="C62" s="1022"/>
      <c r="D62" s="1051">
        <v>5223100</v>
      </c>
      <c r="E62" s="1055" t="s">
        <v>3450</v>
      </c>
      <c r="F62" s="1055"/>
      <c r="G62" s="1045">
        <f ca="1">-SUMIF('Mapping FECU'!$E$9:$G$601,Pasivo!D62,'Mapping FECU'!$G$9:$G$601)</f>
        <v>103996800912</v>
      </c>
      <c r="H62" s="1045"/>
      <c r="I62" s="1045"/>
      <c r="J62" s="1045"/>
      <c r="K62" s="1045"/>
      <c r="L62" s="1045"/>
      <c r="M62" s="1045"/>
      <c r="N62" s="1045"/>
      <c r="O62" s="1045"/>
      <c r="P62" s="1045"/>
      <c r="Q62" s="1045"/>
      <c r="R62" s="1045"/>
      <c r="S62" s="1045">
        <f>-S57</f>
        <v>2313414618</v>
      </c>
      <c r="T62" s="1045">
        <v>-58030000</v>
      </c>
      <c r="U62" s="1045"/>
      <c r="V62" s="1388">
        <f ca="1">SUM(G62:U62)</f>
        <v>106252185530</v>
      </c>
      <c r="W62" s="1052">
        <f t="shared" ref="W62:W66" si="28">+D62</f>
        <v>5223100</v>
      </c>
      <c r="X62" s="1057">
        <f ca="1">ROUND(+V62/1000,0)</f>
        <v>106252186</v>
      </c>
      <c r="Y62" s="1032"/>
      <c r="Z62" s="1033" t="s">
        <v>3655</v>
      </c>
      <c r="AA62" s="1048" t="e">
        <f>+#REF!</f>
        <v>#REF!</v>
      </c>
      <c r="AB62" s="1035" t="e">
        <f ca="1">IF(X62-AA62=0,"Ok","Error")</f>
        <v>#REF!</v>
      </c>
      <c r="AC62" s="1124" t="e">
        <f ca="1">+AA62-X62</f>
        <v>#REF!</v>
      </c>
    </row>
    <row r="63" spans="2:29" s="1027" customFormat="1">
      <c r="B63" s="1021"/>
      <c r="C63" s="1022"/>
      <c r="D63" s="1051">
        <v>5223200</v>
      </c>
      <c r="E63" s="1055" t="s">
        <v>3657</v>
      </c>
      <c r="F63" s="1055"/>
      <c r="G63" s="1045">
        <f ca="1">+'Resultado Integral'!I101</f>
        <v>3197726285</v>
      </c>
      <c r="H63" s="1045"/>
      <c r="I63" s="1045"/>
      <c r="J63" s="1045"/>
      <c r="K63" s="1045"/>
      <c r="L63" s="1045"/>
      <c r="M63" s="1045"/>
      <c r="N63" s="1045"/>
      <c r="O63" s="1045"/>
      <c r="P63" s="1045"/>
      <c r="Q63" s="1045"/>
      <c r="R63" s="1045"/>
      <c r="S63" s="1045"/>
      <c r="T63" s="1045"/>
      <c r="U63" s="1045"/>
      <c r="V63" s="1388">
        <f ca="1">SUM(G63:U63)</f>
        <v>3197726285</v>
      </c>
      <c r="W63" s="1052">
        <f t="shared" si="28"/>
        <v>5223200</v>
      </c>
      <c r="X63" s="1044">
        <f ca="1">ROUND(+V63/1000,0)+1</f>
        <v>3197727</v>
      </c>
      <c r="Y63" s="1032"/>
      <c r="Z63" s="1033" t="s">
        <v>3655</v>
      </c>
      <c r="AA63" s="1048" t="e">
        <f>+#REF!</f>
        <v>#REF!</v>
      </c>
      <c r="AB63" s="1035" t="e">
        <f ca="1">IF(X63-AA63=0,"Ok","Error")</f>
        <v>#REF!</v>
      </c>
      <c r="AC63" s="1124" t="e">
        <f ca="1">+AA63-X63</f>
        <v>#REF!</v>
      </c>
    </row>
    <row r="64" spans="2:29" s="1027" customFormat="1">
      <c r="B64" s="1021"/>
      <c r="C64" s="1022"/>
      <c r="D64" s="1051">
        <v>5223300</v>
      </c>
      <c r="E64" s="1055" t="s">
        <v>3451</v>
      </c>
      <c r="F64" s="1055"/>
      <c r="G64" s="1045">
        <f ca="1">-SUMIF('Mapping FECU'!$E$9:$G$601,Pasivo!D64,'Mapping FECU'!$G$9:$G$601)</f>
        <v>0</v>
      </c>
      <c r="H64" s="1045"/>
      <c r="I64" s="1045"/>
      <c r="J64" s="1045"/>
      <c r="K64" s="1045"/>
      <c r="L64" s="1045"/>
      <c r="M64" s="1045"/>
      <c r="N64" s="1045"/>
      <c r="O64" s="1045"/>
      <c r="P64" s="1045"/>
      <c r="Q64" s="1045">
        <f ca="1">-I69</f>
        <v>-959317886</v>
      </c>
      <c r="R64" s="1056"/>
      <c r="S64" s="1056"/>
      <c r="T64" s="1056"/>
      <c r="U64" s="1056"/>
      <c r="V64" s="1388">
        <f ca="1">SUM(G64:U64)</f>
        <v>-959317886</v>
      </c>
      <c r="W64" s="1052">
        <f t="shared" si="28"/>
        <v>5223300</v>
      </c>
      <c r="X64" s="1044">
        <f ca="1">-ROUND(+V64/1000,0)</f>
        <v>959318</v>
      </c>
      <c r="Z64" s="1033" t="s">
        <v>3655</v>
      </c>
      <c r="AA64" s="1048" t="e">
        <f>+#REF!</f>
        <v>#REF!</v>
      </c>
      <c r="AB64" s="1035" t="e">
        <f ca="1">IF((X64+X65)-AA64=0,"Ok","Error")</f>
        <v>#REF!</v>
      </c>
      <c r="AC64" s="1124" t="e">
        <f ca="1">+AA64-X64</f>
        <v>#REF!</v>
      </c>
    </row>
    <row r="65" spans="2:29" s="1027" customFormat="1">
      <c r="B65" s="1021"/>
      <c r="C65" s="1022"/>
      <c r="D65" s="1051"/>
      <c r="E65" s="1055"/>
      <c r="F65" s="1055"/>
      <c r="G65" s="1045"/>
      <c r="H65" s="1045"/>
      <c r="I65" s="1045"/>
      <c r="J65" s="1045"/>
      <c r="K65" s="1045"/>
      <c r="L65" s="1045"/>
      <c r="M65" s="1045"/>
      <c r="N65" s="1045"/>
      <c r="O65" s="1045"/>
      <c r="P65" s="1045"/>
      <c r="Q65" s="1045"/>
      <c r="R65" s="1045"/>
      <c r="S65" s="1045"/>
      <c r="T65" s="1045"/>
      <c r="U65" s="1045"/>
      <c r="V65" s="1388"/>
      <c r="W65" s="1026"/>
      <c r="X65" s="1044"/>
      <c r="Z65" s="1034"/>
      <c r="AB65" s="1035"/>
      <c r="AC65" s="1124"/>
    </row>
    <row r="66" spans="2:29" s="1027" customFormat="1">
      <c r="B66" s="1069"/>
      <c r="C66" s="1070"/>
      <c r="D66" s="1071">
        <v>5224000</v>
      </c>
      <c r="E66" s="1072" t="s">
        <v>3658</v>
      </c>
      <c r="F66" s="1072"/>
      <c r="G66" s="1045">
        <f ca="1">-SUMIF('Mapping FECU'!$E$9:$G$601,Pasivo!D66,'Mapping FECU'!$G$9:$G$601)</f>
        <v>0</v>
      </c>
      <c r="H66" s="1045">
        <v>0</v>
      </c>
      <c r="I66" s="1045"/>
      <c r="J66" s="1045"/>
      <c r="K66" s="1045"/>
      <c r="L66" s="1045"/>
      <c r="M66" s="1045"/>
      <c r="N66" s="1045"/>
      <c r="O66" s="1045"/>
      <c r="P66" s="1045"/>
      <c r="Q66" s="1045"/>
      <c r="R66" s="1045"/>
      <c r="S66" s="1045"/>
      <c r="T66" s="1045"/>
      <c r="U66" s="1045"/>
      <c r="V66" s="1387">
        <v>0</v>
      </c>
      <c r="W66" s="1052">
        <f t="shared" si="28"/>
        <v>5224000</v>
      </c>
      <c r="X66" s="1066">
        <f>ROUND(+V66/1000,0)</f>
        <v>0</v>
      </c>
      <c r="AB66" s="1134"/>
    </row>
    <row r="67" spans="2:29" s="1027" customFormat="1" ht="15">
      <c r="B67" s="1069"/>
      <c r="C67" s="1073"/>
      <c r="D67" s="1073"/>
      <c r="E67" s="1073"/>
      <c r="F67" s="1073"/>
      <c r="G67" s="1074"/>
      <c r="H67" s="1074"/>
      <c r="I67" s="1074"/>
      <c r="J67" s="1074"/>
      <c r="K67" s="1074"/>
      <c r="L67" s="1074"/>
      <c r="M67" s="1074"/>
      <c r="N67" s="1074"/>
      <c r="O67" s="1074"/>
      <c r="P67" s="1074"/>
      <c r="Q67" s="1074"/>
      <c r="R67" s="1074"/>
      <c r="S67" s="1074"/>
      <c r="T67" s="1074"/>
      <c r="U67" s="1074"/>
      <c r="V67" s="1389"/>
      <c r="W67" s="1075"/>
      <c r="X67" s="1076"/>
    </row>
    <row r="68" spans="2:29" s="1027" customFormat="1" ht="15">
      <c r="B68" s="1077"/>
      <c r="C68" s="1077"/>
      <c r="D68" s="1077"/>
      <c r="E68" s="1077"/>
      <c r="F68" s="1077"/>
      <c r="G68" s="1078"/>
      <c r="H68" s="1078"/>
      <c r="I68" s="1078"/>
      <c r="J68" s="1078"/>
      <c r="K68" s="1078"/>
      <c r="L68" s="1078"/>
      <c r="M68" s="1078"/>
      <c r="N68" s="1078"/>
      <c r="O68" s="1078"/>
      <c r="P68" s="1078"/>
      <c r="Q68" s="1078"/>
      <c r="R68" s="1078"/>
      <c r="S68" s="1078"/>
      <c r="T68" s="1078"/>
      <c r="U68" s="1078"/>
      <c r="V68" s="1390"/>
    </row>
    <row r="69" spans="2:29">
      <c r="E69" s="1079"/>
      <c r="F69" s="1080" t="s">
        <v>3659</v>
      </c>
      <c r="G69" s="1081"/>
      <c r="H69" s="1085"/>
      <c r="I69" s="1083">
        <f ca="1">ROUND((+V63*0.3),0)</f>
        <v>959317886</v>
      </c>
      <c r="J69" s="1084" t="s">
        <v>3660</v>
      </c>
      <c r="K69" s="1082"/>
      <c r="L69" s="1082"/>
      <c r="M69" s="1082"/>
      <c r="N69" s="1081"/>
      <c r="O69" s="1081"/>
      <c r="P69" s="1082"/>
      <c r="Q69" s="1082"/>
      <c r="R69" s="1085"/>
      <c r="S69" s="1293" t="s">
        <v>3948</v>
      </c>
      <c r="T69" s="1293" t="s">
        <v>3949</v>
      </c>
      <c r="U69" s="1293"/>
      <c r="V69" s="1391">
        <f ca="1">+V55</f>
        <v>138787554567</v>
      </c>
      <c r="W69" s="916"/>
      <c r="X69" s="1167">
        <f ca="1">+V69/V70</f>
        <v>1165.6479468264349</v>
      </c>
      <c r="Y69" s="916"/>
    </row>
    <row r="70" spans="2:29" ht="15">
      <c r="F70" s="1086"/>
      <c r="G70" s="1081"/>
      <c r="H70" s="1081"/>
      <c r="I70" s="1081"/>
      <c r="J70" s="1082"/>
      <c r="K70" s="1082"/>
      <c r="L70" s="1082"/>
      <c r="M70" s="1082"/>
      <c r="N70" s="1081"/>
      <c r="O70" s="1081"/>
      <c r="P70" s="1082"/>
      <c r="Q70" s="1082"/>
      <c r="R70" s="1082"/>
      <c r="S70" s="1293"/>
      <c r="T70" s="1293"/>
      <c r="U70" s="1293"/>
      <c r="V70" s="1392">
        <v>119064727</v>
      </c>
      <c r="W70" s="916"/>
      <c r="X70" s="908"/>
      <c r="Y70" s="916"/>
    </row>
    <row r="71" spans="2:29" ht="15">
      <c r="F71" s="1086"/>
      <c r="G71" s="1081"/>
      <c r="H71" s="1085"/>
      <c r="I71" s="1165"/>
      <c r="J71" s="1082"/>
      <c r="K71" s="1183"/>
      <c r="L71" s="1165">
        <f>+$I$70*K71</f>
        <v>0</v>
      </c>
      <c r="M71" s="1082"/>
      <c r="N71" s="1082"/>
      <c r="O71" s="1082"/>
      <c r="P71" s="1082"/>
      <c r="Q71" s="1082"/>
      <c r="R71" s="1082"/>
      <c r="S71" s="1292"/>
      <c r="T71" s="1292"/>
      <c r="U71" s="1292"/>
      <c r="V71" s="1393"/>
      <c r="W71" s="916"/>
      <c r="X71" s="908"/>
      <c r="Y71" s="916"/>
    </row>
    <row r="72" spans="2:29" ht="15">
      <c r="G72" s="1081"/>
      <c r="H72" s="1085"/>
      <c r="I72" s="1165"/>
      <c r="J72" s="1082"/>
      <c r="K72" s="1183"/>
      <c r="L72" s="1165">
        <f>+$I$70*K72</f>
        <v>0</v>
      </c>
      <c r="M72" s="1082"/>
      <c r="N72" s="1082"/>
      <c r="O72" s="1082"/>
      <c r="P72" s="1082"/>
      <c r="Q72" s="1082"/>
      <c r="R72" s="1082"/>
      <c r="S72" s="1292"/>
      <c r="T72" s="1292" t="s">
        <v>3950</v>
      </c>
      <c r="U72" s="1292"/>
      <c r="V72" s="1393">
        <v>96331239</v>
      </c>
      <c r="W72" s="916"/>
      <c r="X72" s="908"/>
      <c r="Y72" s="916"/>
    </row>
    <row r="73" spans="2:29">
      <c r="E73" s="1079"/>
      <c r="F73" s="1080"/>
      <c r="G73" s="1081"/>
      <c r="H73" s="1082"/>
      <c r="I73" s="1166"/>
      <c r="J73" s="1082"/>
      <c r="K73" s="1184"/>
      <c r="L73" s="1082"/>
      <c r="M73" s="1082"/>
      <c r="N73" s="1082"/>
      <c r="O73" s="1082"/>
      <c r="P73" s="1082"/>
      <c r="Q73" s="1082"/>
      <c r="R73" s="1082"/>
      <c r="S73" s="1292"/>
      <c r="T73" s="1292" t="s">
        <v>3951</v>
      </c>
      <c r="U73" s="1292"/>
      <c r="V73" s="1393">
        <v>14172781</v>
      </c>
      <c r="W73" s="916"/>
      <c r="X73" s="908"/>
      <c r="Y73" s="916"/>
    </row>
    <row r="74" spans="2:29">
      <c r="F74" s="1086"/>
      <c r="G74" s="1082"/>
      <c r="H74" s="1082"/>
      <c r="I74" s="1082"/>
      <c r="J74" s="1082"/>
      <c r="K74" s="1082"/>
      <c r="L74" s="1082"/>
      <c r="M74" s="1082"/>
      <c r="N74" s="1082"/>
      <c r="O74" s="1082"/>
      <c r="P74" s="1082"/>
      <c r="Q74" s="1082"/>
      <c r="R74" s="1082"/>
      <c r="S74" s="1292"/>
      <c r="T74" s="1292" t="s">
        <v>3952</v>
      </c>
      <c r="U74" s="1292"/>
      <c r="V74" s="1394">
        <v>-4251834.3</v>
      </c>
      <c r="W74" s="916"/>
      <c r="X74" s="908"/>
      <c r="Y74" s="916"/>
    </row>
    <row r="75" spans="2:29">
      <c r="F75" s="1086"/>
      <c r="G75" s="1082"/>
      <c r="H75" s="1082"/>
      <c r="I75" s="1082"/>
      <c r="J75" s="1082"/>
      <c r="K75" s="1082"/>
      <c r="L75" s="1082"/>
      <c r="M75" s="1082"/>
      <c r="N75" s="1082"/>
      <c r="O75" s="1082"/>
      <c r="P75" s="1082"/>
      <c r="Q75" s="1082"/>
      <c r="R75" s="1082"/>
      <c r="S75" s="1292"/>
      <c r="T75" s="1291" t="s">
        <v>3953</v>
      </c>
      <c r="U75" s="1292"/>
      <c r="V75" s="1395">
        <v>106252185.7</v>
      </c>
      <c r="W75" s="916"/>
      <c r="X75" s="905">
        <f ca="1">+V75-X62</f>
        <v>-0.29999999701976776</v>
      </c>
      <c r="Y75" s="916"/>
    </row>
    <row r="76" spans="2:29">
      <c r="G76" s="1082"/>
      <c r="H76" s="1082"/>
      <c r="I76" s="1081"/>
      <c r="J76" s="1082"/>
      <c r="K76" s="1082"/>
      <c r="L76" s="1082"/>
      <c r="M76" s="1082"/>
      <c r="N76" s="1082"/>
      <c r="O76" s="1082"/>
      <c r="P76" s="1082"/>
      <c r="Q76" s="1082"/>
      <c r="R76" s="1082"/>
      <c r="S76" s="1289"/>
      <c r="T76" s="1289"/>
      <c r="U76" s="1289"/>
      <c r="V76" s="1393"/>
      <c r="W76" s="916"/>
      <c r="X76" s="900"/>
      <c r="Y76" s="916"/>
    </row>
    <row r="77" spans="2:29">
      <c r="E77" s="1079"/>
      <c r="F77" s="1080"/>
      <c r="G77" s="1082"/>
      <c r="H77" s="1082"/>
      <c r="I77" s="1081"/>
      <c r="J77" s="1082"/>
      <c r="K77" s="1082"/>
      <c r="L77" s="1082"/>
      <c r="M77" s="1082"/>
      <c r="N77" s="1082"/>
      <c r="O77" s="1082"/>
      <c r="P77" s="1082"/>
      <c r="Q77" s="1082"/>
      <c r="R77" s="1082"/>
      <c r="S77" s="1289"/>
      <c r="T77" s="1289" t="s">
        <v>3954</v>
      </c>
      <c r="U77" s="1289"/>
      <c r="V77" s="1393">
        <v>-13224580</v>
      </c>
      <c r="W77" s="916"/>
      <c r="X77" s="917"/>
      <c r="Y77" s="916"/>
    </row>
    <row r="78" spans="2:29" ht="15">
      <c r="F78" s="1086"/>
      <c r="G78" s="1082"/>
      <c r="H78" s="1082"/>
      <c r="I78" s="1166"/>
      <c r="J78" s="1082"/>
      <c r="K78" s="1082"/>
      <c r="L78" s="1082"/>
      <c r="M78" s="1082"/>
      <c r="N78" s="1082"/>
      <c r="O78" s="1082"/>
      <c r="P78" s="1082"/>
      <c r="Q78" s="1082"/>
      <c r="R78" s="1082"/>
      <c r="S78" s="1289"/>
      <c r="T78" s="1289" t="s">
        <v>3955</v>
      </c>
      <c r="U78" s="1289"/>
      <c r="V78" s="1393">
        <v>-1172568</v>
      </c>
      <c r="W78" s="916"/>
      <c r="X78" s="905"/>
      <c r="Y78" s="916"/>
    </row>
    <row r="79" spans="2:29" ht="15">
      <c r="F79" s="1086"/>
      <c r="G79" s="1082"/>
      <c r="H79" s="1082"/>
      <c r="I79" s="1166"/>
      <c r="J79" s="1082"/>
      <c r="K79" s="1082"/>
      <c r="L79" s="1082"/>
      <c r="M79" s="1082"/>
      <c r="N79" s="1082"/>
      <c r="O79" s="1082"/>
      <c r="P79" s="1082"/>
      <c r="Q79" s="1082"/>
      <c r="R79" s="1082"/>
      <c r="S79" s="1289"/>
      <c r="T79" s="1289" t="s">
        <v>3956</v>
      </c>
      <c r="U79" s="1289"/>
      <c r="V79" s="1391">
        <v>-24690</v>
      </c>
      <c r="W79" s="916"/>
      <c r="X79" s="916"/>
      <c r="Y79" s="916"/>
    </row>
    <row r="80" spans="2:29">
      <c r="F80" s="1086"/>
      <c r="G80" s="1082"/>
      <c r="H80" s="1082"/>
      <c r="I80" s="1082"/>
      <c r="J80" s="1082"/>
      <c r="K80" s="1082"/>
      <c r="L80" s="1082"/>
      <c r="M80" s="1082"/>
      <c r="N80" s="1082"/>
      <c r="O80" s="1082"/>
      <c r="P80" s="1082"/>
      <c r="Q80" s="1082"/>
      <c r="R80" s="1082"/>
      <c r="S80" s="1289"/>
      <c r="T80" s="1290" t="s">
        <v>3957</v>
      </c>
      <c r="U80" s="1289"/>
      <c r="V80" s="1395">
        <v>-14421838</v>
      </c>
      <c r="W80" s="916"/>
      <c r="X80" s="1167">
        <f ca="1">+V80-X59</f>
        <v>1</v>
      </c>
      <c r="Y80" s="916"/>
    </row>
    <row r="81" spans="6:25" ht="15">
      <c r="F81" s="1086"/>
      <c r="G81" s="1082"/>
      <c r="H81" s="1082"/>
      <c r="I81" s="1082"/>
      <c r="J81" s="1082"/>
      <c r="K81" s="1082"/>
      <c r="L81" s="1082"/>
      <c r="M81" s="1082"/>
      <c r="N81" s="1082"/>
      <c r="O81" s="1082"/>
      <c r="P81" s="1082"/>
      <c r="Q81" s="1082"/>
      <c r="R81" s="1082"/>
      <c r="S81" s="1082"/>
      <c r="T81" s="1082"/>
      <c r="U81" s="1082"/>
      <c r="V81" s="1393"/>
      <c r="W81" s="916"/>
      <c r="X81" s="916"/>
      <c r="Y81" s="916"/>
    </row>
    <row r="82" spans="6:25" ht="15">
      <c r="F82" s="1086"/>
      <c r="G82" s="1082"/>
      <c r="H82" s="1082"/>
      <c r="I82" s="1082"/>
      <c r="J82" s="1082"/>
      <c r="K82" s="1082"/>
      <c r="L82" s="1082"/>
      <c r="M82" s="1082"/>
      <c r="N82" s="1082"/>
      <c r="O82" s="1082"/>
      <c r="P82" s="1082"/>
      <c r="Q82" s="1082"/>
      <c r="R82" s="1082"/>
      <c r="S82" s="1082"/>
      <c r="T82" s="1082"/>
      <c r="U82" s="1082"/>
      <c r="V82" s="1396"/>
      <c r="W82" s="1001"/>
    </row>
    <row r="84" spans="6:25" ht="15">
      <c r="W84" s="1001"/>
    </row>
    <row r="85" spans="6:25" ht="15">
      <c r="W85" s="1001"/>
    </row>
  </sheetData>
  <mergeCells count="1">
    <mergeCell ref="B6:F7"/>
  </mergeCells>
  <hyperlinks>
    <hyperlink ref="Z13" location="'Nota 23'!A1" display="PASIVOS FINANCIEROS"/>
    <hyperlink ref="Z18" location="'Nota 25'!A1" display="RESERVAS RIESGO EN CURSO"/>
    <hyperlink ref="Z33" location="'Nota 26'!A1" display="DEUDAS CON ASEGURADOS"/>
    <hyperlink ref="Z42" location="'Nota 27'!A1" display="PROVISIONES"/>
    <hyperlink ref="Z47" location="'Nota 28'!A1" display="CUENTA POR PAGAR POR IMPUESTOS"/>
    <hyperlink ref="Z48" location="'Nota 21'!A1" display="EFECTO DE IMPUESTOS DIFERIDOS EN RESULTADO"/>
    <hyperlink ref="Z50" location="'Nota 28'!A1" display="DEUDAS CON INTERMEDIARIOS"/>
    <hyperlink ref="Z51" location="'Nota 28'!A1" display="DEUDAS CON EL PERSONAL"/>
    <hyperlink ref="Z52" location="'Nota 28'!A1" display="INGRESOS ANTICIPADOS"/>
    <hyperlink ref="Z53" location="'Nota 28'!A1" display="OTROS PASIVOS NO FINANCIEROS"/>
    <hyperlink ref="Z55" location="ECPat!A1" display="Estado de Cambios en el Patrimonio"/>
    <hyperlink ref="Z57" location="ECPat!A1" display="Estado de Cambios en el Patrimonio"/>
    <hyperlink ref="Z59" location="ECPat!A1" display="Estado de Cambios en el Patrimonio"/>
    <hyperlink ref="Z62" location="ECPat!A1" display="Estado de Cambios en el Patrimonio"/>
    <hyperlink ref="Z63" location="ECPat!A1" display="Estado de Cambios en el Patrimonio"/>
    <hyperlink ref="Z49" location="'Nota 49'!A1" display="SALDOS CON RELACIONADOS"/>
    <hyperlink ref="Z64" location="ECPat!A1" display="Estado de Cambios en el Patrimonio"/>
    <hyperlink ref="Z34" location="'Nota 26'!A1" display="DEUDAS CON ASEGURADOS"/>
    <hyperlink ref="Z35" location="'Nota 26'!A1" display="DEUDAS CON ASEGURADOS"/>
    <hyperlink ref="Z19" location="'Nota 19'!A1" display="PARTICIPACIÓN DEL REASEGURADOR EN LAS RESERVAS TÉCNICAS (ACTIVO) Y RESERVAS TÉCNICAS (PASIVO)"/>
    <hyperlink ref="Z20:Z29" location="'Nota 19'!A1" display="PARTICIPACIÓN DEL REASEGURADOR EN LAS RESERVAS TÉCNICAS (ACTIVO) Y RESERVAS TÉCNICAS (PASIVO)"/>
  </hyperlinks>
  <printOptions horizontalCentered="1"/>
  <pageMargins left="0.35433070866141736" right="0.15748031496062992" top="0.43307086614173229" bottom="0.43307086614173229" header="0.31496062992125984" footer="0.31496062992125984"/>
  <pageSetup scale="21" orientation="portrait" r:id="rId1"/>
  <drawing r:id="rId2"/>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J231"/>
  <sheetViews>
    <sheetView showGridLines="0" zoomScale="80" zoomScaleNormal="80" zoomScaleSheetLayoutView="90" workbookViewId="0">
      <pane xSplit="9" ySplit="7" topLeftCell="Z8" activePane="bottomRight" state="frozen"/>
      <selection activeCell="G3" sqref="G3"/>
      <selection pane="topRight" activeCell="G3" sqref="G3"/>
      <selection pane="bottomLeft" activeCell="G3" sqref="G3"/>
      <selection pane="bottomRight" activeCell="AD20" sqref="AD20"/>
    </sheetView>
  </sheetViews>
  <sheetFormatPr baseColWidth="10" defaultRowHeight="12.75" outlineLevelCol="1"/>
  <cols>
    <col min="1" max="1" width="3" style="920" customWidth="1"/>
    <col min="2" max="2" width="9.85546875" style="920" customWidth="1"/>
    <col min="3" max="3" width="10.28515625" style="920" bestFit="1" customWidth="1"/>
    <col min="4" max="8" width="11.42578125" style="920"/>
    <col min="9" max="9" width="28.28515625" style="920" customWidth="1"/>
    <col min="10" max="10" width="17.140625" style="920" customWidth="1" outlineLevel="1"/>
    <col min="11" max="12" width="19.28515625" style="920" customWidth="1" outlineLevel="1"/>
    <col min="13" max="13" width="24" style="920" customWidth="1" outlineLevel="1"/>
    <col min="14" max="14" width="15" style="920" customWidth="1" outlineLevel="1"/>
    <col min="15" max="18" width="18" style="920" customWidth="1" outlineLevel="1"/>
    <col min="19" max="19" width="16.42578125" style="920" customWidth="1" outlineLevel="1"/>
    <col min="20" max="20" width="16.5703125" style="920" customWidth="1" outlineLevel="1"/>
    <col min="21" max="21" width="15" style="920" customWidth="1" outlineLevel="1"/>
    <col min="22" max="22" width="17.85546875" style="920" customWidth="1" outlineLevel="1"/>
    <col min="23" max="23" width="15.28515625" style="920" customWidth="1" outlineLevel="1"/>
    <col min="24" max="24" width="16.42578125" style="920" customWidth="1" outlineLevel="1"/>
    <col min="25" max="25" width="19.140625" style="920" customWidth="1"/>
    <col min="26" max="26" width="1.7109375" style="922" customWidth="1"/>
    <col min="27" max="27" width="15.140625" style="999" bestFit="1" customWidth="1"/>
    <col min="28" max="28" width="12.85546875" style="920" customWidth="1"/>
    <col min="29" max="29" width="35.85546875" style="920" customWidth="1"/>
    <col min="30" max="30" width="18" style="920" customWidth="1"/>
    <col min="31" max="31" width="14.140625" style="920" customWidth="1"/>
    <col min="32" max="32" width="16" style="920" customWidth="1"/>
    <col min="33" max="33" width="11.42578125" style="920"/>
    <col min="34" max="34" width="15" style="920" bestFit="1" customWidth="1"/>
    <col min="35" max="16384" width="11.42578125" style="920"/>
  </cols>
  <sheetData>
    <row r="1" spans="1:32">
      <c r="AA1" s="991"/>
      <c r="AD1" s="1170">
        <v>190511255</v>
      </c>
    </row>
    <row r="2" spans="1:32">
      <c r="L2" s="1170"/>
      <c r="AA2" s="991"/>
      <c r="AD2" s="1170">
        <v>18747613</v>
      </c>
    </row>
    <row r="3" spans="1:32" ht="19.5">
      <c r="D3" s="986" t="s">
        <v>2791</v>
      </c>
      <c r="L3" s="1170"/>
      <c r="AA3" s="991"/>
    </row>
    <row r="4" spans="1:32">
      <c r="L4" s="1170"/>
      <c r="AA4" s="991"/>
    </row>
    <row r="6" spans="1:32" ht="15" customHeight="1">
      <c r="A6" s="921"/>
      <c r="B6" s="1788" t="s">
        <v>3661</v>
      </c>
      <c r="C6" s="1789"/>
      <c r="D6" s="1789"/>
      <c r="E6" s="1789"/>
      <c r="F6" s="1789"/>
      <c r="G6" s="1789"/>
      <c r="H6" s="1789"/>
      <c r="I6" s="957"/>
      <c r="J6" s="957"/>
      <c r="K6" s="957"/>
      <c r="L6" s="957"/>
      <c r="M6" s="957"/>
      <c r="N6" s="957"/>
      <c r="O6" s="1287"/>
      <c r="P6" s="1171"/>
      <c r="Q6" s="1171"/>
      <c r="R6" s="1792" t="s">
        <v>3662</v>
      </c>
      <c r="S6" s="957"/>
      <c r="T6" s="1792" t="s">
        <v>3663</v>
      </c>
      <c r="U6" s="957"/>
      <c r="V6" s="957"/>
      <c r="W6" s="957"/>
      <c r="X6" s="957"/>
      <c r="Y6" s="936" t="s">
        <v>2795</v>
      </c>
      <c r="AA6" s="936" t="s">
        <v>3534</v>
      </c>
      <c r="AC6" s="956" t="s">
        <v>3608</v>
      </c>
      <c r="AD6" s="983">
        <f ca="1">+Pasivo!X63-AA101</f>
        <v>0</v>
      </c>
    </row>
    <row r="7" spans="1:32" ht="38.25">
      <c r="B7" s="1790"/>
      <c r="C7" s="1791"/>
      <c r="D7" s="1791"/>
      <c r="E7" s="1791"/>
      <c r="F7" s="1791"/>
      <c r="G7" s="1791"/>
      <c r="H7" s="1791"/>
      <c r="I7" s="953">
        <f>+Activo!H7</f>
        <v>43190</v>
      </c>
      <c r="J7" s="951" t="s">
        <v>3664</v>
      </c>
      <c r="K7" s="951" t="s">
        <v>3665</v>
      </c>
      <c r="L7" s="951" t="s">
        <v>3666</v>
      </c>
      <c r="M7" s="951" t="s">
        <v>3667</v>
      </c>
      <c r="N7" s="951" t="s">
        <v>3668</v>
      </c>
      <c r="O7" s="1286" t="s">
        <v>3946</v>
      </c>
      <c r="P7" s="951" t="s">
        <v>3669</v>
      </c>
      <c r="Q7" s="951" t="s">
        <v>3670</v>
      </c>
      <c r="R7" s="1793"/>
      <c r="S7" s="951" t="s">
        <v>3671</v>
      </c>
      <c r="T7" s="1793"/>
      <c r="U7" s="951" t="s">
        <v>3672</v>
      </c>
      <c r="V7" s="951" t="s">
        <v>3673</v>
      </c>
      <c r="W7" s="1000" t="s">
        <v>3674</v>
      </c>
      <c r="X7" s="1000" t="s">
        <v>3675</v>
      </c>
      <c r="Y7" s="953">
        <f>+I7</f>
        <v>43190</v>
      </c>
      <c r="AA7" s="953">
        <f>+Y7</f>
        <v>43190</v>
      </c>
    </row>
    <row r="8" spans="1:32" s="921" customFormat="1">
      <c r="B8" s="958"/>
      <c r="C8" s="945"/>
      <c r="D8" s="945"/>
      <c r="E8" s="945"/>
      <c r="F8" s="945"/>
      <c r="G8" s="945"/>
      <c r="H8" s="945"/>
      <c r="I8" s="959"/>
      <c r="J8" s="960"/>
      <c r="K8" s="960"/>
      <c r="L8" s="960"/>
      <c r="M8" s="960"/>
      <c r="N8" s="960"/>
      <c r="O8" s="960"/>
      <c r="P8" s="960"/>
      <c r="Q8" s="960"/>
      <c r="R8" s="960"/>
      <c r="S8" s="960"/>
      <c r="T8" s="960"/>
      <c r="U8" s="960"/>
      <c r="V8" s="960"/>
      <c r="W8" s="960"/>
      <c r="X8" s="960"/>
      <c r="Y8" s="961"/>
      <c r="Z8" s="929"/>
      <c r="AA8" s="992"/>
    </row>
    <row r="9" spans="1:32" s="921" customFormat="1">
      <c r="B9" s="942"/>
      <c r="C9" s="945"/>
      <c r="D9" s="945"/>
      <c r="E9" s="945"/>
      <c r="F9" s="945"/>
      <c r="G9" s="945"/>
      <c r="H9" s="945"/>
      <c r="I9" s="962"/>
      <c r="J9" s="963"/>
      <c r="K9" s="963"/>
      <c r="L9" s="963"/>
      <c r="M9" s="963"/>
      <c r="N9" s="963"/>
      <c r="O9" s="963"/>
      <c r="P9" s="963"/>
      <c r="Q9" s="963"/>
      <c r="R9" s="963"/>
      <c r="S9" s="963"/>
      <c r="T9" s="963"/>
      <c r="U9" s="963"/>
      <c r="V9" s="963"/>
      <c r="W9" s="963"/>
      <c r="X9" s="963"/>
      <c r="Y9" s="964"/>
      <c r="Z9" s="929"/>
      <c r="AA9" s="993"/>
      <c r="AC9" s="928" t="s">
        <v>3549</v>
      </c>
      <c r="AD9" s="965" t="s">
        <v>3534</v>
      </c>
      <c r="AE9" s="928" t="s">
        <v>3550</v>
      </c>
      <c r="AF9" s="966" t="s">
        <v>3551</v>
      </c>
    </row>
    <row r="10" spans="1:32" s="967" customFormat="1">
      <c r="B10" s="1140">
        <v>5311000</v>
      </c>
      <c r="C10" s="1794" t="s">
        <v>3676</v>
      </c>
      <c r="D10" s="1794"/>
      <c r="E10" s="1794"/>
      <c r="F10" s="1794"/>
      <c r="G10" s="1794"/>
      <c r="H10" s="1794"/>
      <c r="I10" s="1141">
        <f ca="1">+I12+I17+I25+I30+I35+I41+I43+I45</f>
        <v>-7013912485</v>
      </c>
      <c r="J10" s="1141">
        <f>+J12+J17+J25+J30+J35+J41+J43+J45</f>
        <v>0</v>
      </c>
      <c r="K10" s="1141">
        <f t="shared" ref="K10:M10" si="0">+K12+K17+K25+K30+K35+K41+K43+K45</f>
        <v>0</v>
      </c>
      <c r="L10" s="1141">
        <f t="shared" si="0"/>
        <v>0</v>
      </c>
      <c r="M10" s="1141">
        <f t="shared" si="0"/>
        <v>0</v>
      </c>
      <c r="N10" s="1141">
        <f t="shared" ref="N10:X10" si="1">+N12+N17+N25+N30+N35+N41+N43+N45</f>
        <v>0</v>
      </c>
      <c r="O10" s="1141">
        <f t="shared" si="1"/>
        <v>0</v>
      </c>
      <c r="P10" s="1141">
        <f t="shared" si="1"/>
        <v>0</v>
      </c>
      <c r="Q10" s="1141">
        <f t="shared" si="1"/>
        <v>-39628000</v>
      </c>
      <c r="R10" s="1141">
        <f t="shared" si="1"/>
        <v>0</v>
      </c>
      <c r="S10" s="1141">
        <f t="shared" si="1"/>
        <v>0</v>
      </c>
      <c r="T10" s="1141">
        <f t="shared" si="1"/>
        <v>0</v>
      </c>
      <c r="U10" s="1141">
        <f t="shared" si="1"/>
        <v>0</v>
      </c>
      <c r="V10" s="1141">
        <f t="shared" si="1"/>
        <v>1000</v>
      </c>
      <c r="W10" s="1141">
        <f>+W12+W17+W25+W30+W35+W41+W43+W45</f>
        <v>1000</v>
      </c>
      <c r="X10" s="1141">
        <f t="shared" si="1"/>
        <v>4000</v>
      </c>
      <c r="Y10" s="1141">
        <f ca="1">+Y12+Y17+Y25+Y30+Y35+Y41+Y43+Y45</f>
        <v>-7053534485</v>
      </c>
      <c r="Z10" s="935"/>
      <c r="AA10" s="1141">
        <f ca="1">+AA12-+AA17-+AA25-+AA30-+AA35-+AA41-+AA43-+AA45</f>
        <v>-7053534</v>
      </c>
      <c r="AB10" s="932"/>
    </row>
    <row r="11" spans="1:32" s="967" customFormat="1">
      <c r="B11" s="981"/>
      <c r="C11" s="978"/>
      <c r="D11" s="978"/>
      <c r="E11" s="978"/>
      <c r="F11" s="978"/>
      <c r="G11" s="978"/>
      <c r="H11" s="978"/>
      <c r="I11" s="1139" t="s">
        <v>870</v>
      </c>
      <c r="J11" s="1139"/>
      <c r="K11" s="1139"/>
      <c r="L11" s="1139"/>
      <c r="M11" s="1139"/>
      <c r="N11" s="1139"/>
      <c r="O11" s="1139"/>
      <c r="P11" s="1139"/>
      <c r="Q11" s="1139"/>
      <c r="R11" s="1139"/>
      <c r="S11" s="1139"/>
      <c r="T11" s="1139"/>
      <c r="U11" s="1139"/>
      <c r="V11" s="1139"/>
      <c r="W11" s="1139"/>
      <c r="X11" s="1139"/>
      <c r="Y11" s="1139"/>
      <c r="Z11" s="1143"/>
      <c r="AA11" s="1139"/>
    </row>
    <row r="12" spans="1:32" s="921" customFormat="1">
      <c r="B12" s="958">
        <v>5311100</v>
      </c>
      <c r="C12" s="1795" t="s">
        <v>3677</v>
      </c>
      <c r="D12" s="1795"/>
      <c r="E12" s="1795"/>
      <c r="F12" s="1795"/>
      <c r="G12" s="1795"/>
      <c r="H12" s="1795"/>
      <c r="I12" s="1147">
        <f ca="1">SUM(I13:I15)</f>
        <v>97695983656</v>
      </c>
      <c r="J12" s="1144">
        <f>SUM(J13:J15)</f>
        <v>0</v>
      </c>
      <c r="K12" s="1144">
        <f t="shared" ref="K12:X12" si="2">SUM(K13:K15)</f>
        <v>0</v>
      </c>
      <c r="L12" s="1144"/>
      <c r="M12" s="1144">
        <f t="shared" si="2"/>
        <v>0</v>
      </c>
      <c r="N12" s="1144">
        <f t="shared" si="2"/>
        <v>0</v>
      </c>
      <c r="O12" s="1144">
        <f t="shared" si="2"/>
        <v>0</v>
      </c>
      <c r="P12" s="1144">
        <f t="shared" si="2"/>
        <v>0</v>
      </c>
      <c r="Q12" s="1144">
        <f t="shared" si="2"/>
        <v>0</v>
      </c>
      <c r="R12" s="1144">
        <f t="shared" si="2"/>
        <v>287955000</v>
      </c>
      <c r="S12" s="1144">
        <f t="shared" si="2"/>
        <v>0</v>
      </c>
      <c r="T12" s="1144">
        <f t="shared" si="2"/>
        <v>0</v>
      </c>
      <c r="U12" s="1144">
        <f t="shared" si="2"/>
        <v>0</v>
      </c>
      <c r="V12" s="1144">
        <f t="shared" si="2"/>
        <v>0</v>
      </c>
      <c r="W12" s="1144">
        <f t="shared" si="2"/>
        <v>0</v>
      </c>
      <c r="X12" s="1144">
        <f t="shared" si="2"/>
        <v>3000</v>
      </c>
      <c r="Y12" s="1144">
        <f ca="1">SUM(Y13:Y15)</f>
        <v>97983941656</v>
      </c>
      <c r="Z12" s="1145"/>
      <c r="AA12" s="1144">
        <f ca="1">+AA13+AA14-AA15</f>
        <v>97983942</v>
      </c>
      <c r="AB12" s="1180"/>
    </row>
    <row r="13" spans="1:32" s="921" customFormat="1">
      <c r="B13" s="942"/>
      <c r="C13" s="945">
        <v>5311110</v>
      </c>
      <c r="D13" s="1787" t="s">
        <v>3452</v>
      </c>
      <c r="E13" s="1787"/>
      <c r="F13" s="1787"/>
      <c r="G13" s="1787"/>
      <c r="H13" s="1787"/>
      <c r="I13" s="1135">
        <f ca="1">-SUMIF('Mapping FECU'!$E$9:$G$601,'Resultado Integral'!C13,'Mapping FECU'!$G$9:$G$601)</f>
        <v>118692671145</v>
      </c>
      <c r="J13" s="1146"/>
      <c r="K13" s="1146"/>
      <c r="L13" s="1146"/>
      <c r="M13" s="1146"/>
      <c r="N13" s="1146"/>
      <c r="O13" s="1146"/>
      <c r="P13" s="1146"/>
      <c r="Q13" s="1146"/>
      <c r="R13" s="1146"/>
      <c r="S13" s="1146"/>
      <c r="T13" s="1146"/>
      <c r="U13" s="1146"/>
      <c r="V13" s="1146"/>
      <c r="W13" s="1146"/>
      <c r="X13" s="1146">
        <v>3000</v>
      </c>
      <c r="Y13" s="1146">
        <f ca="1">SUM(I13:X13)</f>
        <v>118692674145</v>
      </c>
      <c r="Z13" s="1145">
        <v>5311110</v>
      </c>
      <c r="AA13" s="1146">
        <f ca="1">ROUND(Y13/1000,0)</f>
        <v>118692674</v>
      </c>
      <c r="AB13" s="1180"/>
    </row>
    <row r="14" spans="1:32" s="921" customFormat="1">
      <c r="B14" s="942"/>
      <c r="C14" s="945">
        <v>5311120</v>
      </c>
      <c r="D14" s="1787" t="s">
        <v>3678</v>
      </c>
      <c r="E14" s="1787"/>
      <c r="F14" s="1787"/>
      <c r="G14" s="1787"/>
      <c r="H14" s="1787"/>
      <c r="I14" s="1135">
        <f ca="1">-SUMIF('Mapping FECU'!$E$9:$G$601,'Resultado Integral'!C14,'Mapping FECU'!$G$9:$G$601)</f>
        <v>0</v>
      </c>
      <c r="J14" s="1146"/>
      <c r="K14" s="1146"/>
      <c r="L14" s="1146"/>
      <c r="M14" s="1146"/>
      <c r="N14" s="1146"/>
      <c r="O14" s="1146"/>
      <c r="P14" s="1146"/>
      <c r="Q14" s="1146"/>
      <c r="R14" s="1146"/>
      <c r="S14" s="1146"/>
      <c r="T14" s="1146"/>
      <c r="U14" s="1146"/>
      <c r="V14" s="1146"/>
      <c r="W14" s="1146"/>
      <c r="X14" s="1146"/>
      <c r="Y14" s="1146">
        <f ca="1">SUM(I14:V14)</f>
        <v>0</v>
      </c>
      <c r="Z14" s="1145">
        <v>5311120</v>
      </c>
      <c r="AA14" s="1146">
        <f ca="1">ROUND(Y14/1000,0)</f>
        <v>0</v>
      </c>
    </row>
    <row r="15" spans="1:32" s="921" customFormat="1" ht="15">
      <c r="B15" s="948"/>
      <c r="C15" s="949">
        <v>5311130</v>
      </c>
      <c r="D15" s="1796" t="s">
        <v>3453</v>
      </c>
      <c r="E15" s="1796"/>
      <c r="F15" s="1796"/>
      <c r="G15" s="1796"/>
      <c r="H15" s="1796"/>
      <c r="I15" s="1135">
        <f ca="1">-SUMIF('Mapping FECU'!$E$9:$G$601,'Resultado Integral'!C15,'Mapping FECU'!$G$9:$G$601)</f>
        <v>-20996687489</v>
      </c>
      <c r="J15" s="1146"/>
      <c r="K15" s="1146"/>
      <c r="L15" s="1146"/>
      <c r="M15" s="1146"/>
      <c r="N15" s="1146"/>
      <c r="O15" s="1146"/>
      <c r="P15" s="1146"/>
      <c r="Q15" s="1146"/>
      <c r="R15" s="1248">
        <v>287955000</v>
      </c>
      <c r="S15" s="1146"/>
      <c r="T15" s="1146"/>
      <c r="U15" s="1146"/>
      <c r="V15" s="1146"/>
      <c r="W15" s="1146"/>
      <c r="X15" s="1146"/>
      <c r="Y15" s="1146">
        <f ca="1">SUM(I15:X15)</f>
        <v>-20708732489</v>
      </c>
      <c r="Z15" s="1145">
        <v>5311130</v>
      </c>
      <c r="AA15" s="946">
        <f ca="1">-ROUND(Y15/1000,0)</f>
        <v>20708732</v>
      </c>
      <c r="AB15" s="928">
        <v>30</v>
      </c>
      <c r="AC15" s="1246" t="s">
        <v>3679</v>
      </c>
      <c r="AD15" s="930">
        <f>+'Nota 30'!J111</f>
        <v>20708732</v>
      </c>
      <c r="AE15" s="929" t="str">
        <f ca="1">IF(AA15-AD15=0,"Ok","Error")</f>
        <v>Ok</v>
      </c>
      <c r="AF15" s="926">
        <f ca="1">+ROUND(+AD15-AA15,0)</f>
        <v>0</v>
      </c>
    </row>
    <row r="16" spans="1:32" s="921" customFormat="1" ht="15">
      <c r="B16" s="942"/>
      <c r="C16" s="945"/>
      <c r="D16" s="938"/>
      <c r="E16" s="938"/>
      <c r="F16" s="938"/>
      <c r="G16" s="938"/>
      <c r="H16" s="938"/>
      <c r="I16" s="1142"/>
      <c r="J16" s="1142"/>
      <c r="K16" s="1142"/>
      <c r="L16" s="1142"/>
      <c r="M16" s="1142"/>
      <c r="N16" s="1142"/>
      <c r="O16" s="1142"/>
      <c r="P16" s="1142"/>
      <c r="Q16" s="1142"/>
      <c r="R16" s="1142"/>
      <c r="S16" s="1142"/>
      <c r="T16" s="1142"/>
      <c r="U16" s="1142"/>
      <c r="V16" s="1142"/>
      <c r="W16" s="1142"/>
      <c r="X16" s="1142"/>
      <c r="Y16" s="1142"/>
      <c r="Z16" s="929"/>
      <c r="AA16" s="1142"/>
      <c r="AB16" s="928"/>
      <c r="AC16" s="943"/>
      <c r="AD16" s="930"/>
      <c r="AE16" s="929"/>
      <c r="AF16" s="926"/>
    </row>
    <row r="17" spans="2:32" s="921" customFormat="1">
      <c r="B17" s="958">
        <v>5311200</v>
      </c>
      <c r="C17" s="1795" t="s">
        <v>3680</v>
      </c>
      <c r="D17" s="1795"/>
      <c r="E17" s="1795"/>
      <c r="F17" s="1795"/>
      <c r="G17" s="1795"/>
      <c r="H17" s="1795"/>
      <c r="I17" s="934">
        <f ca="1">SUM(I18:I23)</f>
        <v>1912282354</v>
      </c>
      <c r="J17" s="934">
        <f>SUM(J18:J23)</f>
        <v>-760295354</v>
      </c>
      <c r="K17" s="934">
        <f t="shared" ref="K17:X17" si="3">SUM(K18:K23)</f>
        <v>0</v>
      </c>
      <c r="L17" s="934"/>
      <c r="M17" s="934">
        <f t="shared" si="3"/>
        <v>0</v>
      </c>
      <c r="N17" s="934">
        <f t="shared" si="3"/>
        <v>0</v>
      </c>
      <c r="O17" s="934">
        <f t="shared" si="3"/>
        <v>0</v>
      </c>
      <c r="P17" s="934">
        <f t="shared" si="3"/>
        <v>0</v>
      </c>
      <c r="Q17" s="934">
        <f t="shared" si="3"/>
        <v>0</v>
      </c>
      <c r="R17" s="934">
        <f t="shared" si="3"/>
        <v>0</v>
      </c>
      <c r="S17" s="934">
        <f t="shared" si="3"/>
        <v>0</v>
      </c>
      <c r="T17" s="934">
        <f t="shared" si="3"/>
        <v>0</v>
      </c>
      <c r="U17" s="934">
        <f t="shared" si="3"/>
        <v>0</v>
      </c>
      <c r="V17" s="934">
        <f t="shared" si="3"/>
        <v>0</v>
      </c>
      <c r="W17" s="934">
        <f t="shared" si="3"/>
        <v>0</v>
      </c>
      <c r="X17" s="934">
        <f t="shared" si="3"/>
        <v>1000</v>
      </c>
      <c r="Y17" s="934">
        <f ca="1">SUM(Y18:Y23)</f>
        <v>1151988000</v>
      </c>
      <c r="Z17" s="929"/>
      <c r="AA17" s="934">
        <f ca="1">SUM(AA18:AA23)</f>
        <v>-1151988</v>
      </c>
      <c r="AB17" s="928"/>
      <c r="AC17" s="925"/>
      <c r="AD17" s="930"/>
      <c r="AE17" s="925"/>
      <c r="AF17" s="1150"/>
    </row>
    <row r="18" spans="2:32" s="921" customFormat="1" ht="15">
      <c r="B18" s="942"/>
      <c r="C18" s="945">
        <v>5311210</v>
      </c>
      <c r="D18" s="1787" t="s">
        <v>3456</v>
      </c>
      <c r="E18" s="1787"/>
      <c r="F18" s="1787"/>
      <c r="G18" s="1787"/>
      <c r="H18" s="1787"/>
      <c r="I18" s="1135">
        <f ca="1">-SUMIF('Mapping FECU'!$E$9:$G$601,'Resultado Integral'!C18,'Mapping FECU'!$G$9:$G$601)</f>
        <v>-640981546</v>
      </c>
      <c r="J18" s="1284">
        <v>-68946454</v>
      </c>
      <c r="K18" s="946"/>
      <c r="L18" s="946"/>
      <c r="M18" s="946"/>
      <c r="N18" s="946"/>
      <c r="O18" s="946"/>
      <c r="P18" s="946"/>
      <c r="Q18" s="946"/>
      <c r="R18" s="946"/>
      <c r="S18" s="946"/>
      <c r="T18" s="946"/>
      <c r="U18" s="946"/>
      <c r="V18" s="946"/>
      <c r="W18" s="946"/>
      <c r="X18" s="946"/>
      <c r="Y18" s="946">
        <f ca="1">SUM(I18:X18)</f>
        <v>-709928000</v>
      </c>
      <c r="Z18" s="1145">
        <v>5311210</v>
      </c>
      <c r="AA18" s="946">
        <f t="shared" ref="AA18:AA23" ca="1" si="4">-ROUND(Y18/1000,0)</f>
        <v>709928</v>
      </c>
      <c r="AB18" s="928">
        <v>31</v>
      </c>
      <c r="AC18" s="943" t="s">
        <v>3681</v>
      </c>
      <c r="AD18" s="930">
        <f>+'Nota 31'!H7</f>
        <v>709928</v>
      </c>
      <c r="AE18" s="929" t="str">
        <f t="shared" ref="AE18:AE23" ca="1" si="5">IF(AA18-AD18=0,"Ok","Error")</f>
        <v>Ok</v>
      </c>
      <c r="AF18" s="926">
        <f ca="1">ROUND(+AD18-AA18,0)</f>
        <v>0</v>
      </c>
    </row>
    <row r="19" spans="2:32" s="921" customFormat="1" ht="15">
      <c r="B19" s="942"/>
      <c r="C19" s="945">
        <v>5311220</v>
      </c>
      <c r="D19" s="1787" t="s">
        <v>3465</v>
      </c>
      <c r="E19" s="1787"/>
      <c r="F19" s="1787"/>
      <c r="G19" s="1787"/>
      <c r="H19" s="1787"/>
      <c r="I19" s="1135">
        <f ca="1">-SUMIF('Mapping FECU'!$E$9:$G$601,'Resultado Integral'!C19,'Mapping FECU'!$G$9:$G$601)</f>
        <v>336147207</v>
      </c>
      <c r="J19" s="1283">
        <v>-217571207</v>
      </c>
      <c r="K19" s="946"/>
      <c r="L19" s="946"/>
      <c r="M19" s="946"/>
      <c r="N19" s="946"/>
      <c r="O19" s="946"/>
      <c r="P19" s="946"/>
      <c r="Q19" s="946"/>
      <c r="R19" s="946"/>
      <c r="S19" s="946"/>
      <c r="T19" s="946"/>
      <c r="U19" s="946"/>
      <c r="V19" s="946"/>
      <c r="W19" s="946"/>
      <c r="X19" s="946"/>
      <c r="Y19" s="946">
        <f ca="1">SUM(I19:X19)</f>
        <v>118576000</v>
      </c>
      <c r="Z19" s="1145">
        <v>5311220</v>
      </c>
      <c r="AA19" s="946">
        <f t="shared" ca="1" si="4"/>
        <v>-118576</v>
      </c>
      <c r="AB19" s="928">
        <v>31</v>
      </c>
      <c r="AC19" s="943" t="s">
        <v>3681</v>
      </c>
      <c r="AD19" s="930">
        <f>+'Nota 31'!H8</f>
        <v>-118576</v>
      </c>
      <c r="AE19" s="929" t="str">
        <f t="shared" ca="1" si="5"/>
        <v>Ok</v>
      </c>
      <c r="AF19" s="926">
        <f ca="1">+ROUND(AD19-AA19,0)</f>
        <v>0</v>
      </c>
    </row>
    <row r="20" spans="2:32" s="921" customFormat="1" ht="15">
      <c r="B20" s="942"/>
      <c r="C20" s="945">
        <v>5311230</v>
      </c>
      <c r="D20" s="1787" t="s">
        <v>3466</v>
      </c>
      <c r="E20" s="1787"/>
      <c r="F20" s="1787"/>
      <c r="G20" s="1787"/>
      <c r="H20" s="1787"/>
      <c r="I20" s="1135">
        <f ca="1">-SUMIF('Mapping FECU'!$E$9:$G$601,'Resultado Integral'!C20,'Mapping FECU'!$G$9:$G$601)</f>
        <v>1665633815</v>
      </c>
      <c r="J20" s="1285">
        <v>-467582815</v>
      </c>
      <c r="K20" s="946"/>
      <c r="L20" s="946"/>
      <c r="M20" s="946"/>
      <c r="N20" s="946"/>
      <c r="O20" s="946"/>
      <c r="P20" s="946"/>
      <c r="Q20" s="946"/>
      <c r="R20" s="946"/>
      <c r="S20" s="946"/>
      <c r="T20" s="946"/>
      <c r="U20" s="946"/>
      <c r="V20" s="946"/>
      <c r="W20" s="946"/>
      <c r="X20" s="946"/>
      <c r="Y20" s="946">
        <f ca="1">SUM(I20:X20)</f>
        <v>1198051000</v>
      </c>
      <c r="Z20" s="1145">
        <v>5311230</v>
      </c>
      <c r="AA20" s="946">
        <f t="shared" ca="1" si="4"/>
        <v>-1198051</v>
      </c>
      <c r="AB20" s="928">
        <v>31</v>
      </c>
      <c r="AC20" s="943" t="s">
        <v>3681</v>
      </c>
      <c r="AD20" s="930">
        <f>+'Nota 31'!H9</f>
        <v>-1198051</v>
      </c>
      <c r="AE20" s="929" t="str">
        <f t="shared" ca="1" si="5"/>
        <v>Ok</v>
      </c>
      <c r="AF20" s="926">
        <f ca="1">+ROUND(AD20-AA20,0)</f>
        <v>0</v>
      </c>
    </row>
    <row r="21" spans="2:32" s="921" customFormat="1" ht="15">
      <c r="B21" s="942"/>
      <c r="C21" s="945">
        <v>5311240</v>
      </c>
      <c r="D21" s="1787" t="s">
        <v>3682</v>
      </c>
      <c r="E21" s="1787"/>
      <c r="F21" s="1787"/>
      <c r="G21" s="1787"/>
      <c r="H21" s="1787"/>
      <c r="I21" s="1135">
        <f ca="1">-SUMIF('Mapping FECU'!$E$9:$G$601,'Resultado Integral'!C21,'Mapping FECU'!$G$9:$G$601)</f>
        <v>0</v>
      </c>
      <c r="J21" s="1283"/>
      <c r="K21" s="946"/>
      <c r="L21" s="946"/>
      <c r="M21" s="946"/>
      <c r="N21" s="946"/>
      <c r="O21" s="946"/>
      <c r="P21" s="946"/>
      <c r="Q21" s="946"/>
      <c r="R21" s="946"/>
      <c r="S21" s="946"/>
      <c r="T21" s="946"/>
      <c r="U21" s="946"/>
      <c r="V21" s="946"/>
      <c r="W21" s="946"/>
      <c r="X21" s="946"/>
      <c r="Y21" s="946">
        <f ca="1">SUM(I21:V21)</f>
        <v>0</v>
      </c>
      <c r="Z21" s="1145">
        <v>5311240</v>
      </c>
      <c r="AA21" s="946">
        <f t="shared" ca="1" si="4"/>
        <v>0</v>
      </c>
      <c r="AB21" s="928">
        <v>31</v>
      </c>
      <c r="AC21" s="943" t="s">
        <v>3681</v>
      </c>
      <c r="AD21" s="930">
        <f>+'Nota 31'!H10</f>
        <v>0</v>
      </c>
      <c r="AE21" s="929" t="str">
        <f t="shared" ca="1" si="5"/>
        <v>Ok</v>
      </c>
      <c r="AF21" s="926">
        <f ca="1">ROUND(+AD21-AA21,0)</f>
        <v>0</v>
      </c>
    </row>
    <row r="22" spans="2:32" s="921" customFormat="1" ht="15">
      <c r="B22" s="942"/>
      <c r="C22" s="945">
        <v>5311250</v>
      </c>
      <c r="D22" s="1787" t="s">
        <v>3467</v>
      </c>
      <c r="E22" s="1787"/>
      <c r="F22" s="1787"/>
      <c r="G22" s="1787"/>
      <c r="H22" s="1787"/>
      <c r="I22" s="1135">
        <f ca="1">-SUMIF('Mapping FECU'!$E$9:$G$601,'Resultado Integral'!C22,'Mapping FECU'!$G$9:$G$601)</f>
        <v>551482878</v>
      </c>
      <c r="J22" s="1283">
        <v>-6194878</v>
      </c>
      <c r="K22" s="946"/>
      <c r="L22" s="946"/>
      <c r="M22" s="946"/>
      <c r="N22" s="946"/>
      <c r="O22" s="946"/>
      <c r="P22" s="946"/>
      <c r="Q22" s="946"/>
      <c r="R22" s="946"/>
      <c r="S22" s="946"/>
      <c r="T22" s="946"/>
      <c r="U22" s="946"/>
      <c r="V22" s="946"/>
      <c r="W22" s="946"/>
      <c r="X22" s="946">
        <v>1000</v>
      </c>
      <c r="Y22" s="946">
        <f ca="1">SUM(I22:X22)</f>
        <v>545289000</v>
      </c>
      <c r="Z22" s="1145">
        <v>5311250</v>
      </c>
      <c r="AA22" s="946">
        <f t="shared" ca="1" si="4"/>
        <v>-545289</v>
      </c>
      <c r="AB22" s="928">
        <v>31</v>
      </c>
      <c r="AC22" s="943" t="s">
        <v>3681</v>
      </c>
      <c r="AD22" s="930">
        <f>+'Nota 31'!H11</f>
        <v>-545288</v>
      </c>
      <c r="AE22" s="929" t="str">
        <f t="shared" ca="1" si="5"/>
        <v>Error</v>
      </c>
      <c r="AF22" s="926">
        <f ca="1">ROUND(+AD22-AA22,0)</f>
        <v>1</v>
      </c>
    </row>
    <row r="23" spans="2:32" s="921" customFormat="1" ht="15">
      <c r="B23" s="942"/>
      <c r="C23" s="945">
        <v>5311260</v>
      </c>
      <c r="D23" s="1787" t="s">
        <v>3683</v>
      </c>
      <c r="E23" s="1787"/>
      <c r="F23" s="1787"/>
      <c r="G23" s="1787"/>
      <c r="H23" s="1787"/>
      <c r="I23" s="1135">
        <f ca="1">-SUMIF('Mapping FECU'!$E$9:$G$601,'Resultado Integral'!C23,'Mapping FECU'!$G$9:$G$601)</f>
        <v>0</v>
      </c>
      <c r="J23" s="946"/>
      <c r="K23" s="946"/>
      <c r="L23" s="946"/>
      <c r="M23" s="946"/>
      <c r="N23" s="946"/>
      <c r="O23" s="946"/>
      <c r="P23" s="946"/>
      <c r="Q23" s="946"/>
      <c r="R23" s="946"/>
      <c r="S23" s="946"/>
      <c r="T23" s="946"/>
      <c r="U23" s="946"/>
      <c r="V23" s="946"/>
      <c r="W23" s="946"/>
      <c r="X23" s="946"/>
      <c r="Y23" s="946">
        <f ca="1">SUM(I23:J23)</f>
        <v>0</v>
      </c>
      <c r="Z23" s="1145">
        <v>5311260</v>
      </c>
      <c r="AA23" s="946">
        <f t="shared" ca="1" si="4"/>
        <v>0</v>
      </c>
      <c r="AB23" s="928">
        <v>31</v>
      </c>
      <c r="AC23" s="943" t="s">
        <v>3681</v>
      </c>
      <c r="AD23" s="930">
        <f>+'Nota 31'!H12</f>
        <v>0</v>
      </c>
      <c r="AE23" s="929" t="str">
        <f t="shared" ca="1" si="5"/>
        <v>Ok</v>
      </c>
      <c r="AF23" s="926">
        <f ca="1">+ROUND(AD23-AA23,0)</f>
        <v>0</v>
      </c>
    </row>
    <row r="24" spans="2:32" s="921" customFormat="1" ht="15">
      <c r="B24" s="942"/>
      <c r="C24" s="945"/>
      <c r="D24" s="938"/>
      <c r="E24" s="938"/>
      <c r="F24" s="938"/>
      <c r="G24" s="938"/>
      <c r="H24" s="938"/>
      <c r="I24" s="946"/>
      <c r="J24" s="946"/>
      <c r="K24" s="946">
        <f>+K22-K23</f>
        <v>0</v>
      </c>
      <c r="L24" s="946"/>
      <c r="M24" s="946"/>
      <c r="N24" s="946"/>
      <c r="O24" s="946"/>
      <c r="P24" s="946"/>
      <c r="Q24" s="946"/>
      <c r="R24" s="946"/>
      <c r="S24" s="946"/>
      <c r="T24" s="946"/>
      <c r="U24" s="946"/>
      <c r="V24" s="946"/>
      <c r="W24" s="946"/>
      <c r="X24" s="946"/>
      <c r="Y24" s="946"/>
      <c r="Z24" s="968"/>
      <c r="AA24" s="946"/>
      <c r="AB24" s="928"/>
      <c r="AC24" s="943">
        <f>983670-982121</f>
        <v>1549</v>
      </c>
      <c r="AD24" s="930"/>
      <c r="AE24" s="929"/>
      <c r="AF24" s="926"/>
    </row>
    <row r="25" spans="2:32" s="921" customFormat="1">
      <c r="B25" s="958">
        <v>5311300</v>
      </c>
      <c r="C25" s="1795" t="s">
        <v>3684</v>
      </c>
      <c r="D25" s="1795"/>
      <c r="E25" s="1795"/>
      <c r="F25" s="1795"/>
      <c r="G25" s="1795"/>
      <c r="H25" s="1795"/>
      <c r="I25" s="934">
        <f ca="1">SUM(I26:I28)</f>
        <v>-56553396196</v>
      </c>
      <c r="J25" s="934">
        <f>SUM(J26:J28)</f>
        <v>0</v>
      </c>
      <c r="K25" s="934">
        <f>SUM(K26:K28)</f>
        <v>0</v>
      </c>
      <c r="L25" s="934"/>
      <c r="M25" s="934">
        <f t="shared" ref="M25:W25" si="6">SUM(M26:M28)</f>
        <v>0</v>
      </c>
      <c r="N25" s="934">
        <f t="shared" si="6"/>
        <v>0</v>
      </c>
      <c r="O25" s="934">
        <f t="shared" si="6"/>
        <v>-320123998</v>
      </c>
      <c r="P25" s="934"/>
      <c r="Q25" s="934">
        <f t="shared" si="6"/>
        <v>-39628000</v>
      </c>
      <c r="R25" s="934"/>
      <c r="S25" s="934">
        <f t="shared" si="6"/>
        <v>0</v>
      </c>
      <c r="T25" s="934">
        <f t="shared" si="6"/>
        <v>-55763134</v>
      </c>
      <c r="U25" s="934">
        <f t="shared" si="6"/>
        <v>0</v>
      </c>
      <c r="V25" s="934">
        <f t="shared" si="6"/>
        <v>1000</v>
      </c>
      <c r="W25" s="934">
        <f t="shared" si="6"/>
        <v>0</v>
      </c>
      <c r="X25" s="934">
        <f>SUM(X26:X28)</f>
        <v>-702319000</v>
      </c>
      <c r="Y25" s="934">
        <f ca="1">SUM(Y26:Y28)</f>
        <v>-57671229328</v>
      </c>
      <c r="Z25" s="969"/>
      <c r="AA25" s="934">
        <f ca="1">+AA26-AA27+AA28</f>
        <v>57671229</v>
      </c>
      <c r="AB25" s="928"/>
      <c r="AC25" s="925"/>
      <c r="AD25" s="930"/>
      <c r="AE25" s="925"/>
      <c r="AF25" s="1150"/>
    </row>
    <row r="26" spans="2:32" s="921" customFormat="1" ht="15">
      <c r="B26" s="942"/>
      <c r="C26" s="945">
        <v>5311310</v>
      </c>
      <c r="D26" s="1787" t="s">
        <v>3460</v>
      </c>
      <c r="E26" s="1787"/>
      <c r="F26" s="1787"/>
      <c r="G26" s="1787"/>
      <c r="H26" s="1787"/>
      <c r="I26" s="1135">
        <f ca="1">-SUMIF('Mapping FECU'!$E$9:$G$601,'Resultado Integral'!C26,'Mapping FECU'!$G$9:$G$601)</f>
        <v>-73775884839</v>
      </c>
      <c r="J26" s="1285">
        <v>-105849161</v>
      </c>
      <c r="K26" s="946">
        <f>-K28</f>
        <v>0</v>
      </c>
      <c r="L26" s="946"/>
      <c r="M26" s="946"/>
      <c r="N26" s="946"/>
      <c r="O26" s="946"/>
      <c r="P26" s="946"/>
      <c r="Q26" s="946"/>
      <c r="R26" s="946"/>
      <c r="S26" s="946"/>
      <c r="T26" s="946"/>
      <c r="U26" s="946"/>
      <c r="V26" s="946">
        <v>1000</v>
      </c>
      <c r="W26" s="946">
        <f>-W31</f>
        <v>-1000</v>
      </c>
      <c r="X26" s="946"/>
      <c r="Y26" s="946">
        <f ca="1">SUM(I26:X26)</f>
        <v>-73881734000</v>
      </c>
      <c r="Z26" s="1145">
        <v>5311310</v>
      </c>
      <c r="AA26" s="946">
        <f ca="1">-ROUND(Y26/1000,0)</f>
        <v>73881734</v>
      </c>
      <c r="AB26" s="928">
        <v>32</v>
      </c>
      <c r="AC26" s="1246" t="s">
        <v>3685</v>
      </c>
      <c r="AD26" s="930">
        <f>+'Nota 32'!E5</f>
        <v>73881734</v>
      </c>
      <c r="AE26" s="929" t="str">
        <f ca="1">IF(AA26-AD26=0,"Ok","Error")</f>
        <v>Ok</v>
      </c>
      <c r="AF26" s="926">
        <f ca="1">ROUND(+AD26-AA26,0)</f>
        <v>0</v>
      </c>
    </row>
    <row r="27" spans="2:32" s="921" customFormat="1" ht="15">
      <c r="B27" s="942"/>
      <c r="C27" s="945">
        <v>5311320</v>
      </c>
      <c r="D27" s="1787" t="s">
        <v>3463</v>
      </c>
      <c r="E27" s="1787"/>
      <c r="F27" s="1787"/>
      <c r="G27" s="1787"/>
      <c r="H27" s="1787"/>
      <c r="I27" s="1135">
        <f ca="1">-SUMIF('Mapping FECU'!$E$9:$G$601,'Resultado Integral'!C27,'Mapping FECU'!$G$9:$G$601)</f>
        <v>17222488643</v>
      </c>
      <c r="J27" s="946">
        <f>-J26</f>
        <v>105849161</v>
      </c>
      <c r="M27" s="946"/>
      <c r="N27" s="946"/>
      <c r="O27" s="946">
        <f>-O32</f>
        <v>-320123998</v>
      </c>
      <c r="P27" s="946"/>
      <c r="Q27" s="946">
        <v>-39628000</v>
      </c>
      <c r="R27" s="946"/>
      <c r="S27" s="946"/>
      <c r="T27" s="946">
        <v>-55763134</v>
      </c>
      <c r="U27" s="946"/>
      <c r="V27" s="946"/>
      <c r="W27" s="946">
        <v>1000</v>
      </c>
      <c r="X27" s="946">
        <f>-X31</f>
        <v>-702319000</v>
      </c>
      <c r="Y27" s="946">
        <f ca="1">SUM(I27:X27)</f>
        <v>16210504672</v>
      </c>
      <c r="Z27" s="1145">
        <v>5311320</v>
      </c>
      <c r="AA27" s="946">
        <f ca="1">ROUND(Y27/1000,0)</f>
        <v>16210505</v>
      </c>
      <c r="AB27" s="928">
        <v>32</v>
      </c>
      <c r="AC27" s="1246" t="s">
        <v>3685</v>
      </c>
      <c r="AD27" s="930">
        <f>+'Nota 32'!E9</f>
        <v>16210505</v>
      </c>
      <c r="AE27" s="929" t="str">
        <f ca="1">IF(AA27-AD27=0,"Ok","Error")</f>
        <v>Ok</v>
      </c>
      <c r="AF27" s="926">
        <f ca="1">ROUND(+AD27-AA27,0)</f>
        <v>0</v>
      </c>
    </row>
    <row r="28" spans="2:32" s="921" customFormat="1" ht="15">
      <c r="B28" s="942"/>
      <c r="C28" s="945">
        <v>5311330</v>
      </c>
      <c r="D28" s="1787" t="s">
        <v>3686</v>
      </c>
      <c r="E28" s="1787"/>
      <c r="F28" s="1787"/>
      <c r="G28" s="1787"/>
      <c r="H28" s="1787"/>
      <c r="I28" s="1135">
        <f ca="1">-SUMIF('Mapping FECU'!$E$9:$G$601,'Resultado Integral'!C28,'Mapping FECU'!$G$9:$G$601)</f>
        <v>0</v>
      </c>
      <c r="J28" s="946"/>
      <c r="K28" s="946"/>
      <c r="L28" s="946"/>
      <c r="M28" s="946"/>
      <c r="N28" s="946"/>
      <c r="O28" s="946"/>
      <c r="P28" s="946"/>
      <c r="Q28" s="946"/>
      <c r="R28" s="946"/>
      <c r="S28" s="946"/>
      <c r="T28" s="946"/>
      <c r="U28" s="946"/>
      <c r="V28" s="946"/>
      <c r="W28" s="946"/>
      <c r="X28" s="946"/>
      <c r="Y28" s="946">
        <f ca="1">SUM(I28:X28)</f>
        <v>0</v>
      </c>
      <c r="Z28" s="1145">
        <v>5311330</v>
      </c>
      <c r="AA28" s="946">
        <f ca="1">-ROUND(Y28/1000,0)</f>
        <v>0</v>
      </c>
      <c r="AB28" s="928">
        <v>32</v>
      </c>
      <c r="AC28" s="1246" t="s">
        <v>3685</v>
      </c>
      <c r="AD28" s="930">
        <f>+'Nota 32'!E13</f>
        <v>0</v>
      </c>
      <c r="AE28" s="929" t="str">
        <f ca="1">IF(AA28-AD28=0,"Ok","Error")</f>
        <v>Ok</v>
      </c>
      <c r="AF28" s="926">
        <f ca="1">ROUND(+AD28-AA28,0)</f>
        <v>0</v>
      </c>
    </row>
    <row r="29" spans="2:32" s="921" customFormat="1" ht="15">
      <c r="B29" s="942"/>
      <c r="C29" s="945"/>
      <c r="D29" s="938"/>
      <c r="E29" s="938"/>
      <c r="F29" s="938"/>
      <c r="G29" s="938"/>
      <c r="H29" s="938"/>
      <c r="I29" s="946"/>
      <c r="J29" s="946"/>
      <c r="K29" s="946"/>
      <c r="L29" s="946"/>
      <c r="M29" s="946"/>
      <c r="N29" s="946"/>
      <c r="O29" s="946"/>
      <c r="P29" s="946"/>
      <c r="Q29" s="946"/>
      <c r="R29" s="946"/>
      <c r="S29" s="946"/>
      <c r="T29" s="946"/>
      <c r="U29" s="946"/>
      <c r="V29" s="946"/>
      <c r="W29" s="946"/>
      <c r="X29" s="946"/>
      <c r="Y29" s="946"/>
      <c r="Z29" s="970"/>
      <c r="AA29" s="946"/>
      <c r="AB29" s="928"/>
      <c r="AC29" s="943"/>
      <c r="AD29" s="930"/>
      <c r="AE29" s="929"/>
      <c r="AF29" s="926"/>
    </row>
    <row r="30" spans="2:32" s="921" customFormat="1">
      <c r="B30" s="958">
        <v>5311400</v>
      </c>
      <c r="C30" s="1795" t="s">
        <v>3687</v>
      </c>
      <c r="D30" s="1795"/>
      <c r="E30" s="1795"/>
      <c r="F30" s="1795"/>
      <c r="G30" s="1795"/>
      <c r="H30" s="1795"/>
      <c r="I30" s="934">
        <f ca="1">SUM(I31:I33)</f>
        <v>-43741371497</v>
      </c>
      <c r="J30" s="934">
        <f>SUM(J31:J33)</f>
        <v>760295354</v>
      </c>
      <c r="K30" s="934">
        <f t="shared" ref="K30:X30" si="7">SUM(K31:K33)</f>
        <v>0</v>
      </c>
      <c r="L30" s="934"/>
      <c r="M30" s="934">
        <f t="shared" si="7"/>
        <v>0</v>
      </c>
      <c r="N30" s="934">
        <f t="shared" si="7"/>
        <v>0</v>
      </c>
      <c r="O30" s="934">
        <f t="shared" si="7"/>
        <v>320123998</v>
      </c>
      <c r="P30" s="934">
        <f t="shared" si="7"/>
        <v>0</v>
      </c>
      <c r="Q30" s="934">
        <f t="shared" si="7"/>
        <v>0</v>
      </c>
      <c r="R30" s="934">
        <f t="shared" si="7"/>
        <v>0</v>
      </c>
      <c r="S30" s="934">
        <f t="shared" si="7"/>
        <v>0</v>
      </c>
      <c r="T30" s="934">
        <f t="shared" si="7"/>
        <v>55763134</v>
      </c>
      <c r="U30" s="934">
        <f t="shared" si="7"/>
        <v>0</v>
      </c>
      <c r="V30" s="934">
        <f t="shared" si="7"/>
        <v>0</v>
      </c>
      <c r="W30" s="934">
        <f t="shared" si="7"/>
        <v>1000</v>
      </c>
      <c r="X30" s="934">
        <f t="shared" si="7"/>
        <v>702319000</v>
      </c>
      <c r="Y30" s="934">
        <f ca="1">SUM(Y31:Y33)</f>
        <v>-41902869011</v>
      </c>
      <c r="Z30" s="971"/>
      <c r="AA30" s="934">
        <f ca="1">+AA31-AA32+AA33</f>
        <v>41902869</v>
      </c>
      <c r="AB30" s="1158"/>
      <c r="AC30" s="924"/>
      <c r="AD30" s="930"/>
      <c r="AE30" s="925"/>
      <c r="AF30" s="1150"/>
    </row>
    <row r="31" spans="2:32" s="921" customFormat="1">
      <c r="B31" s="942"/>
      <c r="C31" s="945">
        <v>5311410</v>
      </c>
      <c r="D31" s="1787" t="s">
        <v>3462</v>
      </c>
      <c r="E31" s="1787"/>
      <c r="F31" s="1787"/>
      <c r="G31" s="1787"/>
      <c r="H31" s="1787"/>
      <c r="I31" s="1135">
        <f ca="1">-SUMIF('Mapping FECU'!$E$9:$G$601,'Resultado Integral'!C31,'Mapping FECU'!$G$9:$G$601)</f>
        <v>-43421247499</v>
      </c>
      <c r="J31" s="946">
        <f>-J17</f>
        <v>760295354</v>
      </c>
      <c r="K31" s="946"/>
      <c r="L31" s="946"/>
      <c r="M31" s="946"/>
      <c r="N31" s="946"/>
      <c r="O31" s="946"/>
      <c r="P31" s="946"/>
      <c r="Q31" s="946"/>
      <c r="R31" s="946"/>
      <c r="S31" s="946"/>
      <c r="T31" s="946">
        <f>-T26</f>
        <v>0</v>
      </c>
      <c r="U31" s="946"/>
      <c r="V31" s="946"/>
      <c r="W31" s="946">
        <v>1000</v>
      </c>
      <c r="X31" s="946">
        <v>702319000</v>
      </c>
      <c r="Y31" s="946">
        <f ca="1">SUM(I31:X31)</f>
        <v>-41958632145</v>
      </c>
      <c r="Z31" s="1145">
        <v>5311410</v>
      </c>
      <c r="AA31" s="946">
        <f ca="1">-ROUND(Y31/1000,0)</f>
        <v>41958632</v>
      </c>
      <c r="AB31" s="1158"/>
      <c r="AC31" s="924"/>
      <c r="AD31" s="930"/>
      <c r="AE31" s="925"/>
      <c r="AF31" s="1150"/>
    </row>
    <row r="32" spans="2:32" s="921" customFormat="1">
      <c r="B32" s="942"/>
      <c r="C32" s="945">
        <v>5311420</v>
      </c>
      <c r="D32" s="1787" t="s">
        <v>3464</v>
      </c>
      <c r="E32" s="1787"/>
      <c r="F32" s="1787"/>
      <c r="G32" s="1787"/>
      <c r="H32" s="1787"/>
      <c r="I32" s="1135">
        <f ca="1">-SUMIF('Mapping FECU'!$E$9:$G$601,'Resultado Integral'!C32,'Mapping FECU'!$G$9:$G$601)</f>
        <v>-320123998</v>
      </c>
      <c r="J32" s="946"/>
      <c r="K32" s="946"/>
      <c r="L32" s="946"/>
      <c r="M32" s="946"/>
      <c r="N32" s="946"/>
      <c r="O32" s="946">
        <v>320123998</v>
      </c>
      <c r="P32" s="933"/>
      <c r="Q32" s="933"/>
      <c r="R32" s="933"/>
      <c r="T32" s="946">
        <f>-T27</f>
        <v>55763134</v>
      </c>
      <c r="U32" s="946"/>
      <c r="V32" s="946"/>
      <c r="W32" s="946"/>
      <c r="X32" s="946"/>
      <c r="Y32" s="946">
        <f ca="1">SUM(I32:X32)</f>
        <v>55763134</v>
      </c>
      <c r="Z32" s="1145">
        <v>5311420</v>
      </c>
      <c r="AA32" s="946">
        <f ca="1">ROUND(Y32/1000,0)</f>
        <v>55763</v>
      </c>
      <c r="AB32" s="1158"/>
      <c r="AC32" s="924"/>
      <c r="AD32" s="930"/>
      <c r="AE32" s="924"/>
      <c r="AF32" s="1150"/>
    </row>
    <row r="33" spans="2:32" s="921" customFormat="1">
      <c r="B33" s="942"/>
      <c r="C33" s="945">
        <v>5311430</v>
      </c>
      <c r="D33" s="1787" t="s">
        <v>3688</v>
      </c>
      <c r="E33" s="1787"/>
      <c r="F33" s="1787"/>
      <c r="G33" s="1787"/>
      <c r="H33" s="1787"/>
      <c r="I33" s="1135">
        <f ca="1">-SUMIF('Mapping FECU'!$E$9:$G$601,'Resultado Integral'!C33,'Mapping FECU'!$G$9:$G$601)</f>
        <v>0</v>
      </c>
      <c r="J33" s="946"/>
      <c r="K33" s="946"/>
      <c r="L33" s="946"/>
      <c r="M33" s="946"/>
      <c r="N33" s="946"/>
      <c r="O33" s="946"/>
      <c r="P33" s="946"/>
      <c r="Q33" s="946"/>
      <c r="R33" s="946"/>
      <c r="S33" s="946"/>
      <c r="T33" s="946"/>
      <c r="U33" s="946"/>
      <c r="V33" s="946"/>
      <c r="W33" s="946"/>
      <c r="X33" s="946"/>
      <c r="Y33" s="946">
        <f ca="1">SUM(I33:J33)</f>
        <v>0</v>
      </c>
      <c r="Z33" s="1145">
        <v>5311430</v>
      </c>
      <c r="AA33" s="946">
        <f t="shared" ref="AA33" ca="1" si="8">-ROUND(Y33/1000,0)</f>
        <v>0</v>
      </c>
      <c r="AB33" s="928"/>
      <c r="AC33" s="924"/>
      <c r="AD33" s="930"/>
      <c r="AE33" s="924"/>
      <c r="AF33" s="1150"/>
    </row>
    <row r="34" spans="2:32" s="921" customFormat="1">
      <c r="B34" s="942"/>
      <c r="C34" s="945"/>
      <c r="D34" s="938"/>
      <c r="E34" s="938"/>
      <c r="F34" s="938"/>
      <c r="G34" s="938"/>
      <c r="H34" s="938"/>
      <c r="I34" s="946"/>
      <c r="J34" s="946"/>
      <c r="K34" s="946"/>
      <c r="L34" s="946"/>
      <c r="M34" s="946"/>
      <c r="N34" s="946"/>
      <c r="O34" s="946"/>
      <c r="P34" s="946"/>
      <c r="Q34" s="946"/>
      <c r="R34" s="946"/>
      <c r="S34" s="946"/>
      <c r="T34" s="946"/>
      <c r="U34" s="946"/>
      <c r="V34" s="946"/>
      <c r="W34" s="946"/>
      <c r="X34" s="946"/>
      <c r="Y34" s="946"/>
      <c r="Z34" s="970"/>
      <c r="AA34" s="946"/>
      <c r="AB34" s="928"/>
      <c r="AC34" s="924"/>
      <c r="AD34" s="930"/>
      <c r="AE34" s="925"/>
      <c r="AF34" s="1150"/>
    </row>
    <row r="35" spans="2:32" s="921" customFormat="1">
      <c r="B35" s="958">
        <v>5311500</v>
      </c>
      <c r="C35" s="1795" t="s">
        <v>3689</v>
      </c>
      <c r="D35" s="1795"/>
      <c r="E35" s="1795"/>
      <c r="F35" s="1795"/>
      <c r="G35" s="1795"/>
      <c r="H35" s="1795"/>
      <c r="I35" s="934">
        <f ca="1">SUM(I36:I39)</f>
        <v>-6172326870</v>
      </c>
      <c r="J35" s="934">
        <f>SUM(J36:J39)</f>
        <v>0</v>
      </c>
      <c r="K35" s="934">
        <f t="shared" ref="K35:X35" si="9">SUM(K36:K39)</f>
        <v>0</v>
      </c>
      <c r="L35" s="934"/>
      <c r="M35" s="934">
        <f t="shared" si="9"/>
        <v>0</v>
      </c>
      <c r="N35" s="934">
        <f t="shared" si="9"/>
        <v>0</v>
      </c>
      <c r="O35" s="934">
        <f t="shared" si="9"/>
        <v>0</v>
      </c>
      <c r="P35" s="934">
        <f t="shared" si="9"/>
        <v>0</v>
      </c>
      <c r="Q35" s="934">
        <f t="shared" si="9"/>
        <v>0</v>
      </c>
      <c r="R35" s="934">
        <f t="shared" si="9"/>
        <v>0</v>
      </c>
      <c r="S35" s="934">
        <f t="shared" si="9"/>
        <v>0</v>
      </c>
      <c r="T35" s="934">
        <f t="shared" si="9"/>
        <v>0</v>
      </c>
      <c r="U35" s="934">
        <v>0</v>
      </c>
      <c r="V35" s="934">
        <f t="shared" si="9"/>
        <v>0</v>
      </c>
      <c r="W35" s="934">
        <f t="shared" si="9"/>
        <v>0</v>
      </c>
      <c r="X35" s="934">
        <f t="shared" si="9"/>
        <v>0</v>
      </c>
      <c r="Y35" s="934">
        <f ca="1">SUM(Y36:Y39)</f>
        <v>-6172326870</v>
      </c>
      <c r="Z35" s="968"/>
      <c r="AA35" s="934">
        <f ca="1">+AA36+AA37+AA38-AA39</f>
        <v>6172327</v>
      </c>
      <c r="AB35" s="928"/>
      <c r="AC35" s="925"/>
      <c r="AD35" s="930"/>
      <c r="AE35" s="925"/>
      <c r="AF35" s="1150"/>
    </row>
    <row r="36" spans="2:32" s="921" customFormat="1">
      <c r="B36" s="942"/>
      <c r="C36" s="945">
        <v>5311510</v>
      </c>
      <c r="D36" s="1787" t="s">
        <v>3470</v>
      </c>
      <c r="E36" s="1787"/>
      <c r="F36" s="1787"/>
      <c r="G36" s="1787"/>
      <c r="H36" s="1787"/>
      <c r="I36" s="1135">
        <f ca="1">-SUMIF('Mapping FECU'!$E$9:$G$601,'Resultado Integral'!C36,'Mapping FECU'!$G$9:$G$601)</f>
        <v>-5864671554</v>
      </c>
      <c r="J36" s="946"/>
      <c r="K36" s="946"/>
      <c r="L36" s="946"/>
      <c r="M36" s="946"/>
      <c r="N36" s="946"/>
      <c r="O36" s="946"/>
      <c r="P36" s="946"/>
      <c r="Q36" s="946"/>
      <c r="R36" s="946"/>
      <c r="S36" s="946">
        <f>-S37</f>
        <v>0</v>
      </c>
      <c r="T36" s="946"/>
      <c r="U36" s="946"/>
      <c r="V36" s="946"/>
      <c r="W36" s="946"/>
      <c r="X36" s="946"/>
      <c r="Y36" s="946">
        <f ca="1">SUM(I36:X36)</f>
        <v>-5864671554</v>
      </c>
      <c r="Z36" s="1145">
        <v>5311510</v>
      </c>
      <c r="AA36" s="946">
        <f ca="1">-ROUND(Y36/1000,0)</f>
        <v>5864672</v>
      </c>
      <c r="AB36" s="928"/>
      <c r="AC36" s="924"/>
      <c r="AD36" s="930"/>
      <c r="AE36" s="925"/>
      <c r="AF36" s="1150"/>
    </row>
    <row r="37" spans="2:32" s="921" customFormat="1">
      <c r="B37" s="942"/>
      <c r="C37" s="945">
        <v>5311520</v>
      </c>
      <c r="D37" s="1787" t="s">
        <v>3690</v>
      </c>
      <c r="E37" s="1787"/>
      <c r="F37" s="1787"/>
      <c r="G37" s="1787"/>
      <c r="H37" s="1787"/>
      <c r="I37" s="1135">
        <f ca="1">-SUMIF('Mapping FECU'!$E$9:$G$601,'Resultado Integral'!C37,'Mapping FECU'!$G$9:$G$601)</f>
        <v>-909644312</v>
      </c>
      <c r="J37" s="946"/>
      <c r="K37" s="946"/>
      <c r="L37" s="946"/>
      <c r="M37" s="946"/>
      <c r="N37" s="946"/>
      <c r="O37" s="946"/>
      <c r="P37" s="946"/>
      <c r="Q37" s="946"/>
      <c r="R37" s="946"/>
      <c r="S37" s="946"/>
      <c r="T37" s="946"/>
      <c r="U37" s="946"/>
      <c r="V37" s="946"/>
      <c r="W37" s="946"/>
      <c r="X37" s="946"/>
      <c r="Y37" s="946">
        <f ca="1">SUM(I37:X37)</f>
        <v>-909644312</v>
      </c>
      <c r="Z37" s="1145">
        <v>5311520</v>
      </c>
      <c r="AA37" s="946">
        <f t="shared" ref="AA37:AA40" ca="1" si="10">-ROUND(Y37/1000,0)</f>
        <v>909644</v>
      </c>
      <c r="AB37" s="928"/>
      <c r="AC37" s="924"/>
      <c r="AD37" s="930"/>
      <c r="AE37" s="925"/>
      <c r="AF37" s="1150"/>
    </row>
    <row r="38" spans="2:32" s="921" customFormat="1">
      <c r="B38" s="942"/>
      <c r="C38" s="945">
        <v>5311530</v>
      </c>
      <c r="D38" s="1787" t="s">
        <v>3691</v>
      </c>
      <c r="E38" s="1787"/>
      <c r="F38" s="1787"/>
      <c r="G38" s="1787"/>
      <c r="H38" s="1787"/>
      <c r="I38" s="1135">
        <f ca="1">-SUMIF('Mapping FECU'!$E$9:$G$601,'Resultado Integral'!C38,'Mapping FECU'!$G$9:$G$601)</f>
        <v>0</v>
      </c>
      <c r="J38" s="946"/>
      <c r="K38" s="946"/>
      <c r="L38" s="946"/>
      <c r="M38" s="946"/>
      <c r="N38" s="946"/>
      <c r="O38" s="946"/>
      <c r="P38" s="946"/>
      <c r="Q38" s="946"/>
      <c r="R38" s="946"/>
      <c r="S38" s="946"/>
      <c r="T38" s="946"/>
      <c r="U38" s="946"/>
      <c r="V38" s="946"/>
      <c r="W38" s="946"/>
      <c r="X38" s="946"/>
      <c r="Y38" s="946">
        <f ca="1">SUM(I38:X38)</f>
        <v>0</v>
      </c>
      <c r="Z38" s="1145">
        <v>5311530</v>
      </c>
      <c r="AA38" s="946">
        <f t="shared" ca="1" si="10"/>
        <v>0</v>
      </c>
      <c r="AB38" s="928"/>
      <c r="AC38" s="925"/>
      <c r="AD38" s="930"/>
      <c r="AE38" s="925"/>
      <c r="AF38" s="1150"/>
    </row>
    <row r="39" spans="2:32" s="921" customFormat="1">
      <c r="B39" s="942"/>
      <c r="C39" s="945">
        <v>5311540</v>
      </c>
      <c r="D39" s="1787" t="s">
        <v>3468</v>
      </c>
      <c r="E39" s="1787"/>
      <c r="F39" s="1787"/>
      <c r="G39" s="1787"/>
      <c r="H39" s="1787"/>
      <c r="I39" s="1135">
        <f ca="1">-SUMIF('Mapping FECU'!$E$9:$G$601,'Resultado Integral'!C39,'Mapping FECU'!$G$9:$G$601)</f>
        <v>601988996</v>
      </c>
      <c r="J39" s="946"/>
      <c r="K39" s="946"/>
      <c r="L39" s="946"/>
      <c r="M39" s="946"/>
      <c r="N39" s="946"/>
      <c r="O39" s="946"/>
      <c r="P39" s="946"/>
      <c r="Q39" s="946"/>
      <c r="R39" s="946"/>
      <c r="S39" s="946"/>
      <c r="T39" s="946"/>
      <c r="U39" s="946"/>
      <c r="V39" s="946"/>
      <c r="W39" s="946"/>
      <c r="X39" s="946"/>
      <c r="Y39" s="946">
        <f ca="1">SUM(I39:X39)</f>
        <v>601988996</v>
      </c>
      <c r="Z39" s="1145">
        <v>5311540</v>
      </c>
      <c r="AA39" s="946">
        <f ca="1">ROUND(Y39/1000,0)</f>
        <v>601989</v>
      </c>
      <c r="AB39" s="928"/>
      <c r="AC39" s="924"/>
      <c r="AD39" s="930"/>
      <c r="AE39" s="925"/>
      <c r="AF39" s="1150"/>
    </row>
    <row r="40" spans="2:32" s="921" customFormat="1">
      <c r="B40" s="942"/>
      <c r="C40" s="945"/>
      <c r="D40" s="938"/>
      <c r="E40" s="938"/>
      <c r="F40" s="938"/>
      <c r="G40" s="938"/>
      <c r="H40" s="938"/>
      <c r="I40" s="946"/>
      <c r="J40" s="946"/>
      <c r="K40" s="946"/>
      <c r="L40" s="946"/>
      <c r="M40" s="946"/>
      <c r="N40" s="946"/>
      <c r="O40" s="946"/>
      <c r="P40" s="946"/>
      <c r="Q40" s="946"/>
      <c r="R40" s="946"/>
      <c r="S40" s="946"/>
      <c r="T40" s="946"/>
      <c r="U40" s="946"/>
      <c r="V40" s="946"/>
      <c r="W40" s="946"/>
      <c r="X40" s="946"/>
      <c r="Y40" s="946"/>
      <c r="Z40" s="929"/>
      <c r="AA40" s="946">
        <f t="shared" si="10"/>
        <v>0</v>
      </c>
      <c r="AB40" s="928"/>
      <c r="AC40" s="925"/>
      <c r="AD40" s="930"/>
      <c r="AE40" s="925"/>
      <c r="AF40" s="1150"/>
    </row>
    <row r="41" spans="2:32" s="921" customFormat="1" ht="15">
      <c r="B41" s="958">
        <v>5311600</v>
      </c>
      <c r="C41" s="1795" t="s">
        <v>3692</v>
      </c>
      <c r="D41" s="1795"/>
      <c r="E41" s="1795"/>
      <c r="F41" s="1795"/>
      <c r="G41" s="1795"/>
      <c r="H41" s="1795"/>
      <c r="I41" s="1135">
        <f ca="1">-SUMIF('Mapping FECU'!$E$9:$G$601,'Resultado Integral'!C41,'Mapping FECU'!$G$9:$G$601)</f>
        <v>0</v>
      </c>
      <c r="J41" s="934"/>
      <c r="K41" s="934"/>
      <c r="L41" s="934"/>
      <c r="M41" s="934"/>
      <c r="N41" s="934"/>
      <c r="O41" s="934"/>
      <c r="P41" s="934"/>
      <c r="Q41" s="934"/>
      <c r="R41" s="934">
        <f>-R15</f>
        <v>-287955000</v>
      </c>
      <c r="S41" s="934"/>
      <c r="T41" s="934"/>
      <c r="U41" s="934"/>
      <c r="V41" s="934"/>
      <c r="W41" s="934"/>
      <c r="X41" s="934"/>
      <c r="Y41" s="946">
        <f ca="1">SUM(I41:X41)</f>
        <v>-287955000</v>
      </c>
      <c r="Z41" s="1145">
        <v>5311600</v>
      </c>
      <c r="AA41" s="990">
        <f ca="1">-ROUND(Y41/1000,0)</f>
        <v>287955</v>
      </c>
      <c r="AB41" s="928">
        <v>30</v>
      </c>
      <c r="AC41" s="1246" t="s">
        <v>3679</v>
      </c>
      <c r="AD41" s="930">
        <f>+'Nota 30'!I123</f>
        <v>287955</v>
      </c>
      <c r="AE41" s="929" t="str">
        <f ca="1">IF(AA41-AD41=0,"Ok","Error")</f>
        <v>Ok</v>
      </c>
      <c r="AF41" s="926">
        <f ca="1">ROUND(+AD41-AA41,0)</f>
        <v>0</v>
      </c>
    </row>
    <row r="42" spans="2:32" s="921" customFormat="1">
      <c r="B42" s="958"/>
      <c r="C42" s="944"/>
      <c r="D42" s="944"/>
      <c r="E42" s="944"/>
      <c r="F42" s="944"/>
      <c r="G42" s="944"/>
      <c r="H42" s="944"/>
      <c r="I42" s="946"/>
      <c r="J42" s="934"/>
      <c r="K42" s="934"/>
      <c r="L42" s="934"/>
      <c r="M42" s="934"/>
      <c r="N42" s="934"/>
      <c r="O42" s="934"/>
      <c r="P42" s="934"/>
      <c r="Q42" s="934"/>
      <c r="R42" s="934"/>
      <c r="S42" s="934"/>
      <c r="T42" s="934"/>
      <c r="U42" s="934"/>
      <c r="V42" s="934"/>
      <c r="W42" s="934"/>
      <c r="X42" s="934"/>
      <c r="Y42" s="934"/>
      <c r="Z42" s="929"/>
      <c r="AA42" s="934"/>
      <c r="AB42" s="928"/>
      <c r="AC42" s="925"/>
      <c r="AD42" s="930"/>
      <c r="AE42" s="925"/>
      <c r="AF42" s="1150"/>
    </row>
    <row r="43" spans="2:32" s="921" customFormat="1">
      <c r="B43" s="958">
        <v>5311700</v>
      </c>
      <c r="C43" s="1795" t="s">
        <v>3484</v>
      </c>
      <c r="D43" s="1795"/>
      <c r="E43" s="1795"/>
      <c r="F43" s="1795"/>
      <c r="G43" s="1795"/>
      <c r="H43" s="1795"/>
      <c r="I43" s="1135">
        <f ca="1">-SUMIF('Mapping FECU'!$E$9:$G$601,'Resultado Integral'!B43,'Mapping FECU'!$G$9:$G$601)</f>
        <v>-170819656</v>
      </c>
      <c r="J43" s="934"/>
      <c r="K43" s="934"/>
      <c r="L43" s="934"/>
      <c r="M43" s="934"/>
      <c r="N43" s="934"/>
      <c r="O43" s="934"/>
      <c r="P43" s="934"/>
      <c r="Q43" s="934"/>
      <c r="R43" s="934"/>
      <c r="S43" s="934"/>
      <c r="T43" s="934"/>
      <c r="U43" s="934"/>
      <c r="V43" s="934"/>
      <c r="W43" s="934"/>
      <c r="X43" s="934"/>
      <c r="Y43" s="946">
        <f ca="1">SUM(I43:X43)</f>
        <v>-170819656</v>
      </c>
      <c r="Z43" s="1145">
        <v>5311700</v>
      </c>
      <c r="AA43" s="934">
        <f ca="1">-ROUND(Y43/1000,0)</f>
        <v>170820</v>
      </c>
      <c r="AB43" s="928"/>
      <c r="AC43" s="925"/>
      <c r="AD43" s="930"/>
      <c r="AE43" s="925"/>
      <c r="AF43" s="1150"/>
    </row>
    <row r="44" spans="2:32" s="921" customFormat="1">
      <c r="B44" s="958"/>
      <c r="C44" s="944"/>
      <c r="D44" s="944"/>
      <c r="E44" s="944"/>
      <c r="F44" s="944"/>
      <c r="G44" s="944"/>
      <c r="H44" s="944"/>
      <c r="I44" s="946"/>
      <c r="J44" s="934"/>
      <c r="K44" s="934"/>
      <c r="L44" s="934"/>
      <c r="M44" s="934"/>
      <c r="N44" s="934"/>
      <c r="O44" s="934"/>
      <c r="P44" s="934"/>
      <c r="Q44" s="934"/>
      <c r="R44" s="934"/>
      <c r="S44" s="934"/>
      <c r="T44" s="934"/>
      <c r="U44" s="934"/>
      <c r="V44" s="934"/>
      <c r="X44" s="934"/>
      <c r="Y44" s="934"/>
      <c r="AA44" s="934"/>
      <c r="AB44" s="928"/>
      <c r="AC44" s="925"/>
      <c r="AD44" s="930"/>
      <c r="AE44" s="925"/>
      <c r="AF44" s="1150"/>
    </row>
    <row r="45" spans="2:32" s="921" customFormat="1" ht="15">
      <c r="B45" s="958">
        <v>5311800</v>
      </c>
      <c r="C45" s="1795" t="s">
        <v>3455</v>
      </c>
      <c r="D45" s="1795"/>
      <c r="E45" s="1795"/>
      <c r="F45" s="1795"/>
      <c r="G45" s="1795"/>
      <c r="H45" s="1795"/>
      <c r="I45" s="1135">
        <f ca="1">-SUMIF('Mapping FECU'!$E$9:$G$601,'Resultado Integral'!B45,'Mapping FECU'!$G$9:$G$601)</f>
        <v>15735724</v>
      </c>
      <c r="J45" s="934"/>
      <c r="K45" s="946"/>
      <c r="L45" s="946"/>
      <c r="M45" s="1163">
        <f>15047552*0</f>
        <v>0</v>
      </c>
      <c r="N45" s="934"/>
      <c r="O45" s="934"/>
      <c r="P45" s="934"/>
      <c r="Q45" s="934"/>
      <c r="R45" s="934"/>
      <c r="S45" s="934"/>
      <c r="T45" s="934"/>
      <c r="U45" s="934"/>
      <c r="V45" s="934"/>
      <c r="W45" s="934"/>
      <c r="X45" s="934"/>
      <c r="Y45" s="946">
        <f ca="1">SUM(I45:X45)</f>
        <v>15735724</v>
      </c>
      <c r="Z45" s="1145">
        <v>5311800</v>
      </c>
      <c r="AA45" s="934">
        <f ca="1">-ROUND(Y45/1000,0)</f>
        <v>-15736</v>
      </c>
      <c r="AB45" s="928">
        <v>34</v>
      </c>
      <c r="AC45" s="943" t="s">
        <v>3693</v>
      </c>
      <c r="AD45" s="930">
        <f>+'Nota 34'!E5</f>
        <v>-15736</v>
      </c>
      <c r="AE45" s="929" t="str">
        <f ca="1">IF(AA45-AD45=0,"Ok","Error")</f>
        <v>Ok</v>
      </c>
      <c r="AF45" s="926">
        <f ca="1">ROUND(+AD45-AA45,0)</f>
        <v>0</v>
      </c>
    </row>
    <row r="46" spans="2:32" s="921" customFormat="1">
      <c r="B46" s="942"/>
      <c r="C46" s="945"/>
      <c r="D46" s="945"/>
      <c r="E46" s="945"/>
      <c r="F46" s="945"/>
      <c r="G46" s="945"/>
      <c r="H46" s="945"/>
      <c r="I46" s="940"/>
      <c r="J46" s="940"/>
      <c r="K46" s="940"/>
      <c r="L46" s="940"/>
      <c r="M46" s="940"/>
      <c r="N46" s="940"/>
      <c r="O46" s="940"/>
      <c r="P46" s="940"/>
      <c r="Q46" s="940"/>
      <c r="R46" s="940"/>
      <c r="S46" s="940"/>
      <c r="T46" s="940"/>
      <c r="U46" s="940"/>
      <c r="V46" s="940"/>
      <c r="W46" s="940"/>
      <c r="X46" s="940"/>
      <c r="Y46" s="940"/>
      <c r="AA46" s="940"/>
      <c r="AB46" s="928"/>
      <c r="AC46" s="925"/>
      <c r="AD46" s="930"/>
      <c r="AE46" s="925"/>
      <c r="AF46" s="1150"/>
    </row>
    <row r="47" spans="2:32" s="921" customFormat="1" ht="15">
      <c r="B47" s="979">
        <v>5312000</v>
      </c>
      <c r="C47" s="1797" t="s">
        <v>3694</v>
      </c>
      <c r="D47" s="1797"/>
      <c r="E47" s="1797"/>
      <c r="F47" s="1797"/>
      <c r="G47" s="1797"/>
      <c r="H47" s="1797"/>
      <c r="I47" s="937">
        <f ca="1">SUM(I49:I50)</f>
        <v>-7584191689</v>
      </c>
      <c r="J47" s="937">
        <f t="shared" ref="J47:X47" si="11">SUM(J49:J50)</f>
        <v>0</v>
      </c>
      <c r="K47" s="937">
        <f t="shared" si="11"/>
        <v>0</v>
      </c>
      <c r="L47" s="937"/>
      <c r="M47" s="937">
        <f t="shared" si="11"/>
        <v>0</v>
      </c>
      <c r="N47" s="937">
        <f t="shared" si="11"/>
        <v>0</v>
      </c>
      <c r="O47" s="937">
        <f t="shared" si="11"/>
        <v>0</v>
      </c>
      <c r="P47" s="937"/>
      <c r="Q47" s="937"/>
      <c r="R47" s="937"/>
      <c r="S47" s="937">
        <f t="shared" si="11"/>
        <v>0</v>
      </c>
      <c r="T47" s="937">
        <f t="shared" si="11"/>
        <v>0</v>
      </c>
      <c r="U47" s="937">
        <f t="shared" si="11"/>
        <v>0</v>
      </c>
      <c r="V47" s="937">
        <f t="shared" si="11"/>
        <v>0</v>
      </c>
      <c r="W47" s="937">
        <f t="shared" si="11"/>
        <v>109861573</v>
      </c>
      <c r="X47" s="937">
        <f t="shared" si="11"/>
        <v>0</v>
      </c>
      <c r="Y47" s="937">
        <f ca="1">SUM(Y49:Y50)</f>
        <v>-7474330116</v>
      </c>
      <c r="AA47" s="1141">
        <f ca="1">SUM(AA49:AA50)</f>
        <v>7474330</v>
      </c>
      <c r="AB47" s="928">
        <v>33</v>
      </c>
      <c r="AC47" s="943" t="s">
        <v>3695</v>
      </c>
      <c r="AD47" s="930">
        <f>+'Nota 33'!E8</f>
        <v>7474329</v>
      </c>
      <c r="AE47" s="929" t="str">
        <f ca="1">IF(AA47-AD47=0,"Ok","Error")</f>
        <v>Error</v>
      </c>
      <c r="AF47" s="926">
        <f ca="1">ROUND(+AD47-AA47,0)</f>
        <v>-1</v>
      </c>
    </row>
    <row r="48" spans="2:32" s="921" customFormat="1" ht="15">
      <c r="B48" s="958"/>
      <c r="C48" s="944"/>
      <c r="D48" s="978"/>
      <c r="E48" s="978"/>
      <c r="F48" s="978"/>
      <c r="G48" s="978"/>
      <c r="H48" s="978"/>
      <c r="I48" s="954"/>
      <c r="J48" s="954"/>
      <c r="K48" s="954"/>
      <c r="L48" s="954"/>
      <c r="M48" s="954"/>
      <c r="N48" s="954"/>
      <c r="O48" s="954"/>
      <c r="P48" s="954"/>
      <c r="Q48" s="954"/>
      <c r="R48" s="954"/>
      <c r="S48" s="954"/>
      <c r="T48" s="954"/>
      <c r="U48" s="954"/>
      <c r="V48" s="954"/>
      <c r="W48" s="954"/>
      <c r="X48" s="954"/>
      <c r="Y48" s="954"/>
      <c r="Z48" s="950"/>
      <c r="AA48" s="954"/>
      <c r="AB48" s="928"/>
      <c r="AC48" s="943"/>
      <c r="AD48" s="930"/>
      <c r="AE48" s="929"/>
      <c r="AF48" s="926"/>
    </row>
    <row r="49" spans="2:34" s="921" customFormat="1" ht="15">
      <c r="B49" s="942">
        <v>5312100</v>
      </c>
      <c r="C49" s="945"/>
      <c r="D49" s="1787" t="s">
        <v>594</v>
      </c>
      <c r="E49" s="1787"/>
      <c r="F49" s="1787"/>
      <c r="G49" s="1787"/>
      <c r="H49" s="1787"/>
      <c r="I49" s="1135">
        <f ca="1">-SUMIF('Mapping FECU'!$E$9:$G$601,'Resultado Integral'!B49,'Mapping FECU'!$G$9:$G$601)</f>
        <v>-2657859661</v>
      </c>
      <c r="J49" s="946"/>
      <c r="K49" s="946"/>
      <c r="L49" s="946"/>
      <c r="M49" s="946"/>
      <c r="N49" s="946"/>
      <c r="O49" s="946"/>
      <c r="P49" s="946"/>
      <c r="Q49" s="946"/>
      <c r="R49" s="946"/>
      <c r="S49" s="946"/>
      <c r="T49" s="946"/>
      <c r="U49" s="946"/>
      <c r="V49" s="946"/>
      <c r="W49" s="946"/>
      <c r="X49" s="946"/>
      <c r="Y49" s="946">
        <f ca="1">SUM(I49:X49)</f>
        <v>-2657859661</v>
      </c>
      <c r="Z49" s="1145">
        <v>5312100</v>
      </c>
      <c r="AA49" s="946">
        <f ca="1">-ROUND(Y49/1000,0)</f>
        <v>2657860</v>
      </c>
      <c r="AB49" s="928">
        <v>33</v>
      </c>
      <c r="AC49" s="943" t="s">
        <v>3695</v>
      </c>
      <c r="AD49" s="930">
        <f>+'Nota 33'!E5</f>
        <v>2657860</v>
      </c>
      <c r="AE49" s="929" t="str">
        <f ca="1">IF(AA49-AD49=0,"Ok","Error")</f>
        <v>Ok</v>
      </c>
      <c r="AF49" s="926">
        <f ca="1">ROUND(+AD49-AA49,0)</f>
        <v>0</v>
      </c>
    </row>
    <row r="50" spans="2:34" s="921" customFormat="1" ht="15">
      <c r="B50" s="942">
        <v>5312200</v>
      </c>
      <c r="C50" s="945"/>
      <c r="D50" s="1787" t="s">
        <v>604</v>
      </c>
      <c r="E50" s="1787"/>
      <c r="F50" s="1787"/>
      <c r="G50" s="1787"/>
      <c r="H50" s="1787"/>
      <c r="I50" s="1135">
        <f ca="1">-SUMIF('Mapping FECU'!$E$9:$G$601,'Resultado Integral'!B50,'Mapping FECU'!$G$9:$G$601)</f>
        <v>-4926332028</v>
      </c>
      <c r="J50" s="946"/>
      <c r="K50" s="946"/>
      <c r="L50" s="946"/>
      <c r="M50" s="946"/>
      <c r="N50" s="946"/>
      <c r="O50" s="946"/>
      <c r="P50" s="946"/>
      <c r="Q50" s="946"/>
      <c r="R50" s="946"/>
      <c r="S50" s="946"/>
      <c r="T50" s="946"/>
      <c r="U50" s="946"/>
      <c r="V50" s="946">
        <f>-V36</f>
        <v>0</v>
      </c>
      <c r="W50" s="946">
        <f>-W66</f>
        <v>109861573</v>
      </c>
      <c r="X50" s="946"/>
      <c r="Y50" s="946">
        <f ca="1">SUM(I50:X50)</f>
        <v>-4816470455</v>
      </c>
      <c r="Z50" s="1145">
        <v>5312200</v>
      </c>
      <c r="AA50" s="946">
        <f ca="1">-ROUND(Y50/1000,0)</f>
        <v>4816470</v>
      </c>
      <c r="AB50" s="928">
        <v>33</v>
      </c>
      <c r="AC50" s="943" t="s">
        <v>3695</v>
      </c>
      <c r="AD50" s="930">
        <f>+'Nota 33'!E7</f>
        <v>4816469</v>
      </c>
      <c r="AE50" s="929" t="str">
        <f ca="1">IF(AA50-AD50=0,"Ok","Error")</f>
        <v>Error</v>
      </c>
      <c r="AF50" s="926">
        <f ca="1">ROUND(+AD50-AA50,0)</f>
        <v>-1</v>
      </c>
    </row>
    <row r="51" spans="2:34" s="921" customFormat="1">
      <c r="B51" s="942"/>
      <c r="C51" s="945"/>
      <c r="D51" s="945"/>
      <c r="E51" s="945"/>
      <c r="F51" s="945"/>
      <c r="G51" s="945"/>
      <c r="H51" s="945"/>
      <c r="I51" s="940"/>
      <c r="J51" s="940"/>
      <c r="K51" s="940"/>
      <c r="L51" s="940"/>
      <c r="M51" s="940"/>
      <c r="N51" s="940"/>
      <c r="O51" s="940"/>
      <c r="P51" s="940"/>
      <c r="Q51" s="940"/>
      <c r="R51" s="940"/>
      <c r="S51" s="940"/>
      <c r="T51" s="940"/>
      <c r="U51" s="940"/>
      <c r="V51" s="940"/>
      <c r="W51" s="940"/>
      <c r="X51" s="940"/>
      <c r="Y51" s="940"/>
      <c r="AA51" s="940"/>
      <c r="AB51" s="928"/>
      <c r="AC51" s="925"/>
      <c r="AD51" s="930"/>
      <c r="AE51" s="925"/>
      <c r="AF51" s="1150"/>
    </row>
    <row r="52" spans="2:34" s="921" customFormat="1" ht="15">
      <c r="B52" s="979">
        <v>5313000</v>
      </c>
      <c r="C52" s="1797" t="s">
        <v>3696</v>
      </c>
      <c r="D52" s="1797"/>
      <c r="E52" s="1797"/>
      <c r="F52" s="1797"/>
      <c r="G52" s="1797"/>
      <c r="H52" s="1797"/>
      <c r="I52" s="937">
        <f ca="1">+I54+I58+I62+I68+I70</f>
        <v>18997101621</v>
      </c>
      <c r="J52" s="937">
        <f>+J54+J58+J62+J68+J70</f>
        <v>0</v>
      </c>
      <c r="K52" s="937">
        <f>+K54+K58+K62+K68+K70</f>
        <v>0</v>
      </c>
      <c r="L52" s="937">
        <f t="shared" ref="L52" si="12">+L54+L58+L62+L68+L70</f>
        <v>0</v>
      </c>
      <c r="M52" s="937">
        <f>+M54+M58+M62+M68+M70</f>
        <v>0</v>
      </c>
      <c r="N52" s="937">
        <f t="shared" ref="N52:X52" si="13">+N54+N58+N62+N68+N70</f>
        <v>0</v>
      </c>
      <c r="O52" s="937">
        <f t="shared" si="13"/>
        <v>0</v>
      </c>
      <c r="P52" s="937"/>
      <c r="Q52" s="937"/>
      <c r="R52" s="937"/>
      <c r="S52" s="937">
        <f t="shared" si="13"/>
        <v>0</v>
      </c>
      <c r="T52" s="937">
        <f t="shared" si="13"/>
        <v>0</v>
      </c>
      <c r="U52" s="937">
        <f t="shared" si="13"/>
        <v>0</v>
      </c>
      <c r="V52" s="937">
        <f t="shared" si="13"/>
        <v>0</v>
      </c>
      <c r="W52" s="937">
        <f t="shared" si="13"/>
        <v>-109861573</v>
      </c>
      <c r="X52" s="937">
        <f t="shared" si="13"/>
        <v>0</v>
      </c>
      <c r="Y52" s="937">
        <f ca="1">+Y54+Y58+Y62+Y68+Y70</f>
        <v>18887240048</v>
      </c>
      <c r="AA52" s="1141">
        <f ca="1">+AA54+AA58+AA62+AA68-AA70</f>
        <v>18887240</v>
      </c>
      <c r="AB52" s="928">
        <v>35</v>
      </c>
      <c r="AC52" s="927" t="s">
        <v>3555</v>
      </c>
      <c r="AD52" s="930">
        <f>+'Nota 35'!G47</f>
        <v>18887240</v>
      </c>
      <c r="AE52" s="929" t="str">
        <f ca="1">IF(AA52-AD52=0,"Ok","Error")</f>
        <v>Ok</v>
      </c>
      <c r="AF52" s="926">
        <f ca="1">ROUND(+AD52-AA52,0)</f>
        <v>0</v>
      </c>
      <c r="AH52" s="921">
        <f ca="1">+Y52/1000-AA52</f>
        <v>4.8000000417232513E-2</v>
      </c>
    </row>
    <row r="53" spans="2:34" s="921" customFormat="1">
      <c r="B53" s="958"/>
      <c r="C53" s="944"/>
      <c r="D53" s="944"/>
      <c r="E53" s="944"/>
      <c r="F53" s="944"/>
      <c r="G53" s="944"/>
      <c r="H53" s="944"/>
      <c r="I53" s="934"/>
      <c r="J53" s="934"/>
      <c r="K53" s="934"/>
      <c r="L53" s="934"/>
      <c r="M53" s="934"/>
      <c r="N53" s="934"/>
      <c r="O53" s="934"/>
      <c r="P53" s="934"/>
      <c r="Q53" s="934"/>
      <c r="R53" s="934"/>
      <c r="S53" s="934"/>
      <c r="T53" s="934"/>
      <c r="U53" s="934"/>
      <c r="V53" s="934"/>
      <c r="W53" s="934"/>
      <c r="X53" s="934"/>
      <c r="Y53" s="934"/>
      <c r="AA53" s="934"/>
      <c r="AF53" s="1151"/>
    </row>
    <row r="54" spans="2:34" s="921" customFormat="1" ht="15">
      <c r="B54" s="958">
        <v>5313100</v>
      </c>
      <c r="C54" s="1795" t="s">
        <v>3697</v>
      </c>
      <c r="D54" s="1795"/>
      <c r="E54" s="1795"/>
      <c r="F54" s="1795"/>
      <c r="G54" s="1795"/>
      <c r="H54" s="1795"/>
      <c r="I54" s="934">
        <f ca="1">SUM(I55:I56)</f>
        <v>252614864</v>
      </c>
      <c r="J54" s="934">
        <f>SUM(J55:J56)</f>
        <v>-386545</v>
      </c>
      <c r="K54" s="934">
        <f t="shared" ref="K54:X54" si="14">SUM(K55:K56)</f>
        <v>-108736</v>
      </c>
      <c r="L54" s="934">
        <f t="shared" si="14"/>
        <v>1172293661</v>
      </c>
      <c r="M54" s="934">
        <f t="shared" si="14"/>
        <v>0</v>
      </c>
      <c r="N54" s="934"/>
      <c r="O54" s="934">
        <f t="shared" si="14"/>
        <v>0</v>
      </c>
      <c r="P54" s="934"/>
      <c r="Q54" s="934"/>
      <c r="R54" s="934"/>
      <c r="S54" s="934">
        <f t="shared" si="14"/>
        <v>0</v>
      </c>
      <c r="T54" s="934">
        <f t="shared" si="14"/>
        <v>0</v>
      </c>
      <c r="U54" s="934">
        <f t="shared" si="14"/>
        <v>0</v>
      </c>
      <c r="V54" s="934">
        <f t="shared" si="14"/>
        <v>0</v>
      </c>
      <c r="W54" s="934">
        <f t="shared" si="14"/>
        <v>0</v>
      </c>
      <c r="X54" s="934">
        <f t="shared" si="14"/>
        <v>0</v>
      </c>
      <c r="Y54" s="934">
        <f ca="1">SUM(Y55:Y56)</f>
        <v>1424413244</v>
      </c>
      <c r="AA54" s="934">
        <f ca="1">SUM(AA55:AA56)</f>
        <v>1424414</v>
      </c>
      <c r="AB54" s="928">
        <v>35</v>
      </c>
      <c r="AC54" s="943" t="s">
        <v>3555</v>
      </c>
      <c r="AD54" s="930">
        <f>+AD55+AD56</f>
        <v>1424414</v>
      </c>
      <c r="AE54" s="929" t="str">
        <f ca="1">IF(AA54-AD54=0,"Ok","Error")</f>
        <v>Ok</v>
      </c>
      <c r="AF54" s="926">
        <f ca="1">ROUND(+AD54-AA54,0)</f>
        <v>0</v>
      </c>
    </row>
    <row r="55" spans="2:34" s="921" customFormat="1" ht="15">
      <c r="B55" s="942">
        <v>5313110</v>
      </c>
      <c r="C55" s="945"/>
      <c r="D55" s="1787" t="s">
        <v>3459</v>
      </c>
      <c r="E55" s="1787"/>
      <c r="F55" s="1787"/>
      <c r="G55" s="1787"/>
      <c r="H55" s="1787"/>
      <c r="I55" s="1135">
        <f ca="1">-SUMIF('Mapping FECU'!$E$9:$G$601,'Resultado Integral'!B55,'Mapping FECU'!$G$9:$G$601)</f>
        <v>662499649</v>
      </c>
      <c r="J55" s="946"/>
      <c r="K55" s="946"/>
      <c r="L55" s="946"/>
      <c r="M55" s="946"/>
      <c r="N55" s="946"/>
      <c r="O55" s="946"/>
      <c r="P55" s="946"/>
      <c r="Q55" s="946"/>
      <c r="R55" s="946"/>
      <c r="S55" s="946"/>
      <c r="T55" s="946"/>
      <c r="U55" s="946"/>
      <c r="V55" s="946"/>
      <c r="W55" s="946"/>
      <c r="X55" s="946"/>
      <c r="Y55" s="946">
        <f ca="1">SUM(I55:X55)</f>
        <v>662499649</v>
      </c>
      <c r="Z55" s="1145">
        <v>5313110</v>
      </c>
      <c r="AA55" s="946">
        <f t="shared" ref="AA55:AA60" ca="1" si="15">ROUND(Y55/1000,0)</f>
        <v>662500</v>
      </c>
      <c r="AB55" s="928">
        <v>35</v>
      </c>
      <c r="AC55" s="943" t="s">
        <v>3555</v>
      </c>
      <c r="AD55" s="930">
        <f>+'Nota 35'!G8</f>
        <v>662500</v>
      </c>
      <c r="AE55" s="929" t="str">
        <f ca="1">IF(AA55-AD55=0,"Ok","Error")</f>
        <v>Ok</v>
      </c>
      <c r="AF55" s="926">
        <f ca="1">ROUND(+AD55-AA55,0)</f>
        <v>0</v>
      </c>
    </row>
    <row r="56" spans="2:34" s="921" customFormat="1" ht="15">
      <c r="B56" s="942">
        <v>5313120</v>
      </c>
      <c r="C56" s="945"/>
      <c r="D56" s="1787" t="s">
        <v>3471</v>
      </c>
      <c r="E56" s="1787"/>
      <c r="F56" s="1787"/>
      <c r="G56" s="1787"/>
      <c r="H56" s="1787"/>
      <c r="I56" s="1135">
        <f ca="1">-SUMIF('Mapping FECU'!$E$9:$G$601,'Resultado Integral'!B56,'Mapping FECU'!$G$9:$G$601)</f>
        <v>-409884785</v>
      </c>
      <c r="J56" s="1152">
        <v>-386545</v>
      </c>
      <c r="K56" s="1152">
        <v>-108736</v>
      </c>
      <c r="L56" s="1152">
        <f>-L60</f>
        <v>1172293661</v>
      </c>
      <c r="M56" s="1159">
        <f>-M60</f>
        <v>0</v>
      </c>
      <c r="O56" s="946"/>
      <c r="R56" s="946"/>
      <c r="S56" s="946"/>
      <c r="T56" s="946"/>
      <c r="U56" s="946"/>
      <c r="V56" s="946"/>
      <c r="W56" s="946"/>
      <c r="X56" s="946"/>
      <c r="Y56" s="946">
        <f ca="1">SUM(I56:X56)</f>
        <v>761913595</v>
      </c>
      <c r="Z56" s="1145">
        <v>5313120</v>
      </c>
      <c r="AA56" s="946">
        <f ca="1">ROUND(Y56/1000,0)</f>
        <v>761914</v>
      </c>
      <c r="AB56" s="928">
        <v>35</v>
      </c>
      <c r="AC56" s="943" t="s">
        <v>3555</v>
      </c>
      <c r="AD56" s="930">
        <f>+'Nota 35'!G13</f>
        <v>761914</v>
      </c>
      <c r="AE56" s="929" t="str">
        <f ca="1">IF(AA56-AD56=0,"Ok","Error")</f>
        <v>Ok</v>
      </c>
      <c r="AF56" s="926">
        <f ca="1">ROUND(+AD56-AA56,0)</f>
        <v>0</v>
      </c>
    </row>
    <row r="57" spans="2:34" s="921" customFormat="1" ht="15">
      <c r="B57" s="942"/>
      <c r="C57" s="945"/>
      <c r="D57" s="938"/>
      <c r="E57" s="938"/>
      <c r="F57" s="938"/>
      <c r="G57" s="938"/>
      <c r="H57" s="938"/>
      <c r="I57" s="946"/>
      <c r="J57" s="946"/>
      <c r="K57" s="946"/>
      <c r="L57" s="946"/>
      <c r="M57" s="946"/>
      <c r="N57" s="946"/>
      <c r="O57" s="946"/>
      <c r="P57" s="946"/>
      <c r="Q57" s="946"/>
      <c r="R57" s="946"/>
      <c r="S57" s="946"/>
      <c r="T57" s="946"/>
      <c r="U57" s="946"/>
      <c r="V57" s="946"/>
      <c r="W57" s="946"/>
      <c r="X57" s="946"/>
      <c r="Y57" s="946"/>
      <c r="AA57" s="946"/>
      <c r="AB57" s="928"/>
      <c r="AC57" s="943"/>
      <c r="AD57" s="930"/>
      <c r="AE57" s="929"/>
      <c r="AF57" s="926"/>
    </row>
    <row r="58" spans="2:34" s="921" customFormat="1" ht="15">
      <c r="B58" s="958">
        <v>5313200</v>
      </c>
      <c r="C58" s="1795" t="s">
        <v>3698</v>
      </c>
      <c r="D58" s="1795"/>
      <c r="E58" s="1795"/>
      <c r="F58" s="1795"/>
      <c r="G58" s="1795"/>
      <c r="H58" s="1795"/>
      <c r="I58" s="934">
        <f ca="1">SUM(I59:I60)</f>
        <v>231094123</v>
      </c>
      <c r="J58" s="934">
        <f t="shared" ref="J58:L58" si="16">SUM(J59:J60)</f>
        <v>0</v>
      </c>
      <c r="K58" s="934">
        <f t="shared" si="16"/>
        <v>0</v>
      </c>
      <c r="L58" s="934">
        <f t="shared" si="16"/>
        <v>-1172293661</v>
      </c>
      <c r="M58" s="934">
        <f>SUM(M59:M60)</f>
        <v>0</v>
      </c>
      <c r="N58" s="934">
        <f>SUM(N59:N60)</f>
        <v>0</v>
      </c>
      <c r="O58" s="934">
        <f t="shared" ref="O58:X58" si="17">SUM(O59:O60)</f>
        <v>0</v>
      </c>
      <c r="P58" s="934"/>
      <c r="Q58" s="934"/>
      <c r="R58" s="934"/>
      <c r="S58" s="934">
        <f t="shared" si="17"/>
        <v>0</v>
      </c>
      <c r="T58" s="934">
        <f t="shared" si="17"/>
        <v>0</v>
      </c>
      <c r="U58" s="934">
        <f t="shared" si="17"/>
        <v>0</v>
      </c>
      <c r="V58" s="934">
        <f t="shared" si="17"/>
        <v>0</v>
      </c>
      <c r="W58" s="934">
        <f t="shared" si="17"/>
        <v>0</v>
      </c>
      <c r="X58" s="934">
        <f t="shared" si="17"/>
        <v>0</v>
      </c>
      <c r="Y58" s="934">
        <f ca="1">SUM(Y59:Y60)</f>
        <v>-941199538</v>
      </c>
      <c r="AA58" s="934">
        <f ca="1">SUM(AA59:AA60)</f>
        <v>-941200</v>
      </c>
      <c r="AB58" s="928">
        <v>35</v>
      </c>
      <c r="AC58" s="943" t="s">
        <v>3555</v>
      </c>
      <c r="AD58" s="930">
        <f>+AD59+AD60</f>
        <v>-941200</v>
      </c>
      <c r="AE58" s="929" t="str">
        <f ca="1">IF(AA58-AD58=0,"Ok","Error")</f>
        <v>Ok</v>
      </c>
      <c r="AF58" s="926">
        <f ca="1">ROUND(+AD58-AA58,0)</f>
        <v>0</v>
      </c>
    </row>
    <row r="59" spans="2:34" s="921" customFormat="1" ht="15">
      <c r="B59" s="942">
        <v>5313210</v>
      </c>
      <c r="C59" s="945"/>
      <c r="D59" s="1787" t="s">
        <v>3459</v>
      </c>
      <c r="E59" s="1787"/>
      <c r="F59" s="1787"/>
      <c r="G59" s="1787"/>
      <c r="H59" s="1787"/>
      <c r="I59" s="1135">
        <f ca="1">-SUMIF('Mapping FECU'!$E$9:$G$601,'Resultado Integral'!B59,'Mapping FECU'!$G$9:$G$601)</f>
        <v>0</v>
      </c>
      <c r="J59" s="946"/>
      <c r="K59" s="946"/>
      <c r="L59" s="946"/>
      <c r="M59" s="946"/>
      <c r="N59" s="946"/>
      <c r="O59" s="946"/>
      <c r="P59" s="946"/>
      <c r="Q59" s="946"/>
      <c r="R59" s="946"/>
      <c r="S59" s="946"/>
      <c r="T59" s="946"/>
      <c r="U59" s="946"/>
      <c r="V59" s="946"/>
      <c r="W59" s="946"/>
      <c r="X59" s="946"/>
      <c r="Y59" s="946">
        <f ca="1">SUM(I59:X59)</f>
        <v>0</v>
      </c>
      <c r="Z59" s="1145">
        <v>5313210</v>
      </c>
      <c r="AA59" s="989">
        <f t="shared" ca="1" si="15"/>
        <v>0</v>
      </c>
      <c r="AB59" s="928">
        <v>35</v>
      </c>
      <c r="AC59" s="943" t="s">
        <v>3555</v>
      </c>
      <c r="AD59" s="930">
        <f>+'Nota 35'!G17</f>
        <v>0</v>
      </c>
      <c r="AE59" s="929" t="str">
        <f ca="1">IF(AA59-AD59=0,"Ok","Error")</f>
        <v>Ok</v>
      </c>
      <c r="AF59" s="926">
        <f ca="1">+AD59-AA59</f>
        <v>0</v>
      </c>
    </row>
    <row r="60" spans="2:34" s="921" customFormat="1" ht="15">
      <c r="B60" s="942">
        <v>5313220</v>
      </c>
      <c r="C60" s="945"/>
      <c r="D60" s="1787" t="s">
        <v>3471</v>
      </c>
      <c r="E60" s="1787"/>
      <c r="F60" s="1787"/>
      <c r="G60" s="1787"/>
      <c r="H60" s="1787"/>
      <c r="I60" s="1135">
        <f ca="1">-SUMIF('Mapping FECU'!$E$9:$G$601,'Resultado Integral'!B60,'Mapping FECU'!$G$9:$G$601)</f>
        <v>231094123</v>
      </c>
      <c r="J60" s="1152"/>
      <c r="K60" s="946"/>
      <c r="L60" s="946">
        <v>-1172293661</v>
      </c>
      <c r="M60" s="946"/>
      <c r="N60" s="946"/>
      <c r="O60" s="946"/>
      <c r="P60" s="946">
        <f>-P64</f>
        <v>0</v>
      </c>
      <c r="Q60" s="946"/>
      <c r="R60" s="946"/>
      <c r="S60" s="946"/>
      <c r="T60" s="946"/>
      <c r="U60" s="946"/>
      <c r="V60" s="946"/>
      <c r="W60" s="946"/>
      <c r="X60" s="946"/>
      <c r="Y60" s="946">
        <f ca="1">SUM(I60:X60)</f>
        <v>-941199538</v>
      </c>
      <c r="Z60" s="1145">
        <v>5313220</v>
      </c>
      <c r="AA60" s="946">
        <f t="shared" ca="1" si="15"/>
        <v>-941200</v>
      </c>
      <c r="AB60" s="928">
        <v>35</v>
      </c>
      <c r="AC60" s="943" t="s">
        <v>3555</v>
      </c>
      <c r="AD60" s="930">
        <f>+'Nota 35'!G20</f>
        <v>-941200</v>
      </c>
      <c r="AE60" s="929" t="str">
        <f ca="1">IF(AA60-AD60=0,"Ok","Error")</f>
        <v>Ok</v>
      </c>
      <c r="AF60" s="926">
        <f ca="1">ROUND(+AD60-AA60,0)</f>
        <v>0</v>
      </c>
    </row>
    <row r="61" spans="2:34" s="921" customFormat="1" ht="15">
      <c r="B61" s="942"/>
      <c r="C61" s="945"/>
      <c r="D61" s="938"/>
      <c r="E61" s="938"/>
      <c r="F61" s="938"/>
      <c r="G61" s="938"/>
      <c r="H61" s="938"/>
      <c r="I61" s="946"/>
      <c r="J61" s="946"/>
      <c r="K61" s="946"/>
      <c r="L61" s="946"/>
      <c r="M61" s="946"/>
      <c r="N61" s="946"/>
      <c r="O61" s="946"/>
      <c r="P61" s="946"/>
      <c r="Q61" s="946"/>
      <c r="R61" s="946"/>
      <c r="S61" s="946"/>
      <c r="T61" s="946"/>
      <c r="U61" s="946"/>
      <c r="V61" s="946"/>
      <c r="W61" s="946"/>
      <c r="X61" s="946"/>
      <c r="Y61" s="946"/>
      <c r="AA61" s="946"/>
      <c r="AB61" s="928"/>
      <c r="AC61" s="943"/>
      <c r="AD61" s="930"/>
      <c r="AE61" s="929"/>
      <c r="AF61" s="926"/>
    </row>
    <row r="62" spans="2:34" s="921" customFormat="1" ht="15">
      <c r="B62" s="958">
        <v>5313300</v>
      </c>
      <c r="C62" s="1795" t="s">
        <v>3699</v>
      </c>
      <c r="D62" s="1795"/>
      <c r="E62" s="1795"/>
      <c r="F62" s="1795"/>
      <c r="G62" s="1795"/>
      <c r="H62" s="1795"/>
      <c r="I62" s="934">
        <f ca="1">SUM(I63:I66)</f>
        <v>18787534226</v>
      </c>
      <c r="J62" s="934">
        <f>SUM(J63:J66)</f>
        <v>386545</v>
      </c>
      <c r="K62" s="934">
        <f>SUM(K63:K66)</f>
        <v>-717897511</v>
      </c>
      <c r="L62" s="934">
        <f t="shared" ref="L62:W62" si="18">SUM(L63:L66)</f>
        <v>-104387648</v>
      </c>
      <c r="M62" s="934">
        <f t="shared" si="18"/>
        <v>-178055333</v>
      </c>
      <c r="N62" s="934">
        <f>SUM(N63:N66)</f>
        <v>0</v>
      </c>
      <c r="O62" s="934">
        <f t="shared" si="18"/>
        <v>0</v>
      </c>
      <c r="P62" s="934"/>
      <c r="Q62" s="934"/>
      <c r="R62" s="934"/>
      <c r="S62" s="934">
        <f t="shared" si="18"/>
        <v>0</v>
      </c>
      <c r="T62" s="934">
        <f t="shared" si="18"/>
        <v>0</v>
      </c>
      <c r="U62" s="934">
        <f t="shared" si="18"/>
        <v>0</v>
      </c>
      <c r="V62" s="934">
        <f t="shared" si="18"/>
        <v>0</v>
      </c>
      <c r="W62" s="934">
        <f t="shared" si="18"/>
        <v>-109861573</v>
      </c>
      <c r="X62" s="934">
        <f>SUM(X63:X66)</f>
        <v>0</v>
      </c>
      <c r="Y62" s="934">
        <f ca="1">+Y63+Y64+Y65+Y66</f>
        <v>17677718706</v>
      </c>
      <c r="AA62" s="934">
        <f ca="1">+AA63+AA64-AA65-AA66</f>
        <v>17677718</v>
      </c>
      <c r="AB62" s="928">
        <v>35</v>
      </c>
      <c r="AC62" s="943" t="s">
        <v>3555</v>
      </c>
      <c r="AD62" s="930">
        <f>+AD63+AD64-AD65-AD66</f>
        <v>17677718</v>
      </c>
      <c r="AE62" s="929" t="str">
        <f ca="1">IF(AA62-AD62=0,"Ok","Error")</f>
        <v>Ok</v>
      </c>
      <c r="AF62" s="926">
        <f ca="1">ROUND(+AD62-AA62,0)</f>
        <v>0</v>
      </c>
    </row>
    <row r="63" spans="2:34" s="921" customFormat="1" ht="15">
      <c r="B63" s="942">
        <v>5313310</v>
      </c>
      <c r="C63" s="945"/>
      <c r="D63" s="1787" t="s">
        <v>3459</v>
      </c>
      <c r="E63" s="1787"/>
      <c r="F63" s="1787"/>
      <c r="G63" s="1787"/>
      <c r="H63" s="1787"/>
      <c r="I63" s="1135">
        <f ca="1">-SUMIF('Mapping FECU'!$E$9:$G$601,'Resultado Integral'!B63,'Mapping FECU'!$G$9:$G$601)</f>
        <v>4934506810</v>
      </c>
      <c r="J63" s="946"/>
      <c r="K63" s="946"/>
      <c r="L63" s="946">
        <v>-104387648</v>
      </c>
      <c r="M63" s="946">
        <v>-178044868</v>
      </c>
      <c r="N63" s="946"/>
      <c r="O63" s="946"/>
      <c r="P63" s="946"/>
      <c r="Q63" s="946"/>
      <c r="R63" s="946"/>
      <c r="S63" s="946"/>
      <c r="T63" s="946"/>
      <c r="U63" s="946"/>
      <c r="V63" s="946"/>
      <c r="W63" s="946"/>
      <c r="X63" s="946"/>
      <c r="Y63" s="946">
        <f ca="1">SUM(I63:X63)</f>
        <v>4652074294</v>
      </c>
      <c r="Z63" s="1145">
        <v>5313310</v>
      </c>
      <c r="AA63" s="946">
        <f ca="1">ROUND(Y63/1000,0)</f>
        <v>4652074</v>
      </c>
      <c r="AB63" s="928">
        <v>35</v>
      </c>
      <c r="AC63" s="943" t="s">
        <v>3555</v>
      </c>
      <c r="AD63" s="930">
        <f>+'Nota 35'!G24</f>
        <v>4652074</v>
      </c>
      <c r="AE63" s="929" t="str">
        <f ca="1">IF(AA63-AD63=0,"Ok","Error")</f>
        <v>Ok</v>
      </c>
      <c r="AF63" s="926">
        <f ca="1">ROUND(+AD63-AA63,0)</f>
        <v>0</v>
      </c>
    </row>
    <row r="64" spans="2:34" s="921" customFormat="1" ht="15">
      <c r="B64" s="942">
        <v>5313320</v>
      </c>
      <c r="C64" s="945"/>
      <c r="D64" s="1787" t="s">
        <v>3471</v>
      </c>
      <c r="E64" s="1787"/>
      <c r="F64" s="1787"/>
      <c r="G64" s="1787"/>
      <c r="H64" s="1787"/>
      <c r="I64" s="1135">
        <f ca="1">-SUMIF('Mapping FECU'!$E$9:$G$601,'Resultado Integral'!B64,'Mapping FECU'!$G$9:$G$601)</f>
        <v>14571813612</v>
      </c>
      <c r="J64" s="946">
        <f>-J56</f>
        <v>386545</v>
      </c>
      <c r="K64" s="1152">
        <v>-717897511</v>
      </c>
      <c r="L64" s="1152"/>
      <c r="M64" s="1152">
        <v>-10465</v>
      </c>
      <c r="N64" s="1152"/>
      <c r="O64" s="946"/>
      <c r="Q64" s="946"/>
      <c r="R64" s="946"/>
      <c r="S64" s="946"/>
      <c r="T64" s="946"/>
      <c r="U64" s="946"/>
      <c r="V64" s="946"/>
      <c r="W64" s="946"/>
      <c r="X64" s="946"/>
      <c r="Y64" s="946">
        <f ca="1">SUM(I64:X64)</f>
        <v>13854292181</v>
      </c>
      <c r="Z64" s="1145">
        <v>5313320</v>
      </c>
      <c r="AA64" s="946">
        <f ca="1">ROUND(Y64/1000,0)</f>
        <v>13854292</v>
      </c>
      <c r="AB64" s="928">
        <v>35</v>
      </c>
      <c r="AC64" s="943" t="s">
        <v>3555</v>
      </c>
      <c r="AD64" s="930">
        <f>+'Nota 35'!G27</f>
        <v>13854292</v>
      </c>
      <c r="AE64" s="929" t="str">
        <f ca="1">IF(AA64-AD64=0,"Ok","Error")</f>
        <v>Ok</v>
      </c>
      <c r="AF64" s="926">
        <f ca="1">ROUND(+AD64-AA64,0)</f>
        <v>0</v>
      </c>
    </row>
    <row r="65" spans="2:36" s="921" customFormat="1" ht="15">
      <c r="B65" s="942">
        <v>5313330</v>
      </c>
      <c r="C65" s="945"/>
      <c r="D65" s="1787" t="s">
        <v>3486</v>
      </c>
      <c r="E65" s="1787"/>
      <c r="F65" s="1787"/>
      <c r="G65" s="1787"/>
      <c r="H65" s="1787"/>
      <c r="I65" s="1135">
        <f ca="1">-SUMIF('Mapping FECU'!$E$9:$G$601,'Resultado Integral'!B65,'Mapping FECU'!$G$9:$G$601)</f>
        <v>-437234861</v>
      </c>
      <c r="J65" s="946"/>
      <c r="K65" s="946"/>
      <c r="L65" s="946"/>
      <c r="M65" s="946"/>
      <c r="N65" s="946"/>
      <c r="O65" s="946"/>
      <c r="P65" s="946"/>
      <c r="Q65" s="946"/>
      <c r="R65" s="946"/>
      <c r="S65" s="946"/>
      <c r="T65" s="946"/>
      <c r="U65" s="946"/>
      <c r="V65" s="946"/>
      <c r="W65" s="946"/>
      <c r="X65" s="946"/>
      <c r="Y65" s="946">
        <f ca="1">SUM(I65:X65)</f>
        <v>-437234861</v>
      </c>
      <c r="Z65" s="1145">
        <v>5313330</v>
      </c>
      <c r="AA65" s="946">
        <f ca="1">-ROUND(Y65/1000,0)</f>
        <v>437235</v>
      </c>
      <c r="AB65" s="928">
        <v>35</v>
      </c>
      <c r="AC65" s="943" t="s">
        <v>3555</v>
      </c>
      <c r="AD65" s="930">
        <f>+'Nota 35'!G31</f>
        <v>437235</v>
      </c>
      <c r="AE65" s="929" t="str">
        <f ca="1">IF(AA65-AD65=0,"Ok","Error")</f>
        <v>Ok</v>
      </c>
      <c r="AF65" s="926">
        <f ca="1">ROUND(+AD65-AA65,0)</f>
        <v>0</v>
      </c>
      <c r="AJ65" s="921">
        <v>-437234861</v>
      </c>
    </row>
    <row r="66" spans="2:36" s="921" customFormat="1" ht="15">
      <c r="B66" s="942">
        <v>5313340</v>
      </c>
      <c r="C66" s="945"/>
      <c r="D66" s="1787" t="s">
        <v>3483</v>
      </c>
      <c r="E66" s="1787"/>
      <c r="F66" s="1787"/>
      <c r="G66" s="1787"/>
      <c r="H66" s="1787"/>
      <c r="I66" s="1135">
        <f ca="1">-SUMIF('Mapping FECU'!$E$9:$G$601,'Resultado Integral'!B66,'Mapping FECU'!$G$9:$G$601)</f>
        <v>-281551335</v>
      </c>
      <c r="J66" s="946"/>
      <c r="K66" s="946"/>
      <c r="L66" s="946"/>
      <c r="M66" s="946"/>
      <c r="N66" s="946"/>
      <c r="O66" s="946"/>
      <c r="P66" s="946"/>
      <c r="Q66" s="946"/>
      <c r="R66" s="946"/>
      <c r="S66" s="946"/>
      <c r="T66" s="946"/>
      <c r="U66" s="946"/>
      <c r="V66" s="946"/>
      <c r="W66" s="946">
        <f>-547096434+437234861</f>
        <v>-109861573</v>
      </c>
      <c r="X66" s="946"/>
      <c r="Y66" s="946">
        <f ca="1">SUM(I66:X66)</f>
        <v>-391412908</v>
      </c>
      <c r="Z66" s="1145">
        <v>5313340</v>
      </c>
      <c r="AA66" s="946">
        <f ca="1">-ROUND(Y66/1000,0)</f>
        <v>391413</v>
      </c>
      <c r="AB66" s="928">
        <v>35</v>
      </c>
      <c r="AC66" s="943" t="s">
        <v>3555</v>
      </c>
      <c r="AD66" s="930">
        <f>+'Nota 35'!G35</f>
        <v>391413</v>
      </c>
      <c r="AE66" s="929" t="str">
        <f ca="1">IF(AA66-AD66=0,"Ok","Error")</f>
        <v>Ok</v>
      </c>
      <c r="AF66" s="926">
        <f ca="1">ROUND(+AD66-AA66,0)</f>
        <v>0</v>
      </c>
      <c r="AH66" s="923">
        <f ca="1">+Y66-Y65</f>
        <v>45821953</v>
      </c>
      <c r="AJ66" s="921">
        <v>-828647769</v>
      </c>
    </row>
    <row r="67" spans="2:36" s="921" customFormat="1" ht="15">
      <c r="B67" s="942"/>
      <c r="C67" s="945"/>
      <c r="D67" s="938"/>
      <c r="E67" s="938"/>
      <c r="F67" s="938"/>
      <c r="G67" s="938"/>
      <c r="H67" s="938"/>
      <c r="I67" s="946"/>
      <c r="J67" s="946"/>
      <c r="K67" s="946"/>
      <c r="L67" s="946"/>
      <c r="M67" s="946"/>
      <c r="N67" s="946"/>
      <c r="O67" s="946"/>
      <c r="P67" s="946"/>
      <c r="Q67" s="946"/>
      <c r="R67" s="946"/>
      <c r="S67" s="946"/>
      <c r="T67" s="946"/>
      <c r="U67" s="946"/>
      <c r="V67" s="946"/>
      <c r="W67" s="946"/>
      <c r="X67" s="946"/>
      <c r="Y67" s="946"/>
      <c r="Z67" s="929"/>
      <c r="AA67" s="946"/>
      <c r="AB67" s="928"/>
      <c r="AC67" s="943"/>
      <c r="AD67" s="930"/>
      <c r="AE67" s="929"/>
      <c r="AF67" s="926"/>
    </row>
    <row r="68" spans="2:36" s="921" customFormat="1" ht="15">
      <c r="B68" s="958">
        <v>5313400</v>
      </c>
      <c r="C68" s="1795" t="s">
        <v>3700</v>
      </c>
      <c r="D68" s="1795"/>
      <c r="E68" s="1795"/>
      <c r="F68" s="1795"/>
      <c r="G68" s="1795"/>
      <c r="H68" s="1795"/>
      <c r="I68" s="1135">
        <f ca="1">-SUMIF('Mapping FECU'!$E$9:$G$601,'Resultado Integral'!B68,'Mapping FECU'!$G$9:$G$601)</f>
        <v>-61100844</v>
      </c>
      <c r="J68" s="1163">
        <f>-J63</f>
        <v>0</v>
      </c>
      <c r="K68" s="1163">
        <f>-K70-K64-K56</f>
        <v>718199741</v>
      </c>
      <c r="L68" s="1163">
        <f>-L63</f>
        <v>104387648</v>
      </c>
      <c r="M68" s="1163">
        <f>-M64</f>
        <v>10465</v>
      </c>
      <c r="N68" s="1163">
        <f>-N60</f>
        <v>0</v>
      </c>
      <c r="O68" s="934">
        <f>-O64</f>
        <v>0</v>
      </c>
      <c r="P68" s="934"/>
      <c r="Q68" s="934"/>
      <c r="R68" s="934"/>
      <c r="S68" s="934"/>
      <c r="T68" s="934"/>
      <c r="U68" s="934"/>
      <c r="V68" s="934"/>
      <c r="W68" s="934"/>
      <c r="X68" s="934"/>
      <c r="Y68" s="934">
        <f ca="1">SUM(I68:X68)</f>
        <v>761497010</v>
      </c>
      <c r="Z68" s="1145">
        <v>5313400</v>
      </c>
      <c r="AA68" s="934">
        <f t="shared" ref="AA68" ca="1" si="19">ROUND(Y68/1000,0)</f>
        <v>761497</v>
      </c>
      <c r="AB68" s="928">
        <v>35</v>
      </c>
      <c r="AC68" s="943" t="s">
        <v>3555</v>
      </c>
      <c r="AD68" s="930">
        <f>+'Nota 35'!G39</f>
        <v>761497</v>
      </c>
      <c r="AE68" s="929" t="str">
        <f ca="1">IF(AA68-AD68=0,"Ok","Error")</f>
        <v>Ok</v>
      </c>
      <c r="AF68" s="926">
        <f ca="1">ROUND(+AD68-AA68,2)</f>
        <v>0</v>
      </c>
      <c r="AJ68" s="923"/>
    </row>
    <row r="69" spans="2:36" s="921" customFormat="1" ht="15">
      <c r="B69" s="958"/>
      <c r="C69" s="944"/>
      <c r="D69" s="944"/>
      <c r="E69" s="944"/>
      <c r="F69" s="944"/>
      <c r="G69" s="944"/>
      <c r="H69" s="944"/>
      <c r="I69" s="934"/>
      <c r="J69" s="934"/>
      <c r="K69" s="946"/>
      <c r="L69" s="946"/>
      <c r="M69" s="946"/>
      <c r="N69" s="946"/>
      <c r="O69" s="946"/>
      <c r="P69" s="946"/>
      <c r="Q69" s="946"/>
      <c r="R69" s="946"/>
      <c r="S69" s="946"/>
      <c r="T69" s="934"/>
      <c r="U69" s="934"/>
      <c r="V69" s="934"/>
      <c r="W69" s="934"/>
      <c r="X69" s="934"/>
      <c r="Y69" s="934"/>
      <c r="Z69" s="929"/>
      <c r="AA69" s="934"/>
      <c r="AB69" s="928"/>
      <c r="AC69" s="943"/>
      <c r="AD69" s="930"/>
      <c r="AE69" s="929"/>
      <c r="AF69" s="926"/>
    </row>
    <row r="70" spans="2:36" s="921" customFormat="1" ht="15">
      <c r="B70" s="958">
        <v>5313500</v>
      </c>
      <c r="C70" s="1795" t="s">
        <v>3454</v>
      </c>
      <c r="D70" s="1795"/>
      <c r="E70" s="1795"/>
      <c r="F70" s="1795"/>
      <c r="G70" s="1795"/>
      <c r="H70" s="1795"/>
      <c r="I70" s="1135">
        <f ca="1">-SUMIF('Mapping FECU'!$E$9:$G$601,'Resultado Integral'!B70,'Mapping FECU'!$G$9:$G$601)</f>
        <v>-213040748</v>
      </c>
      <c r="J70" s="934"/>
      <c r="K70" s="1152">
        <v>-193494</v>
      </c>
      <c r="L70" s="1152"/>
      <c r="M70" s="946">
        <f>-M63</f>
        <v>178044868</v>
      </c>
      <c r="N70" s="946"/>
      <c r="O70" s="946"/>
      <c r="P70" s="946"/>
      <c r="Q70" s="946"/>
      <c r="R70" s="946"/>
      <c r="S70" s="946">
        <f>-S56</f>
        <v>0</v>
      </c>
      <c r="T70" s="934"/>
      <c r="U70" s="934"/>
      <c r="V70" s="934"/>
      <c r="W70" s="934"/>
      <c r="X70" s="934"/>
      <c r="Y70" s="946">
        <f ca="1">SUM(I70:X70)</f>
        <v>-35189374</v>
      </c>
      <c r="Z70" s="1145">
        <v>5313500</v>
      </c>
      <c r="AA70" s="987">
        <f ca="1">-ROUND(Y70/1000,0)</f>
        <v>35189</v>
      </c>
      <c r="AB70" s="928">
        <v>35</v>
      </c>
      <c r="AC70" s="943" t="s">
        <v>3555</v>
      </c>
      <c r="AD70" s="930">
        <f>+'Nota 35'!G40</f>
        <v>35189</v>
      </c>
      <c r="AE70" s="929" t="str">
        <f ca="1">IF(AA70-AD70=0,"Ok","Error")</f>
        <v>Ok</v>
      </c>
      <c r="AF70" s="926">
        <f ca="1">ROUND(+AD70-AA70,0)</f>
        <v>0</v>
      </c>
    </row>
    <row r="71" spans="2:36" s="921" customFormat="1">
      <c r="B71" s="942"/>
      <c r="C71" s="945"/>
      <c r="D71" s="945"/>
      <c r="E71" s="945"/>
      <c r="F71" s="945"/>
      <c r="G71" s="945"/>
      <c r="H71" s="945"/>
      <c r="I71" s="940"/>
      <c r="J71" s="940"/>
      <c r="K71" s="940"/>
      <c r="L71" s="940"/>
      <c r="M71" s="940"/>
      <c r="N71" s="940"/>
      <c r="O71" s="940"/>
      <c r="P71" s="940"/>
      <c r="Q71" s="940"/>
      <c r="R71" s="940"/>
      <c r="S71" s="940"/>
      <c r="T71" s="940"/>
      <c r="U71" s="940"/>
      <c r="V71" s="940"/>
      <c r="W71" s="940"/>
      <c r="X71" s="940"/>
      <c r="Y71" s="940"/>
      <c r="Z71" s="929"/>
      <c r="AA71" s="995"/>
      <c r="AB71" s="928"/>
      <c r="AC71" s="925"/>
      <c r="AD71" s="930"/>
      <c r="AE71" s="925"/>
      <c r="AF71" s="1150"/>
    </row>
    <row r="72" spans="2:36" s="921" customFormat="1">
      <c r="B72" s="979">
        <v>5314000</v>
      </c>
      <c r="C72" s="1797" t="s">
        <v>3701</v>
      </c>
      <c r="D72" s="1797"/>
      <c r="E72" s="1797"/>
      <c r="F72" s="1797"/>
      <c r="G72" s="1797"/>
      <c r="H72" s="1797"/>
      <c r="I72" s="937">
        <f t="shared" ref="I72:V72" ca="1" si="20">+I10+I47+I52</f>
        <v>4398997447</v>
      </c>
      <c r="J72" s="937">
        <f>+J10+J47+J52</f>
        <v>0</v>
      </c>
      <c r="K72" s="937">
        <f t="shared" si="20"/>
        <v>0</v>
      </c>
      <c r="L72" s="937"/>
      <c r="M72" s="937">
        <f>+M10+M47+M52</f>
        <v>0</v>
      </c>
      <c r="N72" s="937">
        <f t="shared" si="20"/>
        <v>0</v>
      </c>
      <c r="O72" s="937">
        <f t="shared" si="20"/>
        <v>0</v>
      </c>
      <c r="P72" s="937"/>
      <c r="Q72" s="937"/>
      <c r="R72" s="937"/>
      <c r="S72" s="937">
        <f t="shared" si="20"/>
        <v>0</v>
      </c>
      <c r="T72" s="937">
        <f t="shared" si="20"/>
        <v>0</v>
      </c>
      <c r="U72" s="937">
        <f t="shared" si="20"/>
        <v>0</v>
      </c>
      <c r="V72" s="937">
        <f t="shared" si="20"/>
        <v>1000</v>
      </c>
      <c r="W72" s="937"/>
      <c r="X72" s="937"/>
      <c r="Y72" s="937">
        <f ca="1">+Y10+Y47+Y52</f>
        <v>4359375447</v>
      </c>
      <c r="Z72" s="1145">
        <v>5314000</v>
      </c>
      <c r="AA72" s="937">
        <f ca="1">+AA10+AA52-AA47</f>
        <v>4359376</v>
      </c>
      <c r="AB72" s="928"/>
      <c r="AC72" s="925"/>
      <c r="AD72" s="930"/>
      <c r="AE72" s="925"/>
      <c r="AF72" s="1150"/>
    </row>
    <row r="73" spans="2:36" s="921" customFormat="1">
      <c r="B73" s="942"/>
      <c r="C73" s="945"/>
      <c r="D73" s="945"/>
      <c r="E73" s="945"/>
      <c r="F73" s="945"/>
      <c r="G73" s="945"/>
      <c r="H73" s="945"/>
      <c r="I73" s="940"/>
      <c r="J73" s="941"/>
      <c r="K73" s="941"/>
      <c r="L73" s="941"/>
      <c r="M73" s="941"/>
      <c r="N73" s="941"/>
      <c r="O73" s="941"/>
      <c r="P73" s="941"/>
      <c r="Q73" s="941"/>
      <c r="R73" s="941"/>
      <c r="S73" s="941"/>
      <c r="T73" s="941"/>
      <c r="U73" s="941"/>
      <c r="V73" s="941"/>
      <c r="W73" s="941"/>
      <c r="X73" s="941"/>
      <c r="Y73" s="941"/>
      <c r="Z73" s="929"/>
      <c r="AA73" s="996"/>
      <c r="AB73" s="928"/>
      <c r="AC73" s="925"/>
      <c r="AD73" s="930"/>
      <c r="AE73" s="925"/>
      <c r="AF73" s="1150"/>
    </row>
    <row r="74" spans="2:36" s="921" customFormat="1">
      <c r="B74" s="979">
        <v>5315000</v>
      </c>
      <c r="C74" s="1797" t="s">
        <v>3702</v>
      </c>
      <c r="D74" s="1797"/>
      <c r="E74" s="1797"/>
      <c r="F74" s="1797"/>
      <c r="G74" s="1797"/>
      <c r="H74" s="1797"/>
      <c r="I74" s="937">
        <f ca="1">SUM(I76:I77)</f>
        <v>198484824</v>
      </c>
      <c r="J74" s="937">
        <f t="shared" ref="J74:X74" si="21">SUM(J76:J77)</f>
        <v>0</v>
      </c>
      <c r="K74" s="937">
        <f t="shared" si="21"/>
        <v>0</v>
      </c>
      <c r="L74" s="937"/>
      <c r="M74" s="937">
        <f t="shared" si="21"/>
        <v>0</v>
      </c>
      <c r="N74" s="937">
        <f t="shared" si="21"/>
        <v>0</v>
      </c>
      <c r="O74" s="937">
        <f t="shared" si="21"/>
        <v>0</v>
      </c>
      <c r="P74" s="937"/>
      <c r="Q74" s="937"/>
      <c r="R74" s="937"/>
      <c r="S74" s="937">
        <f t="shared" si="21"/>
        <v>0</v>
      </c>
      <c r="T74" s="937">
        <f t="shared" si="21"/>
        <v>0</v>
      </c>
      <c r="U74" s="937">
        <f t="shared" si="21"/>
        <v>0</v>
      </c>
      <c r="V74" s="937">
        <f t="shared" si="21"/>
        <v>0</v>
      </c>
      <c r="W74" s="937">
        <f t="shared" si="21"/>
        <v>0</v>
      </c>
      <c r="X74" s="937">
        <f t="shared" si="21"/>
        <v>0</v>
      </c>
      <c r="Y74" s="937">
        <f ca="1">SUM(Y76:Y77)</f>
        <v>198484824</v>
      </c>
      <c r="Z74" s="1145">
        <v>5315000</v>
      </c>
      <c r="AA74" s="937">
        <f ca="1">+AA76-AA77</f>
        <v>198485</v>
      </c>
      <c r="AB74" s="928"/>
      <c r="AC74" s="925"/>
      <c r="AD74" s="930"/>
      <c r="AE74" s="925"/>
      <c r="AF74" s="1150"/>
    </row>
    <row r="75" spans="2:36" s="921" customFormat="1">
      <c r="B75" s="981"/>
      <c r="C75" s="978"/>
      <c r="D75" s="978"/>
      <c r="E75" s="978"/>
      <c r="F75" s="978"/>
      <c r="G75" s="978"/>
      <c r="H75" s="978"/>
      <c r="I75" s="954"/>
      <c r="J75" s="954"/>
      <c r="K75" s="954"/>
      <c r="L75" s="954"/>
      <c r="M75" s="954"/>
      <c r="N75" s="954"/>
      <c r="O75" s="954"/>
      <c r="P75" s="954"/>
      <c r="Q75" s="954"/>
      <c r="R75" s="954"/>
      <c r="S75" s="954"/>
      <c r="T75" s="954"/>
      <c r="U75" s="954"/>
      <c r="V75" s="954"/>
      <c r="W75" s="954"/>
      <c r="X75" s="954"/>
      <c r="Y75" s="982"/>
      <c r="Z75" s="929"/>
      <c r="AA75" s="988"/>
      <c r="AB75" s="928"/>
      <c r="AC75" s="925"/>
      <c r="AD75" s="930"/>
      <c r="AE75" s="925"/>
      <c r="AF75" s="1150"/>
    </row>
    <row r="76" spans="2:36" s="921" customFormat="1" ht="15">
      <c r="B76" s="973"/>
      <c r="C76" s="939">
        <v>5315100</v>
      </c>
      <c r="D76" s="938" t="s">
        <v>3457</v>
      </c>
      <c r="E76" s="938"/>
      <c r="F76" s="938"/>
      <c r="G76" s="938"/>
      <c r="H76" s="938"/>
      <c r="I76" s="1135">
        <f ca="1">-SUMIF('Mapping FECU'!$E$9:$G$601,'Resultado Integral'!C76,'Mapping FECU'!$G$9:$G$601)</f>
        <v>310857070</v>
      </c>
      <c r="J76" s="946">
        <v>0</v>
      </c>
      <c r="K76" s="946"/>
      <c r="L76" s="946"/>
      <c r="M76" s="946"/>
      <c r="N76" s="946"/>
      <c r="O76" s="946"/>
      <c r="P76" s="946"/>
      <c r="Q76" s="946"/>
      <c r="R76" s="946"/>
      <c r="S76" s="946"/>
      <c r="T76" s="946"/>
      <c r="U76" s="946"/>
      <c r="V76" s="946">
        <f>-V63</f>
        <v>0</v>
      </c>
      <c r="W76" s="946"/>
      <c r="X76" s="946"/>
      <c r="Y76" s="946">
        <f ca="1">SUM(I76:X76)</f>
        <v>310857070</v>
      </c>
      <c r="Z76" s="1145">
        <v>5315100</v>
      </c>
      <c r="AA76" s="987">
        <f ca="1">ROUND(Y76/1000,0)</f>
        <v>310857</v>
      </c>
      <c r="AB76" s="928">
        <v>36</v>
      </c>
      <c r="AC76" s="943" t="s">
        <v>3458</v>
      </c>
      <c r="AD76" s="930">
        <f>+'Nota 36'!E22</f>
        <v>310857</v>
      </c>
      <c r="AE76" s="929" t="str">
        <f ca="1">IF(AA76-AD76=0,"Ok","Error")</f>
        <v>Ok</v>
      </c>
      <c r="AF76" s="926">
        <f ca="1">ROUND(+AD76-AA76,0)</f>
        <v>0</v>
      </c>
    </row>
    <row r="77" spans="2:36" s="921" customFormat="1" ht="15">
      <c r="B77" s="973"/>
      <c r="C77" s="939">
        <v>5315200</v>
      </c>
      <c r="D77" s="938" t="s">
        <v>3703</v>
      </c>
      <c r="E77" s="938"/>
      <c r="F77" s="938"/>
      <c r="G77" s="938"/>
      <c r="H77" s="938"/>
      <c r="I77" s="1135">
        <f ca="1">-SUMIF('Mapping FECU'!$E$9:$G$601,'Resultado Integral'!C77,'Mapping FECU'!$G$9:$G$601)</f>
        <v>-112372246</v>
      </c>
      <c r="J77" s="946">
        <v>0</v>
      </c>
      <c r="K77" s="946"/>
      <c r="L77" s="946"/>
      <c r="M77" s="946"/>
      <c r="N77" s="946"/>
      <c r="O77" s="946"/>
      <c r="P77" s="946"/>
      <c r="Q77" s="946"/>
      <c r="R77" s="946"/>
      <c r="S77" s="946"/>
      <c r="T77" s="946"/>
      <c r="U77" s="946"/>
      <c r="V77" s="946"/>
      <c r="W77" s="946"/>
      <c r="X77" s="946"/>
      <c r="Y77" s="946">
        <f ca="1">SUM(I77:X77)</f>
        <v>-112372246</v>
      </c>
      <c r="Z77" s="1145">
        <v>5315200</v>
      </c>
      <c r="AA77" s="987">
        <f ca="1">-ROUND(Y77/1000,0)</f>
        <v>112372</v>
      </c>
      <c r="AB77" s="928">
        <v>37</v>
      </c>
      <c r="AC77" s="943" t="s">
        <v>3704</v>
      </c>
      <c r="AD77" s="930">
        <f>+'Nota 37'!E22</f>
        <v>112372</v>
      </c>
      <c r="AE77" s="929" t="str">
        <f ca="1">IF(AA77-AD77=0,"Ok","Error")</f>
        <v>Ok</v>
      </c>
      <c r="AF77" s="926">
        <f ca="1">ROUND(+AD77-AA77,0)</f>
        <v>0</v>
      </c>
    </row>
    <row r="78" spans="2:36" s="921" customFormat="1" ht="15">
      <c r="B78" s="980"/>
      <c r="C78" s="955"/>
      <c r="D78" s="952"/>
      <c r="E78" s="952"/>
      <c r="F78" s="952"/>
      <c r="G78" s="952"/>
      <c r="H78" s="952"/>
      <c r="I78" s="940"/>
      <c r="J78" s="940"/>
      <c r="K78" s="940"/>
      <c r="L78" s="940"/>
      <c r="M78" s="940"/>
      <c r="N78" s="940"/>
      <c r="O78" s="940"/>
      <c r="P78" s="940"/>
      <c r="Q78" s="940"/>
      <c r="R78" s="940"/>
      <c r="S78" s="940"/>
      <c r="T78" s="940"/>
      <c r="U78" s="940"/>
      <c r="V78" s="940"/>
      <c r="W78" s="940"/>
      <c r="X78" s="940"/>
      <c r="Y78" s="941"/>
      <c r="Z78" s="929"/>
      <c r="AA78" s="987"/>
      <c r="AB78" s="928"/>
      <c r="AC78" s="943"/>
      <c r="AD78" s="930"/>
      <c r="AE78" s="929"/>
      <c r="AF78" s="926"/>
    </row>
    <row r="79" spans="2:36" s="921" customFormat="1" ht="15">
      <c r="B79" s="974">
        <v>5316100</v>
      </c>
      <c r="C79" s="1798" t="s">
        <v>3475</v>
      </c>
      <c r="D79" s="1798"/>
      <c r="E79" s="1798"/>
      <c r="F79" s="1798"/>
      <c r="G79" s="1798"/>
      <c r="H79" s="1798"/>
      <c r="I79" s="1135">
        <f ca="1">-SUMIF('Mapping FECU'!$E$9:$G$601,'Resultado Integral'!B79,'Mapping FECU'!$G$9:$G$601)</f>
        <v>439420325</v>
      </c>
      <c r="J79" s="946"/>
      <c r="K79" s="946"/>
      <c r="L79" s="946"/>
      <c r="M79" s="946"/>
      <c r="N79" s="946"/>
      <c r="O79" s="946"/>
      <c r="P79" s="946"/>
      <c r="Q79" s="946">
        <f>-Q27</f>
        <v>39628000</v>
      </c>
      <c r="R79" s="946">
        <v>1319919580</v>
      </c>
      <c r="S79" s="946">
        <f>-S72</f>
        <v>0</v>
      </c>
      <c r="T79" s="946">
        <v>0</v>
      </c>
      <c r="U79" s="946"/>
      <c r="V79" s="1162"/>
      <c r="W79" s="946">
        <f>-1000-1000</f>
        <v>-2000</v>
      </c>
      <c r="X79" s="946">
        <f>-3000-1000</f>
        <v>-4000</v>
      </c>
      <c r="Y79" s="946">
        <f ca="1">SUM(I79:X79)</f>
        <v>1798961905</v>
      </c>
      <c r="Z79" s="947">
        <v>5316100</v>
      </c>
      <c r="AA79" s="946">
        <f ca="1">ROUND(Y79/1000,0)</f>
        <v>1798962</v>
      </c>
      <c r="AB79" s="975" t="s">
        <v>3705</v>
      </c>
      <c r="AC79" s="943" t="s">
        <v>3706</v>
      </c>
      <c r="AD79" s="930">
        <f>+'Nota 38'!G36</f>
        <v>1798962</v>
      </c>
      <c r="AE79" s="929" t="str">
        <f ca="1">IF(AA79-AD79=0,"Ok","Error")</f>
        <v>Ok</v>
      </c>
      <c r="AF79" s="926">
        <f ca="1">ROUND(+AD79-AA79,0)</f>
        <v>0</v>
      </c>
      <c r="AH79" s="923"/>
    </row>
    <row r="80" spans="2:36" s="921" customFormat="1" ht="15">
      <c r="B80" s="974"/>
      <c r="C80" s="972"/>
      <c r="D80" s="972"/>
      <c r="E80" s="972"/>
      <c r="F80" s="972"/>
      <c r="G80" s="972"/>
      <c r="H80" s="972"/>
      <c r="I80" s="940"/>
      <c r="J80" s="940"/>
      <c r="K80" s="940"/>
      <c r="L80" s="940"/>
      <c r="M80" s="940"/>
      <c r="N80" s="940"/>
      <c r="O80" s="940"/>
      <c r="P80" s="940"/>
      <c r="Q80" s="940"/>
      <c r="R80" s="940"/>
      <c r="S80" s="940"/>
      <c r="T80" s="940"/>
      <c r="U80" s="940"/>
      <c r="V80" s="940"/>
      <c r="W80" s="940"/>
      <c r="X80" s="940"/>
      <c r="Y80" s="941"/>
      <c r="Z80" s="947"/>
      <c r="AA80" s="946"/>
      <c r="AB80" s="975"/>
      <c r="AC80" s="943"/>
      <c r="AD80" s="930"/>
      <c r="AE80" s="929"/>
      <c r="AF80" s="926"/>
    </row>
    <row r="81" spans="2:32" s="921" customFormat="1" ht="15">
      <c r="B81" s="974">
        <v>5316200</v>
      </c>
      <c r="C81" s="1798" t="s">
        <v>3707</v>
      </c>
      <c r="D81" s="1798"/>
      <c r="E81" s="1798"/>
      <c r="F81" s="1798"/>
      <c r="G81" s="1798"/>
      <c r="H81" s="1798"/>
      <c r="I81" s="1135">
        <f ca="1">-SUMIF('Mapping FECU'!$E$9:$G$601,'Resultado Integral'!B81,'Mapping FECU'!$G$9:$G$601)</f>
        <v>0</v>
      </c>
      <c r="J81" s="946"/>
      <c r="K81" s="946"/>
      <c r="L81" s="946"/>
      <c r="M81" s="946"/>
      <c r="N81" s="946"/>
      <c r="O81" s="946"/>
      <c r="P81" s="946"/>
      <c r="Q81" s="946"/>
      <c r="R81" s="946">
        <f>-R79</f>
        <v>-1319919580</v>
      </c>
      <c r="S81" s="946"/>
      <c r="T81" s="946">
        <f>-T26-T31</f>
        <v>0</v>
      </c>
      <c r="U81" s="946"/>
      <c r="V81" s="946">
        <f>-V79</f>
        <v>0</v>
      </c>
      <c r="W81" s="946"/>
      <c r="X81" s="946"/>
      <c r="Y81" s="946">
        <f ca="1">SUM(I81:X81)</f>
        <v>-1319919580</v>
      </c>
      <c r="Z81" s="947">
        <v>5316200</v>
      </c>
      <c r="AA81" s="946">
        <f ca="1">ROUND(Y81/1000,0)</f>
        <v>-1319920</v>
      </c>
      <c r="AB81" s="975" t="s">
        <v>3708</v>
      </c>
      <c r="AC81" s="943" t="s">
        <v>3709</v>
      </c>
      <c r="AD81" s="930">
        <f>+'Nota 38'!G72</f>
        <v>-1319920</v>
      </c>
      <c r="AE81" s="929" t="str">
        <f ca="1">IF(AA81-AD81=0,"Ok","Error")</f>
        <v>Ok</v>
      </c>
      <c r="AF81" s="926">
        <f ca="1">ROUND(+AD81-AA81,0)</f>
        <v>0</v>
      </c>
    </row>
    <row r="82" spans="2:32" s="921" customFormat="1">
      <c r="B82" s="974"/>
      <c r="C82" s="972"/>
      <c r="D82" s="972"/>
      <c r="E82" s="972"/>
      <c r="F82" s="972"/>
      <c r="G82" s="972"/>
      <c r="H82" s="972"/>
      <c r="I82" s="940"/>
      <c r="J82" s="940"/>
      <c r="K82" s="940"/>
      <c r="L82" s="940"/>
      <c r="M82" s="940"/>
      <c r="N82" s="940"/>
      <c r="O82" s="940"/>
      <c r="P82" s="940"/>
      <c r="Q82" s="940"/>
      <c r="R82" s="940"/>
      <c r="S82" s="940"/>
      <c r="T82" s="940"/>
      <c r="U82" s="940"/>
      <c r="V82" s="940"/>
      <c r="W82" s="940"/>
      <c r="X82" s="940"/>
      <c r="Y82" s="941"/>
      <c r="Z82" s="929"/>
      <c r="AA82" s="987"/>
      <c r="AB82" s="928"/>
      <c r="AC82" s="925"/>
      <c r="AD82" s="930"/>
      <c r="AE82" s="925"/>
      <c r="AF82" s="1150"/>
    </row>
    <row r="83" spans="2:32" s="921" customFormat="1">
      <c r="B83" s="979">
        <v>5317000</v>
      </c>
      <c r="C83" s="1797" t="s">
        <v>3710</v>
      </c>
      <c r="D83" s="1797"/>
      <c r="E83" s="1797"/>
      <c r="F83" s="1797"/>
      <c r="G83" s="1797"/>
      <c r="H83" s="1797"/>
      <c r="I83" s="937">
        <f ca="1">+I74+I79+I81+I72</f>
        <v>5036902596</v>
      </c>
      <c r="J83" s="937">
        <f>+J74+J79+J81+J72</f>
        <v>0</v>
      </c>
      <c r="K83" s="937"/>
      <c r="L83" s="937"/>
      <c r="M83" s="937"/>
      <c r="N83" s="937"/>
      <c r="O83" s="937">
        <f>+O74+O79+O81+O72</f>
        <v>0</v>
      </c>
      <c r="P83" s="937"/>
      <c r="Q83" s="937"/>
      <c r="R83" s="937"/>
      <c r="S83" s="937">
        <f>+S74+S79+S81+S72</f>
        <v>0</v>
      </c>
      <c r="T83" s="937">
        <f>+T74+T79+T81+T72</f>
        <v>0</v>
      </c>
      <c r="U83" s="937"/>
      <c r="V83" s="937">
        <f>+V74+V79+V81+V72</f>
        <v>1000</v>
      </c>
      <c r="W83" s="937"/>
      <c r="X83" s="937"/>
      <c r="Y83" s="937">
        <f ca="1">+Y74+Y79+Y81+Y72</f>
        <v>5036902596</v>
      </c>
      <c r="Z83" s="947">
        <v>5317000</v>
      </c>
      <c r="AA83" s="937">
        <f ca="1">+AA74+AA79+AA81+AA72</f>
        <v>5036903</v>
      </c>
      <c r="AB83" s="928"/>
      <c r="AC83" s="925"/>
      <c r="AD83" s="930"/>
      <c r="AE83" s="925"/>
      <c r="AF83" s="1138"/>
    </row>
    <row r="84" spans="2:32" s="921" customFormat="1">
      <c r="B84" s="981"/>
      <c r="C84" s="978"/>
      <c r="D84" s="978"/>
      <c r="E84" s="978"/>
      <c r="F84" s="978"/>
      <c r="G84" s="978"/>
      <c r="H84" s="978"/>
      <c r="I84" s="954"/>
      <c r="J84" s="954"/>
      <c r="K84" s="954"/>
      <c r="L84" s="954"/>
      <c r="M84" s="954"/>
      <c r="N84" s="954"/>
      <c r="O84" s="954"/>
      <c r="P84" s="954"/>
      <c r="Q84" s="954"/>
      <c r="R84" s="954"/>
      <c r="S84" s="954"/>
      <c r="T84" s="954"/>
      <c r="U84" s="954"/>
      <c r="V84" s="954"/>
      <c r="W84" s="954"/>
      <c r="X84" s="954"/>
      <c r="Y84" s="982"/>
      <c r="Z84" s="929"/>
      <c r="AA84" s="988"/>
      <c r="AB84" s="928"/>
      <c r="AC84" s="925"/>
      <c r="AD84" s="930"/>
      <c r="AE84" s="925"/>
      <c r="AF84" s="1138"/>
    </row>
    <row r="85" spans="2:32" s="921" customFormat="1">
      <c r="B85" s="942">
        <v>5318000</v>
      </c>
      <c r="C85" s="1787" t="s">
        <v>3711</v>
      </c>
      <c r="D85" s="1787"/>
      <c r="E85" s="1787"/>
      <c r="F85" s="1787"/>
      <c r="G85" s="1787"/>
      <c r="H85" s="1787"/>
      <c r="I85" s="1135">
        <f ca="1">-SUMIF('Mapping FECU'!$E$9:$G$601,'Resultado Integral'!B85,'Mapping FECU'!$G$9:$G$601)</f>
        <v>0</v>
      </c>
      <c r="J85" s="946"/>
      <c r="K85" s="946"/>
      <c r="L85" s="946"/>
      <c r="M85" s="946"/>
      <c r="N85" s="946"/>
      <c r="O85" s="946"/>
      <c r="P85" s="946"/>
      <c r="Q85" s="946"/>
      <c r="R85" s="946"/>
      <c r="S85" s="946"/>
      <c r="T85" s="946"/>
      <c r="U85" s="946"/>
      <c r="V85" s="946"/>
      <c r="W85" s="946"/>
      <c r="X85" s="946"/>
      <c r="Y85" s="946">
        <f ca="1">SUM(I85:X85)</f>
        <v>0</v>
      </c>
      <c r="Z85" s="947">
        <v>5318000</v>
      </c>
      <c r="AA85" s="994">
        <f ca="1">ROUND(Y85/1000,0)</f>
        <v>0</v>
      </c>
      <c r="AB85" s="928"/>
      <c r="AC85" s="924"/>
      <c r="AD85" s="930"/>
      <c r="AE85" s="925"/>
      <c r="AF85" s="1138"/>
    </row>
    <row r="86" spans="2:32" s="921" customFormat="1">
      <c r="B86" s="942"/>
      <c r="C86" s="945"/>
      <c r="D86" s="945"/>
      <c r="E86" s="945"/>
      <c r="F86" s="945"/>
      <c r="G86" s="945"/>
      <c r="H86" s="945"/>
      <c r="I86" s="940"/>
      <c r="J86" s="940"/>
      <c r="K86" s="940"/>
      <c r="L86" s="940"/>
      <c r="M86" s="940"/>
      <c r="N86" s="940"/>
      <c r="O86" s="940"/>
      <c r="P86" s="940"/>
      <c r="Q86" s="940"/>
      <c r="R86" s="940"/>
      <c r="S86" s="940"/>
      <c r="T86" s="940"/>
      <c r="U86" s="940"/>
      <c r="V86" s="940"/>
      <c r="W86" s="940"/>
      <c r="X86" s="940"/>
      <c r="Y86" s="941"/>
      <c r="Z86" s="929"/>
      <c r="AA86" s="987"/>
      <c r="AB86" s="928"/>
      <c r="AC86" s="925"/>
      <c r="AD86" s="930"/>
      <c r="AE86" s="925"/>
      <c r="AF86" s="1138"/>
    </row>
    <row r="87" spans="2:32" s="921" customFormat="1" ht="15">
      <c r="B87" s="958">
        <v>5319000</v>
      </c>
      <c r="C87" s="1795" t="s">
        <v>3481</v>
      </c>
      <c r="D87" s="1795"/>
      <c r="E87" s="1795"/>
      <c r="F87" s="1795"/>
      <c r="G87" s="1795"/>
      <c r="H87" s="1795"/>
      <c r="I87" s="1135">
        <f ca="1">-SUMIF('Mapping FECU'!$E$9:$G$601,'Resultado Integral'!B87,'Mapping FECU'!$G$9:$G$601)</f>
        <v>-1839176311</v>
      </c>
      <c r="J87" s="934"/>
      <c r="K87" s="934"/>
      <c r="L87" s="934"/>
      <c r="M87" s="934"/>
      <c r="N87" s="934"/>
      <c r="O87" s="934"/>
      <c r="P87" s="934"/>
      <c r="Q87" s="934"/>
      <c r="R87" s="934"/>
      <c r="S87" s="934"/>
      <c r="T87" s="934"/>
      <c r="U87" s="934"/>
      <c r="V87" s="934"/>
      <c r="W87" s="934"/>
      <c r="X87" s="934"/>
      <c r="Y87" s="946">
        <f ca="1">SUM(I87:X87)</f>
        <v>-1839176311</v>
      </c>
      <c r="Z87" s="947">
        <v>5319000</v>
      </c>
      <c r="AA87" s="988">
        <f ca="1">-ROUND(Y87/1000,0)</f>
        <v>1839176</v>
      </c>
      <c r="AB87" s="975" t="s">
        <v>3712</v>
      </c>
      <c r="AC87" s="943" t="s">
        <v>3713</v>
      </c>
      <c r="AD87" s="930">
        <f>+'Nota 40'!E17</f>
        <v>1839176</v>
      </c>
      <c r="AE87" s="929" t="str">
        <f ca="1">IF(AA87-AD87=0,"Ok","Error")</f>
        <v>Ok</v>
      </c>
      <c r="AF87" s="926">
        <f ca="1">ROUND(+AD87-AA87,0)</f>
        <v>0</v>
      </c>
    </row>
    <row r="88" spans="2:32" s="921" customFormat="1" ht="15">
      <c r="B88" s="948"/>
      <c r="C88" s="949"/>
      <c r="D88" s="949"/>
      <c r="E88" s="949"/>
      <c r="F88" s="949"/>
      <c r="G88" s="949"/>
      <c r="H88" s="949"/>
      <c r="I88" s="940"/>
      <c r="J88" s="940"/>
      <c r="K88" s="940"/>
      <c r="L88" s="940"/>
      <c r="M88" s="940"/>
      <c r="N88" s="940"/>
      <c r="O88" s="940"/>
      <c r="P88" s="940"/>
      <c r="Q88" s="940"/>
      <c r="R88" s="940"/>
      <c r="S88" s="940"/>
      <c r="T88" s="940"/>
      <c r="U88" s="940"/>
      <c r="V88" s="940"/>
      <c r="W88" s="940"/>
      <c r="X88" s="940"/>
      <c r="Y88" s="941"/>
      <c r="Z88" s="929"/>
      <c r="AA88" s="987"/>
      <c r="AB88" s="975" t="s">
        <v>3714</v>
      </c>
      <c r="AC88" s="943" t="s">
        <v>3715</v>
      </c>
      <c r="AD88" s="930">
        <f>+'Nota 40'!F31</f>
        <v>1839176</v>
      </c>
      <c r="AE88" s="929" t="str">
        <f ca="1">IF(AA87-AD88=0,"Ok","Error")</f>
        <v>Ok</v>
      </c>
      <c r="AF88" s="926">
        <f ca="1">ROUND(+AD88-AA87,0)</f>
        <v>0</v>
      </c>
    </row>
    <row r="89" spans="2:32" s="921" customFormat="1">
      <c r="B89" s="979">
        <v>5310000</v>
      </c>
      <c r="C89" s="1797" t="s">
        <v>3716</v>
      </c>
      <c r="D89" s="1797"/>
      <c r="E89" s="1797"/>
      <c r="F89" s="1797"/>
      <c r="G89" s="1797"/>
      <c r="H89" s="1797"/>
      <c r="I89" s="937">
        <f ca="1">+I9+I87+I83</f>
        <v>3197726285</v>
      </c>
      <c r="J89" s="937"/>
      <c r="K89" s="937">
        <f t="shared" ref="K89:W89" si="22">+K9+K87+K83</f>
        <v>0</v>
      </c>
      <c r="L89" s="937"/>
      <c r="M89" s="937">
        <f t="shared" si="22"/>
        <v>0</v>
      </c>
      <c r="N89" s="937">
        <f t="shared" si="22"/>
        <v>0</v>
      </c>
      <c r="O89" s="937">
        <f t="shared" si="22"/>
        <v>0</v>
      </c>
      <c r="P89" s="937"/>
      <c r="Q89" s="937"/>
      <c r="R89" s="937"/>
      <c r="S89" s="937">
        <f t="shared" si="22"/>
        <v>0</v>
      </c>
      <c r="T89" s="937">
        <f t="shared" si="22"/>
        <v>0</v>
      </c>
      <c r="U89" s="937">
        <f t="shared" si="22"/>
        <v>0</v>
      </c>
      <c r="V89" s="937">
        <f t="shared" si="22"/>
        <v>1000</v>
      </c>
      <c r="W89" s="937">
        <f t="shared" si="22"/>
        <v>0</v>
      </c>
      <c r="X89" s="937">
        <v>0</v>
      </c>
      <c r="Y89" s="937">
        <f ca="1">+Y9+Y87+Y83</f>
        <v>3197726285</v>
      </c>
      <c r="Z89" s="947">
        <v>5310000</v>
      </c>
      <c r="AA89" s="937">
        <f ca="1">+AA9-AA87+AA83</f>
        <v>3197727</v>
      </c>
      <c r="AB89" s="928"/>
      <c r="AC89" s="925"/>
      <c r="AD89" s="930"/>
      <c r="AE89" s="925"/>
      <c r="AF89" s="1138"/>
    </row>
    <row r="90" spans="2:32" s="921" customFormat="1" ht="15">
      <c r="B90" s="942"/>
      <c r="C90" s="945"/>
      <c r="D90" s="945"/>
      <c r="E90" s="945"/>
      <c r="F90" s="945"/>
      <c r="G90" s="945"/>
      <c r="H90" s="945"/>
      <c r="I90" s="976"/>
      <c r="J90" s="977"/>
      <c r="K90" s="977"/>
      <c r="L90" s="977"/>
      <c r="M90" s="977"/>
      <c r="N90" s="977"/>
      <c r="O90" s="977"/>
      <c r="P90" s="977"/>
      <c r="Q90" s="977"/>
      <c r="R90" s="977"/>
      <c r="S90" s="977"/>
      <c r="T90" s="977"/>
      <c r="U90" s="977"/>
      <c r="V90" s="977"/>
      <c r="W90" s="977"/>
      <c r="X90" s="977"/>
      <c r="Y90" s="977"/>
      <c r="Z90" s="929"/>
      <c r="AA90" s="997"/>
      <c r="AB90" s="923"/>
      <c r="AC90" s="925"/>
      <c r="AD90" s="930"/>
      <c r="AE90" s="925"/>
      <c r="AF90" s="1138"/>
    </row>
    <row r="91" spans="2:32" s="921" customFormat="1">
      <c r="B91" s="1799" t="s">
        <v>3717</v>
      </c>
      <c r="C91" s="1795"/>
      <c r="D91" s="1795"/>
      <c r="E91" s="1795"/>
      <c r="F91" s="1795"/>
      <c r="G91" s="1795"/>
      <c r="H91" s="1795"/>
      <c r="I91" s="933"/>
      <c r="J91" s="977"/>
      <c r="K91" s="977"/>
      <c r="L91" s="977"/>
      <c r="M91" s="977"/>
      <c r="N91" s="977"/>
      <c r="O91" s="977"/>
      <c r="P91" s="977"/>
      <c r="Q91" s="977"/>
      <c r="R91" s="977"/>
      <c r="S91" s="977"/>
      <c r="T91" s="977"/>
      <c r="U91" s="977"/>
      <c r="V91" s="977"/>
      <c r="W91" s="977"/>
      <c r="X91" s="977"/>
      <c r="Y91" s="977"/>
      <c r="Z91" s="929"/>
      <c r="AA91" s="997"/>
      <c r="AC91" s="925"/>
      <c r="AD91" s="930"/>
      <c r="AE91" s="925"/>
      <c r="AF91" s="1138"/>
    </row>
    <row r="92" spans="2:32" s="921" customFormat="1">
      <c r="B92" s="942"/>
      <c r="C92" s="945"/>
      <c r="D92" s="945"/>
      <c r="E92" s="945"/>
      <c r="F92" s="945"/>
      <c r="G92" s="945"/>
      <c r="H92" s="945"/>
      <c r="I92" s="933"/>
      <c r="J92" s="977"/>
      <c r="K92" s="977"/>
      <c r="L92" s="977"/>
      <c r="M92" s="977"/>
      <c r="N92" s="977"/>
      <c r="O92" s="977"/>
      <c r="P92" s="977"/>
      <c r="Q92" s="977"/>
      <c r="R92" s="977"/>
      <c r="S92" s="977"/>
      <c r="T92" s="977"/>
      <c r="U92" s="977"/>
      <c r="V92" s="977"/>
      <c r="W92" s="977"/>
      <c r="X92" s="977"/>
      <c r="Y92" s="977"/>
      <c r="Z92" s="929"/>
      <c r="AA92" s="997"/>
      <c r="AC92" s="925"/>
      <c r="AD92" s="930"/>
      <c r="AE92" s="925"/>
      <c r="AF92" s="1138"/>
    </row>
    <row r="93" spans="2:32" s="921" customFormat="1">
      <c r="B93" s="942">
        <v>5321000</v>
      </c>
      <c r="C93" s="1787" t="s">
        <v>3718</v>
      </c>
      <c r="D93" s="1787"/>
      <c r="E93" s="1787"/>
      <c r="F93" s="1787"/>
      <c r="G93" s="1787"/>
      <c r="H93" s="1787"/>
      <c r="I93" s="1135">
        <f ca="1">-SUMIF('Mapping FECU'!$E$9:$G$601,'Resultado Integral'!B93,'Mapping FECU'!$G$9:$G$601)</f>
        <v>0</v>
      </c>
      <c r="J93" s="946"/>
      <c r="K93" s="946"/>
      <c r="L93" s="946"/>
      <c r="M93" s="946"/>
      <c r="N93" s="946"/>
      <c r="O93" s="946"/>
      <c r="P93" s="946"/>
      <c r="Q93" s="946"/>
      <c r="R93" s="946"/>
      <c r="S93" s="946"/>
      <c r="T93" s="946"/>
      <c r="U93" s="946"/>
      <c r="V93" s="946"/>
      <c r="W93" s="946"/>
      <c r="X93" s="946"/>
      <c r="Y93" s="946">
        <f ca="1">SUM(I93:X93)</f>
        <v>0</v>
      </c>
      <c r="Z93" s="947">
        <v>5321000</v>
      </c>
      <c r="AA93" s="994">
        <f ca="1">ROUND(Y93/1000,0)</f>
        <v>0</v>
      </c>
      <c r="AC93" s="925"/>
      <c r="AD93" s="930"/>
      <c r="AE93" s="925"/>
      <c r="AF93" s="1138"/>
    </row>
    <row r="94" spans="2:32" s="921" customFormat="1">
      <c r="B94" s="942">
        <v>5322000</v>
      </c>
      <c r="C94" s="1787" t="s">
        <v>3719</v>
      </c>
      <c r="D94" s="1787"/>
      <c r="E94" s="1787"/>
      <c r="F94" s="1787"/>
      <c r="G94" s="1787"/>
      <c r="H94" s="1787"/>
      <c r="I94" s="1135">
        <f ca="1">-SUMIF('Mapping FECU'!$E$9:$G$601,'Resultado Integral'!B94,'Mapping FECU'!$G$9:$G$601)</f>
        <v>0</v>
      </c>
      <c r="J94" s="946"/>
      <c r="K94" s="946"/>
      <c r="L94" s="946"/>
      <c r="M94" s="946"/>
      <c r="N94" s="946"/>
      <c r="O94" s="946"/>
      <c r="P94" s="946"/>
      <c r="Q94" s="946"/>
      <c r="R94" s="946"/>
      <c r="S94" s="946"/>
      <c r="T94" s="946"/>
      <c r="U94" s="946"/>
      <c r="V94" s="946"/>
      <c r="W94" s="946"/>
      <c r="X94" s="946"/>
      <c r="Y94" s="946">
        <f ca="1">SUM(I94:X94)</f>
        <v>0</v>
      </c>
      <c r="Z94" s="947">
        <v>5322000</v>
      </c>
      <c r="AA94" s="994">
        <f ca="1">ROUND(Y94/1000,0)</f>
        <v>0</v>
      </c>
      <c r="AF94" s="1136"/>
    </row>
    <row r="95" spans="2:32" s="921" customFormat="1">
      <c r="B95" s="942">
        <v>5323000</v>
      </c>
      <c r="C95" s="1787" t="s">
        <v>3720</v>
      </c>
      <c r="D95" s="1787"/>
      <c r="E95" s="1787"/>
      <c r="F95" s="1787"/>
      <c r="G95" s="1787"/>
      <c r="H95" s="1787"/>
      <c r="I95" s="1135">
        <f ca="1">-SUMIF('Mapping FECU'!$E$9:$G$601,'Resultado Integral'!B95,'Mapping FECU'!$G$9:$G$601)</f>
        <v>0</v>
      </c>
      <c r="J95" s="946"/>
      <c r="K95" s="946"/>
      <c r="L95" s="946"/>
      <c r="M95" s="946"/>
      <c r="N95" s="946"/>
      <c r="O95" s="946"/>
      <c r="P95" s="946"/>
      <c r="Q95" s="946"/>
      <c r="R95" s="946"/>
      <c r="S95" s="946"/>
      <c r="T95" s="946"/>
      <c r="U95" s="946"/>
      <c r="V95" s="946"/>
      <c r="W95" s="946"/>
      <c r="X95" s="946"/>
      <c r="Y95" s="946">
        <f ca="1">SUM(I95:X95)</f>
        <v>0</v>
      </c>
      <c r="Z95" s="947">
        <v>5323000</v>
      </c>
      <c r="AA95" s="994">
        <f ca="1">ROUND(Y95/1000,0)</f>
        <v>0</v>
      </c>
      <c r="AF95" s="1136"/>
    </row>
    <row r="96" spans="2:32" s="921" customFormat="1">
      <c r="B96" s="942">
        <v>5324000</v>
      </c>
      <c r="C96" s="1787" t="s">
        <v>3721</v>
      </c>
      <c r="D96" s="1787"/>
      <c r="E96" s="1787"/>
      <c r="F96" s="1787"/>
      <c r="G96" s="1787"/>
      <c r="H96" s="1787"/>
      <c r="I96" s="1135">
        <f ca="1">-SUMIF('Mapping FECU'!$E$9:$G$601,'Resultado Integral'!B96,'Mapping FECU'!$G$9:$G$601)</f>
        <v>0</v>
      </c>
      <c r="J96" s="946"/>
      <c r="K96" s="946"/>
      <c r="L96" s="946"/>
      <c r="M96" s="946"/>
      <c r="N96" s="946"/>
      <c r="O96" s="946"/>
      <c r="P96" s="946"/>
      <c r="Q96" s="946"/>
      <c r="R96" s="946"/>
      <c r="S96" s="946"/>
      <c r="T96" s="946"/>
      <c r="U96" s="946"/>
      <c r="V96" s="946"/>
      <c r="W96" s="946"/>
      <c r="X96" s="946"/>
      <c r="Y96" s="946">
        <f ca="1">SUM(I96:X96)</f>
        <v>0</v>
      </c>
      <c r="Z96" s="947">
        <v>5324000</v>
      </c>
      <c r="AA96" s="994">
        <f ca="1">ROUND(Y96/1000,0)</f>
        <v>0</v>
      </c>
      <c r="AF96" s="1136"/>
    </row>
    <row r="97" spans="2:32" s="921" customFormat="1">
      <c r="B97" s="942">
        <v>5325000</v>
      </c>
      <c r="C97" s="1787" t="s">
        <v>3722</v>
      </c>
      <c r="D97" s="1787"/>
      <c r="E97" s="1787"/>
      <c r="F97" s="1787"/>
      <c r="G97" s="1787"/>
      <c r="H97" s="1787"/>
      <c r="I97" s="1135">
        <f ca="1">-SUMIF('Mapping FECU'!$E$9:$G$601,'Resultado Integral'!B97,'Mapping FECU'!$G$9:$G$601)</f>
        <v>0</v>
      </c>
      <c r="J97" s="946"/>
      <c r="K97" s="946"/>
      <c r="L97" s="946"/>
      <c r="M97" s="946"/>
      <c r="N97" s="946"/>
      <c r="O97" s="946"/>
      <c r="P97" s="946"/>
      <c r="Q97" s="946"/>
      <c r="R97" s="946"/>
      <c r="S97" s="946"/>
      <c r="T97" s="946"/>
      <c r="U97" s="946"/>
      <c r="V97" s="946"/>
      <c r="W97" s="946"/>
      <c r="X97" s="946"/>
      <c r="Y97" s="946">
        <f ca="1">+I97</f>
        <v>0</v>
      </c>
      <c r="Z97" s="947">
        <v>5325000</v>
      </c>
      <c r="AA97" s="994">
        <f ca="1">ROUND(Y97/1000,0)</f>
        <v>0</v>
      </c>
      <c r="AF97" s="1136"/>
    </row>
    <row r="98" spans="2:32" s="921" customFormat="1">
      <c r="B98" s="942"/>
      <c r="C98" s="938"/>
      <c r="D98" s="938"/>
      <c r="E98" s="938"/>
      <c r="F98" s="938"/>
      <c r="G98" s="938"/>
      <c r="H98" s="938"/>
      <c r="I98" s="940"/>
      <c r="J98" s="940"/>
      <c r="K98" s="940"/>
      <c r="L98" s="940"/>
      <c r="M98" s="940"/>
      <c r="N98" s="940"/>
      <c r="O98" s="940"/>
      <c r="P98" s="940"/>
      <c r="Q98" s="940"/>
      <c r="R98" s="940"/>
      <c r="S98" s="940"/>
      <c r="T98" s="940"/>
      <c r="U98" s="940"/>
      <c r="V98" s="940"/>
      <c r="W98" s="940"/>
      <c r="X98" s="940"/>
      <c r="Y98" s="941"/>
      <c r="Z98" s="929"/>
      <c r="AA98" s="987"/>
      <c r="AF98" s="1136"/>
    </row>
    <row r="99" spans="2:32" s="921" customFormat="1">
      <c r="B99" s="979">
        <v>5320000</v>
      </c>
      <c r="C99" s="1797" t="s">
        <v>3723</v>
      </c>
      <c r="D99" s="1797"/>
      <c r="E99" s="1797"/>
      <c r="F99" s="1797"/>
      <c r="G99" s="1797"/>
      <c r="H99" s="1797"/>
      <c r="I99" s="937">
        <f ca="1">+SUM(I93:I97)</f>
        <v>0</v>
      </c>
      <c r="J99" s="937">
        <f>+SUM(J93:J97)</f>
        <v>0</v>
      </c>
      <c r="K99" s="937"/>
      <c r="L99" s="937"/>
      <c r="M99" s="937"/>
      <c r="N99" s="937"/>
      <c r="O99" s="937"/>
      <c r="P99" s="937"/>
      <c r="Q99" s="937"/>
      <c r="R99" s="937"/>
      <c r="S99" s="937"/>
      <c r="T99" s="937"/>
      <c r="U99" s="937"/>
      <c r="V99" s="937"/>
      <c r="W99" s="937"/>
      <c r="X99" s="937"/>
      <c r="Y99" s="937">
        <f ca="1">+SUM(Y93:Y97)</f>
        <v>0</v>
      </c>
      <c r="Z99" s="947">
        <v>5320000</v>
      </c>
      <c r="AA99" s="937">
        <f ca="1">+SUM(AA93:AA97)</f>
        <v>0</v>
      </c>
      <c r="AF99" s="1136"/>
    </row>
    <row r="100" spans="2:32" s="921" customFormat="1">
      <c r="B100" s="942"/>
      <c r="C100" s="945"/>
      <c r="D100" s="945"/>
      <c r="E100" s="945"/>
      <c r="F100" s="945"/>
      <c r="G100" s="945"/>
      <c r="H100" s="945"/>
      <c r="I100" s="940"/>
      <c r="J100" s="940"/>
      <c r="K100" s="940"/>
      <c r="L100" s="940"/>
      <c r="M100" s="940"/>
      <c r="N100" s="940"/>
      <c r="O100" s="940"/>
      <c r="P100" s="940"/>
      <c r="Q100" s="940"/>
      <c r="R100" s="940"/>
      <c r="S100" s="940"/>
      <c r="T100" s="940"/>
      <c r="U100" s="940"/>
      <c r="V100" s="940"/>
      <c r="W100" s="940"/>
      <c r="X100" s="940"/>
      <c r="Y100" s="941"/>
      <c r="Z100" s="929"/>
      <c r="AA100" s="997"/>
      <c r="AF100" s="1136"/>
    </row>
    <row r="101" spans="2:32" s="921" customFormat="1">
      <c r="B101" s="979">
        <v>5300000</v>
      </c>
      <c r="C101" s="1797" t="s">
        <v>3724</v>
      </c>
      <c r="D101" s="1797"/>
      <c r="E101" s="1797"/>
      <c r="F101" s="1797"/>
      <c r="G101" s="1797"/>
      <c r="H101" s="1797"/>
      <c r="I101" s="937">
        <f ca="1">+I89+I99</f>
        <v>3197726285</v>
      </c>
      <c r="J101" s="937"/>
      <c r="K101" s="937"/>
      <c r="L101" s="937"/>
      <c r="M101" s="937"/>
      <c r="N101" s="937"/>
      <c r="O101" s="937"/>
      <c r="P101" s="937"/>
      <c r="Q101" s="937"/>
      <c r="R101" s="937"/>
      <c r="S101" s="937"/>
      <c r="T101" s="937"/>
      <c r="U101" s="937"/>
      <c r="V101" s="937">
        <f>+V89</f>
        <v>1000</v>
      </c>
      <c r="W101" s="937"/>
      <c r="X101" s="937"/>
      <c r="Y101" s="937">
        <f ca="1">+Y89+Y99</f>
        <v>3197726285</v>
      </c>
      <c r="Z101" s="947">
        <v>5300000</v>
      </c>
      <c r="AA101" s="937">
        <f ca="1">+AA89+AA99</f>
        <v>3197727</v>
      </c>
      <c r="AF101" s="1136"/>
    </row>
    <row r="102" spans="2:32" s="921" customFormat="1">
      <c r="B102" s="948"/>
      <c r="C102" s="949"/>
      <c r="D102" s="949"/>
      <c r="E102" s="949"/>
      <c r="F102" s="949"/>
      <c r="G102" s="949"/>
      <c r="H102" s="949"/>
      <c r="I102" s="940"/>
      <c r="J102" s="940"/>
      <c r="K102" s="940"/>
      <c r="L102" s="940"/>
      <c r="M102" s="940"/>
      <c r="N102" s="940"/>
      <c r="O102" s="940"/>
      <c r="P102" s="940"/>
      <c r="Q102" s="940"/>
      <c r="R102" s="940"/>
      <c r="S102" s="940"/>
      <c r="T102" s="940"/>
      <c r="U102" s="940"/>
      <c r="V102" s="940"/>
      <c r="W102" s="940"/>
      <c r="X102" s="940"/>
      <c r="Y102" s="941"/>
      <c r="AA102" s="987"/>
      <c r="AF102" s="1136"/>
    </row>
    <row r="103" spans="2:32" s="921" customFormat="1" ht="15">
      <c r="I103" s="931"/>
      <c r="J103" s="923"/>
      <c r="K103" s="923"/>
      <c r="L103" s="923"/>
      <c r="M103" s="923"/>
      <c r="N103" s="923"/>
      <c r="O103" s="923"/>
      <c r="P103" s="923"/>
      <c r="Q103" s="923"/>
      <c r="R103" s="923"/>
      <c r="S103" s="923"/>
      <c r="T103" s="923"/>
      <c r="U103" s="923"/>
      <c r="V103" s="923"/>
      <c r="W103" s="923"/>
      <c r="X103" s="923"/>
      <c r="Y103" s="923">
        <f ca="1">+Y101-I101</f>
        <v>0</v>
      </c>
      <c r="AA103" s="998"/>
      <c r="AF103" s="1136"/>
    </row>
    <row r="104" spans="2:32" s="921" customFormat="1">
      <c r="I104" s="923"/>
      <c r="J104" s="923"/>
      <c r="K104" s="923"/>
      <c r="L104" s="923"/>
      <c r="M104" s="923"/>
      <c r="N104" s="923"/>
      <c r="O104" s="923"/>
      <c r="P104" s="923"/>
      <c r="Q104" s="923"/>
      <c r="R104" s="923"/>
      <c r="S104" s="923"/>
      <c r="T104" s="923"/>
      <c r="U104" s="923"/>
      <c r="V104" s="923"/>
      <c r="W104" s="923"/>
      <c r="X104" s="923"/>
      <c r="Y104" s="923"/>
      <c r="AA104" s="999"/>
    </row>
    <row r="105" spans="2:32" s="921" customFormat="1">
      <c r="H105" s="984" t="s">
        <v>3725</v>
      </c>
      <c r="I105" s="985">
        <f>+'Balance Local'!D569</f>
        <v>-3197726285</v>
      </c>
      <c r="J105" s="923"/>
      <c r="K105" s="923"/>
      <c r="L105" s="923"/>
      <c r="M105" s="923"/>
      <c r="N105" s="923"/>
      <c r="O105" s="923"/>
      <c r="P105" s="923"/>
      <c r="Q105" s="923"/>
      <c r="R105" s="923"/>
      <c r="S105" s="923"/>
      <c r="T105" s="923"/>
      <c r="U105" s="923"/>
      <c r="V105" s="923"/>
      <c r="W105" s="923"/>
      <c r="X105" s="923"/>
      <c r="Y105" s="923"/>
      <c r="AA105" s="999"/>
    </row>
    <row r="106" spans="2:32" s="921" customFormat="1">
      <c r="H106" s="984" t="s">
        <v>3551</v>
      </c>
      <c r="I106" s="985">
        <f ca="1">+I101+I105</f>
        <v>0</v>
      </c>
      <c r="J106" s="923"/>
      <c r="K106" s="923"/>
      <c r="L106" s="923"/>
      <c r="M106" s="923"/>
      <c r="N106" s="923"/>
      <c r="O106" s="923"/>
      <c r="P106" s="923"/>
      <c r="Q106" s="923"/>
      <c r="R106" s="923"/>
      <c r="S106" s="923"/>
      <c r="T106" s="923"/>
      <c r="U106" s="923"/>
      <c r="V106" s="923"/>
      <c r="W106" s="923"/>
      <c r="X106" s="923"/>
      <c r="Y106" s="923"/>
      <c r="AA106" s="999"/>
    </row>
    <row r="107" spans="2:32" s="921" customFormat="1">
      <c r="I107" s="923"/>
      <c r="J107" s="923"/>
      <c r="K107" s="923"/>
      <c r="L107" s="923"/>
      <c r="M107" s="923"/>
      <c r="N107" s="923"/>
      <c r="O107" s="923"/>
      <c r="P107" s="923"/>
      <c r="Q107" s="923"/>
      <c r="R107" s="923"/>
      <c r="S107" s="923"/>
      <c r="T107" s="923"/>
      <c r="U107" s="923"/>
      <c r="V107" s="923"/>
      <c r="W107" s="923"/>
      <c r="X107" s="923"/>
      <c r="Y107" s="923"/>
      <c r="AA107" s="999"/>
    </row>
    <row r="108" spans="2:32" s="921" customFormat="1">
      <c r="I108" s="923"/>
      <c r="J108" s="923"/>
      <c r="K108" s="923"/>
      <c r="L108" s="923"/>
      <c r="M108" s="923"/>
      <c r="N108" s="923"/>
      <c r="O108" s="923"/>
      <c r="P108" s="923"/>
      <c r="Q108" s="923"/>
      <c r="R108" s="923"/>
      <c r="S108" s="923"/>
      <c r="T108" s="923"/>
      <c r="U108" s="923"/>
      <c r="V108" s="923"/>
      <c r="W108" s="923"/>
      <c r="X108" s="923"/>
      <c r="Y108" s="923"/>
      <c r="AA108" s="999"/>
    </row>
    <row r="109" spans="2:32" s="921" customFormat="1">
      <c r="I109" s="923"/>
      <c r="J109" s="923"/>
      <c r="K109" s="923"/>
      <c r="L109" s="923"/>
      <c r="M109" s="923"/>
      <c r="N109" s="923"/>
      <c r="O109" s="923"/>
      <c r="P109" s="923"/>
      <c r="Q109" s="923"/>
      <c r="R109" s="923"/>
      <c r="S109" s="923"/>
      <c r="T109" s="923"/>
      <c r="U109" s="923"/>
      <c r="V109" s="923"/>
      <c r="W109" s="923"/>
      <c r="X109" s="923"/>
      <c r="Y109" s="923"/>
      <c r="AA109" s="999"/>
    </row>
    <row r="110" spans="2:32" s="921" customFormat="1">
      <c r="I110" s="923"/>
      <c r="J110" s="923"/>
      <c r="K110" s="923"/>
      <c r="L110" s="923"/>
      <c r="M110" s="923"/>
      <c r="N110" s="923"/>
      <c r="O110" s="923"/>
      <c r="P110" s="923"/>
      <c r="Q110" s="923"/>
      <c r="R110" s="923"/>
      <c r="S110" s="923"/>
      <c r="T110" s="923"/>
      <c r="U110" s="923"/>
      <c r="V110" s="923"/>
      <c r="W110" s="923"/>
      <c r="X110" s="923"/>
      <c r="Y110" s="932"/>
      <c r="AA110" s="999"/>
    </row>
    <row r="111" spans="2:32" s="921" customFormat="1">
      <c r="I111" s="923"/>
      <c r="J111" s="923"/>
      <c r="K111" s="923"/>
      <c r="L111" s="923"/>
      <c r="M111" s="923"/>
      <c r="N111" s="923"/>
      <c r="O111" s="923"/>
      <c r="P111" s="923"/>
      <c r="Q111" s="923"/>
      <c r="R111" s="923"/>
      <c r="S111" s="923"/>
      <c r="T111" s="923"/>
      <c r="U111" s="923"/>
      <c r="V111" s="923"/>
      <c r="W111" s="923"/>
      <c r="X111" s="923"/>
      <c r="Y111" s="923"/>
      <c r="AA111" s="999"/>
    </row>
    <row r="112" spans="2:32" s="921" customFormat="1">
      <c r="I112" s="923"/>
      <c r="J112" s="923"/>
      <c r="K112" s="923"/>
      <c r="L112" s="923"/>
      <c r="M112" s="923"/>
      <c r="N112" s="923"/>
      <c r="O112" s="923"/>
      <c r="P112" s="923"/>
      <c r="Q112" s="923"/>
      <c r="R112" s="923"/>
      <c r="S112" s="923"/>
      <c r="T112" s="923"/>
      <c r="U112" s="923"/>
      <c r="V112" s="923"/>
      <c r="W112" s="923"/>
      <c r="X112" s="923"/>
      <c r="Y112" s="923"/>
      <c r="AA112" s="999"/>
    </row>
    <row r="113" spans="9:27" s="921" customFormat="1">
      <c r="I113" s="923"/>
      <c r="J113" s="923"/>
      <c r="K113" s="923"/>
      <c r="L113" s="923"/>
      <c r="M113" s="923"/>
      <c r="N113" s="923"/>
      <c r="O113" s="923"/>
      <c r="P113" s="923"/>
      <c r="Q113" s="923"/>
      <c r="R113" s="923"/>
      <c r="S113" s="923"/>
      <c r="T113" s="923"/>
      <c r="U113" s="923"/>
      <c r="V113" s="923"/>
      <c r="W113" s="923"/>
      <c r="X113" s="923"/>
      <c r="Y113" s="923"/>
      <c r="AA113" s="999"/>
    </row>
    <row r="114" spans="9:27" s="921" customFormat="1">
      <c r="I114" s="923"/>
      <c r="J114" s="923"/>
      <c r="K114" s="923"/>
      <c r="L114" s="923"/>
      <c r="M114" s="923"/>
      <c r="N114" s="923"/>
      <c r="O114" s="923"/>
      <c r="P114" s="923"/>
      <c r="Q114" s="923"/>
      <c r="R114" s="923"/>
      <c r="S114" s="923"/>
      <c r="T114" s="923"/>
      <c r="U114" s="923"/>
      <c r="V114" s="923"/>
      <c r="W114" s="923"/>
      <c r="X114" s="923"/>
      <c r="Y114" s="923"/>
      <c r="AA114" s="999"/>
    </row>
    <row r="115" spans="9:27" s="921" customFormat="1">
      <c r="I115" s="923"/>
      <c r="J115" s="923"/>
      <c r="K115" s="923"/>
      <c r="L115" s="923"/>
      <c r="M115" s="923"/>
      <c r="N115" s="923"/>
      <c r="O115" s="923"/>
      <c r="P115" s="923"/>
      <c r="Q115" s="923"/>
      <c r="R115" s="923"/>
      <c r="S115" s="923"/>
      <c r="T115" s="923"/>
      <c r="U115" s="923"/>
      <c r="V115" s="923"/>
      <c r="W115" s="923"/>
      <c r="X115" s="923"/>
      <c r="Y115" s="923"/>
      <c r="AA115" s="999"/>
    </row>
    <row r="116" spans="9:27" s="921" customFormat="1">
      <c r="I116" s="923"/>
      <c r="J116" s="923"/>
      <c r="K116" s="923"/>
      <c r="L116" s="923"/>
      <c r="M116" s="923"/>
      <c r="N116" s="923"/>
      <c r="O116" s="923"/>
      <c r="P116" s="923"/>
      <c r="Q116" s="923"/>
      <c r="R116" s="923"/>
      <c r="S116" s="923"/>
      <c r="T116" s="923"/>
      <c r="U116" s="923"/>
      <c r="V116" s="923"/>
      <c r="W116" s="923"/>
      <c r="X116" s="923"/>
      <c r="Y116" s="923"/>
      <c r="AA116" s="999"/>
    </row>
    <row r="117" spans="9:27" s="921" customFormat="1">
      <c r="Z117" s="929"/>
      <c r="AA117" s="999"/>
    </row>
    <row r="118" spans="9:27" s="921" customFormat="1">
      <c r="Z118" s="929"/>
      <c r="AA118" s="999"/>
    </row>
    <row r="119" spans="9:27" s="921" customFormat="1">
      <c r="Z119" s="929"/>
      <c r="AA119" s="999"/>
    </row>
    <row r="120" spans="9:27" s="921" customFormat="1">
      <c r="Z120" s="929"/>
      <c r="AA120" s="999"/>
    </row>
    <row r="121" spans="9:27" s="921" customFormat="1">
      <c r="Z121" s="929"/>
      <c r="AA121" s="999"/>
    </row>
    <row r="122" spans="9:27" s="921" customFormat="1">
      <c r="Z122" s="929"/>
      <c r="AA122" s="999"/>
    </row>
    <row r="123" spans="9:27" s="921" customFormat="1">
      <c r="Z123" s="929"/>
      <c r="AA123" s="999"/>
    </row>
    <row r="124" spans="9:27" s="921" customFormat="1">
      <c r="Z124" s="929"/>
      <c r="AA124" s="999"/>
    </row>
    <row r="125" spans="9:27" s="921" customFormat="1">
      <c r="Z125" s="929"/>
      <c r="AA125" s="999"/>
    </row>
    <row r="126" spans="9:27" s="921" customFormat="1">
      <c r="Z126" s="929"/>
      <c r="AA126" s="999"/>
    </row>
    <row r="127" spans="9:27" s="921" customFormat="1">
      <c r="Z127" s="929"/>
      <c r="AA127" s="999"/>
    </row>
    <row r="128" spans="9:27" s="921" customFormat="1">
      <c r="Z128" s="929"/>
      <c r="AA128" s="999"/>
    </row>
    <row r="129" spans="26:27" s="921" customFormat="1">
      <c r="Z129" s="929"/>
      <c r="AA129" s="999"/>
    </row>
    <row r="130" spans="26:27" s="921" customFormat="1">
      <c r="Z130" s="929"/>
      <c r="AA130" s="999"/>
    </row>
    <row r="131" spans="26:27" s="921" customFormat="1">
      <c r="Z131" s="929"/>
      <c r="AA131" s="999"/>
    </row>
    <row r="132" spans="26:27" s="921" customFormat="1">
      <c r="Z132" s="929"/>
      <c r="AA132" s="999"/>
    </row>
    <row r="133" spans="26:27" s="921" customFormat="1">
      <c r="Z133" s="929"/>
      <c r="AA133" s="999"/>
    </row>
    <row r="134" spans="26:27" s="921" customFormat="1">
      <c r="Z134" s="929"/>
      <c r="AA134" s="999"/>
    </row>
    <row r="135" spans="26:27" s="921" customFormat="1">
      <c r="Z135" s="929"/>
      <c r="AA135" s="999"/>
    </row>
    <row r="136" spans="26:27" s="921" customFormat="1">
      <c r="Z136" s="929"/>
      <c r="AA136" s="999"/>
    </row>
    <row r="137" spans="26:27" s="921" customFormat="1">
      <c r="Z137" s="929"/>
      <c r="AA137" s="999"/>
    </row>
    <row r="138" spans="26:27" s="921" customFormat="1">
      <c r="Z138" s="929"/>
      <c r="AA138" s="999"/>
    </row>
    <row r="139" spans="26:27" s="921" customFormat="1">
      <c r="Z139" s="929"/>
      <c r="AA139" s="999"/>
    </row>
    <row r="140" spans="26:27" s="921" customFormat="1">
      <c r="Z140" s="929"/>
      <c r="AA140" s="999"/>
    </row>
    <row r="141" spans="26:27" s="921" customFormat="1">
      <c r="Z141" s="929"/>
      <c r="AA141" s="999"/>
    </row>
    <row r="142" spans="26:27" s="921" customFormat="1">
      <c r="Z142" s="929"/>
      <c r="AA142" s="999"/>
    </row>
    <row r="143" spans="26:27" s="921" customFormat="1">
      <c r="Z143" s="929"/>
      <c r="AA143" s="999"/>
    </row>
    <row r="144" spans="26:27" s="921" customFormat="1">
      <c r="Z144" s="929"/>
      <c r="AA144" s="999"/>
    </row>
    <row r="145" spans="26:27" s="921" customFormat="1">
      <c r="Z145" s="929"/>
      <c r="AA145" s="999"/>
    </row>
    <row r="146" spans="26:27" s="921" customFormat="1">
      <c r="Z146" s="929"/>
      <c r="AA146" s="999"/>
    </row>
    <row r="147" spans="26:27" s="921" customFormat="1">
      <c r="Z147" s="929"/>
      <c r="AA147" s="999"/>
    </row>
    <row r="148" spans="26:27" s="921" customFormat="1">
      <c r="Z148" s="929"/>
      <c r="AA148" s="999"/>
    </row>
    <row r="149" spans="26:27" s="921" customFormat="1">
      <c r="Z149" s="929"/>
      <c r="AA149" s="999"/>
    </row>
    <row r="150" spans="26:27" s="921" customFormat="1">
      <c r="Z150" s="929"/>
      <c r="AA150" s="999"/>
    </row>
    <row r="151" spans="26:27" s="921" customFormat="1">
      <c r="Z151" s="929"/>
      <c r="AA151" s="999"/>
    </row>
    <row r="152" spans="26:27" s="921" customFormat="1">
      <c r="Z152" s="929"/>
      <c r="AA152" s="999"/>
    </row>
    <row r="153" spans="26:27" s="921" customFormat="1">
      <c r="Z153" s="929"/>
      <c r="AA153" s="999"/>
    </row>
    <row r="154" spans="26:27" s="921" customFormat="1">
      <c r="Z154" s="929"/>
      <c r="AA154" s="999"/>
    </row>
    <row r="155" spans="26:27" s="921" customFormat="1">
      <c r="Z155" s="929"/>
      <c r="AA155" s="999"/>
    </row>
    <row r="156" spans="26:27" s="921" customFormat="1">
      <c r="Z156" s="929"/>
      <c r="AA156" s="999"/>
    </row>
    <row r="157" spans="26:27" s="921" customFormat="1">
      <c r="Z157" s="929"/>
      <c r="AA157" s="999"/>
    </row>
    <row r="158" spans="26:27" s="921" customFormat="1">
      <c r="Z158" s="929"/>
      <c r="AA158" s="999"/>
    </row>
    <row r="159" spans="26:27" s="921" customFormat="1">
      <c r="Z159" s="929"/>
      <c r="AA159" s="999"/>
    </row>
    <row r="160" spans="26:27" s="921" customFormat="1">
      <c r="Z160" s="929"/>
      <c r="AA160" s="999"/>
    </row>
    <row r="161" spans="26:27" s="921" customFormat="1">
      <c r="Z161" s="929"/>
      <c r="AA161" s="999"/>
    </row>
    <row r="162" spans="26:27" s="921" customFormat="1">
      <c r="Z162" s="929"/>
      <c r="AA162" s="999"/>
    </row>
    <row r="163" spans="26:27" s="921" customFormat="1">
      <c r="Z163" s="929"/>
      <c r="AA163" s="999"/>
    </row>
    <row r="164" spans="26:27" s="921" customFormat="1">
      <c r="Z164" s="929"/>
      <c r="AA164" s="999"/>
    </row>
    <row r="165" spans="26:27" s="921" customFormat="1">
      <c r="Z165" s="929"/>
      <c r="AA165" s="999"/>
    </row>
    <row r="166" spans="26:27" s="921" customFormat="1">
      <c r="Z166" s="929"/>
      <c r="AA166" s="999"/>
    </row>
    <row r="167" spans="26:27" s="921" customFormat="1">
      <c r="Z167" s="929"/>
      <c r="AA167" s="999"/>
    </row>
    <row r="168" spans="26:27" s="921" customFormat="1">
      <c r="Z168" s="929"/>
      <c r="AA168" s="999"/>
    </row>
    <row r="169" spans="26:27" s="921" customFormat="1">
      <c r="Z169" s="929"/>
      <c r="AA169" s="999"/>
    </row>
    <row r="170" spans="26:27" s="921" customFormat="1">
      <c r="Z170" s="929"/>
      <c r="AA170" s="999"/>
    </row>
    <row r="171" spans="26:27" s="921" customFormat="1">
      <c r="Z171" s="929"/>
      <c r="AA171" s="999"/>
    </row>
    <row r="172" spans="26:27" s="921" customFormat="1">
      <c r="Z172" s="929"/>
      <c r="AA172" s="999"/>
    </row>
    <row r="173" spans="26:27" s="921" customFormat="1">
      <c r="Z173" s="929"/>
      <c r="AA173" s="999"/>
    </row>
    <row r="174" spans="26:27" s="921" customFormat="1">
      <c r="Z174" s="929"/>
      <c r="AA174" s="999"/>
    </row>
    <row r="175" spans="26:27" s="921" customFormat="1">
      <c r="Z175" s="929"/>
      <c r="AA175" s="999"/>
    </row>
    <row r="176" spans="26:27" s="921" customFormat="1">
      <c r="Z176" s="929"/>
      <c r="AA176" s="999"/>
    </row>
    <row r="177" spans="26:27" s="921" customFormat="1">
      <c r="Z177" s="929"/>
      <c r="AA177" s="999"/>
    </row>
    <row r="178" spans="26:27" s="921" customFormat="1">
      <c r="Z178" s="929"/>
      <c r="AA178" s="999"/>
    </row>
    <row r="179" spans="26:27" s="921" customFormat="1">
      <c r="Z179" s="929"/>
      <c r="AA179" s="999"/>
    </row>
    <row r="180" spans="26:27" s="921" customFormat="1">
      <c r="Z180" s="929"/>
      <c r="AA180" s="999"/>
    </row>
    <row r="181" spans="26:27" s="921" customFormat="1">
      <c r="Z181" s="929"/>
      <c r="AA181" s="999"/>
    </row>
    <row r="182" spans="26:27" s="921" customFormat="1">
      <c r="Z182" s="929"/>
      <c r="AA182" s="999"/>
    </row>
    <row r="183" spans="26:27" s="921" customFormat="1">
      <c r="Z183" s="929"/>
      <c r="AA183" s="999"/>
    </row>
    <row r="184" spans="26:27" s="921" customFormat="1">
      <c r="Z184" s="929"/>
      <c r="AA184" s="999"/>
    </row>
    <row r="185" spans="26:27" s="921" customFormat="1">
      <c r="Z185" s="929"/>
      <c r="AA185" s="999"/>
    </row>
    <row r="186" spans="26:27" s="921" customFormat="1">
      <c r="Z186" s="929"/>
      <c r="AA186" s="999"/>
    </row>
    <row r="187" spans="26:27" s="921" customFormat="1">
      <c r="Z187" s="929"/>
      <c r="AA187" s="999"/>
    </row>
    <row r="188" spans="26:27" s="921" customFormat="1">
      <c r="Z188" s="929"/>
      <c r="AA188" s="999"/>
    </row>
    <row r="189" spans="26:27" s="921" customFormat="1">
      <c r="Z189" s="929"/>
      <c r="AA189" s="999"/>
    </row>
    <row r="190" spans="26:27" s="921" customFormat="1">
      <c r="Z190" s="929"/>
      <c r="AA190" s="999"/>
    </row>
    <row r="191" spans="26:27" s="921" customFormat="1">
      <c r="Z191" s="929"/>
      <c r="AA191" s="999"/>
    </row>
    <row r="192" spans="26:27" s="921" customFormat="1">
      <c r="Z192" s="929"/>
      <c r="AA192" s="999"/>
    </row>
    <row r="193" spans="26:27" s="921" customFormat="1">
      <c r="Z193" s="929"/>
      <c r="AA193" s="999"/>
    </row>
    <row r="194" spans="26:27" s="921" customFormat="1">
      <c r="Z194" s="929"/>
      <c r="AA194" s="999"/>
    </row>
    <row r="195" spans="26:27" s="921" customFormat="1">
      <c r="Z195" s="929"/>
      <c r="AA195" s="999"/>
    </row>
    <row r="196" spans="26:27" s="921" customFormat="1">
      <c r="Z196" s="929"/>
      <c r="AA196" s="999"/>
    </row>
    <row r="197" spans="26:27" s="921" customFormat="1">
      <c r="Z197" s="929"/>
      <c r="AA197" s="999"/>
    </row>
    <row r="198" spans="26:27" s="921" customFormat="1">
      <c r="Z198" s="929"/>
      <c r="AA198" s="999"/>
    </row>
    <row r="199" spans="26:27" s="921" customFormat="1">
      <c r="Z199" s="929"/>
      <c r="AA199" s="999"/>
    </row>
    <row r="200" spans="26:27" s="921" customFormat="1">
      <c r="Z200" s="929"/>
      <c r="AA200" s="999"/>
    </row>
    <row r="201" spans="26:27" s="921" customFormat="1">
      <c r="Z201" s="929"/>
      <c r="AA201" s="999"/>
    </row>
    <row r="202" spans="26:27" s="921" customFormat="1">
      <c r="Z202" s="929"/>
      <c r="AA202" s="999"/>
    </row>
    <row r="203" spans="26:27" s="921" customFormat="1">
      <c r="Z203" s="929"/>
      <c r="AA203" s="999"/>
    </row>
    <row r="204" spans="26:27" s="921" customFormat="1">
      <c r="Z204" s="929"/>
      <c r="AA204" s="999"/>
    </row>
    <row r="205" spans="26:27" s="921" customFormat="1">
      <c r="Z205" s="929"/>
      <c r="AA205" s="999"/>
    </row>
    <row r="206" spans="26:27" s="921" customFormat="1">
      <c r="Z206" s="929"/>
      <c r="AA206" s="999"/>
    </row>
    <row r="207" spans="26:27" s="921" customFormat="1">
      <c r="Z207" s="929"/>
      <c r="AA207" s="999"/>
    </row>
    <row r="208" spans="26:27" s="921" customFormat="1">
      <c r="Z208" s="929"/>
      <c r="AA208" s="999"/>
    </row>
    <row r="209" spans="26:27" s="921" customFormat="1">
      <c r="Z209" s="929"/>
      <c r="AA209" s="999"/>
    </row>
    <row r="210" spans="26:27" s="921" customFormat="1">
      <c r="Z210" s="929"/>
      <c r="AA210" s="999"/>
    </row>
    <row r="211" spans="26:27" s="921" customFormat="1">
      <c r="Z211" s="929"/>
      <c r="AA211" s="999"/>
    </row>
    <row r="212" spans="26:27" s="921" customFormat="1">
      <c r="Z212" s="929"/>
      <c r="AA212" s="999"/>
    </row>
    <row r="213" spans="26:27" s="921" customFormat="1">
      <c r="Z213" s="929"/>
      <c r="AA213" s="999"/>
    </row>
    <row r="214" spans="26:27" s="921" customFormat="1">
      <c r="Z214" s="929"/>
      <c r="AA214" s="999"/>
    </row>
    <row r="215" spans="26:27" s="921" customFormat="1">
      <c r="Z215" s="929"/>
      <c r="AA215" s="999"/>
    </row>
    <row r="216" spans="26:27" s="921" customFormat="1">
      <c r="Z216" s="929"/>
      <c r="AA216" s="999"/>
    </row>
    <row r="217" spans="26:27" s="921" customFormat="1">
      <c r="Z217" s="929"/>
      <c r="AA217" s="999"/>
    </row>
    <row r="218" spans="26:27" s="921" customFormat="1">
      <c r="Z218" s="929"/>
      <c r="AA218" s="999"/>
    </row>
    <row r="219" spans="26:27" s="921" customFormat="1">
      <c r="Z219" s="929"/>
      <c r="AA219" s="999"/>
    </row>
    <row r="220" spans="26:27" s="921" customFormat="1">
      <c r="Z220" s="929"/>
      <c r="AA220" s="999"/>
    </row>
    <row r="221" spans="26:27" s="921" customFormat="1">
      <c r="Z221" s="929"/>
      <c r="AA221" s="999"/>
    </row>
    <row r="222" spans="26:27" s="921" customFormat="1">
      <c r="Z222" s="929"/>
      <c r="AA222" s="999"/>
    </row>
    <row r="223" spans="26:27" s="921" customFormat="1">
      <c r="Z223" s="929"/>
      <c r="AA223" s="999"/>
    </row>
    <row r="224" spans="26:27" s="921" customFormat="1">
      <c r="Z224" s="929"/>
      <c r="AA224" s="999"/>
    </row>
    <row r="225" spans="26:27" s="921" customFormat="1">
      <c r="Z225" s="929"/>
      <c r="AA225" s="999"/>
    </row>
    <row r="226" spans="26:27" s="921" customFormat="1">
      <c r="Z226" s="929"/>
      <c r="AA226" s="999"/>
    </row>
    <row r="227" spans="26:27" s="921" customFormat="1">
      <c r="Z227" s="929"/>
      <c r="AA227" s="999"/>
    </row>
    <row r="228" spans="26:27" s="921" customFormat="1">
      <c r="Z228" s="929"/>
      <c r="AA228" s="999"/>
    </row>
    <row r="229" spans="26:27" s="921" customFormat="1">
      <c r="Z229" s="929"/>
      <c r="AA229" s="999"/>
    </row>
    <row r="230" spans="26:27" s="921" customFormat="1">
      <c r="Z230" s="929"/>
      <c r="AA230" s="999"/>
    </row>
    <row r="231" spans="26:27" s="921" customFormat="1">
      <c r="Z231" s="929"/>
      <c r="AA231" s="999"/>
    </row>
  </sheetData>
  <mergeCells count="64">
    <mergeCell ref="C95:H95"/>
    <mergeCell ref="C96:H96"/>
    <mergeCell ref="C97:H97"/>
    <mergeCell ref="C99:H99"/>
    <mergeCell ref="C101:H101"/>
    <mergeCell ref="C94:H94"/>
    <mergeCell ref="C70:H70"/>
    <mergeCell ref="C72:H72"/>
    <mergeCell ref="C74:H74"/>
    <mergeCell ref="C79:H79"/>
    <mergeCell ref="C81:H81"/>
    <mergeCell ref="C83:H83"/>
    <mergeCell ref="C85:H85"/>
    <mergeCell ref="C87:H87"/>
    <mergeCell ref="C89:H89"/>
    <mergeCell ref="B91:H91"/>
    <mergeCell ref="C93:H93"/>
    <mergeCell ref="C68:H68"/>
    <mergeCell ref="C54:H54"/>
    <mergeCell ref="D55:H55"/>
    <mergeCell ref="D56:H56"/>
    <mergeCell ref="C58:H58"/>
    <mergeCell ref="D59:H59"/>
    <mergeCell ref="D60:H60"/>
    <mergeCell ref="C62:H62"/>
    <mergeCell ref="D63:H63"/>
    <mergeCell ref="D64:H64"/>
    <mergeCell ref="D65:H65"/>
    <mergeCell ref="D66:H66"/>
    <mergeCell ref="C52:H52"/>
    <mergeCell ref="C35:H35"/>
    <mergeCell ref="D36:H36"/>
    <mergeCell ref="D37:H37"/>
    <mergeCell ref="D38:H38"/>
    <mergeCell ref="D39:H39"/>
    <mergeCell ref="C41:H41"/>
    <mergeCell ref="C43:H43"/>
    <mergeCell ref="C45:H45"/>
    <mergeCell ref="C47:H47"/>
    <mergeCell ref="D49:H49"/>
    <mergeCell ref="D50:H50"/>
    <mergeCell ref="D33:H33"/>
    <mergeCell ref="D20:H20"/>
    <mergeCell ref="D21:H21"/>
    <mergeCell ref="D22:H22"/>
    <mergeCell ref="D23:H23"/>
    <mergeCell ref="C25:H25"/>
    <mergeCell ref="D26:H26"/>
    <mergeCell ref="D27:H27"/>
    <mergeCell ref="D28:H28"/>
    <mergeCell ref="C30:H30"/>
    <mergeCell ref="D31:H31"/>
    <mergeCell ref="D32:H32"/>
    <mergeCell ref="D19:H19"/>
    <mergeCell ref="B6:H7"/>
    <mergeCell ref="R6:R7"/>
    <mergeCell ref="T6:T7"/>
    <mergeCell ref="C10:H10"/>
    <mergeCell ref="C12:H12"/>
    <mergeCell ref="D13:H13"/>
    <mergeCell ref="D14:H14"/>
    <mergeCell ref="D15:H15"/>
    <mergeCell ref="C17:H17"/>
    <mergeCell ref="D18:H18"/>
  </mergeCells>
  <hyperlinks>
    <hyperlink ref="AC15" location="'Nota 30'!A1" display="REASEGURADORES Y CORREDORES DE REASEGUROS VIGENTES"/>
    <hyperlink ref="AC18" location="'Nota 31'!A1" display="VARIACIÓN DE RESERVAS TÉCNICAS"/>
    <hyperlink ref="AC19" location="'Nota 31'!A1" display="VARIACIÓN DE RESERVAS TÉCNICAS"/>
    <hyperlink ref="AC20" location="'Nota 31'!A1" display="VARIACIÓN DE RESERVAS TÉCNICAS"/>
    <hyperlink ref="AC21" location="'Nota 31'!A1" display="VARIACIÓN DE RESERVAS TÉCNICAS"/>
    <hyperlink ref="AC22" location="'Nota 31'!A1" display="VARIACIÓN DE RESERVAS TÉCNICAS"/>
    <hyperlink ref="AC23" location="'Nota 31'!A1" display="VARIACIÓN DE RESERVAS TÉCNICAS"/>
    <hyperlink ref="AC26" location="'Nota 32'!A1" display="COSTO DE SINIESTROS"/>
    <hyperlink ref="AC41" location="'Nota 30'!A1" display="REASEGURADORES Y CORREDORES DE REASEGUROS VIGENTES"/>
    <hyperlink ref="AC54" location="'Nota 35'!A1" display="RESULTADO DE INVERSIONES "/>
    <hyperlink ref="AC56" location="'Nota 35'!A1" display="RESULTADO DE INVERSIONES "/>
    <hyperlink ref="AC60" location="'Nota 35'!A1" display="RESULTADO DE INVERSIONES "/>
    <hyperlink ref="AC63" location="'Nota 35'!A1" display="RESULTADO DE INVERSIONES "/>
    <hyperlink ref="AC64" location="'Nota 35'!A1" display="RESULTADO DE INVERSIONES "/>
    <hyperlink ref="AC66" location="'Nota 35'!A1" display="RESULTADO DE INVERSIONES "/>
    <hyperlink ref="AC76" location="'Nota 36'!A1" display="OTROS INGRESOS"/>
    <hyperlink ref="AC77" location="'Nota 37'!A1" display="OTROS EGRESOS"/>
    <hyperlink ref="AC79" location="'Nota 38'!A1" display="DIFERENCIA DE CAMBIO"/>
    <hyperlink ref="AC81" location="'Nota 38'!A1" display="UTILIDAD (PÉRDIDA) POR UNIDADES REAJUSTABLES"/>
    <hyperlink ref="AC87" location="'Nota 40'!A1" display="RESULTADO POR IMPUESTOS"/>
    <hyperlink ref="AC88" location="'Nota 40'!A1" display="RECONCILIACIÓN DE LA TASA DE IMPUESTO EFECTIVO"/>
    <hyperlink ref="AC47" location="'Nota 33'!A1" display="COSTOS DE ADMINISTRACIÓN"/>
    <hyperlink ref="AC49" location="'Nota 33'!A1" display="COSTOS DE ADMINISTRACIÓN"/>
    <hyperlink ref="AC50" location="'Nota 33'!A1" display="COSTOS DE ADMINISTRACIÓN"/>
    <hyperlink ref="AC45" location="'Nota 34'!A1" display="DETERIORO DE SEGUROS"/>
    <hyperlink ref="AC68" location="'Nota 35'!A1" display="RESULTADO DE INVERSIONES "/>
    <hyperlink ref="AC70" location="'Nota 35'!A1" display="RESULTADO DE INVERSIONES "/>
    <hyperlink ref="AC52" location="'Nota 35'!A1" display="RESULTADO DE INVERSIONES "/>
    <hyperlink ref="AC55" location="'Nota 35'!A1" display="RESULTADO DE INVERSIONES "/>
    <hyperlink ref="AC58" location="'Nota 35'!A1" display="RESULTADO DE INVERSIONES "/>
    <hyperlink ref="AC59" location="'Nota 35'!A1" display="RESULTADO DE INVERSIONES "/>
    <hyperlink ref="AC62" location="'Nota 35'!A1" display="RESULTADO DE INVERSIONES "/>
    <hyperlink ref="AC65" location="'Nota 35'!A1" display="RESULTADO DE INVERSIONES "/>
    <hyperlink ref="AC27:AC28" location="'Nota 32'!A1" display="COSTO DE SINIESTROS"/>
  </hyperlinks>
  <printOptions horizontalCentered="1"/>
  <pageMargins left="0.19685039370078741" right="0.19685039370078741" top="0.11811023622047245" bottom="0.11811023622047245" header="0.31496062992125984" footer="0.31496062992125984"/>
  <pageSetup scale="26" orientation="portrait" r:id="rId1"/>
  <drawing r:id="rId2"/>
  <legacyDrawing r:id="rId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topLeftCell="B1" zoomScaleNormal="100" workbookViewId="0">
      <selection activeCell="B33" sqref="B33"/>
    </sheetView>
  </sheetViews>
  <sheetFormatPr baseColWidth="10" defaultRowHeight="15"/>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heetPr>
  <dimension ref="B1:J21"/>
  <sheetViews>
    <sheetView showGridLines="0" workbookViewId="0">
      <selection activeCell="B1" sqref="B1"/>
    </sheetView>
  </sheetViews>
  <sheetFormatPr baseColWidth="10" defaultColWidth="9.140625" defaultRowHeight="15"/>
  <cols>
    <col min="1" max="2" width="2.42578125" customWidth="1"/>
    <col min="3" max="3" width="23.7109375" customWidth="1"/>
    <col min="4" max="4" width="47.7109375" customWidth="1"/>
    <col min="5" max="5" width="15.7109375" customWidth="1"/>
    <col min="6" max="6" width="20.7109375" customWidth="1"/>
    <col min="7" max="8" width="15.7109375" customWidth="1"/>
    <col min="9" max="14" width="12.42578125" customWidth="1"/>
  </cols>
  <sheetData>
    <row r="1" spans="2:10" ht="15" customHeight="1"/>
    <row r="2" spans="2:10" s="1" customFormat="1" ht="15" customHeight="1"/>
    <row r="3" spans="2:10" ht="15" customHeight="1"/>
    <row r="4" spans="2:10">
      <c r="B4" s="2"/>
      <c r="C4" s="2"/>
      <c r="D4" s="1586" t="s">
        <v>882</v>
      </c>
      <c r="E4" s="1586"/>
      <c r="F4" s="1586"/>
      <c r="G4" s="770"/>
    </row>
    <row r="5" spans="2:10" ht="24.95" customHeight="1" thickBot="1">
      <c r="B5" s="35"/>
      <c r="C5" s="35"/>
      <c r="D5" s="36" t="s">
        <v>244</v>
      </c>
      <c r="E5" s="36" t="s">
        <v>245</v>
      </c>
      <c r="F5" s="36" t="s">
        <v>246</v>
      </c>
      <c r="G5" s="36" t="s">
        <v>247</v>
      </c>
    </row>
    <row r="6" spans="2:10" ht="15" customHeight="1">
      <c r="B6" s="1591" t="s">
        <v>883</v>
      </c>
      <c r="C6" s="1592"/>
      <c r="D6" s="37" t="s">
        <v>2775</v>
      </c>
      <c r="E6" s="37" t="s">
        <v>2780</v>
      </c>
      <c r="F6" s="37" t="s">
        <v>881</v>
      </c>
      <c r="G6" s="797">
        <v>0.9899</v>
      </c>
      <c r="J6" s="1203" t="s">
        <v>3765</v>
      </c>
    </row>
    <row r="7" spans="2:10" ht="15" customHeight="1">
      <c r="B7" s="1587" t="s">
        <v>884</v>
      </c>
      <c r="C7" s="1588"/>
      <c r="D7" s="38" t="s">
        <v>2776</v>
      </c>
      <c r="E7" s="38" t="s">
        <v>2781</v>
      </c>
      <c r="F7" s="38" t="s">
        <v>881</v>
      </c>
      <c r="G7" s="798">
        <v>5.8999999999999999E-3</v>
      </c>
      <c r="J7" s="1203" t="s">
        <v>3765</v>
      </c>
    </row>
    <row r="8" spans="2:10">
      <c r="B8" s="1587" t="s">
        <v>885</v>
      </c>
      <c r="C8" s="1588"/>
      <c r="D8" s="38" t="s">
        <v>2777</v>
      </c>
      <c r="E8" s="38" t="s">
        <v>2782</v>
      </c>
      <c r="F8" s="38" t="s">
        <v>881</v>
      </c>
      <c r="G8" s="798">
        <v>3.8999999999999998E-3</v>
      </c>
      <c r="J8" s="1203" t="s">
        <v>3765</v>
      </c>
    </row>
    <row r="9" spans="2:10">
      <c r="B9" s="1587" t="s">
        <v>886</v>
      </c>
      <c r="C9" s="1588"/>
      <c r="D9" s="38" t="s">
        <v>2778</v>
      </c>
      <c r="E9" s="38" t="s">
        <v>2783</v>
      </c>
      <c r="F9" s="38" t="s">
        <v>2785</v>
      </c>
      <c r="G9" s="798">
        <v>1E-4</v>
      </c>
      <c r="J9" s="1203" t="s">
        <v>3765</v>
      </c>
    </row>
    <row r="10" spans="2:10">
      <c r="B10" s="1587" t="s">
        <v>887</v>
      </c>
      <c r="C10" s="1588"/>
      <c r="D10" s="38" t="s">
        <v>2779</v>
      </c>
      <c r="E10" s="38" t="s">
        <v>2784</v>
      </c>
      <c r="F10" s="38" t="s">
        <v>2785</v>
      </c>
      <c r="G10" s="798">
        <v>1E-4</v>
      </c>
      <c r="J10" s="1203" t="s">
        <v>3765</v>
      </c>
    </row>
    <row r="11" spans="2:10">
      <c r="B11" s="1587" t="s">
        <v>3760</v>
      </c>
      <c r="C11" s="1588"/>
      <c r="D11" s="38" t="s">
        <v>3766</v>
      </c>
      <c r="E11" s="38" t="s">
        <v>3771</v>
      </c>
      <c r="F11" s="38" t="s">
        <v>2785</v>
      </c>
      <c r="G11" s="798">
        <v>0</v>
      </c>
      <c r="J11" s="1203" t="s">
        <v>3765</v>
      </c>
    </row>
    <row r="12" spans="2:10">
      <c r="B12" s="1587" t="s">
        <v>3761</v>
      </c>
      <c r="C12" s="1588"/>
      <c r="D12" s="38" t="s">
        <v>3767</v>
      </c>
      <c r="E12" s="38" t="s">
        <v>3772</v>
      </c>
      <c r="F12" s="38" t="s">
        <v>2785</v>
      </c>
      <c r="G12" s="798">
        <v>0</v>
      </c>
      <c r="J12" s="1203" t="s">
        <v>3765</v>
      </c>
    </row>
    <row r="13" spans="2:10">
      <c r="B13" s="1587" t="s">
        <v>3762</v>
      </c>
      <c r="C13" s="1588"/>
      <c r="D13" s="38" t="s">
        <v>3768</v>
      </c>
      <c r="E13" s="38" t="s">
        <v>3773</v>
      </c>
      <c r="F13" s="38" t="s">
        <v>2785</v>
      </c>
      <c r="G13" s="798">
        <v>0</v>
      </c>
      <c r="J13" s="1203" t="s">
        <v>3765</v>
      </c>
    </row>
    <row r="14" spans="2:10">
      <c r="B14" s="1587" t="s">
        <v>3763</v>
      </c>
      <c r="C14" s="1588"/>
      <c r="D14" s="38" t="s">
        <v>3769</v>
      </c>
      <c r="E14" s="38" t="s">
        <v>3774</v>
      </c>
      <c r="F14" s="38" t="s">
        <v>2785</v>
      </c>
      <c r="G14" s="798">
        <v>0</v>
      </c>
      <c r="J14" s="1203" t="s">
        <v>3765</v>
      </c>
    </row>
    <row r="15" spans="2:10" ht="15" customHeight="1">
      <c r="B15" s="1587" t="s">
        <v>3764</v>
      </c>
      <c r="C15" s="1588"/>
      <c r="D15" s="38" t="s">
        <v>3770</v>
      </c>
      <c r="E15" s="38" t="s">
        <v>3775</v>
      </c>
      <c r="F15" s="38" t="s">
        <v>2785</v>
      </c>
      <c r="G15" s="798">
        <v>0</v>
      </c>
      <c r="J15" s="1203" t="s">
        <v>3765</v>
      </c>
    </row>
    <row r="18" spans="2:10">
      <c r="B18" s="2"/>
      <c r="C18" s="2"/>
      <c r="D18" s="1586" t="s">
        <v>890</v>
      </c>
      <c r="E18" s="1586"/>
      <c r="F18" s="1586"/>
      <c r="G18" s="770"/>
      <c r="H18" s="770"/>
    </row>
    <row r="19" spans="2:10" ht="41.25" customHeight="1" thickBot="1">
      <c r="B19" s="35"/>
      <c r="C19" s="35"/>
      <c r="D19" s="36" t="s">
        <v>248</v>
      </c>
      <c r="E19" s="36" t="s">
        <v>249</v>
      </c>
      <c r="F19" s="36" t="s">
        <v>250</v>
      </c>
      <c r="G19" s="36" t="s">
        <v>251</v>
      </c>
      <c r="H19" s="36" t="s">
        <v>252</v>
      </c>
    </row>
    <row r="20" spans="2:10" ht="15" customHeight="1">
      <c r="B20" s="1585" t="s">
        <v>891</v>
      </c>
      <c r="C20" s="1589"/>
      <c r="D20" s="39" t="s">
        <v>2786</v>
      </c>
      <c r="E20" s="37" t="s">
        <v>2788</v>
      </c>
      <c r="F20" s="37" t="s">
        <v>888</v>
      </c>
      <c r="G20" s="37">
        <v>9</v>
      </c>
      <c r="H20" s="1188">
        <v>43209</v>
      </c>
      <c r="J20" s="1203" t="s">
        <v>3765</v>
      </c>
    </row>
    <row r="21" spans="2:10" ht="15" customHeight="1">
      <c r="B21" s="1590" t="s">
        <v>892</v>
      </c>
      <c r="C21" s="1587"/>
      <c r="D21" s="40" t="s">
        <v>2787</v>
      </c>
      <c r="E21" s="38" t="s">
        <v>889</v>
      </c>
      <c r="F21" s="38" t="s">
        <v>888</v>
      </c>
      <c r="G21" s="38">
        <v>12</v>
      </c>
      <c r="H21" s="1189">
        <v>43209</v>
      </c>
      <c r="J21" s="1203" t="s">
        <v>3765</v>
      </c>
    </row>
  </sheetData>
  <mergeCells count="14">
    <mergeCell ref="D4:F4"/>
    <mergeCell ref="D18:F18"/>
    <mergeCell ref="B15:C15"/>
    <mergeCell ref="B20:C20"/>
    <mergeCell ref="B21:C21"/>
    <mergeCell ref="B6:C6"/>
    <mergeCell ref="B7:C7"/>
    <mergeCell ref="B8:C8"/>
    <mergeCell ref="B9:C9"/>
    <mergeCell ref="B10:C10"/>
    <mergeCell ref="B11:C11"/>
    <mergeCell ref="B12:C12"/>
    <mergeCell ref="B13:C13"/>
    <mergeCell ref="B14:C14"/>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B1:C73"/>
  <sheetViews>
    <sheetView showGridLines="0" workbookViewId="0"/>
  </sheetViews>
  <sheetFormatPr baseColWidth="10" defaultColWidth="9.140625" defaultRowHeight="15"/>
  <cols>
    <col min="1" max="2" width="2.42578125" style="263" customWidth="1"/>
    <col min="3" max="3" width="120.42578125" style="263" customWidth="1"/>
    <col min="4" max="4" width="12.42578125" style="263" customWidth="1"/>
    <col min="5" max="10" width="10" style="263" customWidth="1"/>
    <col min="11" max="16384" width="9.140625" style="263"/>
  </cols>
  <sheetData>
    <row r="1" spans="3:3" ht="15" customHeight="1"/>
    <row r="2" spans="3:3" ht="15" customHeight="1">
      <c r="C2" s="772" t="s">
        <v>253</v>
      </c>
    </row>
    <row r="3" spans="3:3" ht="15" customHeight="1">
      <c r="C3" s="1593"/>
    </row>
    <row r="4" spans="3:3" ht="15" customHeight="1">
      <c r="C4" s="1593"/>
    </row>
    <row r="5" spans="3:3" ht="15" customHeight="1">
      <c r="C5" s="1593"/>
    </row>
    <row r="6" spans="3:3" ht="15" customHeight="1">
      <c r="C6" s="1593"/>
    </row>
    <row r="7" spans="3:3" ht="15" customHeight="1">
      <c r="C7" s="1593"/>
    </row>
    <row r="8" spans="3:3" ht="15" customHeight="1">
      <c r="C8" s="1594"/>
    </row>
    <row r="9" spans="3:3" ht="15" customHeight="1"/>
    <row r="10" spans="3:3" ht="15" customHeight="1">
      <c r="C10" s="772" t="s">
        <v>254</v>
      </c>
    </row>
    <row r="11" spans="3:3" ht="15" customHeight="1">
      <c r="C11" s="1593"/>
    </row>
    <row r="12" spans="3:3" ht="15" customHeight="1">
      <c r="C12" s="1593"/>
    </row>
    <row r="13" spans="3:3" ht="15" customHeight="1">
      <c r="C13" s="1593"/>
    </row>
    <row r="14" spans="3:3" ht="15" customHeight="1">
      <c r="C14" s="1593"/>
    </row>
    <row r="15" spans="3:3" ht="15" customHeight="1">
      <c r="C15" s="1593"/>
    </row>
    <row r="16" spans="3:3" ht="15" customHeight="1">
      <c r="C16" s="1594"/>
    </row>
    <row r="17" spans="3:3" ht="15" customHeight="1"/>
    <row r="18" spans="3:3" ht="15" customHeight="1">
      <c r="C18" s="772" t="s">
        <v>255</v>
      </c>
    </row>
    <row r="19" spans="3:3" ht="15" customHeight="1">
      <c r="C19" s="1593"/>
    </row>
    <row r="20" spans="3:3" ht="15" customHeight="1">
      <c r="C20" s="1593"/>
    </row>
    <row r="21" spans="3:3" ht="15" customHeight="1">
      <c r="C21" s="1593"/>
    </row>
    <row r="22" spans="3:3" ht="15" customHeight="1">
      <c r="C22" s="1593"/>
    </row>
    <row r="23" spans="3:3" ht="15" customHeight="1">
      <c r="C23" s="1593"/>
    </row>
    <row r="24" spans="3:3" ht="15" customHeight="1">
      <c r="C24" s="1594"/>
    </row>
    <row r="25" spans="3:3" ht="15" customHeight="1"/>
    <row r="26" spans="3:3" ht="15" customHeight="1">
      <c r="C26" s="772" t="s">
        <v>256</v>
      </c>
    </row>
    <row r="27" spans="3:3" ht="15" customHeight="1">
      <c r="C27" s="1593"/>
    </row>
    <row r="28" spans="3:3" ht="15" customHeight="1">
      <c r="C28" s="1593"/>
    </row>
    <row r="29" spans="3:3" ht="15" customHeight="1">
      <c r="C29" s="1593"/>
    </row>
    <row r="30" spans="3:3" ht="15" customHeight="1">
      <c r="C30" s="1593"/>
    </row>
    <row r="31" spans="3:3" ht="15" customHeight="1">
      <c r="C31" s="1593"/>
    </row>
    <row r="32" spans="3:3" ht="15" customHeight="1">
      <c r="C32" s="1594"/>
    </row>
    <row r="33" spans="3:3" ht="15" customHeight="1"/>
    <row r="34" spans="3:3" ht="15" customHeight="1">
      <c r="C34" s="772" t="s">
        <v>257</v>
      </c>
    </row>
    <row r="35" spans="3:3" ht="15" customHeight="1">
      <c r="C35" s="1593"/>
    </row>
    <row r="36" spans="3:3" ht="15" customHeight="1">
      <c r="C36" s="1593"/>
    </row>
    <row r="37" spans="3:3" ht="15" customHeight="1">
      <c r="C37" s="1593"/>
    </row>
    <row r="38" spans="3:3" ht="15" customHeight="1">
      <c r="C38" s="1593"/>
    </row>
    <row r="39" spans="3:3" ht="15" customHeight="1">
      <c r="C39" s="1593"/>
    </row>
    <row r="40" spans="3:3" ht="15" customHeight="1">
      <c r="C40" s="1594"/>
    </row>
    <row r="41" spans="3:3" ht="15" customHeight="1"/>
    <row r="42" spans="3:3" ht="15" customHeight="1">
      <c r="C42" s="772" t="s">
        <v>258</v>
      </c>
    </row>
    <row r="43" spans="3:3" ht="15" customHeight="1">
      <c r="C43" s="1593"/>
    </row>
    <row r="44" spans="3:3" ht="15" customHeight="1">
      <c r="C44" s="1593"/>
    </row>
    <row r="45" spans="3:3" ht="15" customHeight="1">
      <c r="C45" s="1593"/>
    </row>
    <row r="46" spans="3:3" ht="15" customHeight="1">
      <c r="C46" s="1593"/>
    </row>
    <row r="47" spans="3:3" ht="15" customHeight="1">
      <c r="C47" s="1593"/>
    </row>
    <row r="48" spans="3:3" ht="15" customHeight="1">
      <c r="C48" s="1594"/>
    </row>
    <row r="49" spans="2:3" s="774" customFormat="1" ht="15" customHeight="1">
      <c r="B49" s="773"/>
    </row>
    <row r="50" spans="2:3" ht="15" customHeight="1">
      <c r="C50" s="772" t="s">
        <v>259</v>
      </c>
    </row>
    <row r="51" spans="2:3" ht="15" customHeight="1">
      <c r="C51" s="1593"/>
    </row>
    <row r="52" spans="2:3" ht="15" customHeight="1">
      <c r="C52" s="1593"/>
    </row>
    <row r="53" spans="2:3" ht="15" customHeight="1">
      <c r="C53" s="1593"/>
    </row>
    <row r="54" spans="2:3" ht="15" customHeight="1">
      <c r="C54" s="1593"/>
    </row>
    <row r="55" spans="2:3" ht="15" customHeight="1">
      <c r="C55" s="1593"/>
    </row>
    <row r="56" spans="2:3" ht="15" customHeight="1">
      <c r="C56" s="1594"/>
    </row>
    <row r="57" spans="2:3" ht="15" customHeight="1"/>
    <row r="58" spans="2:3" ht="15" customHeight="1">
      <c r="C58" s="772" t="s">
        <v>260</v>
      </c>
    </row>
    <row r="59" spans="2:3" ht="15" customHeight="1">
      <c r="C59" s="1593"/>
    </row>
    <row r="60" spans="2:3" ht="15" customHeight="1">
      <c r="C60" s="1593"/>
    </row>
    <row r="61" spans="2:3" ht="15" customHeight="1">
      <c r="C61" s="1593"/>
    </row>
    <row r="62" spans="2:3" ht="15" customHeight="1">
      <c r="C62" s="1593"/>
    </row>
    <row r="63" spans="2:3" ht="15" customHeight="1">
      <c r="C63" s="1593"/>
    </row>
    <row r="64" spans="2:3" ht="15" customHeight="1">
      <c r="C64" s="1594"/>
    </row>
    <row r="65" spans="3:3" ht="15" customHeight="1">
      <c r="C65" s="775"/>
    </row>
    <row r="66" spans="3:3" ht="15" customHeight="1">
      <c r="C66" s="772" t="s">
        <v>261</v>
      </c>
    </row>
    <row r="67" spans="3:3" ht="15" customHeight="1">
      <c r="C67" s="1593"/>
    </row>
    <row r="68" spans="3:3" ht="15" customHeight="1">
      <c r="C68" s="1593"/>
    </row>
    <row r="69" spans="3:3" ht="15" customHeight="1">
      <c r="C69" s="1593"/>
    </row>
    <row r="70" spans="3:3" ht="15" customHeight="1">
      <c r="C70" s="1593"/>
    </row>
    <row r="71" spans="3:3" ht="15" customHeight="1">
      <c r="C71" s="1593"/>
    </row>
    <row r="72" spans="3:3" ht="15" customHeight="1">
      <c r="C72" s="1594"/>
    </row>
    <row r="73" spans="3:3" ht="15" customHeight="1">
      <c r="C73" s="775"/>
    </row>
  </sheetData>
  <mergeCells count="9">
    <mergeCell ref="C51:C56"/>
    <mergeCell ref="C59:C64"/>
    <mergeCell ref="C67:C72"/>
    <mergeCell ref="C3:C8"/>
    <mergeCell ref="C11:C16"/>
    <mergeCell ref="C19:C24"/>
    <mergeCell ref="C27:C32"/>
    <mergeCell ref="C35:C40"/>
    <mergeCell ref="C43:C48"/>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74</vt:i4>
      </vt:variant>
      <vt:variant>
        <vt:lpstr>Rangos con nombre</vt:lpstr>
      </vt:variant>
      <vt:variant>
        <vt:i4>5</vt:i4>
      </vt:variant>
    </vt:vector>
  </HeadingPairs>
  <TitlesOfParts>
    <vt:vector size="79" baseType="lpstr">
      <vt:lpstr>Val</vt:lpstr>
      <vt:lpstr>1. Carátula</vt:lpstr>
      <vt:lpstr>2. Estado de situación</vt:lpstr>
      <vt:lpstr>3. Estado de resultados</vt:lpstr>
      <vt:lpstr>4. Estado de flujo</vt:lpstr>
      <vt:lpstr>6. Cambios en el patrimonio</vt:lpstr>
      <vt:lpstr>Nota 1</vt:lpstr>
      <vt:lpstr>Nota 1.1</vt:lpstr>
      <vt:lpstr>Nota 2</vt:lpstr>
      <vt:lpstr>Nota 3</vt:lpstr>
      <vt:lpstr>Nota 4</vt:lpstr>
      <vt:lpstr>Nota 7</vt:lpstr>
      <vt:lpstr>Nota  8</vt:lpstr>
      <vt:lpstr>Nota  8.1</vt:lpstr>
      <vt:lpstr>Nota  8.2</vt:lpstr>
      <vt:lpstr>Nota 9</vt:lpstr>
      <vt:lpstr>Nota 9.1</vt:lpstr>
      <vt:lpstr>Nota 10</vt:lpstr>
      <vt:lpstr>Nota 11</vt:lpstr>
      <vt:lpstr>Nota 12</vt:lpstr>
      <vt:lpstr>Nota 13</vt:lpstr>
      <vt:lpstr>Nota 13.1</vt:lpstr>
      <vt:lpstr>Nota 14</vt:lpstr>
      <vt:lpstr>Nota 15</vt:lpstr>
      <vt:lpstr>Nota 16</vt:lpstr>
      <vt:lpstr>Nota 16.1</vt:lpstr>
      <vt:lpstr>Nota 17</vt:lpstr>
      <vt:lpstr>Nota 17.1</vt:lpstr>
      <vt:lpstr>Nota 18</vt:lpstr>
      <vt:lpstr>Nota 19</vt:lpstr>
      <vt:lpstr>Nota 21</vt:lpstr>
      <vt:lpstr>Nota 22</vt:lpstr>
      <vt:lpstr>Nota 23</vt:lpstr>
      <vt:lpstr>Nota 24</vt:lpstr>
      <vt:lpstr>Nota 25</vt:lpstr>
      <vt:lpstr>Nota 26</vt:lpstr>
      <vt:lpstr>Nota 27</vt:lpstr>
      <vt:lpstr>Nota 28</vt:lpstr>
      <vt:lpstr>Nota 30</vt:lpstr>
      <vt:lpstr>Nota 31</vt:lpstr>
      <vt:lpstr>Nota 32</vt:lpstr>
      <vt:lpstr>Nota 33</vt:lpstr>
      <vt:lpstr>Nota 34</vt:lpstr>
      <vt:lpstr>Nota 35</vt:lpstr>
      <vt:lpstr>Nota 36</vt:lpstr>
      <vt:lpstr>Nota 37</vt:lpstr>
      <vt:lpstr>Nota 38</vt:lpstr>
      <vt:lpstr>Nota 40</vt:lpstr>
      <vt:lpstr>Nota 42</vt:lpstr>
      <vt:lpstr>Nota 42.1</vt:lpstr>
      <vt:lpstr>Nota 44</vt:lpstr>
      <vt:lpstr>Nota 45</vt:lpstr>
      <vt:lpstr>Nota 46</vt:lpstr>
      <vt:lpstr>Nota 48</vt:lpstr>
      <vt:lpstr>Nota 48.1</vt:lpstr>
      <vt:lpstr>Nota 49</vt:lpstr>
      <vt:lpstr>601</vt:lpstr>
      <vt:lpstr>602</vt:lpstr>
      <vt:lpstr>603</vt:lpstr>
      <vt:lpstr>604</vt:lpstr>
      <vt:lpstr>605</vt:lpstr>
      <vt:lpstr>607</vt:lpstr>
      <vt:lpstr>608</vt:lpstr>
      <vt:lpstr>Hoja1</vt:lpstr>
      <vt:lpstr>Hoja3</vt:lpstr>
      <vt:lpstr>Datos Varios</vt:lpstr>
      <vt:lpstr>SAP</vt:lpstr>
      <vt:lpstr>Balance Local</vt:lpstr>
      <vt:lpstr>Mapping FECU</vt:lpstr>
      <vt:lpstr>P O R T A D A </vt:lpstr>
      <vt:lpstr>Activo</vt:lpstr>
      <vt:lpstr>Pasivo</vt:lpstr>
      <vt:lpstr>Resultado Integral</vt:lpstr>
      <vt:lpstr>Hoja2</vt:lpstr>
      <vt:lpstr>Activo!Área_de_impresión</vt:lpstr>
      <vt:lpstr>'Mapping FECU'!Área_de_impresión</vt:lpstr>
      <vt:lpstr>'P O R T A D A '!Área_de_impresión</vt:lpstr>
      <vt:lpstr>Pasivo!Área_de_impresión</vt:lpstr>
      <vt:lpstr>'Resultado Integral'!Área_de_impresión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Maria Carolina Munoz Moller</cp:lastModifiedBy>
  <dcterms:created xsi:type="dcterms:W3CDTF">2017-06-14T21:35:23Z</dcterms:created>
  <dcterms:modified xsi:type="dcterms:W3CDTF">2018-05-15T22:30:37Z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Caratula FECU Life Q12018- Fujitsu.xlsx</vt:lpwstr>
  </property>
</Properties>
</file>